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ver" sheetId="1" r:id="rId1"/>
    <sheet name="Revenue summary" sheetId="2" r:id="rId3"/>
    <sheet name="Segment - CCB" sheetId="3" r:id="rId4"/>
    <sheet name="Segment - CIB" sheetId="4" r:id="rId5"/>
    <sheet name="Segment - AWM" sheetId="5" r:id="rId6"/>
    <sheet name="Segment - Corporate" sheetId="6" r:id="rId7"/>
    <sheet name="Income Statement" sheetId="7" r:id="rId8"/>
    <sheet name="Balance Sheet" sheetId="8" r:id="rId9"/>
    <sheet name="Cash Flow Statement" sheetId="9" r:id="rId10"/>
    <sheet name="Share Count" sheetId="10" r:id="rId11"/>
    <sheet name="Guidance" sheetId="11" r:id="rId12"/>
    <sheet name="Sources" sheetId="12" r:id="rId13"/>
    <sheet name="Inputs" sheetId="13" r:id="rId14"/>
  </sheets>
  <calcPr calcId="0"/>
</workbook>
</file>

<file path=xl/sharedStrings.xml><?xml version="1.0" encoding="utf-8"?>
<sst xmlns="http://schemas.openxmlformats.org/spreadsheetml/2006/main" count="4086" uniqueCount="1331">
  <si>
    <t>JPMorgan Chase &amp; Co. (NYSE: JPM)</t>
  </si>
  <si>
    <t>Company Model — built by Shortcut</t>
  </si>
  <si>
    <t>$ millions, except per share</t>
  </si>
  <si>
    <t>Column meanings are set by each table's own header row (rows 20, 34, 45); no sheet-wide period band on this tab</t>
  </si>
  <si>
    <t>Company</t>
  </si>
  <si>
    <t>JPMorgan Chase &amp; Co.</t>
  </si>
  <si>
    <t>Ticker / exchange</t>
  </si>
  <si>
    <t>JPM / NYSE (NYSE:JPM)</t>
  </si>
  <si>
    <t>Fiscal year end</t>
  </si>
  <si>
    <t>December 31 — target FQ3 2026 = quarter ended 30-Sep-2026 (calendar quarter; supplied label 2026-09-30 is exact)</t>
  </si>
  <si>
    <t>Reporting currency</t>
  </si>
  <si>
    <t>USD; $ millions except per-share data</t>
  </si>
  <si>
    <t>EPS basis</t>
  </si>
  <si>
    <t>Normalized diluted EPS per common share (S&amp;P Capital IQ normalized). Not identical to issuer EPS excl. significant items (4Q25: CapIQ $4.63 vs issuer $5.23). Forecast assumes no 3Q26 significant items and that CapIQ keeps the ~$109mm proxy Visa C mark (≈+$0.03) and −$75mm securities losses (≈−$0.02) in normalized EPS — classification unresolved</t>
  </si>
  <si>
    <t>Information cutoff</t>
  </si>
  <si>
    <t>2026-10-11 22:24 UTC</t>
  </si>
  <si>
    <t>Expected report date</t>
  </si>
  <si>
    <t>2026-10-13, ~07:00 ET (results), call 08:30 ET (S31)</t>
  </si>
  <si>
    <t>Consensus baseline</t>
  </si>
  <si>
    <t>S&amp;P Capital IQ snapshot captured 2026-10-11 (frozen; see Inputs)</t>
  </si>
  <si>
    <t>Model author</t>
  </si>
  <si>
    <t>Shortcut</t>
  </si>
  <si>
    <t>Headline estimates — 3Q26E vs consensus at cutoff</t>
  </si>
  <si>
    <t>Metric</t>
  </si>
  <si>
    <t>Shortcut 3Q26E</t>
  </si>
  <si>
    <t>Consensus</t>
  </si>
  <si>
    <t>Variance</t>
  </si>
  <si>
    <t>Variance %</t>
  </si>
  <si>
    <t>Guidance mid</t>
  </si>
  <si>
    <t># estimates</t>
  </si>
  <si>
    <t>Total net revenue — reported ($mm)</t>
  </si>
  <si>
    <t>n.a.</t>
  </si>
  <si>
    <t>Guidance mid n.a.: JPM does not guide revenue, net income or EPS (it guides NII, expense, card NCO; see Guidance tab)</t>
  </si>
  <si>
    <t>Net income — normalized, total before preferred ($mm)</t>
  </si>
  <si>
    <t>n.m.</t>
  </si>
  <si>
    <t>n.d.</t>
  </si>
  <si>
    <t>Variance withheld (basis mismatch, unresolved): C22 is firm total NI before $300mm preferred and participating securities; CapIQ net_income_excl_excep_m definition (total vs to-common) is not established in the original sources. Model NI to common = Income Statement H147 / H186</t>
  </si>
  <si>
    <t>Net income — GAAP, total before preferred ($mm)</t>
  </si>
  <si>
    <t>Variance withheld (basis mismatch, unresolved): C23 is firm total NI before preferred; CapIQ net_income_gaap_m definition (total vs to-common) not established in the original sources. Frozen consensus D23 retained unchanged</t>
  </si>
  <si>
    <t>Diluted EPS — normalized (consensus basis, assumed)</t>
  </si>
  <si>
    <t>C24 is the scored target, forecast on an assumed CapIQ normalized basis; provider basis match is not source-verified (unresolved; see C13 and Income Statement J187). Not adjusted toward consensus</t>
  </si>
  <si>
    <t>Diluted EPS — GAAP</t>
  </si>
  <si>
    <t>Check: Cover estimates less statements</t>
  </si>
  <si>
    <t>Must equal 0. Link-integrity check (detects overwritten Cover links); not an independent forecast validation</t>
  </si>
  <si>
    <t>Overall check: reported-period ties + 3Q26E linkage ties (plug identities excluded)</t>
  </si>
  <si>
    <t>Reported columns (3Q25A–2Q26A) of check rows in Revenue summary, segment tabs, Balance Sheet, Cash Flow, Share Count and IS EPS (sum of |diff| tolerances unchanged); IS row 192 normalized-EPS rounding check (±$0.025); AWM AUM rollforward reported columns only (C109:G109; 3Q26E H109 is an identity and is excluded); C28. Does not validate forecast assumptions</t>
  </si>
  <si>
    <t>3Q26E linkage tie: segment pretax − FTE − firm pretax</t>
  </si>
  <si>
    <t>Must equal 0. Link-integrity tie only: firm revenue is forced to the segment total by the IS H62 plug and firm provision/expense are direct sums of segment lines, so it is zero by construction unless a link breaks; not an independent forecast validation</t>
  </si>
  <si>
    <t>3Q26E plug identities (residual assumptions, not checks)</t>
  </si>
  <si>
    <t>Excluded</t>
  </si>
  <si>
    <t>Zero by construction: Revenue summary H53 (IS H62 other-income plug) and H73; CCB H38 (NII plug); CIB H91 (principal transactions plug), H162 (GCIB plug); AWM H31 (GPB plug), H109 (AUM rollforward identity: H100 and H137 apply the same 3Q26E flows/impacts to 2Q26 closes); Corporate H31 (all-other-income plug); BS H117 (deposits-with-banks plug); Share Count H33; IS H155; CF H38. Corporate NI/tax = firm less segments</t>
  </si>
  <si>
    <t>P(beat consensus EPS)</t>
  </si>
  <si>
    <t>Starting probability 80.3% = (8 × 78% cohort prior + 5 beats) / (8 + 6 pairs); judgmental adjustments (−17pts) take it to 63%. Model EPS lands near consensus; a high beat probability is not a large expected surprise (Inputs section E)</t>
  </si>
  <si>
    <t>Confidence</t>
  </si>
  <si>
    <t>Key forecast drivers</t>
  </si>
  <si>
    <t>Driver</t>
  </si>
  <si>
    <t>3Q26E</t>
  </si>
  <si>
    <t>3Q25A</t>
  </si>
  <si>
    <t>% Y/Y</t>
  </si>
  <si>
    <t>2Q26A</t>
  </si>
  <si>
    <t>% Q/Q</t>
  </si>
  <si>
    <t>NII — managed ($mm)</t>
  </si>
  <si>
    <t>NII excl. Markets ($mm)</t>
  </si>
  <si>
    <t>Markets revenue ($mm)</t>
  </si>
  <si>
    <t>Investment banking fees — CIB ($mm)</t>
  </si>
  <si>
    <t>Noninterest expense ($mm)</t>
  </si>
  <si>
    <t>Provision for credit losses ($mm)</t>
  </si>
  <si>
    <t>Effective tax rate</t>
  </si>
  <si>
    <t>Change columns in bp</t>
  </si>
  <si>
    <t>Diluted shares (mm)</t>
  </si>
  <si>
    <t>Other consensus observations (recorded separately; not the scoring baseline)</t>
  </si>
  <si>
    <t>Provider (date)</t>
  </si>
  <si>
    <t>EPS</t>
  </si>
  <si>
    <t>Revenue $mm</t>
  </si>
  <si>
    <t>Basis</t>
  </si>
  <si>
    <t>Zacks via Yahoo Finance (8-Oct-2026)</t>
  </si>
  <si>
    <t>Revenue likely managed basis</t>
  </si>
  <si>
    <t>S21</t>
  </si>
  <si>
    <t>MarketBeat (publication date n.d.; retrieved 11-Oct-2026)</t>
  </si>
  <si>
    <t>Reported basis</t>
  </si>
  <si>
    <t>S23</t>
  </si>
  <si>
    <t>Google Finance via MarketPulse (7-Oct-2026)</t>
  </si>
  <si>
    <t>S24</t>
  </si>
  <si>
    <t>Seeking Alpha preview (9-Oct-2026)</t>
  </si>
  <si>
    <t>Not stated</t>
  </si>
  <si>
    <t>S22</t>
  </si>
  <si>
    <t>Hudson Labs preview (28-Sep-2026)</t>
  </si>
  <si>
    <t>S25</t>
  </si>
  <si>
    <t>Revenue summary</t>
  </si>
  <si>
    <t>Period</t>
  </si>
  <si>
    <t>4Q25A</t>
  </si>
  <si>
    <t>FY25A</t>
  </si>
  <si>
    <t>1Q26A</t>
  </si>
  <si>
    <t>Notes</t>
  </si>
  <si>
    <t>Period end</t>
  </si>
  <si>
    <t>Days in period</t>
  </si>
  <si>
    <t>Net revenue by reported segment — managed basis (FTE), $mm</t>
  </si>
  <si>
    <t>Consumer &amp; Community Banking</t>
  </si>
  <si>
    <t>Linked from Segment - CCB tab</t>
  </si>
  <si>
    <t>% Y/Y (total)</t>
  </si>
  <si>
    <t>% of total managed revenue</t>
  </si>
  <si>
    <t>Organic growth (n.d.)</t>
  </si>
  <si>
    <t>M&amp;A / scope impact (n.d.)</t>
  </si>
  <si>
    <t>FX impact (n.d.)</t>
  </si>
  <si>
    <t>Commercial &amp; Investment Bank</t>
  </si>
  <si>
    <t>Linked from Segment - CIB tab</t>
  </si>
  <si>
    <t>Asset &amp; Wealth Management</t>
  </si>
  <si>
    <t>Linked from Segment - AWM tab</t>
  </si>
  <si>
    <t>Corporate</t>
  </si>
  <si>
    <t>Linked from Segment - Corporate tab</t>
  </si>
  <si>
    <t>Total net revenue — managed basis</t>
  </si>
  <si>
    <t>Sum of segments (S1 p.8)</t>
  </si>
  <si>
    <t>Less: FTE adjustments</t>
  </si>
  <si>
    <t>S1 p.7. 3Q26E assumption: ~avg of 3Q25/1Q26/2Q26 (4Q seasonally high)</t>
  </si>
  <si>
    <t>Q/Q change (sequential)</t>
  </si>
  <si>
    <t>Total net revenue — reported (GAAP)</t>
  </si>
  <si>
    <t>CapIQ revenue basis (3Q25 actual 46,427 = reported)</t>
  </si>
  <si>
    <t>Check: revenue less Income Statement</t>
  </si>
  <si>
    <t>Must equal 0</t>
  </si>
  <si>
    <t>Revenue by type — managed basis, $mm</t>
  </si>
  <si>
    <t>3Q share of implied 2H NII excl. Markets — 3Q26E input</t>
  </si>
  <si>
    <t>2H implied = FY guide less 1H actual; 3Q below half given guided higher exit run-rate (S5)</t>
  </si>
  <si>
    <t>NII excl. Markets (non-GAAP)</t>
  </si>
  <si>
    <t>S1 p.28. 3Q26E: FY26 guide ~$96.5bn (S5); 1H26 actual 46,957 → 2H implied 49,543; 3Q set below 2H average given guided higher exit rate</t>
  </si>
  <si>
    <t>3Q share of implied 2H Markets NII — 3Q26E input</t>
  </si>
  <si>
    <t>Even split of 2H implied Markets NII</t>
  </si>
  <si>
    <t>Markets net interest income</t>
  </si>
  <si>
    <t>S1 p.28. 3Q26E: FY26 Markets NII ~$9.0bn (S5) less 1H 4,144 = 4,856 for 2H ≈ 2,430/qtr</t>
  </si>
  <si>
    <t>Net interest income — managed</t>
  </si>
  <si>
    <t>Less: FTE adjustment to NII</t>
  </si>
  <si>
    <t>S1 p.7; 3Q26E held at 2Q26 level</t>
  </si>
  <si>
    <t>Y/Y change</t>
  </si>
  <si>
    <t>Check: NII less Income Statement NII</t>
  </si>
  <si>
    <t>Noninterest revenue — managed</t>
  </si>
  <si>
    <t>Markets revenue (FI + Equities)</t>
  </si>
  <si>
    <t>Markets noninterest revenue</t>
  </si>
  <si>
    <t>Noninterest revenue excl. Markets</t>
  </si>
  <si>
    <t>Net interest margin drivers (average balances, $mm)</t>
  </si>
  <si>
    <t>Avg interest-earning assets (IEA) Q/Q — 3Q26E input</t>
  </si>
  <si>
    <t>Avg interest-earning assets (IEA)</t>
  </si>
  <si>
    <t>S1 p.6</t>
  </si>
  <si>
    <t>Less: avg Markets IEA</t>
  </si>
  <si>
    <t>S1 p.28</t>
  </si>
  <si>
    <t>Avg IEA excl. Markets</t>
  </si>
  <si>
    <t>Average loans (firm)</t>
  </si>
  <si>
    <t>S1 p.6; 3Q26E +1.5% Q/Q (2Q26 +2.4%)</t>
  </si>
  <si>
    <t>Q/Q growth — 3Q26E input</t>
  </si>
  <si>
    <t>Average interest-bearing deposits (firm)</t>
  </si>
  <si>
    <t>S1 p.6; 3Q26E +1% Q/Q</t>
  </si>
  <si>
    <t>Average noninterest-bearing deposits (firm)</t>
  </si>
  <si>
    <t>Average deposits (firm)</t>
  </si>
  <si>
    <t>Net interest margin — managed</t>
  </si>
  <si>
    <t>S1 p.6 (reported, annualized); 3Q26E = managed NII annualized / avg IEA</t>
  </si>
  <si>
    <t>Y/Y change (bp)</t>
  </si>
  <si>
    <t>Q/Q change (bp)</t>
  </si>
  <si>
    <t>NIM excl. Markets</t>
  </si>
  <si>
    <t>Geography: JPM does not report revenue by geography quarterly; Geo tab omitted (see Sources).</t>
  </si>
  <si>
    <t>2025 Form 10-K gives only an annual international split; no quarterly geographic revenue in 10-Q or supplements</t>
  </si>
  <si>
    <t>Memo: year-ago comparatives (columns show 3Q24A | 4Q24A | FY24A | 1Q25A | 2Q25A; 3Q26E column = 3Q25A)</t>
  </si>
  <si>
    <t>3Q24A</t>
  </si>
  <si>
    <t>4Q24A</t>
  </si>
  <si>
    <t>FY24A</t>
  </si>
  <si>
    <t>1Q25A</t>
  </si>
  <si>
    <t>2Q25A</t>
  </si>
  <si>
    <t>Inputs from prior-year supplements (S2, S3) and 2Q26 supplement 2Q25 column (S1); used for Y/Y and 3Q25 sequential rows</t>
  </si>
  <si>
    <t>Consumer &amp; Community Banking (yr ago)</t>
  </si>
  <si>
    <t>Commercial &amp; Investment Bank (yr ago)</t>
  </si>
  <si>
    <t>Asset &amp; Wealth Management (yr ago)</t>
  </si>
  <si>
    <t>Corporate (yr ago)</t>
  </si>
  <si>
    <t>Total net revenue — managed basis (yr ago)</t>
  </si>
  <si>
    <t>Less: FTE adjustments (yr ago)</t>
  </si>
  <si>
    <t>Total net revenue — reported (GAAP) (yr ago)</t>
  </si>
  <si>
    <t>NII excl. Markets (non-GAAP) (yr ago)</t>
  </si>
  <si>
    <t>Markets net interest income (yr ago)</t>
  </si>
  <si>
    <t>Net interest income — managed (yr ago)</t>
  </si>
  <si>
    <t>Less: FTE adjustment to NII (yr ago)</t>
  </si>
  <si>
    <t>Noninterest revenue — managed (yr ago)</t>
  </si>
  <si>
    <t>Markets revenue (FI + Equities) (yr ago)</t>
  </si>
  <si>
    <t>Markets noninterest revenue (yr ago)</t>
  </si>
  <si>
    <t>Noninterest revenue excl. Markets (yr ago)</t>
  </si>
  <si>
    <t>Avg interest-earning assets (IEA) (yr ago)</t>
  </si>
  <si>
    <t>Less: avg Markets IEA (yr ago)</t>
  </si>
  <si>
    <t>Avg IEA excl. Markets (yr ago)</t>
  </si>
  <si>
    <t>Average loans (firm) (yr ago)</t>
  </si>
  <si>
    <t>Average interest-bearing deposits (firm) (yr ago)</t>
  </si>
  <si>
    <t>Average noninterest-bearing deposits (firm) (yr ago)</t>
  </si>
  <si>
    <t>Average deposits (firm) (yr ago)</t>
  </si>
  <si>
    <t>Net interest margin — managed (yr ago)</t>
  </si>
  <si>
    <t>NIM excl. Markets (yr ago)</t>
  </si>
  <si>
    <t>Segment - Consumer &amp; Community Banking</t>
  </si>
  <si>
    <t>Revenue by business, $mm</t>
  </si>
  <si>
    <t>Banking &amp; Wealth Management</t>
  </si>
  <si>
    <t>S1 p.12; 3Q26E = deposit revenue proxy + other B&amp;WM revenue</t>
  </si>
  <si>
    <t>% of CCB revenue</t>
  </si>
  <si>
    <t>Home Lending</t>
  </si>
  <si>
    <t>S1 p.12</t>
  </si>
  <si>
    <t>Card Services &amp; Auto</t>
  </si>
  <si>
    <t>S1 p.12; 3Q26E = Card Services revenue proxy + Auto &amp; other</t>
  </si>
  <si>
    <t>Total CCB net revenue</t>
  </si>
  <si>
    <t>% of firm managed revenue</t>
  </si>
  <si>
    <t>Check: by business less by type</t>
  </si>
  <si>
    <t>Revenue by type, $mm</t>
  </si>
  <si>
    <t>Lending &amp; deposit-related fees</t>
  </si>
  <si>
    <t>Asset management fees</t>
  </si>
  <si>
    <t>S1 p.12; grows with client investment assets</t>
  </si>
  <si>
    <t>Lending &amp; deposit fee Q/Q — 3Q26E input</t>
  </si>
  <si>
    <t>Mortgage production revenue</t>
  </si>
  <si>
    <t>S1 p.12; 3Q26E held flat</t>
  </si>
  <si>
    <t>Net mortgage servicing revenue</t>
  </si>
  <si>
    <t>Mortgage fees and related income</t>
  </si>
  <si>
    <t>Card income</t>
  </si>
  <si>
    <t>S1 p.12; seasonal, so 3Q26E = 3Q25 × (1+Y/Y)</t>
  </si>
  <si>
    <t>Card income Y/Y — 3Q26E input</t>
  </si>
  <si>
    <t>Card sales volume +10% Y/Y in 2Q26 (S1 p.15)</t>
  </si>
  <si>
    <t>All other income (incl. op. leases)</t>
  </si>
  <si>
    <t>All other income Q/Q — 3Q26E input</t>
  </si>
  <si>
    <t>Noninterest revenue</t>
  </si>
  <si>
    <t>Net interest income</t>
  </si>
  <si>
    <t>S1 p.12; 3Q26E = business-line revenue less NIR (balancing)</t>
  </si>
  <si>
    <t>Total CCB net revenue (by type)</t>
  </si>
  <si>
    <t>Banking &amp; Wealth Management drivers</t>
  </si>
  <si>
    <t>Average deposit Q/Q — 3Q26E input</t>
  </si>
  <si>
    <t>Consumer deposits guided low-to-mid single digit growth for 2026 (S5)</t>
  </si>
  <si>
    <t>B&amp;WM average deposits</t>
  </si>
  <si>
    <t>S1 p.15</t>
  </si>
  <si>
    <t>Deposit margin</t>
  </si>
  <si>
    <t>S1 p.15; 3Q26E: +4bp on higher long-end yields (10y +87bp in Q3, S18) and Sept-17 Fed hike (S17)</t>
  </si>
  <si>
    <t>Deposit revenue proxy</t>
  </si>
  <si>
    <t>Other B&amp;WM revenue (derived)</t>
  </si>
  <si>
    <t>Other B&amp;WM revenue Q/Q — 3Q26E input</t>
  </si>
  <si>
    <t>Client investment assets +10% Q/Q at 30-Jun; Q3 equity markets +2% (S18)</t>
  </si>
  <si>
    <t>Client investment assets Q/Q — 3Q26E input</t>
  </si>
  <si>
    <t>Client investment assets (EOP)</t>
  </si>
  <si>
    <t>Number of client advisors</t>
  </si>
  <si>
    <t>Net advisor additions — 3Q26E input</t>
  </si>
  <si>
    <t>Trailing-4Q average net adds ~95 (C131, D131, F131, G131 = 77, 24, 194, 86); 60 assumed (original judgment, not the average)</t>
  </si>
  <si>
    <t>Business Banking average loans</t>
  </si>
  <si>
    <t>S1 p.15; held flat</t>
  </si>
  <si>
    <t>Branch network ladder (number)</t>
  </si>
  <si>
    <t>Branches — opening</t>
  </si>
  <si>
    <t xml:space="preserve">  Branch openings / closures (gross)</t>
  </si>
  <si>
    <t>Gross openings and closures not disclosed quarterly</t>
  </si>
  <si>
    <t>Net new branches</t>
  </si>
  <si>
    <t>Branches — closing</t>
  </si>
  <si>
    <t>Active digital customers ladder (thousands)</t>
  </si>
  <si>
    <t>Digital customers — opening</t>
  </si>
  <si>
    <t xml:space="preserve">  Gross additions</t>
  </si>
  <si>
    <t>Gross additions and attrition not disclosed</t>
  </si>
  <si>
    <t xml:space="preserve">  Attrition / churn</t>
  </si>
  <si>
    <t>Net additions</t>
  </si>
  <si>
    <t>Digital customers — closing</t>
  </si>
  <si>
    <t>Digital customers — average</t>
  </si>
  <si>
    <t>Mobile customers — opening</t>
  </si>
  <si>
    <t xml:space="preserve">  Gross additions — mobile</t>
  </si>
  <si>
    <t xml:space="preserve">  Attrition / churn — mobile</t>
  </si>
  <si>
    <t>Net additions — mobile</t>
  </si>
  <si>
    <t>Mobile customers — closing</t>
  </si>
  <si>
    <t>Mobile customers — average</t>
  </si>
  <si>
    <t>Mobile share of digital customers</t>
  </si>
  <si>
    <t>Debit &amp; credit card sales ($bn)</t>
  </si>
  <si>
    <t>Card sales volume Y/Y — 3Q26E input</t>
  </si>
  <si>
    <t>Home Lending drivers</t>
  </si>
  <si>
    <t>Home Lending revenue Q/Q — 3Q26E input</t>
  </si>
  <si>
    <t>Home Lending average loans</t>
  </si>
  <si>
    <t>S1 p.13; 3Q26E -0.5% Q/Q run-off trend</t>
  </si>
  <si>
    <t>Originations — Retail ($bn)</t>
  </si>
  <si>
    <t>Originations — Correspondent ($bn)</t>
  </si>
  <si>
    <t>Origination Y/Y — 3Q26E input</t>
  </si>
  <si>
    <t>Higher mortgage rates in Q3 temper 1H26 +35% pace</t>
  </si>
  <si>
    <t>Total originations ($bn)</t>
  </si>
  <si>
    <t>3rd-party loans serviced ($bn, EOP)</t>
  </si>
  <si>
    <t>Card Services &amp; Auto drivers</t>
  </si>
  <si>
    <t>Average card loan Q/Q — 3Q26E input</t>
  </si>
  <si>
    <t>Card loan growth guided 6-7% for 2026 (S11); 2Q26 +1.8% Q/Q</t>
  </si>
  <si>
    <t>Card Services average loans</t>
  </si>
  <si>
    <t>S1 p.13</t>
  </si>
  <si>
    <t>Card Services period-end loans</t>
  </si>
  <si>
    <t>Card Services net revenue rate</t>
  </si>
  <si>
    <t>S1 p.15; 3Q26E 10.35% (3Q25 fell 3bp vs 2Q25 seasonally)</t>
  </si>
  <si>
    <t>Card Services revenue proxy</t>
  </si>
  <si>
    <t>Auto &amp; other revenue (derived)</t>
  </si>
  <si>
    <t>Auto &amp; other revenue Q/Q — 3Q26E input</t>
  </si>
  <si>
    <t>Average operating lease assets +4% Q/Q in 2Q26</t>
  </si>
  <si>
    <t>Card sales excl. commercial ($bn)</t>
  </si>
  <si>
    <t>Card net yield on average loans</t>
  </si>
  <si>
    <t>Auto average loans</t>
  </si>
  <si>
    <t>S1 p.13; held flat</t>
  </si>
  <si>
    <t>B&amp;WM average loans</t>
  </si>
  <si>
    <t>CCB average loans</t>
  </si>
  <si>
    <t>CCB average deposits</t>
  </si>
  <si>
    <t>Auto originations ($bn)</t>
  </si>
  <si>
    <t>S1 p.15; 3Q26E flat Y/Y</t>
  </si>
  <si>
    <t>Avg auto operating lease assets</t>
  </si>
  <si>
    <t>S1 p.15; 3Q26E +3% Q/Q</t>
  </si>
  <si>
    <t>Credit, $mm</t>
  </si>
  <si>
    <t>NCOs — B&amp;WM</t>
  </si>
  <si>
    <t>S1 p.14; 3Q26E ~run-rate</t>
  </si>
  <si>
    <t>NCOs — Home Lending</t>
  </si>
  <si>
    <t>S1 p.14</t>
  </si>
  <si>
    <t>Card Services NCO rate</t>
  </si>
  <si>
    <t>S1 p.14; FY26 guide ~3.2% (S5) with 1H at 3.40% implies ~3.0% 2H; 3Q seasonally below 2Q (3Q25 -25bp)</t>
  </si>
  <si>
    <t>NCOs — Card Services</t>
  </si>
  <si>
    <t>NCOs — Auto</t>
  </si>
  <si>
    <t>CCB NCOs</t>
  </si>
  <si>
    <t>Total CCB NCO rate</t>
  </si>
  <si>
    <t>S1 p.14 (C:G issuer-reported rates). 3Q26E H260 = model basis: CCB NCOs (H257) annualized ÷ total CCB average loans (H227), not the issuer denominator (model basis on 2Q26 ≈ 1.47% vs 1.51% reported); bp changes in H261:H262 withheld as noncomparable</t>
  </si>
  <si>
    <t>3Q26E n.m.: model-basis H260 vs issuer-reported C260 (basis mismatch; see J260)</t>
  </si>
  <si>
    <t>3Q26E n.m.: model-basis H260 vs issuer-reported G260 (basis mismatch; see J260)</t>
  </si>
  <si>
    <t>Card 30+ day delinquency</t>
  </si>
  <si>
    <t>S1 p.14; held flat</t>
  </si>
  <si>
    <t>Net reserve build/(release)</t>
  </si>
  <si>
    <t>3Q26E build: card loan growth (~$4bn × 6.2% coverage) plus modest macro overlay (oil shock, Fed hike, softer labor data)</t>
  </si>
  <si>
    <t>Provision for credit losses</t>
  </si>
  <si>
    <t>S1 p.8</t>
  </si>
  <si>
    <t>Segment P&amp;L, $mm</t>
  </si>
  <si>
    <t>Noninterest expense Q/Q — 3Q26E input</t>
  </si>
  <si>
    <t>Branch build-out, marketing and auto lease depreciation</t>
  </si>
  <si>
    <t>Net revenue</t>
  </si>
  <si>
    <t>Noninterest expense</t>
  </si>
  <si>
    <t>Pre-provision profit</t>
  </si>
  <si>
    <t>Pretax income</t>
  </si>
  <si>
    <t>Income tax expense</t>
  </si>
  <si>
    <t>Effective tax rate — 3Q26E input</t>
  </si>
  <si>
    <t>CCB net income</t>
  </si>
  <si>
    <t>Overhead ratio</t>
  </si>
  <si>
    <t>Pretax margin</t>
  </si>
  <si>
    <t>Banking &amp; Wealth Management (yr ago)</t>
  </si>
  <si>
    <t>Home Lending (yr ago)</t>
  </si>
  <si>
    <t>Card Services &amp; Auto (yr ago)</t>
  </si>
  <si>
    <t>Total CCB net revenue (yr ago)</t>
  </si>
  <si>
    <t>Lending &amp; deposit-related fees (yr ago)</t>
  </si>
  <si>
    <t>Asset management fees (yr ago)</t>
  </si>
  <si>
    <t>Mortgage production revenue (yr ago)</t>
  </si>
  <si>
    <t>Net mortgage servicing revenue (yr ago)</t>
  </si>
  <si>
    <t>Mortgage fees and related income (yr ago)</t>
  </si>
  <si>
    <t>Card income (yr ago)</t>
  </si>
  <si>
    <t>All other income (incl. op. leases) (yr ago)</t>
  </si>
  <si>
    <t>Noninterest revenue (yr ago)</t>
  </si>
  <si>
    <t>Net interest income (yr ago)</t>
  </si>
  <si>
    <t>B&amp;WM average deposits (yr ago)</t>
  </si>
  <si>
    <t>Deposit margin (yr ago)</t>
  </si>
  <si>
    <t>Deposit revenue proxy (yr ago)</t>
  </si>
  <si>
    <t>Other B&amp;WM revenue (derived) (yr ago)</t>
  </si>
  <si>
    <t>Client investment assets (EOP) (yr ago)</t>
  </si>
  <si>
    <t>Number of client advisors (yr ago)</t>
  </si>
  <si>
    <t>Business Banking average loans (yr ago)</t>
  </si>
  <si>
    <t>Net new branches (yr ago)</t>
  </si>
  <si>
    <t>Branches — closing (yr ago)</t>
  </si>
  <si>
    <t>Net additions (yr ago)</t>
  </si>
  <si>
    <t>Digital customers — closing (yr ago)</t>
  </si>
  <si>
    <t>Digital customers — average (yr ago)</t>
  </si>
  <si>
    <t>Net additions — mobile (yr ago)</t>
  </si>
  <si>
    <t>Mobile customers — closing (yr ago)</t>
  </si>
  <si>
    <t>Mobile customers — average (yr ago)</t>
  </si>
  <si>
    <t>Mobile share of digital customers (yr ago)</t>
  </si>
  <si>
    <t>Debit &amp; credit card sales ($bn) (yr ago)</t>
  </si>
  <si>
    <t>Home Lending average loans (yr ago)</t>
  </si>
  <si>
    <t>Originations — Retail ($bn) (yr ago)</t>
  </si>
  <si>
    <t>Originations — Correspondent ($bn) (yr ago)</t>
  </si>
  <si>
    <t>Total originations ($bn) (yr ago)</t>
  </si>
  <si>
    <t>3rd-party loans serviced ($bn, EOP) (yr ago)</t>
  </si>
  <si>
    <t>Card Services average loans (yr ago)</t>
  </si>
  <si>
    <t>Card Services period-end loans (yr ago)</t>
  </si>
  <si>
    <t>Card Services net revenue rate (yr ago)</t>
  </si>
  <si>
    <t>Card Services revenue proxy (yr ago)</t>
  </si>
  <si>
    <t>Auto &amp; other revenue (derived) (yr ago)</t>
  </si>
  <si>
    <t>Card sales excl. commercial ($bn) (yr ago)</t>
  </si>
  <si>
    <t>Card net yield on average loans (yr ago)</t>
  </si>
  <si>
    <t>Auto average loans (yr ago)</t>
  </si>
  <si>
    <t>B&amp;WM average loans (yr ago)</t>
  </si>
  <si>
    <t>CCB average loans (yr ago)</t>
  </si>
  <si>
    <t>CCB average deposits (yr ago)</t>
  </si>
  <si>
    <t>Auto originations ($bn) (yr ago)</t>
  </si>
  <si>
    <t>Avg auto operating lease assets (yr ago)</t>
  </si>
  <si>
    <t>NCOs — B&amp;WM (yr ago)</t>
  </si>
  <si>
    <t>NCOs — Home Lending (yr ago)</t>
  </si>
  <si>
    <t>Card Services NCO rate (yr ago)</t>
  </si>
  <si>
    <t>NCOs — Card Services (yr ago)</t>
  </si>
  <si>
    <t>NCOs — Auto (yr ago)</t>
  </si>
  <si>
    <t>CCB NCOs (yr ago)</t>
  </si>
  <si>
    <t>Total CCB NCO rate (yr ago)</t>
  </si>
  <si>
    <t>Card 30+ day delinquency (yr ago)</t>
  </si>
  <si>
    <t>Net reserve build/(release) (yr ago)</t>
  </si>
  <si>
    <t>Provision for credit losses (yr ago)</t>
  </si>
  <si>
    <t>Net revenue (yr ago)</t>
  </si>
  <si>
    <t>Noninterest expense (yr ago)</t>
  </si>
  <si>
    <t>Pre-provision profit (yr ago)</t>
  </si>
  <si>
    <t>Pretax income (yr ago)</t>
  </si>
  <si>
    <t>Income tax expense (yr ago)</t>
  </si>
  <si>
    <t>Effective tax rate — 3Q26E input (yr ago)</t>
  </si>
  <si>
    <t>CCB net income (yr ago)</t>
  </si>
  <si>
    <t>Overhead ratio (yr ago)</t>
  </si>
  <si>
    <t>Pretax margin (yr ago)</t>
  </si>
  <si>
    <t>Segment - Commercial &amp; Investment Bank</t>
  </si>
  <si>
    <t>Investment Banking revenue</t>
  </si>
  <si>
    <t>S1 p.16; 3Q26E = IB fees (product build) + other IB revenue</t>
  </si>
  <si>
    <t>% of CIB revenue</t>
  </si>
  <si>
    <t>Payments</t>
  </si>
  <si>
    <t>S1 p.16</t>
  </si>
  <si>
    <t>Payments revenue Y/Y — 3Q26E input</t>
  </si>
  <si>
    <t>2Q26 +12% Y/Y; avg client deposits +10% Y/Y mid-year (S9)</t>
  </si>
  <si>
    <t>Lending</t>
  </si>
  <si>
    <t>Lending revenue Q/Q — 3Q26E input</t>
  </si>
  <si>
    <t>Other Banking &amp; Payments</t>
  </si>
  <si>
    <t>Total Banking &amp; Payments</t>
  </si>
  <si>
    <t>Fixed Income Markets</t>
  </si>
  <si>
    <t>Fixed Income Markets Y/Y — 3Q26E input</t>
  </si>
  <si>
    <t>Mgmt: broad strength across FICC (S9); GS flagged slightly softer FICC (S26); 2Q26 FI +6% Y/Y</t>
  </si>
  <si>
    <t>Equity Markets</t>
  </si>
  <si>
    <t>Equity Markets Y/Y — 3Q26E input</t>
  </si>
  <si>
    <t>Equities +86% Y/Y in 2Q26, +40% 4Q25; prime/financing demand; JEF record equities Jun-Aug (S27)</t>
  </si>
  <si>
    <t>Total Markets</t>
  </si>
  <si>
    <t>3Q26E +19% Y/Y vs guidance mid-to-high teens (S9); JPM beat its markets guide by 4-7pts in 3Q25 and 4Q25 (Guidance tab)</t>
  </si>
  <si>
    <t>Securities Services</t>
  </si>
  <si>
    <t>Securities Services Y/Y — 3Q26E input</t>
  </si>
  <si>
    <t>2Q26 +17% Y/Y; AUC +18% Y/Y at 30-Jun</t>
  </si>
  <si>
    <t>Credit Adjustments &amp; Other</t>
  </si>
  <si>
    <t>S1 p.16; 3Q26E ~trailing average</t>
  </si>
  <si>
    <t>Total Markets &amp; Securities Services</t>
  </si>
  <si>
    <t>Total CIB net revenue</t>
  </si>
  <si>
    <t>Investment banking fees by product, $mm</t>
  </si>
  <si>
    <t>Advisory</t>
  </si>
  <si>
    <t>S1 p.19</t>
  </si>
  <si>
    <t>% of IB fees</t>
  </si>
  <si>
    <t>Advisory Y/Y — 3Q26E input</t>
  </si>
  <si>
    <t>M&amp;A activity "as high as we have seen in some time" (S9); JEF advisory +25% (S27)</t>
  </si>
  <si>
    <t>Equity underwriting</t>
  </si>
  <si>
    <t>Equity underwriting Y/Y — 3Q26E input</t>
  </si>
  <si>
    <t>Active IPO market through Aug; some late-Sept postponements (S32)</t>
  </si>
  <si>
    <t>Debt underwriting</t>
  </si>
  <si>
    <t>Debt underwriting Y/Y — 3Q26E input</t>
  </si>
  <si>
    <t>JEF debt underwriting -29% Jun-Aug (S27); JPM cites strength across all products (S9)</t>
  </si>
  <si>
    <t>Total investment banking fees</t>
  </si>
  <si>
    <t>3Q26E Y/Y vs Sept-15 guidance of mid-to-high teens (S9)</t>
  </si>
  <si>
    <t>Equity investment gains in CIB (sig. item)</t>
  </si>
  <si>
    <t>S4: $263mm in CIB IB revenue (2Q26); excluded in issuer EPS ex-items</t>
  </si>
  <si>
    <t>Other IB revenue (3Q26E input)</t>
  </si>
  <si>
    <t>History derived = IB revenue less IB fees (2Q26 incl. $263mm significant item); 3Q26E input ~ex-item run-rate</t>
  </si>
  <si>
    <t>Banking &amp; Payments revenue by client coverage, $mm</t>
  </si>
  <si>
    <t>Global Corp. &amp; Global Inv. Banking</t>
  </si>
  <si>
    <t>S1 p.16; 3Q26E balancing to B&amp;P total</t>
  </si>
  <si>
    <t>% of B&amp;P revenue</t>
  </si>
  <si>
    <t>Commercial &amp; Specialized Ind.</t>
  </si>
  <si>
    <t>S1 p.16; 3Q26E +2% Q/Q</t>
  </si>
  <si>
    <t>Commercial Real Estate Banking</t>
  </si>
  <si>
    <t>S1 p.16; 3Q26E +1% Q/Q</t>
  </si>
  <si>
    <t>Commercial Banking</t>
  </si>
  <si>
    <t>Total B&amp;P (by coverage)</t>
  </si>
  <si>
    <t>Check: coverage less B&amp;P total</t>
  </si>
  <si>
    <t>Investment banking fees</t>
  </si>
  <si>
    <t>Principal transactions</t>
  </si>
  <si>
    <t>S1 p.16; 3Q26E balancing item to business-line revenue</t>
  </si>
  <si>
    <t>Commissions and other fees</t>
  </si>
  <si>
    <t>S1 p.16; held flat</t>
  </si>
  <si>
    <t>S1 p.16; 3Q26E +3% Y/Y</t>
  </si>
  <si>
    <t>Y/Y growth — 3Q26E input</t>
  </si>
  <si>
    <t>All other income</t>
  </si>
  <si>
    <t>S1 p.16; 3Q26E between 3Q25 (660) and 2Q26 ex-$263mm item (762)+</t>
  </si>
  <si>
    <t>CIB NII excl. Markets (derived)</t>
  </si>
  <si>
    <t>3Q26E +1.5% Q/Q (Payments deposit growth)</t>
  </si>
  <si>
    <t>Total CIB net revenue (by type)</t>
  </si>
  <si>
    <t>Balance sheet and activity drivers</t>
  </si>
  <si>
    <t>Avg client deposits &amp; 3rd-party liab.</t>
  </si>
  <si>
    <t>S1 p.19; 3Q26E +2% Q/Q</t>
  </si>
  <si>
    <t>CIB average deposits</t>
  </si>
  <si>
    <t>S1 p.17; 3Q26E +2% Q/Q</t>
  </si>
  <si>
    <t>B&amp;P average loans</t>
  </si>
  <si>
    <t>CIB average loans retained</t>
  </si>
  <si>
    <t>CIB average total loans</t>
  </si>
  <si>
    <t>Avg trading assets — debt &amp; equity</t>
  </si>
  <si>
    <t>S1 p.17; held flat</t>
  </si>
  <si>
    <t>Assets under custody ($bn, EOP)</t>
  </si>
  <si>
    <t>S1 p.19; 3Q26E +1.5% Q/Q</t>
  </si>
  <si>
    <t>NCO rate (retained loans)</t>
  </si>
  <si>
    <t>S1 p.18; 3Q26E 17bp (trailing 4Q average ~25bp; 1H26 12bp)</t>
  </si>
  <si>
    <t>NCOs</t>
  </si>
  <si>
    <t>S1 p.18</t>
  </si>
  <si>
    <t>3Q26E: wholesale loan growth ~2% Q/Q (H245; ~$11.5bn on G242) × ~1.9% allowance coverage (G271/G242) ≈ $220mm; 200 assumed (original judgment)</t>
  </si>
  <si>
    <t>Allowance for credit losses (EOP)</t>
  </si>
  <si>
    <t>Base expense Q/Q — 3Q26E input</t>
  </si>
  <si>
    <t>Incremental comp on revenue change — 3Q26E input</t>
  </si>
  <si>
    <t>CIB comp/revenue 22-25% (S1 p.16)</t>
  </si>
  <si>
    <t>S1 p.8. 3Q26E judgment retained: the 2Q26 revenue base (G276 24,853) includes the $263mm significant item (G125), so comp relief on the revenue decline includes 25% × 263 ≈ 66 (≈ $0.02/sh); not revised (model-owner judgment)</t>
  </si>
  <si>
    <t>CIB net income</t>
  </si>
  <si>
    <t>Investment Banking revenue (yr ago)</t>
  </si>
  <si>
    <t>Payments (yr ago)</t>
  </si>
  <si>
    <t>Lending (yr ago)</t>
  </si>
  <si>
    <t>Other Banking &amp; Payments (yr ago)</t>
  </si>
  <si>
    <t>Total Banking &amp; Payments (yr ago)</t>
  </si>
  <si>
    <t>Fixed Income Markets (yr ago)</t>
  </si>
  <si>
    <t>Equity Markets (yr ago)</t>
  </si>
  <si>
    <t>Total Markets (yr ago)</t>
  </si>
  <si>
    <t>Securities Services (yr ago)</t>
  </si>
  <si>
    <t>Credit Adjustments &amp; Other (yr ago)</t>
  </si>
  <si>
    <t>Total Markets &amp; Securities Services (yr ago)</t>
  </si>
  <si>
    <t>Total CIB net revenue (yr ago)</t>
  </si>
  <si>
    <t>Advisory (yr ago)</t>
  </si>
  <si>
    <t>Equity underwriting (yr ago)</t>
  </si>
  <si>
    <t>Debt underwriting (yr ago)</t>
  </si>
  <si>
    <t>Total investment banking fees (yr ago)</t>
  </si>
  <si>
    <t>Other IB revenue (3Q26E input) (yr ago)</t>
  </si>
  <si>
    <t>Global Corp. &amp; Global Inv. Banking (yr ago)</t>
  </si>
  <si>
    <t>Commercial &amp; Specialized Ind. (yr ago)</t>
  </si>
  <si>
    <t>Commercial Real Estate Banking (yr ago)</t>
  </si>
  <si>
    <t>Commercial Banking (yr ago)</t>
  </si>
  <si>
    <t>Investment banking fees (yr ago)</t>
  </si>
  <si>
    <t>Principal transactions (yr ago)</t>
  </si>
  <si>
    <t>Commissions and other fees (yr ago)</t>
  </si>
  <si>
    <t>All other income (yr ago)</t>
  </si>
  <si>
    <t>CIB NII excl. Markets (derived) (yr ago)</t>
  </si>
  <si>
    <t>Avg client deposits &amp; 3rd-party liab. (yr ago)</t>
  </si>
  <si>
    <t>CIB average deposits (yr ago)</t>
  </si>
  <si>
    <t>B&amp;P average loans (yr ago)</t>
  </si>
  <si>
    <t>CIB average loans retained (yr ago)</t>
  </si>
  <si>
    <t>CIB average total loans (yr ago)</t>
  </si>
  <si>
    <t>Avg trading assets — debt &amp; equity (yr ago)</t>
  </si>
  <si>
    <t>Assets under custody ($bn, EOP) (yr ago)</t>
  </si>
  <si>
    <t>NCO rate (retained loans) (yr ago)</t>
  </si>
  <si>
    <t>NCOs (yr ago)</t>
  </si>
  <si>
    <t>Allowance for credit losses (EOP) (yr ago)</t>
  </si>
  <si>
    <t>CIB net income (yr ago)</t>
  </si>
  <si>
    <t>Segment - Asset &amp; Wealth Management</t>
  </si>
  <si>
    <t>Asset Management</t>
  </si>
  <si>
    <t>S1 p.20; 3Q26E grows with average AUM</t>
  </si>
  <si>
    <t>% of AWM revenue</t>
  </si>
  <si>
    <t>Global Private Bank</t>
  </si>
  <si>
    <t>S1 p.20; 3Q26E balancing to revenue-by-type build</t>
  </si>
  <si>
    <t>Total AWM net revenue</t>
  </si>
  <si>
    <t>S1 p.20; 3Q26E = fee rate × average AUM</t>
  </si>
  <si>
    <t>Fee rate (bp of avg AUM, annualized)</t>
  </si>
  <si>
    <t>3Q26E 34.3bp (2Q26 34.1bp; 3Q25 34.5bp; 4Q seasonally higher on performance fees). FY (E41) rate is approximate: based on endpoint-average AUM E103</t>
  </si>
  <si>
    <t>S1 p.20; 3Q26E between 1Q26 (369) and elevated 2Q26 (445)</t>
  </si>
  <si>
    <t>S1 p.20; 2Q26 incl. investment valuation gains; 3Q26E ~trailing run-rate</t>
  </si>
  <si>
    <t>S1 p.20; 3Q26E +1.7% Q/Q (loan growth)</t>
  </si>
  <si>
    <t>Total AWM net revenue (by type)</t>
  </si>
  <si>
    <t>Assets under management rollforward ($bn)</t>
  </si>
  <si>
    <t>AUM — beginning of period</t>
  </si>
  <si>
    <t>Net flows — Liquidity</t>
  </si>
  <si>
    <t>S1 p.22; 3Q26E = judgmental assumption (original model judgment), not a trailing average (trailing-4Q average of C, D, F, G = 44.25)</t>
  </si>
  <si>
    <t>Net flows — Fixed income</t>
  </si>
  <si>
    <t>S1 p.22; 3Q26E = judgmental assumption (original model judgment), not a trailing average (trailing-4Q average of C, D, F, G = 27.75)</t>
  </si>
  <si>
    <t>Net flows — Equity</t>
  </si>
  <si>
    <t>S1 p.22; 3Q26E = judgmental assumption (original model judgment), not a trailing average (trailing-4Q average of C, D, F, G = 18)</t>
  </si>
  <si>
    <t>Net flows — Multi-asset</t>
  </si>
  <si>
    <t>S1 p.22; 3Q26E = judgmental assumption (original model judgment), not a trailing average (trailing-4Q average of C, D, F, G = 7.75)</t>
  </si>
  <si>
    <t>Net flows — Alternatives</t>
  </si>
  <si>
    <t>S1 p.22; 3Q26E = judgmental assumption (original model judgment), not a trailing average (trailing-4Q average of C, D, F, G = 3.5)</t>
  </si>
  <si>
    <t>Total net asset flows</t>
  </si>
  <si>
    <t>Market/performance/other impacts</t>
  </si>
  <si>
    <t>S1 p.22; 3Q26E = sum of asset-class market impacts below</t>
  </si>
  <si>
    <t>AUM — end of period</t>
  </si>
  <si>
    <t>AUM — average (beginning and end)</t>
  </si>
  <si>
    <t>Approximation in FY column: E103 uses only the annual endpoints (FY24 close E76 and FY25 close E100), not the mean of quarterly averages; quarterly columns are exact 2-point quarter averages</t>
  </si>
  <si>
    <t>Annualized net flow rate</t>
  </si>
  <si>
    <t>Check: rollforward less AUM by class</t>
  </si>
  <si>
    <t>Must equal 0 (reported columns C:G). 3Q26E H109 is zero by construction (H100 and H137 apply the same 3Q26E flows and market impacts to the 2Q26 closes): identity, not a check</t>
  </si>
  <si>
    <t>AUM by asset class (period-end, $bn) and market impact build</t>
  </si>
  <si>
    <t>Liquidity AUM</t>
  </si>
  <si>
    <t>S1 p.22</t>
  </si>
  <si>
    <t>Liquidity market impact (derived)</t>
  </si>
  <si>
    <t>Liquidity market return — 3Q26E input</t>
  </si>
  <si>
    <t>Money-market yield ~3.6% annualized</t>
  </si>
  <si>
    <t>Fixed income AUM</t>
  </si>
  <si>
    <t>Fixed income market impact (derived)</t>
  </si>
  <si>
    <t>Fixed income market return — 3Q26E input</t>
  </si>
  <si>
    <t>Bloomberg US Govt index -3.0% in Q3 (S18); blended with shorter-duration mandates</t>
  </si>
  <si>
    <t>Equity AUM</t>
  </si>
  <si>
    <t>Equity market impact (derived)</t>
  </si>
  <si>
    <t>Equity market return — 3Q26E input</t>
  </si>
  <si>
    <t>S&amp;P 500 +2.0%, MSCI EAFE +0.3-0.8% in Q3 (S18)</t>
  </si>
  <si>
    <t>Multi-asset AUM</t>
  </si>
  <si>
    <t>Multi-asset market impact (derived)</t>
  </si>
  <si>
    <t>Multi-asset market return — 3Q26E input</t>
  </si>
  <si>
    <t>Blend of equity and bond returns</t>
  </si>
  <si>
    <t>Alternatives AUM</t>
  </si>
  <si>
    <t>Alternatives market impact (derived)</t>
  </si>
  <si>
    <t>Alternatives market return — 3Q26E input</t>
  </si>
  <si>
    <t>Assumption</t>
  </si>
  <si>
    <t>Total AUM (by asset class)</t>
  </si>
  <si>
    <t>Client assets ($bn)</t>
  </si>
  <si>
    <t>Custody/brokerage/admin/deposits</t>
  </si>
  <si>
    <t>S1 p.22; 3Q26E +2% Q/Q</t>
  </si>
  <si>
    <t>Total client assets</t>
  </si>
  <si>
    <t>Client assets — beginning of period</t>
  </si>
  <si>
    <t>Client asset net flows</t>
  </si>
  <si>
    <t>S1 p.22; 3Q26E ~trailing average</t>
  </si>
  <si>
    <t>Client asset market impact (derived)</t>
  </si>
  <si>
    <t>AUM — Private Banking</t>
  </si>
  <si>
    <t>S1 p.22; 3Q26E pro rata to total AUM</t>
  </si>
  <si>
    <t>AUM — Global Institutional</t>
  </si>
  <si>
    <t>S1 p.22; 3Q26E pro rata</t>
  </si>
  <si>
    <t>AUM — Global Funds</t>
  </si>
  <si>
    <t>S1 p.22; 3Q26E balancing</t>
  </si>
  <si>
    <t>Other drivers</t>
  </si>
  <si>
    <t>AWM average loans</t>
  </si>
  <si>
    <t>S1 p.21; 3Q26E +3% Q/Q</t>
  </si>
  <si>
    <t>AWM average deposits</t>
  </si>
  <si>
    <t>S1 p.21; 3Q26E +1% Q/Q</t>
  </si>
  <si>
    <t>S1 p.21</t>
  </si>
  <si>
    <t>Incremental expense on revenue change — 3Q26E input</t>
  </si>
  <si>
    <t>S1 p.20</t>
  </si>
  <si>
    <t>AWM net income</t>
  </si>
  <si>
    <t>Asset Management (yr ago)</t>
  </si>
  <si>
    <t>Global Private Bank (yr ago)</t>
  </si>
  <si>
    <t>Total AWM net revenue (yr ago)</t>
  </si>
  <si>
    <t>Fee rate (bp of avg AUM, annualized) (yr ago)</t>
  </si>
  <si>
    <t>AUM — beginning of period (yr ago)</t>
  </si>
  <si>
    <t>Net flows — Liquidity (yr ago)</t>
  </si>
  <si>
    <t>Net flows — Fixed income (yr ago)</t>
  </si>
  <si>
    <t>Net flows — Equity (yr ago)</t>
  </si>
  <si>
    <t>Net flows — Multi-asset (yr ago)</t>
  </si>
  <si>
    <t>Net flows — Alternatives (yr ago)</t>
  </si>
  <si>
    <t>Total net asset flows (yr ago)</t>
  </si>
  <si>
    <t>Market/performance/other impacts (yr ago)</t>
  </si>
  <si>
    <t>AUM — end of period (yr ago)</t>
  </si>
  <si>
    <t>AUM — average (beginning and end) (yr ago)</t>
  </si>
  <si>
    <t>FY24 (E222) uses annual endpoints only — approximation, as in E103</t>
  </si>
  <si>
    <t>Annualized net flow rate (yr ago)</t>
  </si>
  <si>
    <t>Liquidity AUM (yr ago)</t>
  </si>
  <si>
    <t>Fixed income AUM (yr ago)</t>
  </si>
  <si>
    <t>Equity AUM (yr ago)</t>
  </si>
  <si>
    <t>Multi-asset AUM (yr ago)</t>
  </si>
  <si>
    <t>Alternatives AUM (yr ago)</t>
  </si>
  <si>
    <t>Total AUM (by asset class) (yr ago)</t>
  </si>
  <si>
    <t>Custody/brokerage/admin/deposits (yr ago)</t>
  </si>
  <si>
    <t>Total client assets (yr ago)</t>
  </si>
  <si>
    <t>Client asset net flows (yr ago)</t>
  </si>
  <si>
    <t>AUM — Private Banking (yr ago)</t>
  </si>
  <si>
    <t>AUM — Global Institutional (yr ago)</t>
  </si>
  <si>
    <t>AUM — Global Funds (yr ago)</t>
  </si>
  <si>
    <t>AWM average loans (yr ago)</t>
  </si>
  <si>
    <t>AWM average deposits (yr ago)</t>
  </si>
  <si>
    <t>AWM net income (yr ago)</t>
  </si>
  <si>
    <t>Segment - Corporate</t>
  </si>
  <si>
    <t>Revenue by sub-segment, $mm</t>
  </si>
  <si>
    <t>Treasury and CIO</t>
  </si>
  <si>
    <t>S1 p.23</t>
  </si>
  <si>
    <t>% of Corporate revenue</t>
  </si>
  <si>
    <t>Other Corporate</t>
  </si>
  <si>
    <t>Total Corporate net revenue</t>
  </si>
  <si>
    <t>Check: by sub-segment less by type</t>
  </si>
  <si>
    <t>S1 p.23; 3Q26E ~trailing average</t>
  </si>
  <si>
    <t>Investment securities gains/(losses)</t>
  </si>
  <si>
    <t>S1 p.23; 3Q26E = trailing-4Q average (repositioning losses possible after 10y +87bp). CapIQ normalized treatment unresolved; kept in normalized EPS (≈−$0.02/sh)</t>
  </si>
  <si>
    <t>S1 p.23; 3Q26E balancing item</t>
  </si>
  <si>
    <t>S1 p.23; 3Q26E = firm NII (guidance-anchored) less segment NII</t>
  </si>
  <si>
    <t>Total Corporate net revenue (by type)</t>
  </si>
  <si>
    <t>Drivers and significant items, $mm</t>
  </si>
  <si>
    <t>T&amp;CIO excl. securities gains (3Q26E input)</t>
  </si>
  <si>
    <t>History derived = T&amp;CIO revenue less securities gains; declining as equity re-allocated to CIB (S5); 3Q26E input slightly below 2Q26 1,188</t>
  </si>
  <si>
    <t>Visa-related net gain (sig. item)</t>
  </si>
  <si>
    <t>S4: $4.6bn net gain on Visa Class C shares (2Q26). Year-ago FY24: $7.9bn Visa net gain (2Q24; S2 fn)</t>
  </si>
  <si>
    <t>Equity investment gains (sig. item)</t>
  </si>
  <si>
    <t>S4: $763mm in Corporate (plus $263mm in CIB)</t>
  </si>
  <si>
    <t>First Republic gain (sig. item)</t>
  </si>
  <si>
    <t>S2 slide notes: $588mm gain in FY25 (1Q25)</t>
  </si>
  <si>
    <t>Total significant items</t>
  </si>
  <si>
    <t>Other Corporate excl. items (3Q26E input)</t>
  </si>
  <si>
    <t>History derived = Other Corporate less significant items; 3Q26E input ~average of 4Q25-2Q26 ex-items (-121, -122, -110)</t>
  </si>
  <si>
    <t>Visa Class C fair-value mark estimate (3Q26E only)</t>
  </si>
  <si>
    <t>Visa share price 30-Jun-26 ($)</t>
  </si>
  <si>
    <t>S19: Visa closed $343.09 on 30-Jun-2026</t>
  </si>
  <si>
    <t>Visa share price 30-Sep-26 ($)</t>
  </si>
  <si>
    <t>S19: Visa closed $359.33 on 30-Sep-2026</t>
  </si>
  <si>
    <t>Visa share price change in quarter</t>
  </si>
  <si>
    <t>Visa C fair value proxy, 30-Jun-26</t>
  </si>
  <si>
    <t>UNVERIFIED PROXY (unresolved): Class C holding size not disclosed in sources reviewed; 2Q26 net Visa gain ($4.6bn) used as proxy for remaining Class C fair value. Needs 10-Q holding disclosure</t>
  </si>
  <si>
    <t>Probability unhedged — input</t>
  </si>
  <si>
    <t>UNVERIFIED JUDGMENT (unresolved): hedging not disclosed in sources reviewed; 50% unhedged weight</t>
  </si>
  <si>
    <t>Expected Visa C mark in revenue</t>
  </si>
  <si>
    <t>Treated as recurring revenue (not an issuer significant item at this size). C:G n.a.: historical marks not separately captured (embedded in Other Corporate, row 17). CapIQ normalized classification of the mark unresolved (see J80:J81, Cover C13)</t>
  </si>
  <si>
    <t>Avg investment securities portfolio</t>
  </si>
  <si>
    <t>S1 p.23; held flat</t>
  </si>
  <si>
    <t>S1 p.8; 3Q26E ~trailing-4Q average</t>
  </si>
  <si>
    <t>Income tax expense/(benefit)</t>
  </si>
  <si>
    <t>S1 p.23; 3Q26E derived (absorbs FTE and firm tax balancing)</t>
  </si>
  <si>
    <t>Corporate net income</t>
  </si>
  <si>
    <t>3Q26E = firm net income less segment net income</t>
  </si>
  <si>
    <t>Treasury and CIO (yr ago)</t>
  </si>
  <si>
    <t>Other Corporate (yr ago)</t>
  </si>
  <si>
    <t>Total Corporate net revenue (yr ago)</t>
  </si>
  <si>
    <t>Investment securities gains/(losses) (yr ago)</t>
  </si>
  <si>
    <t>T&amp;CIO excl. securities gains (3Q26E input) (yr ago)</t>
  </si>
  <si>
    <t>Visa-related net gain (sig. item) (yr ago)</t>
  </si>
  <si>
    <t>Equity investment gains (sig. item) (yr ago)</t>
  </si>
  <si>
    <t>First Republic gain (sig. item) (yr ago)</t>
  </si>
  <si>
    <t>Total significant items (yr ago)</t>
  </si>
  <si>
    <t>Other Corporate excl. items (3Q26E input) (yr ago)</t>
  </si>
  <si>
    <t>Avg investment securities portfolio (yr ago)</t>
  </si>
  <si>
    <t>Income tax expense/(benefit) (yr ago)</t>
  </si>
  <si>
    <t>Income Statement</t>
  </si>
  <si>
    <t>Revenue — reported (U.S. GAAP), $mm</t>
  </si>
  <si>
    <t>S1 p.4; 3Q26E = CIB IB fees + other-segment/elimination amount held at 2Q26</t>
  </si>
  <si>
    <t>% of total net revenue</t>
  </si>
  <si>
    <t>S1 p.4; 3Q26E = 3Q25 × Markets NIR growth Y/Y. Unreconciled (original mix judgment retained): firm less CIB (H172) and Corporate (H34) = 442.9 in 3Q26E vs 65–121 in 3Q25A–2Q26A; the difference is absorbed by the H62 other-income plug (total revenue unaffected)</t>
  </si>
  <si>
    <t>S1 p.4</t>
  </si>
  <si>
    <t>Other income</t>
  </si>
  <si>
    <t>S1 p.4; 3Q26E balancing item to segment revenue build (incl. FTE, operating lease income, Visa mark). Absorbs the unreconciled principal-transactions difference noted in J17 (≈353 vs 2Q26 firm-less-segments level)</t>
  </si>
  <si>
    <t>Interest income</t>
  </si>
  <si>
    <t>Interest expense</t>
  </si>
  <si>
    <t>S1 p.4; % Q/Q shown in the growth row below</t>
  </si>
  <si>
    <t>Interest expense Q/Q — 3Q26E input</t>
  </si>
  <si>
    <t>Balance growth and late-quarter Fed hike</t>
  </si>
  <si>
    <t>3Q26E from Revenue summary (guidance-anchored NII ex-Markets + Markets NII)</t>
  </si>
  <si>
    <t>Total net revenue</t>
  </si>
  <si>
    <t>S1 p.4; 3Q26E = sum of segment provisions</t>
  </si>
  <si>
    <t>Noninterest expense, $mm</t>
  </si>
  <si>
    <t>Compensation expense</t>
  </si>
  <si>
    <t>S1 p.4; 3Q26E balancing to segment expense build (revenue-related comp)</t>
  </si>
  <si>
    <t>Occupancy expense</t>
  </si>
  <si>
    <t>Occupancy expense Q/Q — 3Q26E input</t>
  </si>
  <si>
    <t>Branch expansion</t>
  </si>
  <si>
    <t>Technology &amp; communications expense</t>
  </si>
  <si>
    <t>Technology &amp; communications expense Q/Q — 3Q26E input</t>
  </si>
  <si>
    <t>Ongoing tech/AI investment</t>
  </si>
  <si>
    <t>Professional and outside services</t>
  </si>
  <si>
    <t>Professional and outside services Q/Q — 3Q26E input</t>
  </si>
  <si>
    <t>Volume-related; flat after 2Q26 spike</t>
  </si>
  <si>
    <t>Marketing</t>
  </si>
  <si>
    <t>Marketing Q/Q — 3Q26E input</t>
  </si>
  <si>
    <t>Card product refreshes</t>
  </si>
  <si>
    <t>Other expense (incl. legal)</t>
  </si>
  <si>
    <t>Other expense (incl. legal) Q/Q — 3Q26E input</t>
  </si>
  <si>
    <t>Held flat</t>
  </si>
  <si>
    <t>Total noninterest expense</t>
  </si>
  <si>
    <t>3Q26E = sum of segment expense</t>
  </si>
  <si>
    <t>Memo: legal expense (in other)</t>
  </si>
  <si>
    <t>S1 p.4 fn (a); FY25 = 121+118+62+60 (S2 fn). 3Q26E assumption</t>
  </si>
  <si>
    <t>Memo: adjusted expense (excl. legal)</t>
  </si>
  <si>
    <t>Basis of FY26 adjusted expense guidance (~$107.5bn, S5)</t>
  </si>
  <si>
    <t>Earnings, $mm</t>
  </si>
  <si>
    <t>3Q25 23.2%, 2Q26 23.1%; 1Q seasonally lower (share-based award vesting)</t>
  </si>
  <si>
    <t>Net income</t>
  </si>
  <si>
    <t>Less: preferred stock dividends</t>
  </si>
  <si>
    <t>S1 p.11; 3Q26E ~2Q26 run-rate after 2Q preferred issuance</t>
  </si>
  <si>
    <t>Net income to common equity</t>
  </si>
  <si>
    <t>Less: participating securities</t>
  </si>
  <si>
    <t>S1 p.11; FY25 268 is issuer-reported (S2 4Q25 supplement); S2 quarters 71+75+68+56 = 270 — issuer rounding (S3 9M25 213 vs 214 sum, same pattern). Retained as sourced</t>
  </si>
  <si>
    <t>Participating securities share</t>
  </si>
  <si>
    <t>3Q26E = average of last four quarters</t>
  </si>
  <si>
    <t>Net income to common stockholders</t>
  </si>
  <si>
    <t>Basic shares (mm)</t>
  </si>
  <si>
    <t>Basic EPS — GAAP</t>
  </si>
  <si>
    <t>Diluted EPS — as reported</t>
  </si>
  <si>
    <t>S1 p.4 (C:G issuer-reported). 3Q26E H154 = H152: model identity, not an issuer report; H155 = 0 by construction</t>
  </si>
  <si>
    <t>Check: computed less reported EPS</t>
  </si>
  <si>
    <t>Must round to $0.00</t>
  </si>
  <si>
    <t>Growth and margins</t>
  </si>
  <si>
    <t>Overhead ratio (expense / revenue)</t>
  </si>
  <si>
    <t>Net income margin</t>
  </si>
  <si>
    <t>Avg common equity</t>
  </si>
  <si>
    <t>ROE (annualized)</t>
  </si>
  <si>
    <t>GAAP to non-GAAP bridge — issuer "excluding significant items" basis (assumed proxy for CapIQ normalized; see Cover C13), $mm</t>
  </si>
  <si>
    <t>Net income — GAAP</t>
  </si>
  <si>
    <t>Less: Visa-related net gain (pre-tax)</t>
  </si>
  <si>
    <t>S4 (2Q26)</t>
  </si>
  <si>
    <t>Less: equity investment gains (pre-tax)</t>
  </si>
  <si>
    <t>S4: $1.0bn = $763mm Corporate + $263mm CIB (2Q26)</t>
  </si>
  <si>
    <t>Add: Apple Card reserve (pre-tax)</t>
  </si>
  <si>
    <t>S2/S1 fn (g): $2.2bn in 4Q25 provision</t>
  </si>
  <si>
    <t>Less: First Republic gain (pre-tax)</t>
  </si>
  <si>
    <t>S2 presentation notes</t>
  </si>
  <si>
    <t>Memo: Visa C fair-value mark in revenue (kept in EPS; not an adjustment)</t>
  </si>
  <si>
    <t>Memo only — excluded from row 182. 3Q26E = Segment - Corporate H82 proxy mark (unverified; see Corporate J80:J81). History not separately captured (n.a.). Forecast classification assumption: CapIQ normalized keeps the mark (≈+$0.03/sh); unresolved</t>
  </si>
  <si>
    <t>Total pre-tax adjustments</t>
  </si>
  <si>
    <t>Sum of rows 177-180 (row 181 memo excluded)</t>
  </si>
  <si>
    <t>Tax effect &amp; tax items (derived)</t>
  </si>
  <si>
    <t>History: implied by issuer-disclosed NI excl. significant items (FY25 incl. reversal of $774mm 2Q25 tax benefit)</t>
  </si>
  <si>
    <t>Net income — normalized</t>
  </si>
  <si>
    <t>Memo: issuer NI excl. sig. items</t>
  </si>
  <si>
    <t>S2 4Q25 release ($14.7bn; FY25 $57.5bn); S4 2Q26 ($16.9bn); 3Q25/1Q26 had no significant items. 3Q26E H185 = H184: model identity, not an issuer report</t>
  </si>
  <si>
    <t>Normalized NI to common stockholders</t>
  </si>
  <si>
    <t>Diluted EPS — normalized (history: issuer ex-items proxy; 3Q26E: CapIQ-basis forecast, assumed)</t>
  </si>
  <si>
    <t>Scored target H187: CapIQ normalized diluted EPS basis (assumed; not source-verified). C:G are issuer ex-items proxies computed from rows 184/150, not CapIQ actuals (CapIQ history in row 190; e.g. 4Q25 $5.24 proxy vs CapIQ $4.63)</t>
  </si>
  <si>
    <t>% Y/Y — CapIQ normalized basis (row 190 vs row 240; 3Q26E = H187 vs H240 = 3Q25 CapIQ)</t>
  </si>
  <si>
    <t>Like-basis only: CapIQ actual vs CapIQ year-ago actual. n.a. where no CapIQ pair exists (3Q24/4Q24/FY24 not supplied; FY25 CapIQ not supplied)</t>
  </si>
  <si>
    <t>Memo: issuer EPS excl. sig. items</t>
  </si>
  <si>
    <t>S2 (4Q25 $5.23; FY25 $20.18), S4 (2Q26 $6.14). 3Q26E H189 = H187: model identity, not an issuer report</t>
  </si>
  <si>
    <t>Memo: CapIQ normalized EPS actual</t>
  </si>
  <si>
    <t>CapIQ kept 4Q25 at $4.63 (did not exclude Apple reserve); 2Q26 matches issuer $6.14</t>
  </si>
  <si>
    <t>Diluted EPS — GAAP (headline)</t>
  </si>
  <si>
    <t>Check: normalized less issuer EPS excl. sig. items (tolerance ±$0.025)</t>
  </si>
  <si>
    <t>History: tax rows 183 are plugs from issuer NI excl. items disclosed rounded to $0.1bn (±$50mm ≈ ±$0.018/sh at ~2,740mm shares) plus issuer EPS rounding (±$0.005) → tolerance $0.025. 3Q26E: row 189 links to row 187 (identity, not a check)</t>
  </si>
  <si>
    <t>Fee-line reconciliation to segments (other segments / eliminations), $mm</t>
  </si>
  <si>
    <t>Investment banking fees: firm less CIB</t>
  </si>
  <si>
    <t>Lending &amp; deposit fees: firm less CCB and CIB</t>
  </si>
  <si>
    <t>Asset management fees: firm less CCB and AWM</t>
  </si>
  <si>
    <t>Commissions: firm less CIB and AWM</t>
  </si>
  <si>
    <t>Securities gains: firm less Corporate</t>
  </si>
  <si>
    <t>Mortgage fees: firm less CCB</t>
  </si>
  <si>
    <t>Card income: firm less CCB and CIB</t>
  </si>
  <si>
    <t>Other income (yr ago)</t>
  </si>
  <si>
    <t>Interest income (yr ago)</t>
  </si>
  <si>
    <t>Interest expense (yr ago)</t>
  </si>
  <si>
    <t>Total net revenue (yr ago)</t>
  </si>
  <si>
    <t>Compensation expense (yr ago)</t>
  </si>
  <si>
    <t>Occupancy expense (yr ago)</t>
  </si>
  <si>
    <t>Technology &amp; communications expense (yr ago)</t>
  </si>
  <si>
    <t>Professional and outside services (yr ago)</t>
  </si>
  <si>
    <t>Marketing (yr ago)</t>
  </si>
  <si>
    <t>Other expense (incl. legal) (yr ago)</t>
  </si>
  <si>
    <t>Total noninterest expense (yr ago)</t>
  </si>
  <si>
    <t>Net income (yr ago)</t>
  </si>
  <si>
    <t>Less: preferred stock dividends (yr ago)</t>
  </si>
  <si>
    <t>Net income to common equity (yr ago)</t>
  </si>
  <si>
    <t>Less: participating securities (yr ago)</t>
  </si>
  <si>
    <t>Participating securities share (yr ago)</t>
  </si>
  <si>
    <t>Net income to common stockholders (yr ago)</t>
  </si>
  <si>
    <t>Diluted EPS — GAAP (yr ago)</t>
  </si>
  <si>
    <t>Overhead ratio (expense / revenue) (yr ago)</t>
  </si>
  <si>
    <t>Net income margin (yr ago)</t>
  </si>
  <si>
    <t>Avg common equity (yr ago)</t>
  </si>
  <si>
    <t>ROE (annualized) (yr ago)</t>
  </si>
  <si>
    <t>Memo: CapIQ normalized EPS actual (yr ago)</t>
  </si>
  <si>
    <t>F:G = Inputs E99:E100 (CapIQ history); C:E blank = not supplied (unavailable, not zero); H = 3Q25 CapIQ actual (C190)</t>
  </si>
  <si>
    <t>Balance Sheet</t>
  </si>
  <si>
    <t>Assets (period-end), $mm</t>
  </si>
  <si>
    <t>Cash and due from banks</t>
  </si>
  <si>
    <t>S1 p.5; 3Q26E held flat</t>
  </si>
  <si>
    <t>Deposits with banks</t>
  </si>
  <si>
    <t>S1 p.5; 3Q26E balancing item (cash plug)</t>
  </si>
  <si>
    <t>Fed funds sold &amp; resale agreements</t>
  </si>
  <si>
    <t>Securities borrowed</t>
  </si>
  <si>
    <t>Trading assets — debt &amp; equity</t>
  </si>
  <si>
    <t>Trading assets — derivative receivables</t>
  </si>
  <si>
    <t>Available-for-sale securities</t>
  </si>
  <si>
    <t>S1 p.5; held flat</t>
  </si>
  <si>
    <t>Held-to-maturity securities</t>
  </si>
  <si>
    <t>Investment securities, net</t>
  </si>
  <si>
    <t>Loan Q/Q — 3Q26E input</t>
  </si>
  <si>
    <t>2Q26 +2.6% Q/Q; 3Q26E +1.5%</t>
  </si>
  <si>
    <t>Loans</t>
  </si>
  <si>
    <t>S1 p.5</t>
  </si>
  <si>
    <t>Less: allowance for loan losses</t>
  </si>
  <si>
    <t>S1 p.5; 3Q26E + segment reserve builds: CCB H266, CIB H265, AWM provision less NCOs (H186−H173), Corporate provision H92 (no Corporate NCOs modeled). Provision for lending-related commitments not split out</t>
  </si>
  <si>
    <t>Loans, net of allowance</t>
  </si>
  <si>
    <t>Accrued interest &amp; receivables</t>
  </si>
  <si>
    <t>Premises and equipment</t>
  </si>
  <si>
    <t>Goodwill, MSRs &amp; intangibles</t>
  </si>
  <si>
    <t>Other assets</t>
  </si>
  <si>
    <t>Total assets</t>
  </si>
  <si>
    <t>Liabilities (period-end), $mm</t>
  </si>
  <si>
    <t>Deposit Q/Q — 3Q26E input</t>
  </si>
  <si>
    <t>Deposits</t>
  </si>
  <si>
    <t>Fed funds purchased &amp; repo</t>
  </si>
  <si>
    <t>Short-term borrowings</t>
  </si>
  <si>
    <t>Trading liabilities — debt &amp; equity</t>
  </si>
  <si>
    <t>Trading liabilities — derivative payables</t>
  </si>
  <si>
    <t>Accounts payable &amp; other liabilities</t>
  </si>
  <si>
    <t>Beneficial interests (consol. VIEs)</t>
  </si>
  <si>
    <t>Long-term debt</t>
  </si>
  <si>
    <t>Total liabilities</t>
  </si>
  <si>
    <t>Stockholders’ equity (period-end), $mm</t>
  </si>
  <si>
    <t>Preferred stock</t>
  </si>
  <si>
    <t>Common stock</t>
  </si>
  <si>
    <t>Additional paid-in capital</t>
  </si>
  <si>
    <t>Retained earnings</t>
  </si>
  <si>
    <t>S1 p.5; 3Q26E + NI - preferred and common dividends</t>
  </si>
  <si>
    <t>AOCI change — 3Q26E input</t>
  </si>
  <si>
    <t>Held flat: higher yields (loss) offset by pull-to-par; not forecast</t>
  </si>
  <si>
    <t>AOCI</t>
  </si>
  <si>
    <t>Treasury stock, at cost</t>
  </si>
  <si>
    <t>S1 p.5; 3Q26E less buybacks</t>
  </si>
  <si>
    <t>Total stockholders’ equity</t>
  </si>
  <si>
    <t>Total liabilities &amp; equity</t>
  </si>
  <si>
    <t>Check: assets − liabilities − equity</t>
  </si>
  <si>
    <t>Must equal 0 (3Q26E balances via deposits-with-banks plug)</t>
  </si>
  <si>
    <t>Check: assets less reported total</t>
  </si>
  <si>
    <t>Memo: reported total assets</t>
  </si>
  <si>
    <t>Book value per share ($)</t>
  </si>
  <si>
    <t>Reported 2Q26 $133.01 (S1 p.2)</t>
  </si>
  <si>
    <t>Cash and due from banks (yr ago)</t>
  </si>
  <si>
    <t>Deposits with banks (yr ago)</t>
  </si>
  <si>
    <t>Fed funds sold &amp; resale agreements (yr ago)</t>
  </si>
  <si>
    <t>Securities borrowed (yr ago)</t>
  </si>
  <si>
    <t>Trading assets — debt &amp; equity (yr ago)</t>
  </si>
  <si>
    <t>Trading assets — derivative receivables (yr ago)</t>
  </si>
  <si>
    <t>Available-for-sale securities (yr ago)</t>
  </si>
  <si>
    <t>Held-to-maturity securities (yr ago)</t>
  </si>
  <si>
    <t>Investment securities, net (yr ago)</t>
  </si>
  <si>
    <t>Loans (yr ago)</t>
  </si>
  <si>
    <t>Less: allowance for loan losses (yr ago)</t>
  </si>
  <si>
    <t>Loans, net of allowance (yr ago)</t>
  </si>
  <si>
    <t>Accrued interest &amp; receivables (yr ago)</t>
  </si>
  <si>
    <t>Premises and equipment (yr ago)</t>
  </si>
  <si>
    <t>Goodwill, MSRs &amp; intangibles (yr ago)</t>
  </si>
  <si>
    <t>Other assets (yr ago)</t>
  </si>
  <si>
    <t>Total assets (yr ago)</t>
  </si>
  <si>
    <t>Deposits (yr ago)</t>
  </si>
  <si>
    <t>Fed funds purchased &amp; repo (yr ago)</t>
  </si>
  <si>
    <t>Short-term borrowings (yr ago)</t>
  </si>
  <si>
    <t>Trading liabilities — debt &amp; equity (yr ago)</t>
  </si>
  <si>
    <t>Trading liabilities — derivative payables (yr ago)</t>
  </si>
  <si>
    <t>Accounts payable &amp; other liabilities (yr ago)</t>
  </si>
  <si>
    <t>Beneficial interests (consol. VIEs) (yr ago)</t>
  </si>
  <si>
    <t>Long-term debt (yr ago)</t>
  </si>
  <si>
    <t>Total liabilities (yr ago)</t>
  </si>
  <si>
    <t>Preferred stock (yr ago)</t>
  </si>
  <si>
    <t>Common stock (yr ago)</t>
  </si>
  <si>
    <t>Additional paid-in capital (yr ago)</t>
  </si>
  <si>
    <t>Retained earnings (yr ago)</t>
  </si>
  <si>
    <t>AOCI (yr ago)</t>
  </si>
  <si>
    <t>Treasury stock, at cost (yr ago)</t>
  </si>
  <si>
    <t>Total stockholders’ equity (yr ago)</t>
  </si>
  <si>
    <t>Book value per share ($) (yr ago)</t>
  </si>
  <si>
    <t>Cash Flow Statement</t>
  </si>
  <si>
    <t>As reported — fiscal year-to-date ($mm; quarters derived by differencing)</t>
  </si>
  <si>
    <t>Operating cash flow — YTD</t>
  </si>
  <si>
    <t>S8 (SEC XBRL, 10-Q/10-K): 9M25 | FY25 | FY25 | 3M26 | 6M26</t>
  </si>
  <si>
    <t>Less: prior-period YTD</t>
  </si>
  <si>
    <t>C = 6M25 (S8); D = 9M25; F = start of fiscal year; G = 3M26</t>
  </si>
  <si>
    <t>Investing cash flow — YTD</t>
  </si>
  <si>
    <t>Financing cash flow — YTD</t>
  </si>
  <si>
    <t>FX effect on cash — YTD</t>
  </si>
  <si>
    <t>Memo: buybacks — YTD</t>
  </si>
  <si>
    <t>Memo: dividends paid — YTD</t>
  </si>
  <si>
    <t>Memo: deposits change — YTD</t>
  </si>
  <si>
    <t>Quarterly cash flow statement (derived), $mm</t>
  </si>
  <si>
    <t>Net cash — operating activities</t>
  </si>
  <si>
    <t>n.f.</t>
  </si>
  <si>
    <t>3Q26E not forecast: bank operating/investing/financing flows are driven by trading and balance-sheet swings of $100bn+</t>
  </si>
  <si>
    <t>Net cash — investing activities</t>
  </si>
  <si>
    <t>Net cash — financing activities</t>
  </si>
  <si>
    <t>FX effect on cash</t>
  </si>
  <si>
    <t>Net change in cash &amp; deposits with banks</t>
  </si>
  <si>
    <t>Of which: buybacks</t>
  </si>
  <si>
    <t>Of which: dividends paid</t>
  </si>
  <si>
    <t>Of which: net change in deposits</t>
  </si>
  <si>
    <t>Cash &amp; deposits with banks — beginning of period</t>
  </si>
  <si>
    <t>Cash &amp; deposits with banks — end of period</t>
  </si>
  <si>
    <t>Balance Sheet cash &amp; deposits with banks</t>
  </si>
  <si>
    <t>Check: ending cash less Balance Sheet</t>
  </si>
  <si>
    <t>Must equal 0. Reported periods test the cash-flow roll; 3Q26E is an identity (ending cash taken from the Balance Sheet forecast; flows not forecast)</t>
  </si>
  <si>
    <t>Capex: not separately disclosed</t>
  </si>
  <si>
    <t>JPM cash flow statement has no separate capex line (in "all other investing activities")</t>
  </si>
  <si>
    <t>FCF: not issuer-defined</t>
  </si>
  <si>
    <t>JPM does not define FCF; not meaningful for a bank</t>
  </si>
  <si>
    <t>Share Count</t>
  </si>
  <si>
    <t>Common shares outstanding (mm)</t>
  </si>
  <si>
    <t>Shares — beginning of period</t>
  </si>
  <si>
    <t>Less: shares repurchased</t>
  </si>
  <si>
    <t>S1 p.11; 3Q26E = buyback $ / average price</t>
  </si>
  <si>
    <t>Add: issued to employees</t>
  </si>
  <si>
    <t>S1 p.11; 3Q26E ~non-1Q run-rate</t>
  </si>
  <si>
    <t>Other / rounding (hist. derived; 3Q26E input)</t>
  </si>
  <si>
    <t>Shares — end of period</t>
  </si>
  <si>
    <t>S1 p.2</t>
  </si>
  <si>
    <t>Simple average shares</t>
  </si>
  <si>
    <t>Basic less simple average (derived)</t>
  </si>
  <si>
    <t>Weighted-average basic shares</t>
  </si>
  <si>
    <t>S1 p.11</t>
  </si>
  <si>
    <t>Add: dilutive PSUs/RSUs/SARs</t>
  </si>
  <si>
    <t>S1 p.11; held at 2Q26</t>
  </si>
  <si>
    <t>Diluted shares (behind EPS)</t>
  </si>
  <si>
    <t>Memo: diluted shares as reported</t>
  </si>
  <si>
    <t>S1 p.11 (C:G issuer-reported). 3Q26E H32 = H29: model identity, not an issuer report; H33 = 0 by construction</t>
  </si>
  <si>
    <t>Check: diluted less reported</t>
  </si>
  <si>
    <t>Capital return</t>
  </si>
  <si>
    <t>Common share repurchases ($mm)</t>
  </si>
  <si>
    <t>S1 p.11; 3Q26E $7.0bn under new $50bn authorization effective 1-Jul-2026 (S1 fn)</t>
  </si>
  <si>
    <t>Average price paid per share ($)</t>
  </si>
  <si>
    <t>S1 p.11; 3Q26E: JPM month-end closes Jun $324, Jul $350, Aug $354, Sep $329 (S30)</t>
  </si>
  <si>
    <t>Cash dividends declared per share ($)</t>
  </si>
  <si>
    <t>S1 p.2; $1.65 effective 3Q26 (S5)</t>
  </si>
  <si>
    <t>Common dividends declared (approx.)</t>
  </si>
  <si>
    <t>Quarters = DPS × period-end shares (approx.; not the cash-flow dividends paid). FY25 = sum of 1Q25 (F60) + 2Q25 (G60) + 3Q25 + 4Q25 approximations</t>
  </si>
  <si>
    <t>Total payout ratio</t>
  </si>
  <si>
    <t>FY25 vs FY24: FY24 comparative (E60/E61) uses annual DPS × year-end shares because 1H24 quarterly approximations are not in the model (method differs)</t>
  </si>
  <si>
    <t>Less: shares repurchased (yr ago)</t>
  </si>
  <si>
    <t>Add: issued to employees (yr ago)</t>
  </si>
  <si>
    <t>Shares — end of period (yr ago)</t>
  </si>
  <si>
    <t>Weighted-average basic shares (yr ago)</t>
  </si>
  <si>
    <t>Add: dilutive PSUs/RSUs/SARs (yr ago)</t>
  </si>
  <si>
    <t>Diluted shares (behind EPS) (yr ago)</t>
  </si>
  <si>
    <t>Common share repurchases ($mm) (yr ago)</t>
  </si>
  <si>
    <t>Average price paid per share ($) (yr ago)</t>
  </si>
  <si>
    <t>Cash dividends declared per share ($) (yr ago)</t>
  </si>
  <si>
    <t>Common dividends declared (approx.) (yr ago)</t>
  </si>
  <si>
    <t>Total payout ratio (yr ago)</t>
  </si>
  <si>
    <t>Guidance tracker</t>
  </si>
  <si>
    <t>Non-period tab: no period band; column meanings are set by the table header in row 9</t>
  </si>
  <si>
    <t>Metric (unit)</t>
  </si>
  <si>
    <t>Date given</t>
  </si>
  <si>
    <t>Low</t>
  </si>
  <si>
    <t>High</t>
  </si>
  <si>
    <t>Midpoint</t>
  </si>
  <si>
    <t>Actual</t>
  </si>
  <si>
    <t>Beat / miss</t>
  </si>
  <si>
    <t>Source / notes</t>
  </si>
  <si>
    <t>NII excl. Markets ($bn)</t>
  </si>
  <si>
    <t>FY26</t>
  </si>
  <si>
    <t>Pending</t>
  </si>
  <si>
    <t>S11: about $95bn</t>
  </si>
  <si>
    <t>S12: reaffirmed about $95bn</t>
  </si>
  <si>
    <t>S5: raised to about $96.5bn; 1H26 actual $47.0bn implies $49.5bn for 2H</t>
  </si>
  <si>
    <t>Total NII ($bn)</t>
  </si>
  <si>
    <t>S11: about $103bn (Markets NII ~$8bn)</t>
  </si>
  <si>
    <t>S12: approximately $103bn</t>
  </si>
  <si>
    <t>S5: approximately $105.5bn (Markets NII ~$9bn)</t>
  </si>
  <si>
    <t>Adjusted expense ($bn)</t>
  </si>
  <si>
    <t>S11: about $105bn</t>
  </si>
  <si>
    <t>S12: continues to be about $105bn</t>
  </si>
  <si>
    <t>S5: about $107.5bn; S9 (15-Sep) flagged revenue-related upside</t>
  </si>
  <si>
    <t>Card net charge-off rate</t>
  </si>
  <si>
    <t>S11: approximately 3.4%</t>
  </si>
  <si>
    <t>S12: continues approximately 3.4%</t>
  </si>
  <si>
    <t>S5: approximately 3.2%; 1H26 actual 3.40%</t>
  </si>
  <si>
    <t>IB fees Y/Y</t>
  </si>
  <si>
    <t>3Q26</t>
  </si>
  <si>
    <t>S9: mid-to-high teens (read as 14%-19%)</t>
  </si>
  <si>
    <t>Markets revenue Y/Y</t>
  </si>
  <si>
    <t>3Q25</t>
  </si>
  <si>
    <t>S13: low double digits; actual from CIB tab</t>
  </si>
  <si>
    <t>S13: high teens; actual from CIB tab</t>
  </si>
  <si>
    <t>4Q25</t>
  </si>
  <si>
    <t>S14: low single digits</t>
  </si>
  <si>
    <t>S14: low teens</t>
  </si>
  <si>
    <t>S16: approximately $23.5bn</t>
  </si>
  <si>
    <t>S16: approximately $24.5bn; actual = reported expense less legal</t>
  </si>
  <si>
    <t>~May-2026</t>
  </si>
  <si>
    <t>2Q26</t>
  </si>
  <si>
    <t>S15: Dimon, 10% or more. Date given is an approximate month (exact day not stated in S15)</t>
  </si>
  <si>
    <t>Sources</t>
  </si>
  <si>
    <t>Source</t>
  </si>
  <si>
    <t>ID</t>
  </si>
  <si>
    <t>Published</t>
  </si>
  <si>
    <t>Publisher</t>
  </si>
  <si>
    <t>URL / file</t>
  </si>
  <si>
    <t>Feeds</t>
  </si>
  <si>
    <t>2Q26 Earnings Release Financial Supplement (Ex. 99.2)</t>
  </si>
  <si>
    <t>S1</t>
  </si>
  <si>
    <t>JPMorganChase / SEC EDGAR</t>
  </si>
  <si>
    <t>https://www.sec.gov/Archives/edgar/data/19617/000162828026048078/a2q26erfex992supplement.htm</t>
  </si>
  <si>
    <t>All 3Q25-2Q26 actuals (IS, BS, segments, drivers, credit, shares); 2Q25 comparatives</t>
  </si>
  <si>
    <t>4Q25 Earnings Release Financial Supplement (Ex. 99.2)</t>
  </si>
  <si>
    <t>S2</t>
  </si>
  <si>
    <t>https://www.sec.gov/Archives/edgar/data/19617/000162828026001902/a4q25erfex992supplement.htm</t>
  </si>
  <si>
    <t>FY25 and FY24 columns; 4Q24 and 1Q25 comparatives; FY25 legal expense</t>
  </si>
  <si>
    <t>3Q25 Earnings Release Financial Supplement (Ex. 99.2)</t>
  </si>
  <si>
    <t>S3</t>
  </si>
  <si>
    <t>https://www.sec.gov/Archives/edgar/data/19617/000162828025044845/a3q25erfex992supplement.htm</t>
  </si>
  <si>
    <t>3Q24 comparatives</t>
  </si>
  <si>
    <t>2Q26 Earnings Release (Ex. 99.1)</t>
  </si>
  <si>
    <t>S4</t>
  </si>
  <si>
    <t>https://www.sec.gov/Archives/edgar/data/19617/000162828026048078/a2q26erfexhibit991narrative.htm</t>
  </si>
  <si>
    <t>Significant items ($4.6bn Visa, $1.0bn equity gains), NI ex-items $16.9bn, EPS $6.14</t>
  </si>
  <si>
    <t>2Q26 Earnings Call Transcript</t>
  </si>
  <si>
    <t>S5</t>
  </si>
  <si>
    <t>JPMorganChase</t>
  </si>
  <si>
    <t>https://www.jpmorganchase.com/content/dam/jpmc/jpmorgan-chase-and-co/investor-relations/documents/quarterly-earnings/2026/2nd-quarter/2Q26-earnings-transcript.pdf</t>
  </si>
  <si>
    <t>FY26 guidance (NII ex-Markets, total NII, adjusted expense, card NCO); $1.65 dividend</t>
  </si>
  <si>
    <t>2Q26 Earnings Presentation</t>
  </si>
  <si>
    <t>S6</t>
  </si>
  <si>
    <t>https://www.jpmorganchase.com/content/dam/jpmc/jpmorgan-chase-and-co/investor-relations/documents/quarterly-earnings/2026/2nd-quarter/9e8f3cef-bd2a-4140-b50f-83c4fba3f23c.pdf</t>
  </si>
  <si>
    <t>Significant items EPS bridge; guidance slide</t>
  </si>
  <si>
    <t>Form 10-Q, quarter ended 30-Jun-2026</t>
  </si>
  <si>
    <t>S7</t>
  </si>
  <si>
    <t>SEC EDGAR</t>
  </si>
  <si>
    <t>https://www.sec.gov/Archives/edgar/data/19617/000162828026054343/jpm-20260630.htm</t>
  </si>
  <si>
    <t>Visa exchange detail; 6M26 cash flow summary; ETR drivers</t>
  </si>
  <si>
    <t>SEC XBRL companyconcept API (CIK 0000019617), cash flow concepts</t>
  </si>
  <si>
    <t>S8</t>
  </si>
  <si>
    <t>Filed 2025-08-05 to 2026-08-06</t>
  </si>
  <si>
    <t>SEC</t>
  </si>
  <si>
    <t>https://data.sec.gov/api/xbrl/companyconcept/CIK0000019617/us-gaap/NetCashProvidedByUsedInOperatingActivities.json (and Investing, Financing, EffectOfExchangeRate, PaymentsForRepurchaseOfCommonStock, PaymentsOfDividends, IncreaseDecreaseInDeposits)</t>
  </si>
  <si>
    <t>Cash Flow Statement YTD values</t>
  </si>
  <si>
    <t>JPM at the Barclays Global Financial Services Conference (transcript)</t>
  </si>
  <si>
    <t>S9</t>
  </si>
  <si>
    <t>https://www.jpmorganchase.com/content/dam/jpmc/jpmorgan-chase-and-co/investor-relations/documents/events/2026/jpmc-to-present-at-the-barclays-global-financial-services-conference/jpm-at-the-barclays-global-financial-services-conference.pdf</t>
  </si>
  <si>
    <t>3Q26 IB fees and Markets revenue guide (mid-to-high teens Y/Y); expense comment</t>
  </si>
  <si>
    <t>Reuters: JPMorgan expects investment banking, trading to shine in third quarter</t>
  </si>
  <si>
    <t>S10</t>
  </si>
  <si>
    <t>Reuters via Investing.com</t>
  </si>
  <si>
    <t>https://www.investing.com/news/stock-market-news/jpmorgan-expects-investment-banking-trading-to-shine-in-third-quarter-4902609</t>
  </si>
  <si>
    <t>Corroborates S9</t>
  </si>
  <si>
    <t>4Q25 Earnings Call Transcript</t>
  </si>
  <si>
    <t>S11</t>
  </si>
  <si>
    <t>https://www.jpmorganchase.com/content/dam/jpmc/jpmorgan-chase-and-co/investor-relations/documents/quarterly-earnings/2025/4th-quarter/jpm-4q25-earnings-call-transcript.pdf</t>
  </si>
  <si>
    <t>Initial FY26 guidance; card loan growth</t>
  </si>
  <si>
    <t>1Q26 Earnings Call Transcript</t>
  </si>
  <si>
    <t>S12</t>
  </si>
  <si>
    <t>https://www.jpmorganchase.com/content/dam/jpmc/jpmorgan-chase-and-co/investor-relations/documents/quarterly-earnings/2026/1st-quarter/1q26-earnings-transcript.pdf</t>
  </si>
  <si>
    <t>1Q26 guidance update</t>
  </si>
  <si>
    <t>Reuters: JPMorgan expects Q3 IB revenue to grow in low double digits</t>
  </si>
  <si>
    <t>S13</t>
  </si>
  <si>
    <t>MarketScreener</t>
  </si>
  <si>
    <t>https://www.marketscreener.com/news/jpmorgan-expects-its-q3-investment-banking-revenue-to-grow-in-low-double-digits-ce7d59dcd981f327</t>
  </si>
  <si>
    <t>3Q25 IB and Markets guide (track record)</t>
  </si>
  <si>
    <t>JPM December 2025 conference transcript summary</t>
  </si>
  <si>
    <t>S14</t>
  </si>
  <si>
    <t>earningscalls.dev</t>
  </si>
  <si>
    <t>https://earningscalls.dev/transcripts/jpmorgan-chase-and-co_jpm_earnings_call_transcript_2025-12-09</t>
  </si>
  <si>
    <t>4Q25 IB and Markets guide (track record)</t>
  </si>
  <si>
    <t>Trading surge seen lifting Wall St banks' second-quarter earnings</t>
  </si>
  <si>
    <t>S15</t>
  </si>
  <si>
    <t>MarketScreener (Reuters)</t>
  </si>
  <si>
    <t>https://www.marketscreener.com/news/trading-surge-helped-by-spacex-ipo-seen-lifting-wall-st-banks-second-quarter-earnings-ce7f5edbd089f121</t>
  </si>
  <si>
    <t>2Q26 IB guide (Dimon, May)</t>
  </si>
  <si>
    <t>3Q25 earnings call summary (4Q25 outlook)</t>
  </si>
  <si>
    <t>S16</t>
  </si>
  <si>
    <t>Intellectia AI</t>
  </si>
  <si>
    <t>https://intellectia.ai/stock/JPM/earnings/earning-forecast-2025-10-14</t>
  </si>
  <si>
    <t>4Q25 NII ex-Markets ~$23.5bn and adjusted expense ~$24.5bn guide</t>
  </si>
  <si>
    <t>FOMC statement</t>
  </si>
  <si>
    <t>S17</t>
  </si>
  <si>
    <t>Federal Reserve</t>
  </si>
  <si>
    <t>https://www.federalreserve.gov/newsevents/pressreleases/monetary20260916a.htm</t>
  </si>
  <si>
    <t>Fed funds raised to 3.75%-4.00% (effective 17-Sep)</t>
  </si>
  <si>
    <t>Q3 2026 scorecard: S&amp;P 500 +2.0%, 10-year yield +87bp</t>
  </si>
  <si>
    <t>S18</t>
  </si>
  <si>
    <t>US Market Current</t>
  </si>
  <si>
    <t>https://usmarketcurrent.com/q3-2026-scorecard-sp-500-up-2-russell-2000-down-7-5-energy-led-utilities-fell-13-10-year-up-87bp/</t>
  </si>
  <si>
    <t>AWM market return assumptions; deposit margin context</t>
  </si>
  <si>
    <t>Third Quarter 2026 Recap (Bloomberg US Govt index -3.0% in Q3)</t>
  </si>
  <si>
    <t>S18b</t>
  </si>
  <si>
    <t>Cetera Investment Management</t>
  </si>
  <si>
    <t>https://cetera.com/files/market-insights/cim-quarterly-recap-3q-2026.pdf-0</t>
  </si>
  <si>
    <t>Fixed income AUM return assumption</t>
  </si>
  <si>
    <t>Visa Inc. stock price history</t>
  </si>
  <si>
    <t>S19</t>
  </si>
  <si>
    <t>StockAnalysis (S&amp;P Global data)</t>
  </si>
  <si>
    <t>https://stockanalysis.com/stocks/v/history/</t>
  </si>
  <si>
    <t>Visa $343.09 (30-Jun) and $359.33 (30-Sep) for Visa C mark estimate</t>
  </si>
  <si>
    <t>JPMorgan Chase statistics (market cap $885.15bn)</t>
  </si>
  <si>
    <t>S20</t>
  </si>
  <si>
    <t>StockAnalysis</t>
  </si>
  <si>
    <t>https://stockanalysis.com/stocks/jpm/statistics/</t>
  </si>
  <si>
    <t>Market cap and size bucket for prior calibration</t>
  </si>
  <si>
    <t>JPM Q3 Earnings Preview: key metric estimates</t>
  </si>
  <si>
    <t>Zacks via Yahoo Finance</t>
  </si>
  <si>
    <t>https://finance.yahoo.com/markets/stocks/articles/jpmorgan-chase-co-jpm-q3-121521889.html</t>
  </si>
  <si>
    <t>Newer consensus (recorded separately): EPS $5.94, managed NII $26.84bn, IB fees $3.04bn</t>
  </si>
  <si>
    <t>JPMorgan, Citi, BofA earnings previews</t>
  </si>
  <si>
    <t>Seeking Alpha</t>
  </si>
  <si>
    <t>https://seekingalpha.com/article/4953114-jpmorgan-citigroup-bac-earnings-previews-eventually-return-to-more-normal-growth</t>
  </si>
  <si>
    <t>Newer consensus: EPS $5.90, revenue $51.5bn</t>
  </si>
  <si>
    <t>JPM Q3 2026 earnings date and estimates</t>
  </si>
  <si>
    <t>n.d. (retrieved 2026-10-11)</t>
  </si>
  <si>
    <t>MarketBeat</t>
  </si>
  <si>
    <t>https://www.marketbeat.com/earnings/reports/2026-10-13-jpmorgan-chase-co-stock/</t>
  </si>
  <si>
    <t>Newer consensus: EPS $5.93, revenue $51.23bn</t>
  </si>
  <si>
    <t>JPMorgan Q3 earnings preview</t>
  </si>
  <si>
    <t>MarketPulse (OANDA)</t>
  </si>
  <si>
    <t>https://www.marketpulse.com/markets/jpmorgan-q3-earnings-preview-can-strong-banking-momentum-continue/</t>
  </si>
  <si>
    <t>Newer consensus: EPS $5.91, revenue $51.15bn</t>
  </si>
  <si>
    <t>JPMorgan Q3 2026 Earnings Preview</t>
  </si>
  <si>
    <t>Hudson Labs</t>
  </si>
  <si>
    <t>https://www.hudson-labs.com/research/jpmorgan-q3-2026-earnings-preview-revenue-guidance-outlook</t>
  </si>
  <si>
    <t>Consensus EPS $5.86; guidance summary</t>
  </si>
  <si>
    <t>BofA sees at least 10% drop in Q3 IB fees / Goldman FICC slightly softer in Q3</t>
  </si>
  <si>
    <t>S26</t>
  </si>
  <si>
    <t>2026-09-14 / 2026-09-16</t>
  </si>
  <si>
    <t>Reuters</t>
  </si>
  <si>
    <t>https://www.reuters.com/business/finance/bank-america-ceo-sees-least-10-drop-q3-investment-banking-fees-2026-09-14/ ; https://www.reuters.com/business/finance/goldman-ceo-says-fixed-income-currencies-commodities-business-slightly-softer-q3-2026-09-16/</t>
  </si>
  <si>
    <t>Peer read-across for IB and Markets</t>
  </si>
  <si>
    <t>Jefferies Q3 (Jun-Aug) IB and Equities offset weak Asset Management and Fixed Income</t>
  </si>
  <si>
    <t>S27</t>
  </si>
  <si>
    <t>https://finance.yahoo.com/markets/stocks/articles/jefferies-q3-ib-equities-offset-142600124.html</t>
  </si>
  <si>
    <t>Advisory +25%, equity underwriting +69%, debt underwriting -29% (read-across)</t>
  </si>
  <si>
    <t>S&amp;P Capital IQ export: JPM_consensus.json and JPM_history.csv</t>
  </si>
  <si>
    <t>S28</t>
  </si>
  <si>
    <t>S&amp;P Capital IQ (attached)</t>
  </si>
  <si>
    <t>workspace/JPM_consensus.json; workspace/JPM_history.csv (SHA256 in artifacts/input-usage.json)</t>
  </si>
  <si>
    <t>Frozen consensus baseline, six-quarter history, prior calibration (Inputs tab)</t>
  </si>
  <si>
    <t>S&amp;P 500 earnings season update (5-year beat rate 78%)</t>
  </si>
  <si>
    <t>S29</t>
  </si>
  <si>
    <t>FactSet</t>
  </si>
  <si>
    <t>https://insight.factset.com/sp-500-earnings-season-update-july-31-2026</t>
  </si>
  <si>
    <t>Playbook reference for cohort prior</t>
  </si>
  <si>
    <t>JPM monthly closing prices</t>
  </si>
  <si>
    <t>S30</t>
  </si>
  <si>
    <t>Retrieved 2026-10-11</t>
  </si>
  <si>
    <t>StatMuse Money</t>
  </si>
  <si>
    <t>https://www.statmuse.com/money/ask/jpm-mkt-cap</t>
  </si>
  <si>
    <t>Average buyback price assumption (Jun $324, Jul $350, Aug $354, Sep $329)</t>
  </si>
  <si>
    <t>JPMorganChase to Host Third-Quarter 2026 Earnings Call</t>
  </si>
  <si>
    <t>S31</t>
  </si>
  <si>
    <t>https://www.jpmorganchase.com/ir/news/2026/jpmc-to-host-third-quarter-2026-earnings-call</t>
  </si>
  <si>
    <t>Expected report date/time</t>
  </si>
  <si>
    <t>US large-cap banks: higher rates and trading support earnings (summary of JPM research)</t>
  </si>
  <si>
    <t>S32</t>
  </si>
  <si>
    <t>Hilo Research</t>
  </si>
  <si>
    <t>https://www.xxquant.com/en/institution/institutional-research/7f60c8800d6219a17f0e1724355da1ce</t>
  </si>
  <si>
    <t>Late-September bond issuance weakness and postponed equity issuance</t>
  </si>
  <si>
    <t>Geo tab omitted: JPM reports no quarterly revenue by geography (checked the 2Q26 Form 10-Q, S7, and the 2Q26 supplement, S1); the 2025 Form 10-K gives only an annual international split.</t>
  </si>
  <si>
    <t>Inputs tab (placed after Sources) holds the complete raw CapIQ summary row, all six history rows and the prior calibration linked to the Cover.</t>
  </si>
  <si>
    <t>All dated sources were published on or before the 2026-10-11 information cutoff; S23 (MarketBeat) and S30 pages are undated. Retrieval took place on 2026-10-11 from ~22:27 UTC, i.e. after the 22:24 UTC cutoff timestamp — a documented limitation, not evidence of post-cutoff content; no frozen page snapshots exist. No 3Q26 actual results were encountered.</t>
  </si>
  <si>
    <t>Inputs — S&amp;P Capital IQ raw data and prior calibration</t>
  </si>
  <si>
    <t>Non-period tab: no period band; each section (A–E) has its own header row</t>
  </si>
  <si>
    <t>A. JPM_consensus.json — top-level fields</t>
  </si>
  <si>
    <t>source</t>
  </si>
  <si>
    <t>S&amp;P Capital IQ</t>
  </si>
  <si>
    <t>ticker</t>
  </si>
  <si>
    <t>JPM</t>
  </si>
  <si>
    <t>company</t>
  </si>
  <si>
    <t>fiscal_period</t>
  </si>
  <si>
    <t>FQ3 2026 - Sep 2026</t>
  </si>
  <si>
    <t>period_end_date</t>
  </si>
  <si>
    <t>as_of_date</t>
  </si>
  <si>
    <t>analyst_count</t>
  </si>
  <si>
    <t>consensus_eps</t>
  </si>
  <si>
    <t>eps_basis</t>
  </si>
  <si>
    <t>Normalized diluted EPS per common share, USD; verify issuer adjustments</t>
  </si>
  <si>
    <t>consensus_revenue_m</t>
  </si>
  <si>
    <t>currency</t>
  </si>
  <si>
    <t>USD</t>
  </si>
  <si>
    <t>summary_sha256</t>
  </si>
  <si>
    <t>edbf949d984075e582c0427440965f3f2b24f43d8e9ef3ba40bd5d158b8c8d16</t>
  </si>
  <si>
    <t>captured_precision</t>
  </si>
  <si>
    <t>date only, user confirmed</t>
  </si>
  <si>
    <t>currency_units_status</t>
  </si>
  <si>
    <t>per-share in USD; revenue and income in USD millions</t>
  </si>
  <si>
    <t>B. JPM_consensus.json — complete summary_row (raw; blanks preserved)</t>
  </si>
  <si>
    <t>company_name</t>
  </si>
  <si>
    <t>exchange_ticker</t>
  </si>
  <si>
    <t>NYSE:JPM</t>
  </si>
  <si>
    <t>capiq_company_id</t>
  </si>
  <si>
    <t>sp500_member</t>
  </si>
  <si>
    <t>Y</t>
  </si>
  <si>
    <t>market_cap_usd_m</t>
  </si>
  <si>
    <t>Blank in source (unavailable)</t>
  </si>
  <si>
    <t>fiscal_quarter</t>
  </si>
  <si>
    <t>quarter_end_date</t>
  </si>
  <si>
    <t>expected_report_date</t>
  </si>
  <si>
    <t>fiscal_year_end</t>
  </si>
  <si>
    <t>Dec-31</t>
  </si>
  <si>
    <t>analysts_covering</t>
  </si>
  <si>
    <t>eps_normalized_mean</t>
  </si>
  <si>
    <t>eps_normalized_median</t>
  </si>
  <si>
    <t>eps_normalized_high</t>
  </si>
  <si>
    <t>eps_normalized_low</t>
  </si>
  <si>
    <t>eps_normalized_std_dev</t>
  </si>
  <si>
    <t>eps_normalized_n_est</t>
  </si>
  <si>
    <t>eps_normalized_guidance</t>
  </si>
  <si>
    <t>eps_normalized_guidance_low</t>
  </si>
  <si>
    <t>eps_normalized_guidance_high</t>
  </si>
  <si>
    <t>eps_gaap_mean</t>
  </si>
  <si>
    <t>eps_gaap_median</t>
  </si>
  <si>
    <t>eps_gaap_high</t>
  </si>
  <si>
    <t>eps_gaap_low</t>
  </si>
  <si>
    <t>eps_gaap_std_dev</t>
  </si>
  <si>
    <t>eps_gaap_n_est</t>
  </si>
  <si>
    <t>eps_gaap_guidance</t>
  </si>
  <si>
    <t>revenue_m_mean</t>
  </si>
  <si>
    <t>revenue_m_median</t>
  </si>
  <si>
    <t>revenue_m_high</t>
  </si>
  <si>
    <t>revenue_m_low</t>
  </si>
  <si>
    <t>revenue_m_std_dev</t>
  </si>
  <si>
    <t>revenue_m_n_est</t>
  </si>
  <si>
    <t>revenue_m_guidance</t>
  </si>
  <si>
    <t>revenue_m_guidance_low</t>
  </si>
  <si>
    <t>revenue_m_guidance_high</t>
  </si>
  <si>
    <t>ebitda_m</t>
  </si>
  <si>
    <t>ebit_m</t>
  </si>
  <si>
    <t>ebt_excl_excep_m</t>
  </si>
  <si>
    <t>ebt_gaap_m</t>
  </si>
  <si>
    <t>net_income_excl_excep_m</t>
  </si>
  <si>
    <t>net_income_gaap_m</t>
  </si>
  <si>
    <t>gross_margin_pct</t>
  </si>
  <si>
    <t>Percent as reported (e.g. 22.91 = 22.91%)</t>
  </si>
  <si>
    <t>effective_tax_rate_pct</t>
  </si>
  <si>
    <t>d_and_a_m</t>
  </si>
  <si>
    <t>capex_m</t>
  </si>
  <si>
    <t>cfo_m</t>
  </si>
  <si>
    <t>fcf_m</t>
  </si>
  <si>
    <t>interest_expense_m</t>
  </si>
  <si>
    <t>net_debt_m</t>
  </si>
  <si>
    <t>cfps</t>
  </si>
  <si>
    <t>bvps</t>
  </si>
  <si>
    <t>dps</t>
  </si>
  <si>
    <t>nav_m</t>
  </si>
  <si>
    <t>navps</t>
  </si>
  <si>
    <t>roe_pct</t>
  </si>
  <si>
    <t>target_price_mean</t>
  </si>
  <si>
    <t>Not used in the earnings model</t>
  </si>
  <si>
    <t>target_price_median</t>
  </si>
  <si>
    <t>target_price_high</t>
  </si>
  <si>
    <t>target_price_low</t>
  </si>
  <si>
    <t>target_price_std_dev</t>
  </si>
  <si>
    <t>target_price_n_est</t>
  </si>
  <si>
    <t>recommendation</t>
  </si>
  <si>
    <t>Outperform</t>
  </si>
  <si>
    <t>recommendation_score</t>
  </si>
  <si>
    <t>last_close_price</t>
  </si>
  <si>
    <t>wk52_high_low</t>
  </si>
  <si>
    <t>366.50/279.10</t>
  </si>
  <si>
    <t>units</t>
  </si>
  <si>
    <t>estimates_captured_at</t>
  </si>
  <si>
    <t>notes</t>
  </si>
  <si>
    <t>CapIQ lists no release date for FQ3 2026; next listed is FQ1 2027 Apr-13-2027. No. of Estimates shown as estimates/contributors.</t>
  </si>
  <si>
    <t>C. JPM_history.csv — all six rows (raw)</t>
  </si>
  <si>
    <t>report_date</t>
  </si>
  <si>
    <t>eps_normalized_consensus</t>
  </si>
  <si>
    <t>eps_normalized_actual</t>
  </si>
  <si>
    <t>eps_gaap_consensus</t>
  </si>
  <si>
    <t>eps_gaap_actual</t>
  </si>
  <si>
    <t>revenue_m_consensus</t>
  </si>
  <si>
    <t>revenue_m_actual</t>
  </si>
  <si>
    <t>D. Historical surprise analysis (normalized EPS, $ per share)</t>
  </si>
  <si>
    <t>Surprise $</t>
  </si>
  <si>
    <t>Beat (1/0)</t>
  </si>
  <si>
    <t>Surprise %</t>
  </si>
  <si>
    <t>Rev. surprise $mm</t>
  </si>
  <si>
    <t>GAAP surprise $</t>
  </si>
  <si>
    <t>Average / count</t>
  </si>
  <si>
    <t>Std. deviation of $ surprise</t>
  </si>
  <si>
    <t>E. Size-aware prior calibration (playbook v2)</t>
  </si>
  <si>
    <t>Market capitalization ($mm, 9-Oct-2026 close)</t>
  </si>
  <si>
    <t>S20: recorded market cap $885,149.4mm (9-Oct-2026 close; implies ~2,658.19mm shares); cross-check $332.99 × 2,658.2mm (rounded shares) = $885,154.0mm — immaterial; Large bucket unchanged. CapIQ field blank</t>
  </si>
  <si>
    <t>Size bucket</t>
  </si>
  <si>
    <t>Large (&gt; $10bn)</t>
  </si>
  <si>
    <t>S&amp;P 500 member</t>
  </si>
  <si>
    <t>CapIQ summary_row sp500_member = Y; JPM is an S&amp;P 500 constituent</t>
  </si>
  <si>
    <t>Cohort prior (large OR S&amp;P 500; applied once)</t>
  </si>
  <si>
    <t>Playbook v2 cohort prior: 0.78 for large OR S&amp;P 500 (applied once); S29 FactSet 5-yr S&amp;P 500 beat rate 78% is reference context</t>
  </si>
  <si>
    <t>Strict beats in history (b)</t>
  </si>
  <si>
    <t>Valid pairs (n)</t>
  </si>
  <si>
    <t>All six pairs on CapIQ normalized basis; none excluded (4Q25 CapIQ actual $4.63 kept Apple reserve; same basis as its consensus)</t>
  </si>
  <si>
    <t>Pseudo-observations</t>
  </si>
  <si>
    <t>Starting probability = (8 × prior + b) / (8 + n)</t>
  </si>
  <si>
    <t>Adj: bottom-up model EPS ≈ consensus (pulls toward 50%)</t>
  </si>
  <si>
    <t>Judgmental step. Model EPS is $0.022 below the $5.94 consensus (C131); at the historical $ surprise s.d. of $0.2513 (C115) a model-only view gives Φ(−0.087) ≈ 46.5%; an equal-weight blend with the 80.3% starting probability ≈ 63.4%, which the final 63.3% approximates only after all three adjustments (−0.12 here, −0.05 in C127:C128)</t>
  </si>
  <si>
    <t>Adj: peer read-across (BofA IB fees down 10%+, flat trading; GS softer FICC)</t>
  </si>
  <si>
    <t>S26; JPM's own stronger guide (S9) already in consensus, so small weight</t>
  </si>
  <si>
    <t>Adj: late-Sept issuance postponements and softer macro (reserve-build risk)</t>
  </si>
  <si>
    <t>S32, S17; September payrolls +29k released 2-Oct, after quarter end</t>
  </si>
  <si>
    <t>Final P(beat consensus EPS)</t>
  </si>
  <si>
    <t>Linked to Cover and estimate.json</t>
  </si>
  <si>
    <t>low</t>
  </si>
  <si>
    <t>Model normalized EPS less consensus ($)</t>
  </si>
  <si>
    <t>Model gap / historical $ surprise std. dev.</t>
  </si>
</sst>
</file>

<file path=xl/styles.xml><?xml version="1.0" encoding="utf-8"?>
<styleSheet xmlns="http://schemas.openxmlformats.org/spreadsheetml/2006/main">
  <numFmts count="11">
    <numFmt numFmtId="164" formatCode="#,##0.0_);(#,##0.0);–_)"/>
    <numFmt numFmtId="165" formatCode="0.0%_);(0.0%);–_)"/>
    <numFmt numFmtId="166" formatCode="General"/>
    <numFmt numFmtId="167" formatCode="d-mmm-yyyy"/>
    <numFmt numFmtId="168" formatCode="0"/>
    <numFmt numFmtId="169" formatCode="dd-mmm-yy"/>
    <numFmt numFmtId="170" formatCode="yyyy-mm-dd"/>
    <numFmt numFmtId="171" formatCode="#,##0_);(#,##0);–_)"/>
    <numFmt numFmtId="172" formatCode="$#,##0.00_);($#,##0.00);–_)"/>
    <numFmt numFmtId="173" formatCode="$0.00_);($0.00);–_)"/>
    <numFmt numFmtId="174" formatCode="0.0x"/>
  </numFmts>
  <fonts count="27">
    <font>
      <sz val="11"/>
      <name val="Calibri"/>
    </font>
    <font>
      <b val="0"/>
      <i val="0"/>
      <strike val="0"/>
      <sz val="10"/>
      <color rgb="FF000000"/>
      <name val="Arial"/>
    </font>
    <font>
      <b val="0"/>
      <i val="0"/>
      <strike val="0"/>
      <sz val="10"/>
      <color rgb="FF404040"/>
      <name val="Arial"/>
    </font>
    <font>
      <b val="0"/>
      <i val="0"/>
      <strike val="0"/>
      <sz val="10"/>
      <color rgb="FF0000FF"/>
      <name val="Arial"/>
    </font>
    <font>
      <b val="0"/>
      <i val="0"/>
      <strike val="0"/>
      <sz val="10"/>
      <color rgb="FF006100"/>
      <name val="Arial"/>
    </font>
    <font>
      <b/>
      <i val="0"/>
      <strike val="0"/>
      <sz val="10"/>
      <color rgb="FF000000"/>
      <name val="Arial"/>
    </font>
    <font>
      <b val="0"/>
      <i/>
      <strike val="0"/>
      <sz val="10"/>
      <color rgb="FF000000"/>
      <name val="Arial"/>
    </font>
    <font>
      <b/>
      <i val="0"/>
      <strike val="0"/>
      <sz val="10"/>
      <color rgb="FF0000FF"/>
      <name val="Arial"/>
    </font>
    <font>
      <b/>
      <i val="0"/>
      <strike val="0"/>
      <sz val="12"/>
      <color rgb="FF000000"/>
      <name val="Arial"/>
    </font>
    <font>
      <b val="0"/>
      <i/>
      <strike val="0"/>
      <sz val="10"/>
      <color rgb="FF006100"/>
      <name val="Arial"/>
    </font>
    <font>
      <b/>
      <i val="0"/>
      <strike val="0"/>
      <sz val="10"/>
      <color rgb="FF006100"/>
      <name val="Arial"/>
    </font>
    <font>
      <b val="0"/>
      <i/>
      <strike val="0"/>
      <sz val="10"/>
      <color rgb="FF7F7F7F"/>
      <name val="Arial"/>
    </font>
    <font>
      <b val="0"/>
      <i/>
      <strike val="0"/>
      <sz val="10"/>
      <color rgb="FF0000FF"/>
      <name val="Arial"/>
    </font>
    <font>
      <b val="0"/>
      <i/>
      <strike val="0"/>
      <sz val="10"/>
      <color rgb="FF000000"/>
      <name val="Arial"/>
    </font>
    <font>
      <b val="0"/>
      <i val="0"/>
      <strike val="0"/>
      <sz val="10"/>
      <color rgb="FF404040"/>
      <name val="Arial"/>
    </font>
    <font>
      <b val="0"/>
      <i val="0"/>
      <strike val="0"/>
      <sz val="10"/>
      <color rgb="FF000000"/>
      <name val="Arial"/>
    </font>
    <font>
      <b/>
      <i val="0"/>
      <strike val="0"/>
      <sz val="10"/>
      <color rgb="FF000000"/>
      <name val="Arial"/>
    </font>
    <font>
      <b/>
      <i val="0"/>
      <strike val="0"/>
      <sz val="10"/>
      <color rgb="FF006100"/>
      <name val="Arial"/>
    </font>
    <font>
      <b val="0"/>
      <i/>
      <strike val="0"/>
      <sz val="10"/>
      <color rgb="FF006100"/>
      <name val="Arial"/>
    </font>
    <font>
      <b val="0"/>
      <i val="0"/>
      <strike val="0"/>
      <sz val="10"/>
      <color rgb="FF006100"/>
      <name val="Arial"/>
    </font>
    <font>
      <b val="0"/>
      <i/>
      <strike val="0"/>
      <sz val="10"/>
      <color rgb="FF000000"/>
      <name val="Arial"/>
    </font>
    <font>
      <b val="0"/>
      <i val="0"/>
      <strike val="0"/>
      <sz val="10"/>
      <color rgb="FF000000"/>
      <name val="Arial"/>
    </font>
    <font>
      <b/>
      <i val="0"/>
      <strike val="0"/>
      <sz val="10"/>
      <color rgb="FF000000"/>
      <name val="Arial"/>
    </font>
    <font>
      <b val="0"/>
      <i val="0"/>
      <strike val="0"/>
      <sz val="10"/>
      <color rgb="FF404040"/>
      <name val="Arial"/>
    </font>
    <font>
      <b val="0"/>
      <i val="0"/>
      <strike val="0"/>
      <sz val="10"/>
      <color rgb="FF404040"/>
      <name val="Arial"/>
    </font>
    <font>
      <b val="0"/>
      <i val="0"/>
      <strike val="0"/>
      <sz val="10"/>
      <color rgb="FF000000"/>
      <name val="Arial"/>
    </font>
    <font>
      <b/>
      <i val="0"/>
      <strike val="0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EAF1FB"/>
      </patternFill>
    </fill>
  </fills>
  <borders count="4">
    <border>
      <left/>
      <right/>
      <top/>
      <bottom/>
      <diagonal/>
    </border>
    <border>
      <bottom style="thin">
        <color rgb="FF808080"/>
      </bottom>
    </border>
    <border>
      <top style="thin">
        <color rgb="FF808080"/>
      </top>
    </border>
    <border>
      <top style="thin">
        <color rgb="FF000000"/>
      </top>
    </border>
  </borders>
  <cellStyleXfs count="1">
    <xf numFmtId="0" fontId="0" fillId="0" borderId="0"/>
  </cellStyleXfs>
  <cellXfs count="132">
    <xf numFmtId="0" fontId="0" fillId="0" borderId="0" xfId="0"/>
    <xf numFmtId="0" fontId="1" fillId="0" borderId="0" xfId="0" applyFont="1" applyFill="1" applyAlignment="1" applyProtection="1">
      <alignment horizontal="general" vertical="bottom"/>
      <protection locked="1" hidden="0"/>
    </xf>
    <xf numFmtId="0" fontId="2" fillId="0" borderId="0" xfId="0" applyFont="1" applyFill="1" applyAlignment="1" applyProtection="1">
      <alignment horizontal="general" vertical="bottom"/>
      <protection locked="1" hidden="0"/>
    </xf>
    <xf numFmtId="164" fontId="3" fillId="0" borderId="0" xfId="0" applyNumberFormat="1" applyFont="1" applyFill="1" applyAlignment="1" applyProtection="1">
      <alignment horizontal="right" vertical="bottom"/>
      <protection locked="1" hidden="0"/>
    </xf>
    <xf numFmtId="165" fontId="3" fillId="0" borderId="0" xfId="0" applyNumberFormat="1" applyFont="1" applyFill="1" applyAlignment="1" applyProtection="1">
      <alignment horizontal="right" vertical="bottom"/>
      <protection locked="1" hidden="0"/>
    </xf>
    <xf numFmtId="166" fontId="1" fillId="0" borderId="0" xfId="0" applyNumberFormat="1" applyFont="1" applyFill="1" applyAlignment="1" applyProtection="1">
      <alignment horizontal="right" vertical="bottom"/>
      <protection locked="1" hidden="0"/>
    </xf>
    <xf numFmtId="0" fontId="1" fillId="0" borderId="0" xfId="0" applyFont="1" applyFill="1" applyAlignment="1" applyProtection="1">
      <alignment horizontal="right" vertical="bottom"/>
      <protection locked="1" hidden="0"/>
    </xf>
    <xf numFmtId="165" fontId="4" fillId="0" borderId="0" xfId="0" applyNumberFormat="1" applyFont="1" applyFill="1" applyAlignment="1" applyProtection="1">
      <alignment horizontal="right" vertical="bottom"/>
      <protection locked="1" hidden="0"/>
    </xf>
    <xf numFmtId="167" fontId="1" fillId="0" borderId="0" xfId="0" applyNumberFormat="1" applyFont="1" applyFill="1" applyAlignment="1" applyProtection="1">
      <alignment horizontal="right" vertical="bottom"/>
      <protection locked="1" hidden="0"/>
    </xf>
    <xf numFmtId="168" fontId="1" fillId="2" borderId="1" xfId="0" applyNumberFormat="1" applyFont="1" applyFill="1" applyBorder="1" applyAlignment="1" applyProtection="1">
      <alignment horizontal="right" vertical="bottom"/>
      <protection locked="1" hidden="0"/>
    </xf>
    <xf numFmtId="164" fontId="1" fillId="0" borderId="0" xfId="0" applyNumberFormat="1" applyFont="1" applyFill="1" applyAlignment="1" applyProtection="1">
      <alignment horizontal="right" vertical="bottom"/>
      <protection locked="1" hidden="0"/>
    </xf>
    <xf numFmtId="0" fontId="5" fillId="2" borderId="2" xfId="0" applyFont="1" applyFill="1" applyBorder="1" applyAlignment="1" applyProtection="1">
      <alignment horizontal="right" vertical="bottom"/>
      <protection locked="1" hidden="0"/>
    </xf>
    <xf numFmtId="165" fontId="1" fillId="0" borderId="0" xfId="0" applyNumberFormat="1" applyFont="1" applyFill="1" applyAlignment="1" applyProtection="1">
      <alignment horizontal="right" vertical="bottom"/>
      <protection locked="1" hidden="0"/>
    </xf>
    <xf numFmtId="169" fontId="1" fillId="2" borderId="0" xfId="0" applyNumberFormat="1" applyFont="1" applyFill="1" applyAlignment="1" applyProtection="1">
      <alignment horizontal="right" vertical="bottom"/>
      <protection locked="1" hidden="0"/>
    </xf>
    <xf numFmtId="0" fontId="1" fillId="2" borderId="2" xfId="0" applyFont="1" applyFill="1" applyBorder="1" applyAlignment="1" applyProtection="1">
      <alignment horizontal="general" vertical="bottom"/>
      <protection locked="1" hidden="0"/>
    </xf>
    <xf numFmtId="0" fontId="5" fillId="0" borderId="1" xfId="0" applyFont="1" applyFill="1" applyBorder="1" applyAlignment="1" applyProtection="1">
      <alignment horizontal="left" vertical="bottom"/>
      <protection locked="1" hidden="0"/>
    </xf>
    <xf numFmtId="0" fontId="1" fillId="0" borderId="0" xfId="0" applyFont="1" applyFill="1" applyAlignment="1" applyProtection="1">
      <alignment horizontal="left" vertical="bottom"/>
      <protection locked="1" hidden="0"/>
    </xf>
    <xf numFmtId="170" fontId="1" fillId="0" borderId="0" xfId="0" applyNumberFormat="1" applyFont="1" applyFill="1" applyAlignment="1" applyProtection="1">
      <alignment horizontal="left" vertical="bottom"/>
      <protection locked="1" hidden="0"/>
    </xf>
    <xf numFmtId="0" fontId="5" fillId="0" borderId="1" xfId="0" applyFont="1" applyFill="1" applyBorder="1" applyAlignment="1" applyProtection="1">
      <alignment horizontal="right" vertical="bottom"/>
      <protection locked="1" hidden="0"/>
    </xf>
    <xf numFmtId="0" fontId="1" fillId="2" borderId="0" xfId="0" applyFont="1" applyFill="1" applyAlignment="1" applyProtection="1">
      <alignment horizontal="general" vertical="bottom"/>
      <protection locked="1" hidden="0"/>
    </xf>
    <xf numFmtId="0" fontId="1" fillId="0" borderId="0" xfId="0" applyFont="1" applyFill="1" applyAlignment="1" applyProtection="1">
      <alignment horizontal="general" vertical="bottom" indent="2"/>
      <protection locked="1" hidden="0"/>
    </xf>
    <xf numFmtId="0" fontId="1" fillId="0" borderId="0" xfId="0" applyFont="1" applyFill="1" applyAlignment="1" applyProtection="1">
      <alignment horizontal="general" vertical="bottom" indent="1"/>
      <protection locked="1" hidden="0"/>
    </xf>
    <xf numFmtId="165" fontId="6" fillId="0" borderId="0" xfId="0" applyNumberFormat="1" applyFont="1" applyFill="1" applyAlignment="1" applyProtection="1">
      <alignment horizontal="right" vertical="bottom"/>
      <protection locked="1" hidden="0"/>
    </xf>
    <xf numFmtId="164" fontId="4" fillId="0" borderId="0" xfId="0" applyNumberFormat="1" applyFont="1" applyFill="1" applyAlignment="1" applyProtection="1">
      <alignment horizontal="right" vertical="bottom"/>
      <protection locked="1" hidden="0"/>
    </xf>
    <xf numFmtId="0" fontId="6" fillId="0" borderId="0" xfId="0" applyFont="1" applyFill="1" applyAlignment="1" applyProtection="1">
      <alignment horizontal="general" vertical="bottom"/>
      <protection locked="1" hidden="0"/>
    </xf>
    <xf numFmtId="171" fontId="1" fillId="0" borderId="0" xfId="0" applyNumberFormat="1" applyFont="1" applyFill="1" applyAlignment="1" applyProtection="1">
      <alignment horizontal="right" vertical="bottom"/>
      <protection locked="1" hidden="0"/>
    </xf>
    <xf numFmtId="164" fontId="7" fillId="0" borderId="3" xfId="0" applyNumberFormat="1" applyFont="1" applyFill="1" applyBorder="1" applyAlignment="1" applyProtection="1">
      <alignment horizontal="right" vertical="bottom"/>
      <protection locked="1" hidden="0"/>
    </xf>
    <xf numFmtId="164" fontId="5" fillId="0" borderId="0" xfId="0" applyNumberFormat="1" applyFont="1" applyFill="1" applyAlignment="1" applyProtection="1">
      <alignment horizontal="right" vertical="bottom"/>
      <protection locked="1" hidden="0"/>
    </xf>
    <xf numFmtId="0" fontId="1" fillId="2" borderId="1" xfId="0" applyFont="1" applyFill="1" applyBorder="1" applyAlignment="1" applyProtection="1">
      <alignment horizontal="general" vertical="bottom"/>
      <protection locked="1" hidden="0"/>
    </xf>
    <xf numFmtId="164" fontId="1" fillId="3" borderId="0" xfId="0" applyNumberFormat="1" applyFont="1" applyFill="1" applyAlignment="1" applyProtection="1">
      <alignment horizontal="right" vertical="bottom"/>
      <protection locked="1" hidden="0"/>
    </xf>
    <xf numFmtId="0" fontId="1" fillId="3" borderId="0" xfId="0" applyFont="1" applyFill="1" applyAlignment="1" applyProtection="1">
      <alignment horizontal="general" vertical="bottom"/>
      <protection locked="1" hidden="0"/>
    </xf>
    <xf numFmtId="0" fontId="5" fillId="0" borderId="0" xfId="0" applyFont="1" applyFill="1" applyAlignment="1" applyProtection="1">
      <alignment horizontal="general" vertical="bottom"/>
      <protection locked="1" hidden="0"/>
    </xf>
    <xf numFmtId="172" fontId="1" fillId="0" borderId="0" xfId="0" applyNumberFormat="1" applyFont="1" applyFill="1" applyAlignment="1" applyProtection="1">
      <alignment horizontal="right" vertical="bottom"/>
      <protection locked="1" hidden="0"/>
    </xf>
    <xf numFmtId="164" fontId="7" fillId="0" borderId="0" xfId="0" applyNumberFormat="1" applyFont="1" applyFill="1" applyAlignment="1" applyProtection="1">
      <alignment horizontal="right" vertical="bottom"/>
      <protection locked="1" hidden="0"/>
    </xf>
    <xf numFmtId="164" fontId="6" fillId="0" borderId="0" xfId="0" applyNumberFormat="1" applyFont="1" applyFill="1" applyAlignment="1" applyProtection="1">
      <alignment horizontal="right" vertical="bottom"/>
      <protection locked="1" hidden="0"/>
    </xf>
    <xf numFmtId="172" fontId="3" fillId="0" borderId="0" xfId="0" applyNumberFormat="1" applyFont="1" applyFill="1" applyAlignment="1" applyProtection="1">
      <alignment horizontal="right" vertical="bottom"/>
      <protection locked="1" hidden="0"/>
    </xf>
    <xf numFmtId="0" fontId="6" fillId="0" borderId="0" xfId="0" applyFont="1" applyFill="1" applyAlignment="1" applyProtection="1">
      <alignment horizontal="general" vertical="bottom" indent="1"/>
      <protection locked="1" hidden="0"/>
    </xf>
    <xf numFmtId="0" fontId="5" fillId="3" borderId="3" xfId="0" applyFont="1" applyFill="1" applyBorder="1" applyAlignment="1" applyProtection="1">
      <alignment horizontal="right" vertical="bottom"/>
      <protection locked="1" hidden="0"/>
    </xf>
    <xf numFmtId="0" fontId="8" fillId="0" borderId="0" xfId="0" applyFont="1" applyFill="1" applyAlignment="1" applyProtection="1">
      <alignment horizontal="general" vertical="bottom"/>
      <protection locked="1" hidden="0"/>
    </xf>
    <xf numFmtId="165" fontId="6" fillId="3" borderId="0" xfId="0" applyNumberFormat="1" applyFont="1" applyFill="1" applyAlignment="1" applyProtection="1">
      <alignment horizontal="right" vertical="bottom"/>
      <protection locked="1" hidden="0"/>
    </xf>
    <xf numFmtId="173" fontId="1" fillId="0" borderId="0" xfId="0" applyNumberFormat="1" applyFont="1" applyFill="1" applyAlignment="1" applyProtection="1">
      <alignment horizontal="right" vertical="bottom"/>
      <protection locked="1" hidden="0"/>
    </xf>
    <xf numFmtId="173" fontId="3" fillId="0" borderId="0" xfId="0" applyNumberFormat="1" applyFont="1" applyFill="1" applyAlignment="1" applyProtection="1">
      <alignment horizontal="right" vertical="bottom"/>
      <protection locked="1" hidden="0"/>
    </xf>
    <xf numFmtId="165" fontId="9" fillId="0" borderId="0" xfId="0" applyNumberFormat="1" applyFont="1" applyFill="1" applyAlignment="1" applyProtection="1">
      <alignment horizontal="right" vertical="bottom"/>
      <protection locked="1" hidden="0"/>
    </xf>
    <xf numFmtId="164" fontId="5" fillId="0" borderId="3" xfId="0" applyNumberFormat="1" applyFont="1" applyFill="1" applyBorder="1" applyAlignment="1" applyProtection="1">
      <alignment horizontal="right" vertical="bottom"/>
      <protection locked="1" hidden="0"/>
    </xf>
    <xf numFmtId="164" fontId="3" fillId="3" borderId="0" xfId="0" applyNumberFormat="1" applyFont="1" applyFill="1" applyAlignment="1" applyProtection="1">
      <alignment horizontal="right" vertical="bottom"/>
      <protection locked="1" hidden="0"/>
    </xf>
    <xf numFmtId="164" fontId="5" fillId="3" borderId="3" xfId="0" applyNumberFormat="1" applyFont="1" applyFill="1" applyBorder="1" applyAlignment="1" applyProtection="1">
      <alignment horizontal="right" vertical="bottom"/>
      <protection locked="1" hidden="0"/>
    </xf>
    <xf numFmtId="171" fontId="4" fillId="0" borderId="0" xfId="0" applyNumberFormat="1" applyFont="1" applyFill="1" applyAlignment="1" applyProtection="1">
      <alignment horizontal="right" vertical="bottom"/>
      <protection locked="1" hidden="0"/>
    </xf>
    <xf numFmtId="0" fontId="1" fillId="3" borderId="0" xfId="0" applyFont="1" applyFill="1" applyAlignment="1" applyProtection="1">
      <alignment horizontal="right" vertical="bottom"/>
      <protection locked="1" hidden="0"/>
    </xf>
    <xf numFmtId="164" fontId="6" fillId="3" borderId="0" xfId="0" applyNumberFormat="1" applyFont="1" applyFill="1" applyAlignment="1" applyProtection="1">
      <alignment horizontal="right" vertical="bottom"/>
      <protection locked="1" hidden="0"/>
    </xf>
    <xf numFmtId="172" fontId="3" fillId="3" borderId="0" xfId="0" applyNumberFormat="1" applyFont="1" applyFill="1" applyAlignment="1" applyProtection="1">
      <alignment horizontal="right" vertical="bottom"/>
      <protection locked="1" hidden="0"/>
    </xf>
    <xf numFmtId="172" fontId="1" fillId="3" borderId="0" xfId="0" applyNumberFormat="1" applyFont="1" applyFill="1" applyAlignment="1" applyProtection="1">
      <alignment horizontal="right" vertical="bottom"/>
      <protection locked="1" hidden="0"/>
    </xf>
    <xf numFmtId="0" fontId="6" fillId="0" borderId="0" xfId="0" applyFont="1" applyFill="1" applyAlignment="1" applyProtection="1">
      <alignment horizontal="general" vertical="bottom" indent="2"/>
      <protection locked="1" hidden="0"/>
    </xf>
    <xf numFmtId="164" fontId="10" fillId="3" borderId="3" xfId="0" applyNumberFormat="1" applyFont="1" applyFill="1" applyBorder="1" applyAlignment="1" applyProtection="1">
      <alignment horizontal="right" vertical="bottom"/>
      <protection locked="1" hidden="0"/>
    </xf>
    <xf numFmtId="164" fontId="4" fillId="3" borderId="0" xfId="0" applyNumberFormat="1" applyFont="1" applyFill="1" applyAlignment="1" applyProtection="1">
      <alignment horizontal="right" vertical="bottom"/>
      <protection locked="1" hidden="0"/>
    </xf>
    <xf numFmtId="166" fontId="10" fillId="0" borderId="0" xfId="0" applyNumberFormat="1" applyFont="1" applyFill="1" applyAlignment="1" applyProtection="1">
      <alignment horizontal="right" vertical="bottom"/>
      <protection locked="1" hidden="0"/>
    </xf>
    <xf numFmtId="0" fontId="5" fillId="3" borderId="0" xfId="0" applyFont="1" applyFill="1" applyAlignment="1" applyProtection="1">
      <alignment horizontal="right" vertical="bottom"/>
      <protection locked="1" hidden="0"/>
    </xf>
    <xf numFmtId="165" fontId="9" fillId="3" borderId="0" xfId="0" applyNumberFormat="1" applyFont="1" applyFill="1" applyAlignment="1" applyProtection="1">
      <alignment horizontal="right" vertical="bottom"/>
      <protection locked="1" hidden="0"/>
    </xf>
    <xf numFmtId="173" fontId="1" fillId="3" borderId="0" xfId="0" applyNumberFormat="1" applyFont="1" applyFill="1" applyAlignment="1" applyProtection="1">
      <alignment horizontal="right" vertical="bottom"/>
      <protection locked="1" hidden="0"/>
    </xf>
    <xf numFmtId="171" fontId="1" fillId="3" borderId="0" xfId="0" applyNumberFormat="1" applyFont="1" applyFill="1" applyAlignment="1" applyProtection="1">
      <alignment horizontal="right" vertical="bottom"/>
      <protection locked="1" hidden="0"/>
    </xf>
    <xf numFmtId="165" fontId="10" fillId="0" borderId="0" xfId="0" applyNumberFormat="1" applyFont="1" applyFill="1" applyAlignment="1" applyProtection="1">
      <alignment horizontal="right" vertical="bottom"/>
      <protection locked="1" hidden="0"/>
    </xf>
    <xf numFmtId="173" fontId="3" fillId="3" borderId="0" xfId="0" applyNumberFormat="1" applyFont="1" applyFill="1" applyAlignment="1" applyProtection="1">
      <alignment horizontal="right" vertical="bottom"/>
      <protection locked="1" hidden="0"/>
    </xf>
    <xf numFmtId="171" fontId="6" fillId="0" borderId="0" xfId="0" applyNumberFormat="1" applyFont="1" applyFill="1" applyAlignment="1" applyProtection="1">
      <alignment horizontal="right" vertical="bottom"/>
      <protection locked="1" hidden="0"/>
    </xf>
    <xf numFmtId="165" fontId="1" fillId="3" borderId="0" xfId="0" applyNumberFormat="1" applyFont="1" applyFill="1" applyAlignment="1" applyProtection="1">
      <alignment horizontal="right" vertical="bottom"/>
      <protection locked="1" hidden="0"/>
    </xf>
    <xf numFmtId="173" fontId="4" fillId="0" borderId="0" xfId="0" applyNumberFormat="1" applyFont="1" applyFill="1" applyAlignment="1" applyProtection="1">
      <alignment horizontal="right" vertical="bottom"/>
      <protection locked="1" hidden="0"/>
    </xf>
    <xf numFmtId="164" fontId="5" fillId="3" borderId="0" xfId="0" applyNumberFormat="1" applyFont="1" applyFill="1" applyAlignment="1" applyProtection="1">
      <alignment horizontal="right" vertical="bottom"/>
      <protection locked="1" hidden="0"/>
    </xf>
    <xf numFmtId="164" fontId="9" fillId="0" borderId="0" xfId="0" applyNumberFormat="1" applyFont="1" applyFill="1" applyAlignment="1" applyProtection="1">
      <alignment horizontal="right" vertical="bottom"/>
      <protection locked="1" hidden="0"/>
    </xf>
    <xf numFmtId="173" fontId="10" fillId="0" borderId="0" xfId="0" applyNumberFormat="1" applyFont="1" applyFill="1" applyAlignment="1" applyProtection="1">
      <alignment horizontal="right" vertical="bottom"/>
      <protection locked="1" hidden="0"/>
    </xf>
    <xf numFmtId="0" fontId="11" fillId="0" borderId="0" xfId="0" applyFont="1" applyFill="1" applyAlignment="1" applyProtection="1">
      <alignment horizontal="right" vertical="bottom"/>
      <protection locked="1" hidden="0"/>
    </xf>
    <xf numFmtId="0" fontId="11" fillId="3" borderId="0" xfId="0" applyFont="1" applyFill="1" applyAlignment="1" applyProtection="1">
      <alignment horizontal="right" vertical="bottom"/>
      <protection locked="1" hidden="0"/>
    </xf>
    <xf numFmtId="170" fontId="1" fillId="0" borderId="0" xfId="0" applyNumberFormat="1" applyFont="1" applyFill="1" applyAlignment="1" applyProtection="1">
      <alignment horizontal="right" vertical="bottom"/>
      <protection locked="1" hidden="0"/>
    </xf>
    <xf numFmtId="165" fontId="5" fillId="0" borderId="0" xfId="0" applyNumberFormat="1" applyFont="1" applyFill="1" applyAlignment="1" applyProtection="1">
      <alignment horizontal="right" vertical="bottom"/>
      <protection locked="1" hidden="0"/>
    </xf>
    <xf numFmtId="164" fontId="9" fillId="3" borderId="0" xfId="0" applyNumberFormat="1" applyFont="1" applyFill="1" applyAlignment="1" applyProtection="1">
      <alignment horizontal="right" vertical="bottom"/>
      <protection locked="1" hidden="0"/>
    </xf>
    <xf numFmtId="165" fontId="12" fillId="3" borderId="0" xfId="0" applyNumberFormat="1" applyFont="1" applyFill="1" applyAlignment="1" applyProtection="1">
      <alignment horizontal="right" vertical="bottom"/>
      <protection locked="1" hidden="0"/>
    </xf>
    <xf numFmtId="171" fontId="3" fillId="0" borderId="0" xfId="0" applyNumberFormat="1" applyFont="1" applyFill="1" applyAlignment="1" applyProtection="1">
      <alignment horizontal="right" vertical="bottom"/>
      <protection locked="1" hidden="0"/>
    </xf>
    <xf numFmtId="0" fontId="6" fillId="0" borderId="0" xfId="0" applyFont="1" applyFill="1" applyAlignment="1" applyProtection="1">
      <alignment horizontal="general" vertical="bottom" indent="3"/>
      <protection locked="1" hidden="0"/>
    </xf>
    <xf numFmtId="171" fontId="5" fillId="0" borderId="0" xfId="0" applyNumberFormat="1" applyFont="1" applyFill="1" applyAlignment="1" applyProtection="1">
      <alignment horizontal="right" vertical="bottom"/>
      <protection locked="1" hidden="0"/>
    </xf>
    <xf numFmtId="0" fontId="5" fillId="0" borderId="0" xfId="0" applyFont="1" applyFill="1" applyAlignment="1" applyProtection="1">
      <alignment horizontal="general" vertical="bottom" indent="1"/>
      <protection locked="1" hidden="0"/>
    </xf>
    <xf numFmtId="173" fontId="5" fillId="0" borderId="0" xfId="0" applyNumberFormat="1" applyFont="1" applyFill="1" applyAlignment="1" applyProtection="1">
      <alignment horizontal="right" vertical="bottom"/>
      <protection locked="1" hidden="0"/>
    </xf>
    <xf numFmtId="0" fontId="1" fillId="0" borderId="0" xfId="0" applyFont="1" applyFill="1" applyAlignment="1" applyProtection="1">
      <alignment horizontal="general" vertical="bottom" indent="3"/>
      <protection locked="1" hidden="0"/>
    </xf>
    <xf numFmtId="164" fontId="10" fillId="3" borderId="0" xfId="0" applyNumberFormat="1" applyFont="1" applyFill="1" applyAlignment="1" applyProtection="1">
      <alignment horizontal="right" vertical="bottom"/>
      <protection locked="1" hidden="0"/>
    </xf>
    <xf numFmtId="172" fontId="4" fillId="3" borderId="0" xfId="0" applyNumberFormat="1" applyFont="1" applyFill="1" applyAlignment="1" applyProtection="1">
      <alignment horizontal="right" vertical="bottom"/>
      <protection locked="1" hidden="0"/>
    </xf>
    <xf numFmtId="172" fontId="4" fillId="0" borderId="0" xfId="0" applyNumberFormat="1" applyFont="1" applyFill="1" applyAlignment="1" applyProtection="1">
      <alignment horizontal="right" vertical="bottom"/>
      <protection locked="1" hidden="0"/>
    </xf>
    <xf numFmtId="174" fontId="1" fillId="0" borderId="0" xfId="0" applyNumberFormat="1" applyFont="1" applyFill="1" applyAlignment="1" applyProtection="1">
      <alignment horizontal="right" vertical="bottom"/>
      <protection locked="1" hidden="0"/>
    </xf>
    <xf numFmtId="173" fontId="6" fillId="0" borderId="0" xfId="0" applyNumberFormat="1" applyFont="1" applyFill="1" applyAlignment="1" applyProtection="1">
      <alignment horizontal="right" vertical="bottom"/>
      <protection locked="1" hidden="0"/>
    </xf>
    <xf numFmtId="164" fontId="12" fillId="3" borderId="0" xfId="0" applyNumberFormat="1" applyFont="1" applyFill="1" applyAlignment="1" applyProtection="1">
      <alignment horizontal="right" vertical="bottom"/>
      <protection locked="1" hidden="0"/>
    </xf>
    <xf numFmtId="173" fontId="5" fillId="3" borderId="0" xfId="0" applyNumberFormat="1" applyFont="1" applyFill="1" applyAlignment="1" applyProtection="1">
      <alignment horizontal="right" vertical="bottom"/>
      <protection locked="1" hidden="0"/>
    </xf>
    <xf numFmtId="171" fontId="7" fillId="0" borderId="0" xfId="0" applyNumberFormat="1" applyFont="1" applyFill="1" applyAlignment="1" applyProtection="1">
      <alignment horizontal="right" vertical="bottom"/>
      <protection locked="1" hidden="0"/>
    </xf>
    <xf numFmtId="165" fontId="3" fillId="3" borderId="0" xfId="0" applyNumberFormat="1" applyFont="1" applyFill="1" applyAlignment="1" applyProtection="1">
      <alignment horizontal="right" vertical="bottom"/>
      <protection locked="1" hidden="0"/>
    </xf>
    <xf numFmtId="173" fontId="6" fillId="3" borderId="0" xfId="0" applyNumberFormat="1" applyFont="1" applyFill="1" applyAlignment="1" applyProtection="1">
      <alignment horizontal="right" vertical="bottom"/>
      <protection locked="1" hidden="0"/>
    </xf>
    <xf numFmtId="0" fontId="6" fillId="0" borderId="0" xfId="0" applyFont="1" applyFill="1" applyAlignment="1" applyProtection="1">
      <alignment horizontal="general" vertical="bottom" indent="4"/>
      <protection locked="1" hidden="0"/>
    </xf>
    <xf numFmtId="171" fontId="3" fillId="3" borderId="0" xfId="0" applyNumberFormat="1" applyFont="1" applyFill="1" applyAlignment="1" applyProtection="1">
      <alignment horizontal="right" vertical="bottom"/>
      <protection locked="1" hidden="0"/>
    </xf>
    <xf numFmtId="171" fontId="5" fillId="3" borderId="0" xfId="0" applyNumberFormat="1" applyFont="1" applyFill="1" applyAlignment="1" applyProtection="1">
      <alignment horizontal="right" vertical="bottom"/>
      <protection locked="1" hidden="0"/>
    </xf>
    <xf numFmtId="171" fontId="12" fillId="3" borderId="0" xfId="0" applyNumberFormat="1" applyFont="1" applyFill="1" applyAlignment="1" applyProtection="1">
      <alignment horizontal="right" vertical="bottom"/>
      <protection locked="1" hidden="0"/>
    </xf>
    <xf numFmtId="166" fontId="13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6" fontId="14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6" fontId="15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4" fontId="15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5" fontId="15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6" fontId="16" fillId="0" borderId="1" xfId="0" applyNumberFormat="1" applyFont="1" applyFill="1" applyBorder="1" applyAlignment="1" applyProtection="1">
      <alignment horizontal="left" vertical="bottom" textRotation="0" indent="0" readingOrder="0"/>
      <protection locked="1" hidden="0"/>
    </xf>
    <xf numFmtId="164" fontId="17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4" fontId="18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6" fontId="15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70" fontId="15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6" fontId="15" fillId="0" borderId="0" xfId="0" applyNumberFormat="1" applyFont="1" applyFill="1" applyAlignment="1" applyProtection="1">
      <alignment horizontal="left" vertical="top" textRotation="0" indent="0" readingOrder="0"/>
      <protection locked="1" hidden="0"/>
    </xf>
    <xf numFmtId="166" fontId="15" fillId="0" borderId="0" xfId="0" applyNumberFormat="1" applyFont="1" applyFill="1" applyAlignment="1" applyProtection="1">
      <alignment horizontal="general" vertical="top" textRotation="0" wrapText="1" indent="0" readingOrder="0"/>
      <protection locked="1" hidden="0"/>
    </xf>
    <xf numFmtId="166" fontId="15" fillId="0" borderId="0" xfId="0" applyNumberFormat="1" applyFont="1" applyFill="1" applyAlignment="1" applyProtection="1">
      <alignment horizontal="left" vertical="top" textRotation="0" wrapText="1" indent="0" readingOrder="0"/>
      <protection locked="1" hidden="0"/>
    </xf>
    <xf numFmtId="170" fontId="15" fillId="0" borderId="0" xfId="0" applyNumberFormat="1" applyFont="1" applyFill="1" applyAlignment="1" applyProtection="1">
      <alignment horizontal="left" vertical="top" textRotation="0" indent="0" readingOrder="0"/>
      <protection locked="1" hidden="0"/>
    </xf>
    <xf numFmtId="166" fontId="16" fillId="0" borderId="1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73" fontId="13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4" fontId="19" fillId="3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3" fontId="13" fillId="3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6" fontId="20" fillId="0" borderId="0" xfId="0" applyNumberFormat="1" applyFont="1" applyFill="1" applyAlignment="1" applyProtection="1">
      <alignment horizontal="general" vertical="bottom" textRotation="0" wrapText="1" indent="0" readingOrder="0"/>
      <protection locked="1" hidden="0"/>
    </xf>
    <xf numFmtId="166" fontId="21" fillId="0" borderId="0" xfId="0" applyNumberFormat="1" applyFont="1" applyFill="1" applyAlignment="1" applyProtection="1">
      <alignment horizontal="general" vertical="bottom" textRotation="0" wrapText="1" indent="0" readingOrder="0"/>
      <protection locked="1" hidden="0"/>
    </xf>
    <xf numFmtId="166" fontId="22" fillId="0" borderId="0" xfId="0" applyNumberFormat="1" applyFont="1" applyFill="1" applyAlignment="1" applyProtection="1">
      <alignment horizontal="general" vertical="bottom" textRotation="0" wrapText="1" indent="0" readingOrder="0"/>
      <protection locked="1" hidden="0"/>
    </xf>
    <xf numFmtId="166" fontId="23" fillId="0" borderId="0" xfId="0" applyNumberFormat="1" applyFont="1" applyFill="1" applyAlignment="1" applyProtection="1">
      <alignment horizontal="general" vertical="bottom" textRotation="0" indent="1" readingOrder="0"/>
      <protection locked="1" hidden="0"/>
    </xf>
    <xf numFmtId="166" fontId="22" fillId="0" borderId="1" xfId="0" applyNumberFormat="1" applyFont="1" applyFill="1" applyBorder="1" applyAlignment="1" applyProtection="1">
      <alignment horizontal="left" vertical="bottom" textRotation="0" indent="1" readingOrder="0"/>
      <protection locked="1" hidden="0"/>
    </xf>
    <xf numFmtId="166" fontId="22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6" fontId="22" fillId="3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4" fontId="21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6" fontId="20" fillId="0" borderId="0" xfId="0" applyNumberFormat="1" applyFont="1" applyFill="1" applyAlignment="1" applyProtection="1">
      <alignment horizontal="general" vertical="bottom" textRotation="0" wrapText="1" indent="2" readingOrder="0"/>
      <protection locked="1" hidden="0"/>
    </xf>
    <xf numFmtId="166" fontId="22" fillId="0" borderId="1" xfId="0" applyNumberFormat="1" applyFont="1" applyFill="1" applyBorder="1" applyAlignment="1" applyProtection="1">
      <alignment horizontal="right" vertical="bottom" textRotation="0" wrapText="1" indent="0" readingOrder="0"/>
      <protection locked="1" hidden="0"/>
    </xf>
    <xf numFmtId="166" fontId="21" fillId="0" borderId="0" xfId="0" applyNumberFormat="1" applyFont="1" applyFill="1" applyAlignment="1" applyProtection="1">
      <alignment horizontal="general" vertical="bottom" textRotation="0" wrapText="1" indent="1" readingOrder="0"/>
      <protection locked="1" hidden="0"/>
    </xf>
    <xf numFmtId="166" fontId="22" fillId="0" borderId="0" xfId="0" applyNumberFormat="1" applyFont="1" applyFill="1" applyAlignment="1" applyProtection="1">
      <alignment horizontal="general" vertical="bottom" textRotation="0" wrapText="1" indent="1" readingOrder="0"/>
      <protection locked="1" hidden="0"/>
    </xf>
    <xf numFmtId="166" fontId="21" fillId="0" borderId="0" xfId="0" applyNumberFormat="1" applyFont="1" applyFill="1" applyAlignment="1" applyProtection="1">
      <alignment horizontal="left" vertical="top" textRotation="0" wrapText="1" indent="0" readingOrder="0"/>
      <protection locked="1" hidden="0"/>
    </xf>
    <xf numFmtId="166" fontId="20" fillId="0" borderId="0" xfId="0" applyNumberFormat="1" applyFont="1" applyFill="1" applyAlignment="1" applyProtection="1">
      <alignment horizontal="general" vertical="bottom" textRotation="0" wrapText="1" indent="1" readingOrder="0"/>
      <protection locked="1" hidden="0"/>
    </xf>
    <xf numFmtId="166" fontId="24" fillId="0" borderId="0" xfId="0" applyNumberFormat="1" applyFont="1" applyFill="1" applyAlignment="1" applyProtection="1">
      <alignment horizontal="general" vertical="bottom" textRotation="0" wrapText="1" indent="0" readingOrder="0"/>
      <protection locked="1" hidden="0"/>
    </xf>
    <xf numFmtId="166" fontId="25" fillId="0" borderId="0" xfId="0" applyNumberFormat="1" applyFont="1" applyFill="1" applyAlignment="1" applyProtection="1">
      <alignment horizontal="general" vertical="bottom" textRotation="0" wrapText="1" indent="0" readingOrder="0"/>
      <protection locked="1" hidden="0"/>
    </xf>
    <xf numFmtId="166" fontId="26" fillId="0" borderId="0" xfId="0" applyNumberFormat="1" applyFont="1" applyFill="1" applyAlignment="1" applyProtection="1">
      <alignment horizontal="general" vertical="bottom" textRotation="0" wrapText="1" indent="0" readingOrder="0"/>
      <protection locked="1" hidden="0"/>
    </xf>
    <xf numFmtId="166" fontId="25" fillId="0" borderId="0" xfId="0" applyNumberFormat="1" applyFont="1" applyFill="1" applyAlignment="1" applyProtection="1">
      <alignment horizontal="left" vertical="bottom" textRotation="0" wrapText="1" indent="0" readingOrder="0"/>
      <protection locked="1" hidden="0"/>
    </xf>
    <xf numFmtId="166" fontId="24" fillId="0" borderId="0" xfId="0" applyNumberFormat="1" applyFont="1" applyFill="1" applyAlignment="1" applyProtection="1">
      <alignment horizontal="general" vertical="bottom" textRotation="0" indent="2" readingOrder="0"/>
      <protection locked="1" hidden="0"/>
    </xf>
    <xf numFmtId="166" fontId="24" fillId="0" borderId="0" xfId="0" applyNumberFormat="1" applyFont="1" applyFill="1" applyAlignment="1" applyProtection="1">
      <alignment horizontal="general" vertical="bottom" textRotation="0" wrapText="1" indent="2" readingOrder="0"/>
      <protection locked="1" hidden="0"/>
    </xf>
    <xf numFmtId="166" fontId="26" fillId="0" borderId="1" xfId="0" applyNumberFormat="1" applyFont="1" applyFill="1" applyBorder="1" applyAlignment="1" applyProtection="1">
      <alignment horizontal="left" vertical="bottom" textRotation="0" indent="2" readingOrder="0"/>
      <protection locked="1" hidden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theme" Target="theme/theme1.xml"/><Relationship Id="rId16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1</xdr:col>
      <xdr:colOff>19050</xdr:colOff>
      <xdr:row>0</xdr:row>
      <xdr:rowOff>28575</xdr:rowOff>
    </xdr:from>
    <xdr:ext cx="571500" cy="571500"/>
    <xdr:pic>
      <xdr:nvPicPr>
        <xdr:cNvPr id="2" name="Shortcut logo"/>
        <xdr:cNvPicPr>
          <a:picLocks noChangeAspect="1"/>
        </xdr:cNvPicPr>
      </xdr:nvPicPr>
      <xdr:blipFill>
        <a:blip r:embed="rId1"/>
      </xdr:blipFill>
      <xdr:spPr>
        <a:xfrm>
          <a:off x="0" y="0"/>
          <a:ext cx="571500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 panose="020F0502020204030204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showGridLines="0" tabSelected="1" workbookViewId="0"/>
  </sheetViews>
  <sheetFormatPr defaultColWidth="8.42578125" defaultRowHeight="15"/>
  <cols>
    <col min="1" max="1" width="2" customWidth="1"/>
    <col min="2" max="2" width="38" customWidth="1"/>
    <col min="3" max="8" width="12" customWidth="1"/>
    <col min="9" max="9" width="2" customWidth="1"/>
    <col min="10" max="10" width="70" customWidth="1"/>
  </cols>
  <sheetData>
    <row r="1" ht="49.5">
      <c r="A1" s="1"/>
      <c r="B1" s="1"/>
      <c r="C1" s="1"/>
      <c r="D1" s="1"/>
      <c r="E1" s="1"/>
      <c r="F1" s="1"/>
      <c r="G1" s="1"/>
      <c r="H1" s="1"/>
      <c r="I1" s="1"/>
      <c r="J1" s="1"/>
    </row>
    <row r="2">
      <c r="A2" s="1"/>
      <c r="B2" s="38" t="s">
        <v>0</v>
      </c>
      <c r="C2" s="1"/>
      <c r="D2" s="1"/>
      <c r="E2" s="1"/>
      <c r="F2" s="1"/>
      <c r="G2" s="1"/>
      <c r="H2" s="1"/>
      <c r="I2" s="1"/>
      <c r="J2" s="1"/>
    </row>
    <row r="3">
      <c r="A3" s="1"/>
      <c r="B3" s="31" t="s">
        <v>1</v>
      </c>
      <c r="C3" s="1"/>
      <c r="D3" s="1"/>
      <c r="E3" s="1"/>
      <c r="F3" s="1"/>
      <c r="G3" s="1"/>
      <c r="H3" s="1"/>
      <c r="I3" s="1"/>
      <c r="J3" s="1"/>
    </row>
    <row r="4">
      <c r="A4" s="1"/>
      <c r="B4" s="24" t="s">
        <v>2</v>
      </c>
      <c r="C4" s="1"/>
      <c r="D4" s="1"/>
      <c r="E4" s="1"/>
      <c r="F4" s="1"/>
      <c r="G4" s="1"/>
      <c r="H4" s="1"/>
      <c r="I4" s="1"/>
      <c r="J4" s="1"/>
    </row>
    <row r="5">
      <c r="A5" s="1"/>
      <c r="B5" s="14" t="s">
        <v>3</v>
      </c>
      <c r="C5" s="11"/>
      <c r="D5" s="11"/>
      <c r="E5" s="11"/>
      <c r="F5" s="11"/>
      <c r="G5" s="11"/>
      <c r="H5" s="11"/>
      <c r="I5" s="14"/>
      <c r="J5" s="14"/>
    </row>
    <row r="6">
      <c r="A6" s="1"/>
      <c r="B6" s="19"/>
      <c r="C6" s="13"/>
      <c r="D6" s="13"/>
      <c r="E6" s="13"/>
      <c r="F6" s="13"/>
      <c r="G6" s="13"/>
      <c r="H6" s="13"/>
      <c r="I6" s="19"/>
      <c r="J6" s="19"/>
    </row>
    <row r="7">
      <c r="A7" s="1"/>
      <c r="B7" s="28"/>
      <c r="C7" s="9"/>
      <c r="D7" s="9"/>
      <c r="E7" s="9"/>
      <c r="F7" s="9"/>
      <c r="G7" s="9"/>
      <c r="H7" s="9"/>
      <c r="I7" s="28"/>
      <c r="J7" s="28"/>
    </row>
    <row r="8">
      <c r="A8" s="1"/>
      <c r="B8" s="1"/>
      <c r="C8" s="1"/>
      <c r="D8" s="1"/>
      <c r="E8" s="1"/>
      <c r="F8" s="1"/>
      <c r="G8" s="1"/>
      <c r="H8" s="1"/>
      <c r="I8" s="1"/>
      <c r="J8" s="1"/>
    </row>
    <row r="9">
      <c r="A9" s="1"/>
      <c r="B9" s="1" t="s">
        <v>4</v>
      </c>
      <c r="C9" s="16" t="s">
        <v>5</v>
      </c>
      <c r="D9" s="1"/>
      <c r="E9" s="1"/>
      <c r="F9" s="1"/>
      <c r="G9" s="1"/>
      <c r="H9" s="1"/>
      <c r="I9" s="1"/>
      <c r="J9" s="1"/>
    </row>
    <row r="10">
      <c r="A10" s="1"/>
      <c r="B10" s="1" t="s">
        <v>6</v>
      </c>
      <c r="C10" s="16" t="s">
        <v>7</v>
      </c>
      <c r="D10" s="1"/>
      <c r="E10" s="1"/>
      <c r="F10" s="1"/>
      <c r="G10" s="1"/>
      <c r="H10" s="1"/>
      <c r="I10" s="1"/>
      <c r="J10" s="1"/>
    </row>
    <row r="11">
      <c r="A11" s="1"/>
      <c r="B11" s="1" t="s">
        <v>8</v>
      </c>
      <c r="C11" s="16" t="s">
        <v>9</v>
      </c>
      <c r="D11" s="1"/>
      <c r="E11" s="1"/>
      <c r="F11" s="1"/>
      <c r="G11" s="1"/>
      <c r="H11" s="1"/>
      <c r="I11" s="1"/>
      <c r="J11" s="1"/>
    </row>
    <row r="12">
      <c r="A12" s="1"/>
      <c r="B12" s="1" t="s">
        <v>10</v>
      </c>
      <c r="C12" s="16" t="s">
        <v>11</v>
      </c>
      <c r="D12" s="1"/>
      <c r="E12" s="1"/>
      <c r="F12" s="1"/>
      <c r="G12" s="1"/>
      <c r="H12" s="1"/>
      <c r="I12" s="1"/>
      <c r="J12" s="1"/>
    </row>
    <row r="13" ht="39">
      <c r="A13" s="1"/>
      <c r="B13" s="1" t="s">
        <v>12</v>
      </c>
      <c r="C13" s="128" t="s">
        <v>13</v>
      </c>
      <c r="D13" s="128"/>
      <c r="E13" s="128"/>
      <c r="F13" s="128"/>
      <c r="G13" s="128"/>
      <c r="H13" s="128"/>
      <c r="I13" s="128"/>
      <c r="J13" s="128"/>
    </row>
    <row r="14">
      <c r="A14" s="1"/>
      <c r="B14" s="1" t="s">
        <v>14</v>
      </c>
      <c r="C14" s="16" t="s">
        <v>15</v>
      </c>
      <c r="D14" s="1"/>
      <c r="E14" s="1"/>
      <c r="F14" s="1"/>
      <c r="G14" s="1"/>
      <c r="H14" s="1"/>
      <c r="I14" s="1"/>
      <c r="J14" s="1"/>
    </row>
    <row r="15">
      <c r="A15" s="1"/>
      <c r="B15" s="1" t="s">
        <v>16</v>
      </c>
      <c r="C15" s="16" t="s">
        <v>17</v>
      </c>
      <c r="D15" s="1"/>
      <c r="E15" s="1"/>
      <c r="F15" s="1"/>
      <c r="G15" s="1"/>
      <c r="H15" s="1"/>
      <c r="I15" s="1"/>
      <c r="J15" s="1"/>
    </row>
    <row r="16">
      <c r="A16" s="1"/>
      <c r="B16" s="1" t="s">
        <v>18</v>
      </c>
      <c r="C16" s="16" t="s">
        <v>19</v>
      </c>
      <c r="D16" s="1"/>
      <c r="E16" s="1"/>
      <c r="F16" s="1"/>
      <c r="G16" s="1"/>
      <c r="H16" s="1"/>
      <c r="I16" s="1"/>
      <c r="J16" s="1"/>
    </row>
    <row r="17">
      <c r="A17" s="1"/>
      <c r="B17" s="1" t="s">
        <v>20</v>
      </c>
      <c r="C17" s="16" t="s">
        <v>21</v>
      </c>
      <c r="D17" s="1"/>
      <c r="E17" s="1"/>
      <c r="F17" s="1"/>
      <c r="G17" s="1"/>
      <c r="H17" s="1"/>
      <c r="I17" s="1"/>
      <c r="J17" s="1"/>
    </row>
    <row r="18">
      <c r="A18" s="1"/>
      <c r="B18" s="1"/>
      <c r="C18" s="1"/>
      <c r="D18" s="1"/>
      <c r="E18" s="1"/>
      <c r="F18" s="1"/>
      <c r="G18" s="1"/>
      <c r="H18" s="1"/>
      <c r="I18" s="1"/>
      <c r="J18" s="1"/>
    </row>
    <row r="19">
      <c r="A19" s="1"/>
      <c r="B19" s="31" t="s">
        <v>22</v>
      </c>
      <c r="C19" s="1"/>
      <c r="D19" s="1"/>
      <c r="E19" s="1"/>
      <c r="F19" s="1"/>
      <c r="G19" s="1"/>
      <c r="H19" s="1"/>
      <c r="I19" s="1"/>
      <c r="J19" s="1"/>
    </row>
    <row r="20">
      <c r="A20" s="1"/>
      <c r="B20" s="15" t="s">
        <v>23</v>
      </c>
      <c r="C20" s="18" t="s">
        <v>24</v>
      </c>
      <c r="D20" s="18" t="s">
        <v>25</v>
      </c>
      <c r="E20" s="18" t="s">
        <v>26</v>
      </c>
      <c r="F20" s="18" t="s">
        <v>27</v>
      </c>
      <c r="G20" s="18" t="s">
        <v>28</v>
      </c>
      <c r="H20" s="18" t="s">
        <v>29</v>
      </c>
      <c r="I20" s="1"/>
      <c r="J20" s="1"/>
    </row>
    <row r="21" ht="27">
      <c r="A21" s="1"/>
      <c r="B21" s="1" t="s">
        <v>30</v>
      </c>
      <c r="C21" s="23">
        <f>'Revenue summary'!H47</f>
        <v>51026.93898899725</v>
      </c>
      <c r="D21" s="23">
        <f>Inputs!C53</f>
        <v>51215.7</v>
      </c>
      <c r="E21" s="10">
        <f>C21-D21</f>
        <v>-188.76101100274536</v>
      </c>
      <c r="F21" s="22">
        <f>C21/D21-1</f>
        <v>-0.003685608338902857</v>
      </c>
      <c r="G21" s="6" t="s">
        <v>31</v>
      </c>
      <c r="H21" s="46">
        <f>Inputs!C58</f>
        <v>11</v>
      </c>
      <c r="I21" s="1"/>
      <c r="J21" s="125" t="s">
        <v>32</v>
      </c>
    </row>
    <row r="22" ht="51">
      <c r="A22" s="1"/>
      <c r="B22" s="112" t="s">
        <v>33</v>
      </c>
      <c r="C22" s="23">
        <f>'Income Statement'!H184</f>
        <v>16220.212264340378</v>
      </c>
      <c r="D22" s="23">
        <f>Inputs!C66</f>
        <v>15866.6</v>
      </c>
      <c r="E22" s="10" t="s">
        <v>34</v>
      </c>
      <c r="F22" s="22" t="s">
        <v>34</v>
      </c>
      <c r="G22" s="6" t="s">
        <v>31</v>
      </c>
      <c r="H22" s="6" t="s">
        <v>35</v>
      </c>
      <c r="I22" s="1"/>
      <c r="J22" s="126" t="s">
        <v>36</v>
      </c>
    </row>
    <row r="23" ht="39">
      <c r="A23" s="1"/>
      <c r="B23" s="112" t="s">
        <v>37</v>
      </c>
      <c r="C23" s="23">
        <f>'Income Statement'!H134</f>
        <v>16220.212264340378</v>
      </c>
      <c r="D23" s="23">
        <f>Inputs!C67</f>
        <v>15801.23</v>
      </c>
      <c r="E23" s="10" t="s">
        <v>34</v>
      </c>
      <c r="F23" s="22" t="s">
        <v>34</v>
      </c>
      <c r="G23" s="6" t="s">
        <v>31</v>
      </c>
      <c r="H23" s="6" t="s">
        <v>35</v>
      </c>
      <c r="I23" s="1"/>
      <c r="J23" s="126" t="s">
        <v>38</v>
      </c>
    </row>
    <row r="24" ht="39">
      <c r="A24" s="1"/>
      <c r="B24" s="127" t="s">
        <v>39</v>
      </c>
      <c r="C24" s="66">
        <f>'Income Statement'!H187</f>
        <v>5.918170251772587</v>
      </c>
      <c r="D24" s="63">
        <f>Inputs!C37</f>
        <v>5.94</v>
      </c>
      <c r="E24" s="40">
        <f>C24-D24</f>
        <v>-0.02182974822741368</v>
      </c>
      <c r="F24" s="22">
        <f>C24/D24-1</f>
        <v>-0.0036750417891269205</v>
      </c>
      <c r="G24" s="6" t="s">
        <v>31</v>
      </c>
      <c r="H24" s="46">
        <f>Inputs!C42</f>
        <v>12</v>
      </c>
      <c r="I24" s="1"/>
      <c r="J24" s="126" t="s">
        <v>40</v>
      </c>
    </row>
    <row r="25">
      <c r="A25" s="1"/>
      <c r="B25" s="1" t="s">
        <v>41</v>
      </c>
      <c r="C25" s="63">
        <f>'Income Statement'!H152</f>
        <v>5.918170251772587</v>
      </c>
      <c r="D25" s="63">
        <f>Inputs!C46</f>
        <v>5.91</v>
      </c>
      <c r="E25" s="40">
        <f>C25-D25</f>
        <v>0.008170251772586568</v>
      </c>
      <c r="F25" s="22">
        <f>C25/D25-1</f>
        <v>0.0013824453083903787</v>
      </c>
      <c r="G25" s="6" t="s">
        <v>31</v>
      </c>
      <c r="H25" s="46">
        <f>Inputs!C51</f>
        <v>15</v>
      </c>
      <c r="I25" s="1"/>
      <c r="J25" s="1"/>
    </row>
    <row r="26" ht="27">
      <c r="A26" s="1"/>
      <c r="B26" s="24" t="s">
        <v>42</v>
      </c>
      <c r="C26" s="65">
        <f>(C21-'Revenue summary'!H47)+(C22-'Income Statement'!H184)+(C23-'Income Statement'!H134)+(C24-'Income Statement'!H187)+(C25-'Income Statement'!H152)</f>
        <v>0</v>
      </c>
      <c r="D26" s="1"/>
      <c r="E26" s="1"/>
      <c r="F26" s="1"/>
      <c r="G26" s="1"/>
      <c r="H26" s="1"/>
      <c r="I26" s="1"/>
      <c r="J26" s="125" t="s">
        <v>43</v>
      </c>
    </row>
    <row r="27" ht="63">
      <c r="A27" s="1"/>
      <c r="B27" s="113" t="s">
        <v>44</v>
      </c>
      <c r="C27" s="99" t="str">
        <f>IF(AND(COUNT('Revenue summary'!C53:G53)=5,(SUMIF('Revenue summary'!C53:G53,"&gt;0")-SUMIF('Revenue summary'!C53:G53,"&lt;0"))&lt;0.5,COUNT('Revenue summary'!C73:G73)=5,(SUMIF('Revenue summary'!C73:G73,"&gt;0")-SUMIF('Revenue summary'!C73:G73,"&lt;0"))&lt;0.5,COUNT('Segment - CCB'!C38:G38)=5,(SUMIF('Segment - CCB'!C38:G38,"&gt;0")-SUMIF('Segment - CCB'!C38:G38,"&lt;0"))&lt;0.5,COUNT('Segment - CIB'!C91:G91)=5,(SUMIF('Segment - CIB'!C91:G91,"&gt;0")-SUMIF('Segment - CIB'!C91:G91,"&lt;0"))&lt;0.5,COUNT('Segment - CIB'!C162:G162)=5,(SUMIF('Segment - CIB'!C162:G162,"&gt;0")-SUMIF('Segment - CIB'!C162:G162,"&lt;0"))&lt;0.5,COUNT('Segment - AWM'!C31:G31)=5,(SUMIF('Segment - AWM'!C31:G31,"&gt;0")-SUMIF('Segment - AWM'!C31:G31,"&lt;0"))&lt;0.5,COUNT('Segment - AWM'!C109:G109)=5,(SUMIF('Segment - AWM'!C109:G109,"&gt;0")-SUMIF('Segment - AWM'!C109:G109,"&lt;0"))&lt;0.5,COUNT('Segment - Corporate'!C31:G31)=5,(SUMIF('Segment - Corporate'!C31:G31,"&gt;0")-SUMIF('Segment - Corporate'!C31:G31,"&lt;0"))&lt;0.5,COUNT('Balance Sheet'!C117:G117)=5,(SUMIF('Balance Sheet'!C117:G117,"&gt;0")-SUMIF('Balance Sheet'!C117:G117,"&lt;0"))&lt;0.5,COUNT('Share Count'!C33:G33)=5,(SUMIF('Share Count'!C33:G33,"&gt;0")-SUMIF('Share Count'!C33:G33,"&lt;0"))&lt;0.5,COUNT('Balance Sheet'!C118:G118)=5,(SUMIF('Balance Sheet'!C118:G118,"&gt;0")-SUMIF('Balance Sheet'!C118:G118,"&lt;0"))&lt;0.5,COUNT('Cash Flow Statement'!C38:G38)=5,(SUMIF('Cash Flow Statement'!C38:G38,"&gt;0")-SUMIF('Cash Flow Statement'!C38:G38,"&lt;0"))&lt;0.5,ISNUMBER(C26),ABS(C26)&lt;0.001,COUNT('Income Statement'!C155:G155)=5,(SUMIF('Income Statement'!C155:G155,"&gt;0")-SUMIF('Income Statement'!C155:G155,"&lt;0"))&lt;0.03,COUNT('Income Statement'!C192:G192)=5,MAX('Income Statement'!C192:G192)&lt;=0.025,MIN('Income Statement'!C192:G192)&gt;=-0.025,ISNUMBER(C28),ABS(C28)&lt;0.5),"PASS","FAIL")</f>
        <v>PASS</v>
      </c>
      <c r="D27" s="1"/>
      <c r="E27" s="1"/>
      <c r="F27" s="1"/>
      <c r="G27" s="1"/>
      <c r="H27" s="1"/>
      <c r="I27" s="1"/>
      <c r="J27" s="125" t="s">
        <v>45</v>
      </c>
    </row>
    <row r="28" ht="51">
      <c r="A28" s="1"/>
      <c r="B28" s="111" t="s">
        <v>46</v>
      </c>
      <c r="C28" s="100">
        <f>ROUND('Segment - CCB'!H282+'Segment - CIB'!H285+'Segment - AWM'!H189+'Segment - Corporate'!H95-'Revenue summary'!H44-'Income Statement'!H125,6)</f>
        <v>0</v>
      </c>
      <c r="D28" s="95"/>
      <c r="E28" s="95"/>
      <c r="F28" s="95"/>
      <c r="G28" s="95"/>
      <c r="H28" s="95"/>
      <c r="I28" s="95"/>
      <c r="J28" s="125" t="s">
        <v>47</v>
      </c>
    </row>
    <row r="29" ht="75">
      <c r="A29" s="1"/>
      <c r="B29" s="93" t="s">
        <v>48</v>
      </c>
      <c r="C29" s="100" t="s">
        <v>49</v>
      </c>
      <c r="D29" s="95"/>
      <c r="E29" s="95"/>
      <c r="F29" s="95"/>
      <c r="G29" s="95"/>
      <c r="H29" s="95"/>
      <c r="I29" s="95"/>
      <c r="J29" s="125" t="s">
        <v>50</v>
      </c>
    </row>
    <row r="30" ht="39">
      <c r="A30" s="1"/>
      <c r="B30" s="31" t="s">
        <v>51</v>
      </c>
      <c r="C30" s="59">
        <f>Inputs!C129</f>
        <v>0.6328571428571428</v>
      </c>
      <c r="D30" s="1"/>
      <c r="E30" s="1"/>
      <c r="F30" s="1"/>
      <c r="G30" s="1"/>
      <c r="H30" s="1"/>
      <c r="I30" s="1"/>
      <c r="J30" s="125" t="s">
        <v>52</v>
      </c>
    </row>
    <row r="31">
      <c r="A31" s="1"/>
      <c r="B31" s="31" t="s">
        <v>53</v>
      </c>
      <c r="C31" s="54" t="str">
        <f>Inputs!C130</f>
        <v>low</v>
      </c>
      <c r="D31" s="1"/>
      <c r="E31" s="1"/>
      <c r="F31" s="1"/>
      <c r="G31" s="1"/>
      <c r="H31" s="1"/>
      <c r="I31" s="1"/>
      <c r="J31" s="1"/>
    </row>
    <row r="32">
      <c r="A32" s="1"/>
      <c r="H32" s="1"/>
      <c r="I32" s="1"/>
      <c r="J32" s="1"/>
    </row>
    <row r="33">
      <c r="A33" s="1"/>
      <c r="B33" s="31" t="s">
        <v>54</v>
      </c>
      <c r="H33" s="1"/>
      <c r="I33" s="1"/>
      <c r="J33" s="1"/>
    </row>
    <row r="34">
      <c r="A34" s="1"/>
      <c r="B34" s="15" t="s">
        <v>55</v>
      </c>
      <c r="C34" s="18" t="s">
        <v>56</v>
      </c>
      <c r="D34" s="18" t="s">
        <v>57</v>
      </c>
      <c r="E34" s="18" t="s">
        <v>58</v>
      </c>
      <c r="F34" s="18" t="s">
        <v>59</v>
      </c>
      <c r="G34" s="18" t="s">
        <v>60</v>
      </c>
      <c r="H34" s="1"/>
      <c r="I34" s="1"/>
      <c r="J34" s="1"/>
    </row>
    <row r="35">
      <c r="A35" s="1"/>
      <c r="B35" s="21" t="s">
        <v>61</v>
      </c>
      <c r="C35" s="23">
        <f>'Revenue summary'!H64</f>
        <v>26778.3845</v>
      </c>
      <c r="D35" s="23">
        <f>'Revenue summary'!C64</f>
        <v>24071</v>
      </c>
      <c r="E35" s="22">
        <f>C35/D35-1</f>
        <v>0.11247494910888611</v>
      </c>
      <c r="F35" s="23">
        <f>'Revenue summary'!G64</f>
        <v>25622</v>
      </c>
      <c r="G35" s="22">
        <f>C35/F35-1</f>
        <v>0.04513248380298185</v>
      </c>
      <c r="H35" s="1"/>
      <c r="I35" s="1"/>
      <c r="J35" s="1"/>
    </row>
    <row r="36">
      <c r="A36" s="1"/>
      <c r="B36" s="21" t="s">
        <v>62</v>
      </c>
      <c r="C36" s="23">
        <f>'Revenue summary'!H57</f>
        <v>24350.3845</v>
      </c>
      <c r="D36" s="23">
        <f>'Revenue summary'!C57</f>
        <v>23391</v>
      </c>
      <c r="E36" s="22">
        <f>C36/D36-1</f>
        <v>0.041015112650164554</v>
      </c>
      <c r="F36" s="23">
        <f>'Revenue summary'!G57</f>
        <v>23677</v>
      </c>
      <c r="G36" s="22">
        <f>C36/F36-1</f>
        <v>0.028440448536554364</v>
      </c>
      <c r="H36" s="1"/>
      <c r="I36" s="1"/>
      <c r="J36" s="1"/>
    </row>
    <row r="37">
      <c r="A37" s="1"/>
      <c r="B37" s="21" t="s">
        <v>63</v>
      </c>
      <c r="C37" s="23">
        <f>'Revenue summary'!H80</f>
        <v>10648.33</v>
      </c>
      <c r="D37" s="23">
        <f>'Revenue summary'!C80</f>
        <v>8944</v>
      </c>
      <c r="E37" s="22">
        <f>C37/D37-1</f>
        <v>0.19055567978533094</v>
      </c>
      <c r="F37" s="23">
        <f>'Revenue summary'!G80</f>
        <v>12078</v>
      </c>
      <c r="G37" s="22">
        <f>C37/F37-1</f>
        <v>-0.11836976320582882</v>
      </c>
      <c r="H37" s="1"/>
      <c r="I37" s="1"/>
      <c r="J37" s="1"/>
    </row>
    <row r="38">
      <c r="A38" s="1"/>
      <c r="B38" s="21" t="s">
        <v>64</v>
      </c>
      <c r="C38" s="23">
        <f>'Segment - CIB'!H118</f>
        <v>3054.7200000000003</v>
      </c>
      <c r="D38" s="23">
        <f>'Segment - CIB'!C118</f>
        <v>2627</v>
      </c>
      <c r="E38" s="22">
        <f>C38/D38-1</f>
        <v>0.16281690140845084</v>
      </c>
      <c r="F38" s="23">
        <f>'Segment - CIB'!G118</f>
        <v>3277</v>
      </c>
      <c r="G38" s="22">
        <f>C38/F38-1</f>
        <v>-0.0678303326212999</v>
      </c>
      <c r="H38" s="1"/>
      <c r="I38" s="1"/>
      <c r="J38" s="1"/>
    </row>
    <row r="39">
      <c r="A39" s="1"/>
      <c r="B39" s="21" t="s">
        <v>65</v>
      </c>
      <c r="C39" s="23">
        <f>'Income Statement'!H118</f>
        <v>27118.98711281096</v>
      </c>
      <c r="D39" s="23">
        <f>'Income Statement'!C118</f>
        <v>24281</v>
      </c>
      <c r="E39" s="22">
        <f>C39/D39-1</f>
        <v>0.11688098154157411</v>
      </c>
      <c r="F39" s="23">
        <f>'Income Statement'!G118</f>
        <v>27316</v>
      </c>
      <c r="G39" s="22">
        <f>C39/F39-1</f>
        <v>-0.00721236224883004</v>
      </c>
      <c r="H39" s="1"/>
      <c r="I39" s="1"/>
    </row>
    <row r="40">
      <c r="A40" s="1"/>
      <c r="B40" s="21" t="s">
        <v>66</v>
      </c>
      <c r="C40" s="23">
        <f>'Income Statement'!H95</f>
        <v>2842.741143276712</v>
      </c>
      <c r="D40" s="23">
        <f>'Income Statement'!C95</f>
        <v>3403</v>
      </c>
      <c r="E40" s="22">
        <f>C40/D40-1</f>
        <v>-0.1646367489636461</v>
      </c>
      <c r="F40" s="23">
        <f>'Income Statement'!G95</f>
        <v>2515</v>
      </c>
      <c r="G40" s="22">
        <f>C40/F40-1</f>
        <v>0.13031456989133683</v>
      </c>
      <c r="H40" s="1"/>
      <c r="I40" s="1"/>
      <c r="J40" s="1"/>
    </row>
    <row r="41">
      <c r="A41" s="1"/>
      <c r="B41" s="21" t="s">
        <v>67</v>
      </c>
      <c r="C41" s="7">
        <f>'Income Statement'!H131</f>
        <v>0.23</v>
      </c>
      <c r="D41" s="7">
        <f>'Income Statement'!C131</f>
        <v>0.23208664568105425</v>
      </c>
      <c r="E41" s="61">
        <f>(C41-D41)*10000</f>
        <v>-20.866456810542388</v>
      </c>
      <c r="F41" s="7">
        <f>'Income Statement'!G131</f>
        <v>0.23117458932984444</v>
      </c>
      <c r="G41" s="61">
        <f>(C41-F41)*10000</f>
        <v>-11.745893298444333</v>
      </c>
      <c r="H41" s="1"/>
      <c r="I41" s="1"/>
      <c r="J41" s="2" t="s">
        <v>68</v>
      </c>
    </row>
    <row r="42">
      <c r="A42" s="1"/>
      <c r="B42" s="21" t="s">
        <v>69</v>
      </c>
      <c r="C42" s="23">
        <f>'Share Count'!H29</f>
        <v>2677.8933823529414</v>
      </c>
      <c r="D42" s="23">
        <f>'Share Count'!C29</f>
        <v>2767.6</v>
      </c>
      <c r="E42" s="22">
        <f>C42/D42-1</f>
        <v>-0.032413144112971026</v>
      </c>
      <c r="F42" s="23">
        <f>'Share Count'!G29</f>
        <v>2694.2000000000003</v>
      </c>
      <c r="G42" s="22">
        <f>C42/F42-1</f>
        <v>-0.006052489661888094</v>
      </c>
      <c r="H42" s="1"/>
      <c r="I42" s="1"/>
      <c r="J42" s="1"/>
    </row>
    <row r="43">
      <c r="A43" s="1"/>
      <c r="F43" s="1"/>
      <c r="G43" s="1"/>
      <c r="H43" s="1"/>
      <c r="I43" s="1"/>
      <c r="J43" s="1"/>
    </row>
    <row r="44">
      <c r="A44" s="1"/>
      <c r="B44" s="31" t="s">
        <v>70</v>
      </c>
      <c r="F44" s="1"/>
      <c r="G44" s="1"/>
      <c r="H44" s="1"/>
      <c r="I44" s="1"/>
    </row>
    <row r="45">
      <c r="A45" s="1"/>
      <c r="B45" s="15" t="s">
        <v>71</v>
      </c>
      <c r="C45" s="18" t="s">
        <v>72</v>
      </c>
      <c r="D45" s="18" t="s">
        <v>73</v>
      </c>
      <c r="E45" s="98" t="s">
        <v>74</v>
      </c>
      <c r="F45" s="1"/>
      <c r="G45" s="1"/>
      <c r="H45" s="1"/>
      <c r="I45" s="1"/>
    </row>
    <row r="46">
      <c r="A46" s="1"/>
      <c r="B46" s="21" t="s">
        <v>75</v>
      </c>
      <c r="C46" s="41">
        <v>5.94</v>
      </c>
      <c r="D46" s="3">
        <v>52210</v>
      </c>
      <c r="E46" s="16" t="s">
        <v>76</v>
      </c>
      <c r="F46" s="1"/>
      <c r="G46" s="1"/>
      <c r="H46" s="1"/>
      <c r="I46" s="1"/>
      <c r="J46" s="2" t="s">
        <v>77</v>
      </c>
    </row>
    <row r="47">
      <c r="A47" s="1"/>
      <c r="B47" s="21" t="s">
        <v>78</v>
      </c>
      <c r="C47" s="41">
        <v>5.93</v>
      </c>
      <c r="D47" s="3">
        <v>51230</v>
      </c>
      <c r="E47" s="16" t="s">
        <v>79</v>
      </c>
      <c r="F47" s="1"/>
      <c r="G47" s="1"/>
      <c r="H47" s="1"/>
      <c r="I47" s="1"/>
      <c r="J47" s="2" t="s">
        <v>80</v>
      </c>
    </row>
    <row r="48">
      <c r="A48" s="1"/>
      <c r="B48" s="21" t="s">
        <v>81</v>
      </c>
      <c r="C48" s="41">
        <v>5.91</v>
      </c>
      <c r="D48" s="3">
        <v>51150</v>
      </c>
      <c r="E48" s="16" t="s">
        <v>79</v>
      </c>
      <c r="F48" s="1"/>
      <c r="G48" s="1"/>
      <c r="H48" s="1"/>
      <c r="I48" s="1"/>
      <c r="J48" s="2" t="s">
        <v>82</v>
      </c>
    </row>
    <row r="49">
      <c r="A49" s="1"/>
      <c r="B49" s="21" t="s">
        <v>83</v>
      </c>
      <c r="C49" s="41">
        <v>5.9</v>
      </c>
      <c r="D49" s="3">
        <v>51500</v>
      </c>
      <c r="E49" s="16" t="s">
        <v>84</v>
      </c>
      <c r="F49" s="1"/>
      <c r="G49" s="1"/>
      <c r="H49" s="1"/>
      <c r="I49" s="1"/>
      <c r="J49" s="2" t="s">
        <v>85</v>
      </c>
    </row>
    <row r="50">
      <c r="A50" s="1"/>
      <c r="B50" s="21" t="s">
        <v>86</v>
      </c>
      <c r="C50" s="41">
        <v>5.86</v>
      </c>
      <c r="D50" s="3">
        <v>50847</v>
      </c>
      <c r="E50" s="16" t="s">
        <v>84</v>
      </c>
      <c r="F50" s="1"/>
      <c r="G50" s="1"/>
      <c r="H50" s="1"/>
      <c r="I50" s="1"/>
      <c r="J50" s="2" t="s">
        <v>87</v>
      </c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</row>
  </sheetData>
  <mergeCells count="1">
    <mergeCell ref="C13:J13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1"/>
  <sheetViews>
    <sheetView showGridLines="0" workbookViewId="0"/>
  </sheetViews>
  <sheetFormatPr defaultColWidth="8.42578125" defaultRowHeight="15"/>
  <cols>
    <col min="1" max="1" width="2" customWidth="1"/>
    <col min="2" max="2" width="38" customWidth="1"/>
    <col min="3" max="8" width="12" customWidth="1"/>
    <col min="9" max="9" width="2" customWidth="1"/>
    <col min="10" max="10" width="7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</row>
    <row r="2">
      <c r="A2" s="1"/>
      <c r="B2" s="38" t="s">
        <v>0</v>
      </c>
      <c r="C2" s="1"/>
      <c r="D2" s="1"/>
      <c r="E2" s="1"/>
      <c r="F2" s="1"/>
      <c r="G2" s="1"/>
      <c r="H2" s="1"/>
      <c r="I2" s="1"/>
      <c r="J2" s="1"/>
    </row>
    <row r="3">
      <c r="A3" s="1"/>
      <c r="B3" s="31" t="s">
        <v>88</v>
      </c>
      <c r="C3" s="1"/>
      <c r="D3" s="1"/>
      <c r="E3" s="1"/>
      <c r="F3" s="1"/>
      <c r="G3" s="1"/>
      <c r="H3" s="1"/>
      <c r="I3" s="1"/>
      <c r="J3" s="1"/>
    </row>
    <row r="4">
      <c r="A4" s="1"/>
      <c r="B4" s="24" t="s">
        <v>2</v>
      </c>
      <c r="C4" s="1"/>
      <c r="D4" s="1"/>
      <c r="E4" s="1"/>
      <c r="F4" s="1"/>
      <c r="G4" s="1"/>
      <c r="H4" s="1"/>
      <c r="I4" s="1"/>
      <c r="J4" s="1"/>
    </row>
    <row r="5">
      <c r="A5" s="1"/>
      <c r="B5" s="14" t="s">
        <v>89</v>
      </c>
      <c r="C5" s="11" t="s">
        <v>57</v>
      </c>
      <c r="D5" s="11" t="s">
        <v>90</v>
      </c>
      <c r="E5" s="11" t="s">
        <v>91</v>
      </c>
      <c r="F5" s="11" t="s">
        <v>92</v>
      </c>
      <c r="G5" s="11" t="s">
        <v>59</v>
      </c>
      <c r="H5" s="11" t="s">
        <v>56</v>
      </c>
      <c r="I5" s="14"/>
      <c r="J5" s="14" t="s">
        <v>93</v>
      </c>
    </row>
    <row r="6">
      <c r="A6" s="1"/>
      <c r="B6" s="19" t="s">
        <v>94</v>
      </c>
      <c r="C6" s="13">
        <v>45930</v>
      </c>
      <c r="D6" s="13">
        <v>46022</v>
      </c>
      <c r="E6" s="13">
        <v>46022</v>
      </c>
      <c r="F6" s="13">
        <v>46112</v>
      </c>
      <c r="G6" s="13">
        <v>46203</v>
      </c>
      <c r="H6" s="13">
        <v>46295</v>
      </c>
      <c r="I6" s="19"/>
      <c r="J6" s="19"/>
    </row>
    <row r="7">
      <c r="A7" s="1"/>
      <c r="B7" s="28" t="s">
        <v>95</v>
      </c>
      <c r="C7" s="9">
        <v>92</v>
      </c>
      <c r="D7" s="9">
        <v>92</v>
      </c>
      <c r="E7" s="9">
        <v>365</v>
      </c>
      <c r="F7" s="9">
        <v>90</v>
      </c>
      <c r="G7" s="9">
        <v>91</v>
      </c>
      <c r="H7" s="9">
        <v>92</v>
      </c>
      <c r="I7" s="28"/>
      <c r="J7" s="28"/>
    </row>
    <row r="8">
      <c r="A8" s="1"/>
      <c r="B8" s="1"/>
      <c r="C8" s="1"/>
      <c r="D8" s="1"/>
      <c r="E8" s="1"/>
      <c r="F8" s="1"/>
      <c r="G8" s="1"/>
      <c r="H8" s="30"/>
      <c r="I8" s="1"/>
      <c r="J8" s="1"/>
    </row>
    <row r="9">
      <c r="A9" s="1"/>
      <c r="B9" s="31" t="s">
        <v>96</v>
      </c>
      <c r="C9" s="1"/>
      <c r="D9" s="1"/>
      <c r="E9" s="1"/>
      <c r="F9" s="1"/>
      <c r="G9" s="1"/>
      <c r="H9" s="30"/>
      <c r="I9" s="1"/>
      <c r="J9" s="1"/>
    </row>
    <row r="10">
      <c r="A10" s="1"/>
      <c r="B10" s="1" t="s">
        <v>97</v>
      </c>
      <c r="C10" s="23">
        <f>'Segment - CCB'!C31</f>
        <v>19473</v>
      </c>
      <c r="D10" s="23">
        <f>'Segment - CCB'!D31</f>
        <v>19396</v>
      </c>
      <c r="E10" s="23">
        <f>'Segment - CCB'!E31</f>
        <v>76029</v>
      </c>
      <c r="F10" s="23">
        <f>'Segment - CCB'!F31</f>
        <v>19568</v>
      </c>
      <c r="G10" s="23">
        <f>'Segment - CCB'!G31</f>
        <v>20272</v>
      </c>
      <c r="H10" s="53">
        <f>'Segment - CCB'!H31</f>
        <v>20831.47088675671</v>
      </c>
      <c r="I10" s="1"/>
      <c r="J10" s="2" t="s">
        <v>98</v>
      </c>
    </row>
    <row r="11">
      <c r="A11" s="1"/>
      <c r="B11" s="36" t="s">
        <v>99</v>
      </c>
      <c r="C11" s="22">
        <f>IF(AND(ISNUMBER(C10),ISNUMBER(C136)),IF(OR(C136&lt;=0,C10&lt;0),"n.m.",C10/C136-1),"n.a.")</f>
        <v>0.09454218425046368</v>
      </c>
      <c r="D11" s="22">
        <f>IF(AND(ISNUMBER(D10),ISNUMBER(D136)),IF(OR(D136&lt;=0,D10&lt;0),"n.m.",D10/D136-1),"n.a.")</f>
        <v>0.0563119485894783</v>
      </c>
      <c r="E11" s="22">
        <f>IF(AND(ISNUMBER(E10),ISNUMBER(E136)),IF(OR(E136&lt;=0,E10&lt;0),"n.m.",E10/E136-1),"n.a.")</f>
        <v>0.06323856405666572</v>
      </c>
      <c r="F11" s="22">
        <f>IF(AND(ISNUMBER(F10),ISNUMBER(F136)),IF(OR(F136&lt;=0,F10&lt;0),"n.m.",F10/F136-1),"n.a.")</f>
        <v>0.06853055206683778</v>
      </c>
      <c r="G11" s="22">
        <f>IF(AND(ISNUMBER(G10),ISNUMBER(G136)),IF(OR(G136&lt;=0,G10&lt;0),"n.m.",G10/G136-1),"n.a.")</f>
        <v>0.07560885021488839</v>
      </c>
      <c r="H11" s="39">
        <f>IF(AND(ISNUMBER(H10),ISNUMBER(C10)),IF(OR(C10&lt;=0,H10&lt;0),"n.m.",H10/C10-1),"n.a.")</f>
        <v>0.06976176689553282</v>
      </c>
      <c r="I11" s="1"/>
      <c r="J11" s="1"/>
    </row>
    <row r="12">
      <c r="A12" s="1"/>
      <c r="B12" s="36" t="s">
        <v>60</v>
      </c>
      <c r="C12" s="22">
        <f>IF(AND(ISNUMBER(C10),ISNUMBER(G136)),IF(OR(G136&lt;=0,C10&lt;0),"n.m.",C10/G136-1),"n.a.")</f>
        <v>0.03321483525229474</v>
      </c>
      <c r="D12" s="22">
        <f>IF(AND(ISNUMBER(D10),ISNUMBER(C10)),IF(OR(C10&lt;=0,D10&lt;0),"n.m.",D10/C10-1),"n.a.")</f>
        <v>-0.0039541929851589774</v>
      </c>
      <c r="E12" s="1"/>
      <c r="F12" s="22">
        <f>IF(AND(ISNUMBER(F10),ISNUMBER(D10)),IF(OR(D10&lt;=0,F10&lt;0),"n.m.",F10/D10-1),"n.a.")</f>
        <v>0.008867807795421845</v>
      </c>
      <c r="G12" s="22">
        <f>IF(AND(ISNUMBER(G10),ISNUMBER(F10)),IF(OR(F10&lt;=0,G10&lt;0),"n.m.",G10/F10-1),"n.a.")</f>
        <v>0.035977105478331994</v>
      </c>
      <c r="H12" s="39">
        <f>IF(AND(ISNUMBER(H10),ISNUMBER(G10)),IF(OR(G10&lt;=0,H10&lt;0),"n.m.",H10/G10-1),"n.a.")</f>
        <v>0.027598208699521898</v>
      </c>
      <c r="I12" s="1"/>
      <c r="J12" s="1"/>
    </row>
    <row r="13">
      <c r="A13" s="1"/>
      <c r="B13" s="36" t="s">
        <v>100</v>
      </c>
      <c r="C13" s="22">
        <f>IFERROR(C10/C38,"n.a.")</f>
        <v>0.4132640067911715</v>
      </c>
      <c r="D13" s="22">
        <f>IFERROR(D10/D38,"n.a.")</f>
        <v>0.4147368871212607</v>
      </c>
      <c r="E13" s="22">
        <f>IFERROR(E10/E38,"n.a.")</f>
        <v>0.40968094794186904</v>
      </c>
      <c r="F13" s="22">
        <f>IFERROR(F10/F38,"n.a.")</f>
        <v>0.38720911825233495</v>
      </c>
      <c r="G13" s="22">
        <f>IFERROR(G10/G38,"n.a.")</f>
        <v>0.349384716142153</v>
      </c>
      <c r="H13" s="39">
        <f>IFERROR(H10/H38,"n.a.")</f>
        <v>0.4027978316966631</v>
      </c>
      <c r="I13" s="1"/>
      <c r="J13" s="1"/>
    </row>
    <row r="14">
      <c r="A14" s="1"/>
      <c r="B14" s="36" t="s">
        <v>101</v>
      </c>
      <c r="C14" s="67" t="s">
        <v>35</v>
      </c>
      <c r="D14" s="67" t="s">
        <v>35</v>
      </c>
      <c r="E14" s="67" t="s">
        <v>35</v>
      </c>
      <c r="F14" s="67" t="s">
        <v>35</v>
      </c>
      <c r="G14" s="67" t="s">
        <v>35</v>
      </c>
      <c r="H14" s="68" t="s">
        <v>35</v>
      </c>
      <c r="I14" s="1"/>
      <c r="J14" s="1"/>
    </row>
    <row r="15">
      <c r="A15" s="1"/>
      <c r="B15" s="36" t="s">
        <v>102</v>
      </c>
      <c r="C15" s="67" t="s">
        <v>35</v>
      </c>
      <c r="D15" s="67" t="s">
        <v>35</v>
      </c>
      <c r="E15" s="67" t="s">
        <v>35</v>
      </c>
      <c r="F15" s="67" t="s">
        <v>35</v>
      </c>
      <c r="G15" s="67" t="s">
        <v>35</v>
      </c>
      <c r="H15" s="68" t="s">
        <v>35</v>
      </c>
      <c r="I15" s="1"/>
      <c r="J15" s="1"/>
    </row>
    <row r="16">
      <c r="A16" s="1"/>
      <c r="B16" s="36" t="s">
        <v>103</v>
      </c>
      <c r="C16" s="67" t="s">
        <v>35</v>
      </c>
      <c r="D16" s="67" t="s">
        <v>35</v>
      </c>
      <c r="E16" s="67" t="s">
        <v>35</v>
      </c>
      <c r="F16" s="67" t="s">
        <v>35</v>
      </c>
      <c r="G16" s="67" t="s">
        <v>35</v>
      </c>
      <c r="H16" s="68" t="s">
        <v>35</v>
      </c>
      <c r="I16" s="1"/>
      <c r="J16" s="1"/>
    </row>
    <row r="17">
      <c r="A17" s="1"/>
      <c r="B17" s="1" t="s">
        <v>104</v>
      </c>
      <c r="C17" s="23">
        <f>'Segment - CIB'!C84</f>
        <v>19878</v>
      </c>
      <c r="D17" s="23">
        <f>'Segment - CIB'!D84</f>
        <v>19375</v>
      </c>
      <c r="E17" s="23">
        <f>'Segment - CIB'!E84</f>
        <v>78454</v>
      </c>
      <c r="F17" s="23">
        <f>'Segment - CIB'!F84</f>
        <v>23379</v>
      </c>
      <c r="G17" s="23">
        <f>'Segment - CIB'!G84</f>
        <v>24853</v>
      </c>
      <c r="H17" s="53">
        <f>'Segment - CIB'!H84</f>
        <v>22900.65</v>
      </c>
      <c r="I17" s="1"/>
      <c r="J17" s="2" t="s">
        <v>105</v>
      </c>
    </row>
    <row r="18">
      <c r="A18" s="1"/>
      <c r="B18" s="36" t="s">
        <v>99</v>
      </c>
      <c r="C18" s="22">
        <f>IF(AND(ISNUMBER(C17),ISNUMBER(C137)),IF(OR(C137&lt;=0,C17&lt;0),"n.m.",C17/C137-1),"n.a.")</f>
        <v>0.16826329709080223</v>
      </c>
      <c r="D18" s="22">
        <f>IF(AND(ISNUMBER(D17),ISNUMBER(D137)),IF(OR(D137&lt;=0,D17&lt;0),"n.m.",D17/D137-1),"n.a.")</f>
        <v>0.10097738379361298</v>
      </c>
      <c r="E18" s="22">
        <f>IF(AND(ISNUMBER(E17),ISNUMBER(E137)),IF(OR(E137&lt;=0,E17&lt;0),"n.m.",E17/E137-1),"n.a.")</f>
        <v>0.11894913997204548</v>
      </c>
      <c r="F18" s="22">
        <f>IF(AND(ISNUMBER(F17),ISNUMBER(F137)),IF(OR(F137&lt;=0,F17&lt;0),"n.m.",F17/F137-1),"n.a.")</f>
        <v>0.18880301027153457</v>
      </c>
      <c r="G18" s="22">
        <f>IF(AND(ISNUMBER(G17),ISNUMBER(G137)),IF(OR(G137&lt;=0,G17&lt;0),"n.m.",G17/G137-1),"n.a.")</f>
        <v>0.27222933196826204</v>
      </c>
      <c r="H18" s="39">
        <f>IF(AND(ISNUMBER(H17),ISNUMBER(C17)),IF(OR(C17&lt;=0,H17&lt;0),"n.m.",H17/C17-1),"n.a.")</f>
        <v>0.15206006640507108</v>
      </c>
      <c r="I18" s="1"/>
      <c r="J18" s="1"/>
    </row>
    <row r="19">
      <c r="A19" s="1"/>
      <c r="B19" s="36" t="s">
        <v>60</v>
      </c>
      <c r="C19" s="22">
        <f>IF(AND(ISNUMBER(C17),ISNUMBER(G137)),IF(OR(G137&lt;=0,C17&lt;0),"n.m.",C17/G137-1),"n.a.")</f>
        <v>0.017558228820066635</v>
      </c>
      <c r="D19" s="22">
        <f>IF(AND(ISNUMBER(D17),ISNUMBER(C17)),IF(OR(C17&lt;=0,D17&lt;0),"n.m.",D17/C17-1),"n.a.")</f>
        <v>-0.02530435657510821</v>
      </c>
      <c r="E19" s="1"/>
      <c r="F19" s="22">
        <f>IF(AND(ISNUMBER(F17),ISNUMBER(D17)),IF(OR(D17&lt;=0,F17&lt;0),"n.m.",F17/D17-1),"n.a.")</f>
        <v>0.20665806451612911</v>
      </c>
      <c r="G19" s="22">
        <f>IF(AND(ISNUMBER(G17),ISNUMBER(F17)),IF(OR(F17&lt;=0,G17&lt;0),"n.m.",G17/F17-1),"n.a.")</f>
        <v>0.06304803456093078</v>
      </c>
      <c r="H19" s="39">
        <f>IF(AND(ISNUMBER(H17),ISNUMBER(G17)),IF(OR(G17&lt;=0,H17&lt;0),"n.m.",H17/G17-1),"n.a.")</f>
        <v>-0.07855590874341123</v>
      </c>
      <c r="I19" s="1"/>
      <c r="J19" s="1"/>
    </row>
    <row r="20">
      <c r="A20" s="1"/>
      <c r="B20" s="36" t="s">
        <v>100</v>
      </c>
      <c r="C20" s="22">
        <f>IFERROR(C17/C38,"n.a.")</f>
        <v>0.4218590831918506</v>
      </c>
      <c r="D20" s="22">
        <f>IFERROR(D17/D38,"n.a.")</f>
        <v>0.4142878525455984</v>
      </c>
      <c r="E20" s="22">
        <f>IFERROR(E17/E38,"n.a.")</f>
        <v>0.4227480183855028</v>
      </c>
      <c r="F20" s="22">
        <f>IFERROR(F17/F38,"n.a.")</f>
        <v>0.462620706031344</v>
      </c>
      <c r="G20" s="22">
        <f>IFERROR(G17/G38,"n.a.")</f>
        <v>0.4283375271448761</v>
      </c>
      <c r="H20" s="39">
        <f>IFERROR(H17/H38,"n.a.")</f>
        <v>0.4428075297509797</v>
      </c>
      <c r="I20" s="1"/>
      <c r="J20" s="1"/>
    </row>
    <row r="21">
      <c r="A21" s="1"/>
      <c r="B21" s="36" t="s">
        <v>101</v>
      </c>
      <c r="C21" s="67" t="s">
        <v>35</v>
      </c>
      <c r="D21" s="67" t="s">
        <v>35</v>
      </c>
      <c r="E21" s="67" t="s">
        <v>35</v>
      </c>
      <c r="F21" s="67" t="s">
        <v>35</v>
      </c>
      <c r="G21" s="67" t="s">
        <v>35</v>
      </c>
      <c r="H21" s="68" t="s">
        <v>35</v>
      </c>
      <c r="I21" s="1"/>
      <c r="J21" s="1"/>
    </row>
    <row r="22">
      <c r="A22" s="1"/>
      <c r="B22" s="36" t="s">
        <v>102</v>
      </c>
      <c r="C22" s="67" t="s">
        <v>35</v>
      </c>
      <c r="D22" s="67" t="s">
        <v>35</v>
      </c>
      <c r="E22" s="67" t="s">
        <v>35</v>
      </c>
      <c r="F22" s="67" t="s">
        <v>35</v>
      </c>
      <c r="G22" s="67" t="s">
        <v>35</v>
      </c>
      <c r="H22" s="68" t="s">
        <v>35</v>
      </c>
      <c r="I22" s="1"/>
      <c r="J22" s="1"/>
    </row>
    <row r="23">
      <c r="A23" s="1"/>
      <c r="B23" s="36" t="s">
        <v>103</v>
      </c>
      <c r="C23" s="67" t="s">
        <v>35</v>
      </c>
      <c r="D23" s="67" t="s">
        <v>35</v>
      </c>
      <c r="E23" s="67" t="s">
        <v>35</v>
      </c>
      <c r="F23" s="67" t="s">
        <v>35</v>
      </c>
      <c r="G23" s="67" t="s">
        <v>35</v>
      </c>
      <c r="H23" s="68" t="s">
        <v>35</v>
      </c>
      <c r="I23" s="1"/>
      <c r="J23" s="1"/>
    </row>
    <row r="24">
      <c r="A24" s="1"/>
      <c r="B24" s="1" t="s">
        <v>106</v>
      </c>
      <c r="C24" s="23">
        <f>'Segment - AWM'!C24</f>
        <v>6066</v>
      </c>
      <c r="D24" s="23">
        <f>'Segment - AWM'!D24</f>
        <v>6516</v>
      </c>
      <c r="E24" s="23">
        <f>'Segment - AWM'!E24</f>
        <v>24073</v>
      </c>
      <c r="F24" s="23">
        <f>'Segment - AWM'!F24</f>
        <v>6374</v>
      </c>
      <c r="G24" s="23">
        <f>'Segment - AWM'!G24</f>
        <v>6851</v>
      </c>
      <c r="H24" s="53">
        <f>'Segment - AWM'!H24</f>
        <v>6915.948709369862</v>
      </c>
      <c r="I24" s="1"/>
      <c r="J24" s="2" t="s">
        <v>107</v>
      </c>
    </row>
    <row r="25">
      <c r="A25" s="1"/>
      <c r="B25" s="36" t="s">
        <v>99</v>
      </c>
      <c r="C25" s="22">
        <f>IF(AND(ISNUMBER(C24),ISNUMBER(C138)),IF(OR(C138&lt;=0,C24&lt;0),"n.m.",C24/C138-1),"n.a.")</f>
        <v>0.11527854384997238</v>
      </c>
      <c r="D25" s="22">
        <f>IF(AND(ISNUMBER(D24),ISNUMBER(D138)),IF(OR(D138&lt;=0,D24&lt;0),"n.m.",D24/D138-1),"n.a.")</f>
        <v>0.12772585669781922</v>
      </c>
      <c r="E25" s="22">
        <f>IF(AND(ISNUMBER(E24),ISNUMBER(E138)),IF(OR(E138&lt;=0,E24&lt;0),"n.m.",E24/E138-1),"n.a.")</f>
        <v>0.11562702752803777</v>
      </c>
      <c r="F25" s="22">
        <f>IF(AND(ISNUMBER(F24),ISNUMBER(F138)),IF(OR(F138&lt;=0,F24&lt;0),"n.m.",F24/F138-1),"n.a.")</f>
        <v>0.11219682428895483</v>
      </c>
      <c r="G25" s="22">
        <f>IF(AND(ISNUMBER(G24),ISNUMBER(G138)),IF(OR(G138&lt;=0,G24&lt;0),"n.m.",G24/G138-1),"n.a.")</f>
        <v>0.1894097222222222</v>
      </c>
      <c r="H25" s="39">
        <f>IF(AND(ISNUMBER(H24),ISNUMBER(C24)),IF(OR(C24&lt;=0,H24&lt;0),"n.m.",H24/C24-1),"n.a.")</f>
        <v>0.14011683306459966</v>
      </c>
      <c r="I25" s="1"/>
      <c r="J25" s="1"/>
    </row>
    <row r="26">
      <c r="A26" s="1"/>
      <c r="B26" s="36" t="s">
        <v>60</v>
      </c>
      <c r="C26" s="22">
        <f>IF(AND(ISNUMBER(C24),ISNUMBER(G138)),IF(OR(G138&lt;=0,C24&lt;0),"n.m.",C24/G138-1),"n.a.")</f>
        <v>0.05312500000000009</v>
      </c>
      <c r="D26" s="22">
        <f>IF(AND(ISNUMBER(D24),ISNUMBER(C24)),IF(OR(C24&lt;=0,D24&lt;0),"n.m.",D24/C24-1),"n.a.")</f>
        <v>0.0741839762611276</v>
      </c>
      <c r="E26" s="1"/>
      <c r="F26" s="22">
        <f>IF(AND(ISNUMBER(F24),ISNUMBER(D24)),IF(OR(D24&lt;=0,F24&lt;0),"n.m.",F24/D24-1),"n.a.")</f>
        <v>-0.021792510742786986</v>
      </c>
      <c r="G26" s="22">
        <f>IF(AND(ISNUMBER(G24),ISNUMBER(F24)),IF(OR(F24&lt;=0,G24&lt;0),"n.m.",G24/F24-1),"n.a.")</f>
        <v>0.07483526827737674</v>
      </c>
      <c r="H26" s="39">
        <f>IF(AND(ISNUMBER(H24),ISNUMBER(G24)),IF(OR(G24&lt;=0,H24&lt;0),"n.m.",H24/G24-1),"n.a.")</f>
        <v>0.009480179443856596</v>
      </c>
      <c r="I26" s="1"/>
      <c r="J26" s="1"/>
    </row>
    <row r="27">
      <c r="A27" s="1"/>
      <c r="B27" s="36" t="s">
        <v>100</v>
      </c>
      <c r="C27" s="22">
        <f>IFERROR(C24/C38,"n.a.")</f>
        <v>0.12873514431239388</v>
      </c>
      <c r="D27" s="22">
        <f>IFERROR(D24/D38,"n.a.")</f>
        <v>0.13932901404836745</v>
      </c>
      <c r="E27" s="22">
        <f>IFERROR(E24/E38,"n.a.")</f>
        <v>0.12971694300601894</v>
      </c>
      <c r="F27" s="22">
        <f>IFERROR(F24/F38,"n.a.")</f>
        <v>0.12612790881747665</v>
      </c>
      <c r="G27" s="22">
        <f>IFERROR(G24/G38,"n.a.")</f>
        <v>0.11807590224397642</v>
      </c>
      <c r="H27" s="39">
        <f>IFERROR(H24/H38,"n.a.")</f>
        <v>0.13372695377120494</v>
      </c>
      <c r="I27" s="1"/>
      <c r="J27" s="1"/>
    </row>
    <row r="28">
      <c r="A28" s="1"/>
      <c r="B28" s="36" t="s">
        <v>101</v>
      </c>
      <c r="C28" s="67" t="s">
        <v>35</v>
      </c>
      <c r="D28" s="67" t="s">
        <v>35</v>
      </c>
      <c r="E28" s="67" t="s">
        <v>35</v>
      </c>
      <c r="F28" s="67" t="s">
        <v>35</v>
      </c>
      <c r="G28" s="67" t="s">
        <v>35</v>
      </c>
      <c r="H28" s="68" t="s">
        <v>35</v>
      </c>
      <c r="I28" s="1"/>
      <c r="J28" s="1"/>
    </row>
    <row r="29">
      <c r="A29" s="1"/>
      <c r="B29" s="36" t="s">
        <v>102</v>
      </c>
      <c r="C29" s="67" t="s">
        <v>35</v>
      </c>
      <c r="D29" s="67" t="s">
        <v>35</v>
      </c>
      <c r="E29" s="67" t="s">
        <v>35</v>
      </c>
      <c r="F29" s="67" t="s">
        <v>35</v>
      </c>
      <c r="G29" s="67" t="s">
        <v>35</v>
      </c>
      <c r="H29" s="68" t="s">
        <v>35</v>
      </c>
      <c r="I29" s="1"/>
      <c r="J29" s="1"/>
    </row>
    <row r="30">
      <c r="A30" s="1"/>
      <c r="B30" s="36" t="s">
        <v>103</v>
      </c>
      <c r="C30" s="67" t="s">
        <v>35</v>
      </c>
      <c r="D30" s="67" t="s">
        <v>35</v>
      </c>
      <c r="E30" s="67" t="s">
        <v>35</v>
      </c>
      <c r="F30" s="67" t="s">
        <v>35</v>
      </c>
      <c r="G30" s="67" t="s">
        <v>35</v>
      </c>
      <c r="H30" s="68" t="s">
        <v>35</v>
      </c>
      <c r="I30" s="1"/>
      <c r="J30" s="1"/>
    </row>
    <row r="31">
      <c r="A31" s="1"/>
      <c r="B31" s="1" t="s">
        <v>108</v>
      </c>
      <c r="C31" s="23">
        <f>'Segment - Corporate'!C24</f>
        <v>1703</v>
      </c>
      <c r="D31" s="23">
        <f>'Segment - Corporate'!D24</f>
        <v>1480</v>
      </c>
      <c r="E31" s="23">
        <f>'Segment - Corporate'!E24</f>
        <v>7025</v>
      </c>
      <c r="F31" s="23">
        <f>'Segment - Corporate'!F24</f>
        <v>1215</v>
      </c>
      <c r="G31" s="23">
        <f>'Segment - Corporate'!G24</f>
        <v>6046</v>
      </c>
      <c r="H31" s="53">
        <f>'Segment - Corporate'!H24</f>
        <v>1068.8693928706753</v>
      </c>
      <c r="I31" s="1"/>
      <c r="J31" s="2" t="s">
        <v>109</v>
      </c>
    </row>
    <row r="32">
      <c r="A32" s="1"/>
      <c r="B32" s="36" t="s">
        <v>99</v>
      </c>
      <c r="C32" s="22">
        <f>IF(AND(ISNUMBER(C31),ISNUMBER(C139)),IF(OR(C139&lt;=0,C31&lt;0),"n.m.",C31/C139-1),"n.a.")</f>
        <v>-0.4452768729641694</v>
      </c>
      <c r="D32" s="22">
        <f>IF(AND(ISNUMBER(D31),ISNUMBER(D139)),IF(OR(D139&lt;=0,D31&lt;0),"n.m.",D31/D139-1),"n.a.")</f>
        <v>-0.26</v>
      </c>
      <c r="E32" s="22">
        <f>IF(AND(ISNUMBER(E31),ISNUMBER(E139)),IF(OR(E139&lt;=0,E31&lt;0),"n.m.",E31/E139-1),"n.a.")</f>
        <v>-0.5961251006094055</v>
      </c>
      <c r="F32" s="22">
        <f>IF(AND(ISNUMBER(F31),ISNUMBER(F139)),IF(OR(F139&lt;=0,F31&lt;0),"n.m.",F31/F139-1),"n.a.")</f>
        <v>-0.47265625</v>
      </c>
      <c r="G32" s="22">
        <f>IF(AND(ISNUMBER(G31),ISNUMBER(G139)),IF(OR(G139&lt;=0,G31&lt;0),"n.m.",G31/G139-1),"n.a.")</f>
        <v>2.9310793237971393</v>
      </c>
      <c r="H32" s="39">
        <f>IF(AND(ISNUMBER(H31),ISNUMBER(C31)),IF(OR(C31&lt;=0,H31&lt;0),"n.m.",H31/C31-1),"n.a.")</f>
        <v>-0.3723608967289047</v>
      </c>
      <c r="I32" s="1"/>
      <c r="J32" s="1"/>
    </row>
    <row r="33">
      <c r="A33" s="1"/>
      <c r="B33" s="36" t="s">
        <v>60</v>
      </c>
      <c r="C33" s="22">
        <f>IF(AND(ISNUMBER(C31),ISNUMBER(G139)),IF(OR(G139&lt;=0,C31&lt;0),"n.m.",C31/G139-1),"n.a.")</f>
        <v>0.10728218465539663</v>
      </c>
      <c r="D33" s="22">
        <f>IF(AND(ISNUMBER(D31),ISNUMBER(C31)),IF(OR(C31&lt;=0,D31&lt;0),"n.m.",D31/C31-1),"n.a.")</f>
        <v>-0.1309453904873752</v>
      </c>
      <c r="E33" s="1"/>
      <c r="F33" s="22">
        <f>IF(AND(ISNUMBER(F31),ISNUMBER(D31)),IF(OR(D31&lt;=0,F31&lt;0),"n.m.",F31/D31-1),"n.a.")</f>
        <v>-0.17905405405405406</v>
      </c>
      <c r="G33" s="22">
        <f>IF(AND(ISNUMBER(G31),ISNUMBER(F31)),IF(OR(F31&lt;=0,G31&lt;0),"n.m.",G31/F31-1),"n.a.")</f>
        <v>3.9761316872427983</v>
      </c>
      <c r="H33" s="39">
        <f>IF(AND(ISNUMBER(H31),ISNUMBER(G31)),IF(OR(G31&lt;=0,H31&lt;0),"n.m.",H31/G31-1),"n.a.")</f>
        <v>-0.8232104874510957</v>
      </c>
      <c r="I33" s="1"/>
      <c r="J33" s="1"/>
    </row>
    <row r="34">
      <c r="A34" s="1"/>
      <c r="B34" s="36" t="s">
        <v>100</v>
      </c>
      <c r="C34" s="22">
        <f>IFERROR(C31/C38,"n.a.")</f>
        <v>0.03614176570458404</v>
      </c>
      <c r="D34" s="22">
        <f>IFERROR(D31/D38,"n.a.")</f>
        <v>0.03164624628477345</v>
      </c>
      <c r="E34" s="22">
        <f>IFERROR(E31/E38,"n.a.")</f>
        <v>0.03785409066660919</v>
      </c>
      <c r="F34" s="22">
        <f>IFERROR(F31/F38,"n.a.")</f>
        <v>0.024042266898844387</v>
      </c>
      <c r="G34" s="22">
        <f>IFERROR(G31/G38,"n.a.")</f>
        <v>0.10420185446899452</v>
      </c>
      <c r="H34" s="39">
        <f>IFERROR(H31/H38,"n.a.")</f>
        <v>0.020667684781152197</v>
      </c>
      <c r="I34" s="1"/>
      <c r="J34" s="1"/>
    </row>
    <row r="35">
      <c r="A35" s="1"/>
      <c r="B35" s="36" t="s">
        <v>101</v>
      </c>
      <c r="C35" s="67" t="s">
        <v>35</v>
      </c>
      <c r="D35" s="67" t="s">
        <v>35</v>
      </c>
      <c r="E35" s="67" t="s">
        <v>35</v>
      </c>
      <c r="F35" s="67" t="s">
        <v>35</v>
      </c>
      <c r="G35" s="67" t="s">
        <v>35</v>
      </c>
      <c r="H35" s="68" t="s">
        <v>35</v>
      </c>
      <c r="I35" s="1"/>
      <c r="J35" s="1"/>
    </row>
    <row r="36">
      <c r="A36" s="1"/>
      <c r="B36" s="36" t="s">
        <v>102</v>
      </c>
      <c r="C36" s="67" t="s">
        <v>35</v>
      </c>
      <c r="D36" s="67" t="s">
        <v>35</v>
      </c>
      <c r="E36" s="67" t="s">
        <v>35</v>
      </c>
      <c r="F36" s="67" t="s">
        <v>35</v>
      </c>
      <c r="G36" s="67" t="s">
        <v>35</v>
      </c>
      <c r="H36" s="68" t="s">
        <v>35</v>
      </c>
      <c r="I36" s="1"/>
      <c r="J36" s="1"/>
    </row>
    <row r="37">
      <c r="A37" s="1"/>
      <c r="B37" s="36" t="s">
        <v>103</v>
      </c>
      <c r="C37" s="67" t="s">
        <v>35</v>
      </c>
      <c r="D37" s="67" t="s">
        <v>35</v>
      </c>
      <c r="E37" s="67" t="s">
        <v>35</v>
      </c>
      <c r="F37" s="67" t="s">
        <v>35</v>
      </c>
      <c r="G37" s="67" t="s">
        <v>35</v>
      </c>
      <c r="H37" s="68" t="s">
        <v>35</v>
      </c>
      <c r="I37" s="1"/>
      <c r="J37" s="1"/>
    </row>
    <row r="38">
      <c r="A38" s="1"/>
      <c r="B38" s="31" t="s">
        <v>110</v>
      </c>
      <c r="C38" s="43">
        <f>C10+C17+C24+C31</f>
        <v>47120</v>
      </c>
      <c r="D38" s="43">
        <f>D10+D17+D24+D31</f>
        <v>46767</v>
      </c>
      <c r="E38" s="43">
        <f>E10+E17+E24+E31</f>
        <v>185581</v>
      </c>
      <c r="F38" s="43">
        <f>F10+F17+F24+F31</f>
        <v>50536</v>
      </c>
      <c r="G38" s="43">
        <f>G10+G17+G24+G31</f>
        <v>58022</v>
      </c>
      <c r="H38" s="45">
        <f>H10+H17+H24+H31</f>
        <v>51716.93898899725</v>
      </c>
      <c r="I38" s="1"/>
      <c r="J38" s="2" t="s">
        <v>111</v>
      </c>
    </row>
    <row r="39">
      <c r="A39" s="1"/>
      <c r="B39" s="36" t="s">
        <v>99</v>
      </c>
      <c r="C39" s="22">
        <f>IF(AND(ISNUMBER(C38),ISNUMBER(C140)),IF(OR(C140&lt;=0,C38&lt;0),"n.m.",C38/C140-1),"n.a.")</f>
        <v>0.08784485743968595</v>
      </c>
      <c r="D39" s="22">
        <f>IF(AND(ISNUMBER(D38),ISNUMBER(D140)),IF(OR(D140&lt;=0,D38&lt;0),"n.m.",D38/D140-1),"n.a.")</f>
        <v>0.06925328089990401</v>
      </c>
      <c r="E39" s="22">
        <f>IF(AND(ISNUMBER(E38),ISNUMBER(E140)),IF(OR(E140&lt;=0,E38&lt;0),"n.m.",E38/E140-1),"n.a.")</f>
        <v>0.02762011816626342</v>
      </c>
      <c r="F39" s="22">
        <f>IF(AND(ISNUMBER(F38),ISNUMBER(F140)),IF(OR(F140&lt;=0,F38&lt;0),"n.m.",F38/F140-1),"n.a.")</f>
        <v>0.09827443821445647</v>
      </c>
      <c r="G39" s="22">
        <f>IF(AND(ISNUMBER(G38),ISNUMBER(G140)),IF(OR(G140&lt;=0,G38&lt;0),"n.m.",G38/G140-1),"n.a.")</f>
        <v>0.27018388791593706</v>
      </c>
      <c r="H39" s="39">
        <f>IF(AND(ISNUMBER(H38),ISNUMBER(C38)),IF(OR(C38&lt;=0,H38&lt;0),"n.m.",H38/C38-1),"n.a.")</f>
        <v>0.09755812794985674</v>
      </c>
      <c r="I39" s="1"/>
      <c r="J39" s="1"/>
    </row>
    <row r="40">
      <c r="A40" s="1"/>
      <c r="B40" s="36" t="s">
        <v>60</v>
      </c>
      <c r="C40" s="22">
        <f>IF(AND(ISNUMBER(C38),ISNUMBER(G140)),IF(OR(G140&lt;=0,C38&lt;0),"n.m.",C38/G140-1),"n.a.")</f>
        <v>0.031523642732049106</v>
      </c>
      <c r="D40" s="22">
        <f>IF(AND(ISNUMBER(D38),ISNUMBER(C38)),IF(OR(C38&lt;=0,D38&lt;0),"n.m.",D38/C38-1),"n.a.")</f>
        <v>-0.0074915110356535974</v>
      </c>
      <c r="E40" s="1"/>
      <c r="F40" s="22">
        <f>IF(AND(ISNUMBER(F38),ISNUMBER(D38)),IF(OR(D38&lt;=0,F38&lt;0),"n.m.",F38/D38-1),"n.a.")</f>
        <v>0.08059101503196708</v>
      </c>
      <c r="G40" s="22">
        <f>IF(AND(ISNUMBER(G38),ISNUMBER(F38)),IF(OR(F38&lt;=0,G38&lt;0),"n.m.",G38/F38-1),"n.a.")</f>
        <v>0.14813202469526665</v>
      </c>
      <c r="H40" s="39">
        <f>IF(AND(ISNUMBER(H38),ISNUMBER(G38)),IF(OR(G38&lt;=0,H38&lt;0),"n.m.",H38/G38-1),"n.a.")</f>
        <v>-0.10866673005071781</v>
      </c>
      <c r="I40" s="1"/>
      <c r="J40" s="1"/>
    </row>
    <row r="41">
      <c r="A41" s="1"/>
      <c r="B41" s="36" t="s">
        <v>101</v>
      </c>
      <c r="C41" s="67" t="s">
        <v>35</v>
      </c>
      <c r="D41" s="67" t="s">
        <v>35</v>
      </c>
      <c r="E41" s="67" t="s">
        <v>35</v>
      </c>
      <c r="F41" s="67" t="s">
        <v>35</v>
      </c>
      <c r="G41" s="67" t="s">
        <v>35</v>
      </c>
      <c r="H41" s="68" t="s">
        <v>35</v>
      </c>
      <c r="I41" s="1"/>
      <c r="J41" s="1"/>
    </row>
    <row r="42">
      <c r="A42" s="1"/>
      <c r="B42" s="36" t="s">
        <v>102</v>
      </c>
      <c r="C42" s="67" t="s">
        <v>35</v>
      </c>
      <c r="D42" s="67" t="s">
        <v>35</v>
      </c>
      <c r="E42" s="67" t="s">
        <v>35</v>
      </c>
      <c r="F42" s="67" t="s">
        <v>35</v>
      </c>
      <c r="G42" s="67" t="s">
        <v>35</v>
      </c>
      <c r="H42" s="68" t="s">
        <v>35</v>
      </c>
      <c r="I42" s="1"/>
      <c r="J42" s="1"/>
    </row>
    <row r="43">
      <c r="A43" s="1"/>
      <c r="B43" s="36" t="s">
        <v>103</v>
      </c>
      <c r="C43" s="67" t="s">
        <v>35</v>
      </c>
      <c r="D43" s="67" t="s">
        <v>35</v>
      </c>
      <c r="E43" s="67" t="s">
        <v>35</v>
      </c>
      <c r="F43" s="67" t="s">
        <v>35</v>
      </c>
      <c r="G43" s="67" t="s">
        <v>35</v>
      </c>
      <c r="H43" s="68" t="s">
        <v>35</v>
      </c>
      <c r="I43" s="1"/>
      <c r="J43" s="1"/>
    </row>
    <row r="44">
      <c r="A44" s="1"/>
      <c r="B44" s="21" t="s">
        <v>112</v>
      </c>
      <c r="C44" s="3">
        <v>693</v>
      </c>
      <c r="D44" s="3">
        <v>969</v>
      </c>
      <c r="E44" s="3">
        <v>3134</v>
      </c>
      <c r="F44" s="3">
        <v>700</v>
      </c>
      <c r="G44" s="3">
        <v>675</v>
      </c>
      <c r="H44" s="44">
        <v>690</v>
      </c>
      <c r="I44" s="1"/>
      <c r="J44" s="2" t="s">
        <v>113</v>
      </c>
    </row>
    <row r="45">
      <c r="A45" s="1"/>
      <c r="B45" s="51" t="s">
        <v>58</v>
      </c>
      <c r="C45" s="22">
        <f>IF(AND(ISNUMBER(C44),ISNUMBER(C141)),IF(OR(C141&lt;=0,C44&lt;0),"n.m.",C44/C141-1),"n.a.")</f>
        <v>0.04841149773071107</v>
      </c>
      <c r="D45" s="22">
        <f>IF(AND(ISNUMBER(D44),ISNUMBER(D141)),IF(OR(D141&lt;=0,D44&lt;0),"n.m.",D44/D141-1),"n.a.")</f>
        <v>-0.0010309278350515427</v>
      </c>
      <c r="E45" s="22">
        <f>IF(AND(ISNUMBER(E44),ISNUMBER(E141)),IF(OR(E141&lt;=0,E44&lt;0),"n.m.",E44/E141-1),"n.a.")</f>
        <v>0.03193941389529131</v>
      </c>
      <c r="F45" s="22">
        <f>IF(AND(ISNUMBER(F44),ISNUMBER(F141)),IF(OR(F141&lt;=0,F44&lt;0),"n.m.",F44/F141-1),"n.a.")</f>
        <v>-0.005681818181818232</v>
      </c>
      <c r="G45" s="22">
        <f>IF(AND(ISNUMBER(G44),ISNUMBER(G141)),IF(OR(G141&lt;=0,G44&lt;0),"n.m.",G44/G141-1),"n.a.")</f>
        <v>-0.12109375</v>
      </c>
      <c r="H45" s="39">
        <f>IF(AND(ISNUMBER(H44),ISNUMBER(C44)),IF(OR(C44&lt;=0,H44&lt;0),"n.m.",H44/C44-1),"n.a.")</f>
        <v>-0.0043290043290042934</v>
      </c>
      <c r="I45" s="1"/>
      <c r="J45" s="1"/>
    </row>
    <row r="46">
      <c r="A46" s="1"/>
      <c r="B46" s="20" t="s">
        <v>114</v>
      </c>
      <c r="C46" s="10">
        <f>C44-G141</f>
        <v>-75</v>
      </c>
      <c r="D46" s="10">
        <f>D44-C44</f>
        <v>276</v>
      </c>
      <c r="E46" s="1"/>
      <c r="F46" s="10">
        <f>F44-D44</f>
        <v>-269</v>
      </c>
      <c r="G46" s="10">
        <f>G44-F44</f>
        <v>-25</v>
      </c>
      <c r="H46" s="29">
        <f>H44-G44</f>
        <v>15</v>
      </c>
      <c r="I46" s="1"/>
      <c r="J46" s="1"/>
    </row>
    <row r="47">
      <c r="A47" s="1"/>
      <c r="B47" s="31" t="s">
        <v>115</v>
      </c>
      <c r="C47" s="43">
        <f>C38-C44</f>
        <v>46427</v>
      </c>
      <c r="D47" s="43">
        <f>D38-D44</f>
        <v>45798</v>
      </c>
      <c r="E47" s="43">
        <f>E38-E44</f>
        <v>182447</v>
      </c>
      <c r="F47" s="43">
        <f>F38-F44</f>
        <v>49836</v>
      </c>
      <c r="G47" s="43">
        <f>G38-G44</f>
        <v>57347</v>
      </c>
      <c r="H47" s="45">
        <f>H38-H44</f>
        <v>51026.93898899725</v>
      </c>
      <c r="I47" s="1"/>
      <c r="J47" s="2" t="s">
        <v>116</v>
      </c>
    </row>
    <row r="48">
      <c r="A48" s="1"/>
      <c r="B48" s="36" t="s">
        <v>99</v>
      </c>
      <c r="C48" s="22">
        <f>IF(AND(ISNUMBER(C47),ISNUMBER(C142)),IF(OR(C142&lt;=0,C47&lt;0),"n.m.",C47/C142-1),"n.a.")</f>
        <v>0.08845594785952082</v>
      </c>
      <c r="D48" s="22">
        <f>IF(AND(ISNUMBER(D47),ISNUMBER(D142)),IF(OR(D142&lt;=0,D47&lt;0),"n.m.",D47/D142-1),"n.a.")</f>
        <v>0.07084736251402912</v>
      </c>
      <c r="E48" s="22">
        <f>IF(AND(ISNUMBER(E47),ISNUMBER(E142)),IF(OR(E142&lt;=0,E47&lt;0),"n.m.",E47/E142-1),"n.a.")</f>
        <v>0.027546238933068956</v>
      </c>
      <c r="F48" s="22">
        <f>IF(AND(ISNUMBER(F47),ISNUMBER(F142)),IF(OR(F142&lt;=0,F47&lt;0),"n.m.",F47/F142-1),"n.a.")</f>
        <v>0.09988964908408748</v>
      </c>
      <c r="G48" s="22">
        <f>IF(AND(ISNUMBER(G47),ISNUMBER(G142)),IF(OR(G142&lt;=0,G47&lt;0),"n.m.",G47/G142-1),"n.a.")</f>
        <v>0.2768747773423583</v>
      </c>
      <c r="H48" s="39">
        <f>IF(AND(ISNUMBER(H47),ISNUMBER(C47)),IF(OR(C47&lt;=0,H47&lt;0),"n.m.",H47/C47-1),"n.a.")</f>
        <v>0.09907896243559255</v>
      </c>
      <c r="I48" s="1"/>
      <c r="J48" s="1"/>
    </row>
    <row r="49">
      <c r="A49" s="1"/>
      <c r="B49" s="36" t="s">
        <v>60</v>
      </c>
      <c r="C49" s="22">
        <f>IF(AND(ISNUMBER(C47),ISNUMBER(G142)),IF(OR(G142&lt;=0,C47&lt;0),"n.m.",C47/G142-1),"n.a.")</f>
        <v>0.033732632703954435</v>
      </c>
      <c r="D49" s="22">
        <f>IF(AND(ISNUMBER(D47),ISNUMBER(C47)),IF(OR(C47&lt;=0,D47&lt;0),"n.m.",D47/C47-1),"n.a.")</f>
        <v>-0.01354815086049066</v>
      </c>
      <c r="E49" s="1"/>
      <c r="F49" s="22">
        <f>IF(AND(ISNUMBER(F47),ISNUMBER(D47)),IF(OR(D47&lt;=0,F47&lt;0),"n.m.",F47/D47-1),"n.a.")</f>
        <v>0.08816978907375872</v>
      </c>
      <c r="G49" s="22">
        <f>IF(AND(ISNUMBER(G47),ISNUMBER(F47)),IF(OR(F47&lt;=0,G47&lt;0),"n.m.",G47/F47-1),"n.a.")</f>
        <v>0.15071434304518827</v>
      </c>
      <c r="H49" s="39">
        <f>IF(AND(ISNUMBER(H47),ISNUMBER(G47)),IF(OR(G47&lt;=0,H47&lt;0),"n.m.",H47/G47-1),"n.a.")</f>
        <v>-0.11020735192778608</v>
      </c>
      <c r="I49" s="1"/>
      <c r="J49" s="1"/>
    </row>
    <row r="50">
      <c r="A50" s="1"/>
      <c r="B50" s="36" t="s">
        <v>101</v>
      </c>
      <c r="C50" s="67" t="s">
        <v>35</v>
      </c>
      <c r="D50" s="67" t="s">
        <v>35</v>
      </c>
      <c r="E50" s="67" t="s">
        <v>35</v>
      </c>
      <c r="F50" s="67" t="s">
        <v>35</v>
      </c>
      <c r="G50" s="67" t="s">
        <v>35</v>
      </c>
      <c r="H50" s="68" t="s">
        <v>35</v>
      </c>
      <c r="I50" s="1"/>
      <c r="J50" s="1"/>
    </row>
    <row r="51">
      <c r="A51" s="1"/>
      <c r="B51" s="36" t="s">
        <v>102</v>
      </c>
      <c r="C51" s="67" t="s">
        <v>35</v>
      </c>
      <c r="D51" s="67" t="s">
        <v>35</v>
      </c>
      <c r="E51" s="67" t="s">
        <v>35</v>
      </c>
      <c r="F51" s="67" t="s">
        <v>35</v>
      </c>
      <c r="G51" s="67" t="s">
        <v>35</v>
      </c>
      <c r="H51" s="68" t="s">
        <v>35</v>
      </c>
      <c r="I51" s="1"/>
      <c r="J51" s="1"/>
    </row>
    <row r="52">
      <c r="A52" s="1"/>
      <c r="B52" s="36" t="s">
        <v>103</v>
      </c>
      <c r="C52" s="67" t="s">
        <v>35</v>
      </c>
      <c r="D52" s="67" t="s">
        <v>35</v>
      </c>
      <c r="E52" s="67" t="s">
        <v>35</v>
      </c>
      <c r="F52" s="67" t="s">
        <v>35</v>
      </c>
      <c r="G52" s="67" t="s">
        <v>35</v>
      </c>
      <c r="H52" s="68" t="s">
        <v>35</v>
      </c>
      <c r="I52" s="1"/>
      <c r="J52" s="1"/>
    </row>
    <row r="53">
      <c r="A53" s="1"/>
      <c r="B53" s="24" t="s">
        <v>117</v>
      </c>
      <c r="C53" s="65">
        <f>C47-'Income Statement'!C89</f>
        <v>0</v>
      </c>
      <c r="D53" s="65">
        <f>D47-'Income Statement'!D89</f>
        <v>0</v>
      </c>
      <c r="E53" s="65">
        <f>E47-'Income Statement'!E89</f>
        <v>0</v>
      </c>
      <c r="F53" s="65">
        <f>F47-'Income Statement'!F89</f>
        <v>0</v>
      </c>
      <c r="G53" s="65">
        <f>G47-'Income Statement'!G89</f>
        <v>0</v>
      </c>
      <c r="H53" s="71">
        <f>H47-'Income Statement'!H89</f>
        <v>0</v>
      </c>
      <c r="I53" s="1"/>
      <c r="J53" s="2" t="s">
        <v>118</v>
      </c>
    </row>
    <row r="54">
      <c r="A54" s="1"/>
      <c r="B54" s="1"/>
      <c r="C54" s="1"/>
      <c r="D54" s="1"/>
      <c r="E54" s="1"/>
      <c r="F54" s="1"/>
      <c r="G54" s="1"/>
      <c r="H54" s="30"/>
      <c r="I54" s="1"/>
      <c r="J54" s="1"/>
    </row>
    <row r="55">
      <c r="A55" s="1"/>
      <c r="B55" s="31" t="s">
        <v>119</v>
      </c>
      <c r="C55" s="1"/>
      <c r="D55" s="1"/>
      <c r="E55" s="1"/>
      <c r="F55" s="1"/>
      <c r="G55" s="1"/>
      <c r="H55" s="30"/>
      <c r="I55" s="1"/>
      <c r="J55" s="1"/>
    </row>
    <row r="56" ht="27">
      <c r="A56" s="1"/>
      <c r="B56" s="36" t="s">
        <v>120</v>
      </c>
      <c r="C56" s="1"/>
      <c r="D56" s="1"/>
      <c r="E56" s="1"/>
      <c r="F56" s="1"/>
      <c r="G56" s="1"/>
      <c r="H56" s="72">
        <v>0.4915</v>
      </c>
      <c r="I56" s="1"/>
      <c r="J56" s="125" t="s">
        <v>121</v>
      </c>
    </row>
    <row r="57" ht="27">
      <c r="A57" s="1"/>
      <c r="B57" s="1" t="s">
        <v>122</v>
      </c>
      <c r="C57" s="3">
        <v>23391</v>
      </c>
      <c r="D57" s="3">
        <v>23857</v>
      </c>
      <c r="E57" s="3">
        <v>92591</v>
      </c>
      <c r="F57" s="3">
        <v>23280</v>
      </c>
      <c r="G57" s="3">
        <v>23677</v>
      </c>
      <c r="H57" s="53">
        <f>(Guidance!G12*1000-F57-G57)*H56</f>
        <v>24350.3845</v>
      </c>
      <c r="I57" s="1"/>
      <c r="J57" s="125" t="s">
        <v>123</v>
      </c>
    </row>
    <row r="58">
      <c r="A58" s="1"/>
      <c r="B58" s="36" t="s">
        <v>58</v>
      </c>
      <c r="C58" s="22">
        <f>IF(AND(ISNUMBER(C57),ISNUMBER(C143)),IF(OR(C143&lt;=0,C57&lt;0),"n.m.",C57/C143-1),"n.a.")</f>
        <v>-0.002388365249285651</v>
      </c>
      <c r="D58" s="22">
        <f>IF(AND(ISNUMBER(D57),ISNUMBER(D143)),IF(OR(D143&lt;=0,D57&lt;0),"n.m.",D57/D143-1),"n.a.")</f>
        <v>0.036629877465890415</v>
      </c>
      <c r="E58" s="22">
        <f>IF(AND(ISNUMBER(E57),ISNUMBER(E143)),IF(OR(E143&lt;=0,E57&lt;0),"n.m.",E57/E143-1),"n.a.")</f>
        <v>0.0018610891699759602</v>
      </c>
      <c r="F58" s="22">
        <f>IF(AND(ISNUMBER(F57),ISNUMBER(F143)),IF(OR(F143&lt;=0,F57&lt;0),"n.m.",F57/F143-1),"n.a.")</f>
        <v>0.030544488711819362</v>
      </c>
      <c r="G58" s="22">
        <f>IF(AND(ISNUMBER(G57),ISNUMBER(G143)),IF(OR(G143&lt;=0,G57&lt;0),"n.m.",G57/G143-1),"n.a.")</f>
        <v>0.040610029446666474</v>
      </c>
      <c r="H58" s="39">
        <f>IF(AND(ISNUMBER(H57),ISNUMBER(C57)),IF(OR(C57&lt;=0,H57&lt;0),"n.m.",H57/C57-1),"n.a.")</f>
        <v>0.041015112650164554</v>
      </c>
      <c r="I58" s="1"/>
      <c r="J58" s="1"/>
    </row>
    <row r="59">
      <c r="A59" s="1"/>
      <c r="B59" s="21" t="s">
        <v>114</v>
      </c>
      <c r="C59" s="10">
        <f>C57-G143</f>
        <v>638</v>
      </c>
      <c r="D59" s="10">
        <f>D57-C57</f>
        <v>466</v>
      </c>
      <c r="E59" s="1"/>
      <c r="F59" s="10">
        <f>F57-D57</f>
        <v>-577</v>
      </c>
      <c r="G59" s="10">
        <f>G57-F57</f>
        <v>397</v>
      </c>
      <c r="H59" s="29">
        <f>H57-G57</f>
        <v>673.3845000000001</v>
      </c>
      <c r="I59" s="1"/>
      <c r="J59" s="1"/>
    </row>
    <row r="60">
      <c r="A60" s="1"/>
      <c r="B60" s="36" t="s">
        <v>124</v>
      </c>
      <c r="C60" s="1"/>
      <c r="D60" s="1"/>
      <c r="E60" s="1"/>
      <c r="F60" s="1"/>
      <c r="G60" s="1"/>
      <c r="H60" s="72">
        <v>0.5</v>
      </c>
      <c r="I60" s="1"/>
      <c r="J60" s="2" t="s">
        <v>125</v>
      </c>
    </row>
    <row r="61" ht="27">
      <c r="A61" s="1"/>
      <c r="B61" s="1" t="s">
        <v>126</v>
      </c>
      <c r="C61" s="3">
        <v>680</v>
      </c>
      <c r="D61" s="3">
        <v>1251</v>
      </c>
      <c r="E61" s="3">
        <v>3277</v>
      </c>
      <c r="F61" s="3">
        <v>2199</v>
      </c>
      <c r="G61" s="3">
        <v>1945</v>
      </c>
      <c r="H61" s="53">
        <f>((Guidance!G15-Guidance!G12)*1000-F61-G61)*H60</f>
        <v>2428</v>
      </c>
      <c r="I61" s="1"/>
      <c r="J61" s="125" t="s">
        <v>127</v>
      </c>
    </row>
    <row r="62">
      <c r="A62" s="1"/>
      <c r="B62" s="36" t="s">
        <v>58</v>
      </c>
      <c r="C62" s="22">
        <f>IF(AND(ISNUMBER(C61),ISNUMBER(C144)),IF(OR(C144&lt;=0,C61&lt;0),"n.m.",C61/C144-1),"n.a.")</f>
        <v>7.717948717948717</v>
      </c>
      <c r="D62" s="22">
        <f>IF(AND(ISNUMBER(D61),ISNUMBER(D144)),IF(OR(D144&lt;=0,D61&lt;0),"n.m.",D61/D144-1),"n.a.")</f>
        <v>1.737417943107221</v>
      </c>
      <c r="E62" s="22">
        <f>IF(AND(ISNUMBER(E61),ISNUMBER(E144)),IF(OR(E144&lt;=0,E61&lt;0),"n.m.",E61/E144-1),"n.a.")</f>
        <v>4.112324492979719</v>
      </c>
      <c r="F62" s="22">
        <f>IF(AND(ISNUMBER(F61),ISNUMBER(F144)),IF(OR(F144&lt;=0,F61&lt;0),"n.m.",F61/F144-1),"n.a.")</f>
        <v>1.8012738853503185</v>
      </c>
      <c r="G62" s="22">
        <f>IF(AND(ISNUMBER(G61),ISNUMBER(G144)),IF(OR(G144&lt;=0,G61&lt;0),"n.m.",G61/G144-1),"n.a.")</f>
        <v>2.4670231729055256</v>
      </c>
      <c r="H62" s="39">
        <f>IF(AND(ISNUMBER(H61),ISNUMBER(C61)),IF(OR(C61&lt;=0,H61&lt;0),"n.m.",H61/C61-1),"n.a.")</f>
        <v>2.570588235294118</v>
      </c>
      <c r="I62" s="1"/>
      <c r="J62" s="1"/>
    </row>
    <row r="63">
      <c r="A63" s="1"/>
      <c r="B63" s="21" t="s">
        <v>114</v>
      </c>
      <c r="C63" s="10">
        <f>C61-G144</f>
        <v>119</v>
      </c>
      <c r="D63" s="10">
        <f>D61-C61</f>
        <v>571</v>
      </c>
      <c r="E63" s="1"/>
      <c r="F63" s="10">
        <f>F61-D61</f>
        <v>948</v>
      </c>
      <c r="G63" s="10">
        <f>G61-F61</f>
        <v>-254</v>
      </c>
      <c r="H63" s="29">
        <f>H61-G61</f>
        <v>483</v>
      </c>
      <c r="I63" s="1"/>
      <c r="J63" s="1"/>
    </row>
    <row r="64">
      <c r="A64" s="1"/>
      <c r="B64" s="31" t="s">
        <v>128</v>
      </c>
      <c r="C64" s="43">
        <f>C57+C61</f>
        <v>24071</v>
      </c>
      <c r="D64" s="43">
        <f>D57+D61</f>
        <v>25108</v>
      </c>
      <c r="E64" s="43">
        <f>E57+E61</f>
        <v>95868</v>
      </c>
      <c r="F64" s="43">
        <f>F57+F61</f>
        <v>25479</v>
      </c>
      <c r="G64" s="43">
        <f>G57+G61</f>
        <v>25622</v>
      </c>
      <c r="H64" s="45">
        <f>H57+H61</f>
        <v>26778.3845</v>
      </c>
      <c r="I64" s="1"/>
      <c r="J64" s="1"/>
    </row>
    <row r="65">
      <c r="A65" s="1"/>
      <c r="B65" s="36" t="s">
        <v>99</v>
      </c>
      <c r="C65" s="22">
        <f>IF(AND(ISNUMBER(C64),ISNUMBER(C145)),IF(OR(C145&lt;=0,C64&lt;0),"n.m.",C64/C145-1),"n.a.")</f>
        <v>0.023209351753453733</v>
      </c>
      <c r="D65" s="22">
        <f>IF(AND(ISNUMBER(D64),ISNUMBER(D145)),IF(OR(D145&lt;=0,D64&lt;0),"n.m.",D64/D145-1),"n.a.")</f>
        <v>0.06974564356013802</v>
      </c>
      <c r="E65" s="22">
        <f>IF(AND(ISNUMBER(E64),ISNUMBER(E145)),IF(OR(E145&lt;=0,E64&lt;0),"n.m.",E64/E145-1),"n.a.")</f>
        <v>0.030174081237910988</v>
      </c>
      <c r="F65" s="22">
        <f>IF(AND(ISNUMBER(F64),ISNUMBER(F145)),IF(OR(F145&lt;=0,F64&lt;0),"n.m.",F64/F145-1),"n.a.")</f>
        <v>0.09001069518716576</v>
      </c>
      <c r="G65" s="22">
        <f>IF(AND(ISNUMBER(G64),ISNUMBER(G145)),IF(OR(G145&lt;=0,G64&lt;0),"n.m.",G64/G145-1),"n.a.")</f>
        <v>0.09899631122930419</v>
      </c>
      <c r="H65" s="39">
        <f>IF(AND(ISNUMBER(H64),ISNUMBER(C64)),IF(OR(C64&lt;=0,H64&lt;0),"n.m.",H64/C64-1),"n.a.")</f>
        <v>0.11247494910888611</v>
      </c>
      <c r="I65" s="1"/>
      <c r="J65" s="1"/>
    </row>
    <row r="66">
      <c r="A66" s="1"/>
      <c r="B66" s="36" t="s">
        <v>60</v>
      </c>
      <c r="C66" s="22">
        <f>IF(AND(ISNUMBER(C64),ISNUMBER(G145)),IF(OR(G145&lt;=0,C64&lt;0),"n.m.",C64/G145-1),"n.a.")</f>
        <v>0.03246976065883156</v>
      </c>
      <c r="D66" s="22">
        <f>IF(AND(ISNUMBER(D64),ISNUMBER(C64)),IF(OR(C64&lt;=0,D64&lt;0),"n.m.",D64/C64-1),"n.a.")</f>
        <v>0.04308088571309865</v>
      </c>
      <c r="E66" s="1"/>
      <c r="F66" s="22">
        <f>IF(AND(ISNUMBER(F64),ISNUMBER(D64)),IF(OR(D64&lt;=0,F64&lt;0),"n.m.",F64/D64-1),"n.a.")</f>
        <v>0.01477616695873829</v>
      </c>
      <c r="G66" s="22">
        <f>IF(AND(ISNUMBER(G64),ISNUMBER(F64)),IF(OR(F64&lt;=0,G64&lt;0),"n.m.",G64/F64-1),"n.a.")</f>
        <v>0.005612465167392777</v>
      </c>
      <c r="H66" s="39">
        <f>IF(AND(ISNUMBER(H64),ISNUMBER(G64)),IF(OR(G64&lt;=0,H64&lt;0),"n.m.",H64/G64-1),"n.a.")</f>
        <v>0.04513248380298185</v>
      </c>
      <c r="I66" s="1"/>
      <c r="J66" s="1"/>
    </row>
    <row r="67">
      <c r="A67" s="1"/>
      <c r="B67" s="36" t="s">
        <v>101</v>
      </c>
      <c r="C67" s="67" t="s">
        <v>35</v>
      </c>
      <c r="D67" s="67" t="s">
        <v>35</v>
      </c>
      <c r="E67" s="67" t="s">
        <v>35</v>
      </c>
      <c r="F67" s="67" t="s">
        <v>35</v>
      </c>
      <c r="G67" s="67" t="s">
        <v>35</v>
      </c>
      <c r="H67" s="68" t="s">
        <v>35</v>
      </c>
      <c r="I67" s="1"/>
      <c r="J67" s="1"/>
    </row>
    <row r="68">
      <c r="A68" s="1"/>
      <c r="B68" s="36" t="s">
        <v>102</v>
      </c>
      <c r="C68" s="67" t="s">
        <v>35</v>
      </c>
      <c r="D68" s="67" t="s">
        <v>35</v>
      </c>
      <c r="E68" s="67" t="s">
        <v>35</v>
      </c>
      <c r="F68" s="67" t="s">
        <v>35</v>
      </c>
      <c r="G68" s="67" t="s">
        <v>35</v>
      </c>
      <c r="H68" s="68" t="s">
        <v>35</v>
      </c>
      <c r="I68" s="1"/>
      <c r="J68" s="1"/>
    </row>
    <row r="69">
      <c r="A69" s="1"/>
      <c r="B69" s="36" t="s">
        <v>103</v>
      </c>
      <c r="C69" s="67" t="s">
        <v>35</v>
      </c>
      <c r="D69" s="67" t="s">
        <v>35</v>
      </c>
      <c r="E69" s="67" t="s">
        <v>35</v>
      </c>
      <c r="F69" s="67" t="s">
        <v>35</v>
      </c>
      <c r="G69" s="67" t="s">
        <v>35</v>
      </c>
      <c r="H69" s="68" t="s">
        <v>35</v>
      </c>
      <c r="I69" s="1"/>
      <c r="J69" s="1"/>
    </row>
    <row r="70">
      <c r="A70" s="1"/>
      <c r="B70" s="21" t="s">
        <v>129</v>
      </c>
      <c r="C70" s="3">
        <v>105</v>
      </c>
      <c r="D70" s="3">
        <v>113</v>
      </c>
      <c r="E70" s="3">
        <v>425</v>
      </c>
      <c r="F70" s="3">
        <v>113</v>
      </c>
      <c r="G70" s="3">
        <v>111</v>
      </c>
      <c r="H70" s="44">
        <v>111</v>
      </c>
      <c r="I70" s="1"/>
      <c r="J70" s="2" t="s">
        <v>130</v>
      </c>
    </row>
    <row r="71">
      <c r="A71" s="1"/>
      <c r="B71" s="20" t="s">
        <v>131</v>
      </c>
      <c r="C71" s="10">
        <f>C70-C146</f>
        <v>-15</v>
      </c>
      <c r="D71" s="10">
        <f>D70-D146</f>
        <v>-8</v>
      </c>
      <c r="E71" s="10">
        <f>E70-E146</f>
        <v>-52</v>
      </c>
      <c r="F71" s="10">
        <f>F70-F146</f>
        <v>11</v>
      </c>
      <c r="G71" s="10">
        <f>G70-G146</f>
        <v>6</v>
      </c>
      <c r="H71" s="29">
        <f>H70-C70</f>
        <v>6</v>
      </c>
      <c r="I71" s="1"/>
      <c r="J71" s="1"/>
    </row>
    <row r="72">
      <c r="A72" s="1"/>
      <c r="B72" s="20" t="s">
        <v>114</v>
      </c>
      <c r="C72" s="10">
        <f>C70-G146</f>
        <v>0</v>
      </c>
      <c r="D72" s="10">
        <f>D70-C70</f>
        <v>8</v>
      </c>
      <c r="E72" s="1"/>
      <c r="F72" s="10">
        <f>F70-D70</f>
        <v>0</v>
      </c>
      <c r="G72" s="10">
        <f>G70-F70</f>
        <v>-2</v>
      </c>
      <c r="H72" s="29">
        <f>H70-G70</f>
        <v>0</v>
      </c>
      <c r="I72" s="1"/>
      <c r="J72" s="1"/>
    </row>
    <row r="73">
      <c r="A73" s="1"/>
      <c r="B73" s="24" t="s">
        <v>132</v>
      </c>
      <c r="C73" s="65">
        <f>C64-C70-'Income Statement'!C82</f>
        <v>0</v>
      </c>
      <c r="D73" s="65">
        <f>D64-D70-'Income Statement'!D82</f>
        <v>0</v>
      </c>
      <c r="E73" s="65">
        <f>E64-E70-'Income Statement'!E82</f>
        <v>0</v>
      </c>
      <c r="F73" s="65">
        <f>F64-F70-'Income Statement'!F82</f>
        <v>0</v>
      </c>
      <c r="G73" s="65">
        <f>G64-G70-'Income Statement'!G82</f>
        <v>0</v>
      </c>
      <c r="H73" s="71">
        <f>H64-H70-'Income Statement'!H82</f>
        <v>0</v>
      </c>
      <c r="I73" s="1"/>
      <c r="J73" s="2" t="s">
        <v>118</v>
      </c>
    </row>
    <row r="74">
      <c r="A74" s="1"/>
      <c r="B74" s="31" t="s">
        <v>133</v>
      </c>
      <c r="C74" s="43">
        <f>C38-C64</f>
        <v>23049</v>
      </c>
      <c r="D74" s="43">
        <f>D38-D64</f>
        <v>21659</v>
      </c>
      <c r="E74" s="43">
        <f>E38-E64</f>
        <v>89713</v>
      </c>
      <c r="F74" s="43">
        <f>F38-F64</f>
        <v>25057</v>
      </c>
      <c r="G74" s="43">
        <f>G38-G64</f>
        <v>32400</v>
      </c>
      <c r="H74" s="45">
        <f>H38-H64</f>
        <v>24938.55448899725</v>
      </c>
      <c r="I74" s="1"/>
      <c r="J74" s="1"/>
    </row>
    <row r="75">
      <c r="A75" s="1"/>
      <c r="B75" s="36" t="s">
        <v>99</v>
      </c>
      <c r="C75" s="22">
        <f>IF(AND(ISNUMBER(C74),ISNUMBER(C147)),IF(OR(C147&lt;=0,C74&lt;0),"n.m.",C74/C147-1),"n.a.")</f>
        <v>0.16467913087417885</v>
      </c>
      <c r="D75" s="22">
        <f>IF(AND(ISNUMBER(D74),ISNUMBER(D147)),IF(OR(D147&lt;=0,D74&lt;0),"n.m.",D74/D147-1),"n.a.")</f>
        <v>0.06868308087038044</v>
      </c>
      <c r="E75" s="22">
        <f>IF(AND(ISNUMBER(E74),ISNUMBER(E147)),IF(OR(E147&lt;=0,E74&lt;0),"n.m.",E74/E147-1),"n.a.")</f>
        <v>0.02490489301177834</v>
      </c>
      <c r="F75" s="22">
        <f>IF(AND(ISNUMBER(F74),ISNUMBER(F147)),IF(OR(F147&lt;=0,F74&lt;0),"n.m.",F74/F147-1),"n.a.")</f>
        <v>0.10680683775785149</v>
      </c>
      <c r="G75" s="22">
        <f>IF(AND(ISNUMBER(G74),ISNUMBER(G147)),IF(OR(G147&lt;=0,G74&lt;0),"n.m.",G74/G147-1),"n.a.")</f>
        <v>0.4486273808459269</v>
      </c>
      <c r="H75" s="39">
        <f>IF(AND(ISNUMBER(H74),ISNUMBER(C74)),IF(OR(C74&lt;=0,H74&lt;0),"n.m.",H74/C74-1),"n.a.")</f>
        <v>0.08197989019034457</v>
      </c>
      <c r="I75" s="1"/>
      <c r="J75" s="1"/>
    </row>
    <row r="76">
      <c r="A76" s="1"/>
      <c r="B76" s="36" t="s">
        <v>60</v>
      </c>
      <c r="C76" s="22">
        <f>IF(AND(ISNUMBER(C74),ISNUMBER(G147)),IF(OR(G147&lt;=0,C74&lt;0),"n.m.",C74/G147-1),"n.a.")</f>
        <v>0.030537422874005182</v>
      </c>
      <c r="D76" s="22">
        <f>IF(AND(ISNUMBER(D74),ISNUMBER(C74)),IF(OR(C74&lt;=0,D74&lt;0),"n.m.",D74/C74-1),"n.a.")</f>
        <v>-0.06030630396112635</v>
      </c>
      <c r="E76" s="1"/>
      <c r="F76" s="22">
        <f>IF(AND(ISNUMBER(F74),ISNUMBER(D74)),IF(OR(D74&lt;=0,F74&lt;0),"n.m.",F74/D74-1),"n.a.")</f>
        <v>0.1568862828385429</v>
      </c>
      <c r="G76" s="22">
        <f>IF(AND(ISNUMBER(G74),ISNUMBER(F74)),IF(OR(F74&lt;=0,G74&lt;0),"n.m.",G74/F74-1),"n.a.")</f>
        <v>0.29305184180069443</v>
      </c>
      <c r="H76" s="39">
        <f>IF(AND(ISNUMBER(H74),ISNUMBER(G74)),IF(OR(G74&lt;=0,H74&lt;0),"n.m.",H74/G74-1),"n.a.")</f>
        <v>-0.23029152811736875</v>
      </c>
      <c r="I76" s="1"/>
      <c r="J76" s="1"/>
    </row>
    <row r="77">
      <c r="A77" s="1"/>
      <c r="B77" s="36" t="s">
        <v>101</v>
      </c>
      <c r="C77" s="67" t="s">
        <v>35</v>
      </c>
      <c r="D77" s="67" t="s">
        <v>35</v>
      </c>
      <c r="E77" s="67" t="s">
        <v>35</v>
      </c>
      <c r="F77" s="67" t="s">
        <v>35</v>
      </c>
      <c r="G77" s="67" t="s">
        <v>35</v>
      </c>
      <c r="H77" s="68" t="s">
        <v>35</v>
      </c>
      <c r="I77" s="1"/>
      <c r="J77" s="1"/>
    </row>
    <row r="78">
      <c r="A78" s="1"/>
      <c r="B78" s="36" t="s">
        <v>102</v>
      </c>
      <c r="C78" s="67" t="s">
        <v>35</v>
      </c>
      <c r="D78" s="67" t="s">
        <v>35</v>
      </c>
      <c r="E78" s="67" t="s">
        <v>35</v>
      </c>
      <c r="F78" s="67" t="s">
        <v>35</v>
      </c>
      <c r="G78" s="67" t="s">
        <v>35</v>
      </c>
      <c r="H78" s="68" t="s">
        <v>35</v>
      </c>
      <c r="I78" s="1"/>
      <c r="J78" s="1"/>
    </row>
    <row r="79">
      <c r="A79" s="1"/>
      <c r="B79" s="36" t="s">
        <v>103</v>
      </c>
      <c r="C79" s="67" t="s">
        <v>35</v>
      </c>
      <c r="D79" s="67" t="s">
        <v>35</v>
      </c>
      <c r="E79" s="67" t="s">
        <v>35</v>
      </c>
      <c r="F79" s="67" t="s">
        <v>35</v>
      </c>
      <c r="G79" s="67" t="s">
        <v>35</v>
      </c>
      <c r="H79" s="68" t="s">
        <v>35</v>
      </c>
      <c r="I79" s="1"/>
      <c r="J79" s="1"/>
    </row>
    <row r="80">
      <c r="A80" s="1"/>
      <c r="B80" s="1" t="s">
        <v>134</v>
      </c>
      <c r="C80" s="23">
        <f>'Segment - CIB'!C59</f>
        <v>8944</v>
      </c>
      <c r="D80" s="23">
        <f>'Segment - CIB'!D59</f>
        <v>8239</v>
      </c>
      <c r="E80" s="23">
        <f>'Segment - CIB'!E59</f>
        <v>35782</v>
      </c>
      <c r="F80" s="23">
        <f>'Segment - CIB'!F59</f>
        <v>11559</v>
      </c>
      <c r="G80" s="23">
        <f>'Segment - CIB'!G59</f>
        <v>12078</v>
      </c>
      <c r="H80" s="53">
        <f>'Segment - CIB'!H59</f>
        <v>10648.33</v>
      </c>
      <c r="I80" s="1"/>
      <c r="J80" s="1"/>
    </row>
    <row r="81">
      <c r="A81" s="1"/>
      <c r="B81" s="36" t="s">
        <v>99</v>
      </c>
      <c r="C81" s="22">
        <f>IF(AND(ISNUMBER(C80),ISNUMBER(C148)),IF(OR(C148&lt;=0,C80&lt;0),"n.m.",C80/C148-1),"n.a.")</f>
        <v>0.2505592841163311</v>
      </c>
      <c r="D81" s="22">
        <f>IF(AND(ISNUMBER(D80),ISNUMBER(D148)),IF(OR(D148&lt;=0,D80&lt;0),"n.m.",D80/D148-1),"n.a.")</f>
        <v>0.16881827209533262</v>
      </c>
      <c r="E81" s="22">
        <f>IF(AND(ISNUMBER(E80),ISNUMBER(E148)),IF(OR(E148&lt;=0,E80&lt;0),"n.m.",E80/E148-1),"n.a.")</f>
        <v>0.192455093811444</v>
      </c>
      <c r="F81" s="22">
        <f>IF(AND(ISNUMBER(F80),ISNUMBER(F148)),IF(OR(F148&lt;=0,F80&lt;0),"n.m.",F80/F148-1),"n.a.")</f>
        <v>0.1962123564110525</v>
      </c>
      <c r="G81" s="22">
        <f>IF(AND(ISNUMBER(G80),ISNUMBER(G148)),IF(OR(G148&lt;=0,G80&lt;0),"n.m.",G80/G148-1),"n.a.")</f>
        <v>0.35161145926589077</v>
      </c>
      <c r="H81" s="39">
        <f>IF(AND(ISNUMBER(H80),ISNUMBER(C80)),IF(OR(C80&lt;=0,H80&lt;0),"n.m.",H80/C80-1),"n.a.")</f>
        <v>0.19055567978533094</v>
      </c>
      <c r="I81" s="1"/>
      <c r="J81" s="1"/>
    </row>
    <row r="82">
      <c r="A82" s="1"/>
      <c r="B82" s="36" t="s">
        <v>60</v>
      </c>
      <c r="C82" s="22">
        <f>IF(AND(ISNUMBER(C80),ISNUMBER(G148)),IF(OR(G148&lt;=0,C80&lt;0),"n.m.",C80/G148-1),"n.a.")</f>
        <v>0.0008952551477170445</v>
      </c>
      <c r="D82" s="22">
        <f>IF(AND(ISNUMBER(D80),ISNUMBER(C80)),IF(OR(C80&lt;=0,D80&lt;0),"n.m.",D80/C80-1),"n.a.")</f>
        <v>-0.07882379248658322</v>
      </c>
      <c r="E82" s="1"/>
      <c r="F82" s="22">
        <f>IF(AND(ISNUMBER(F80),ISNUMBER(D80)),IF(OR(D80&lt;=0,F80&lt;0),"n.m.",F80/D80-1),"n.a.")</f>
        <v>0.4029615244568516</v>
      </c>
      <c r="G82" s="22">
        <f>IF(AND(ISNUMBER(G80),ISNUMBER(F80)),IF(OR(F80&lt;=0,G80&lt;0),"n.m.",G80/F80-1),"n.a.")</f>
        <v>0.044900077861406595</v>
      </c>
      <c r="H82" s="39">
        <f>IF(AND(ISNUMBER(H80),ISNUMBER(G80)),IF(OR(G80&lt;=0,H80&lt;0),"n.m.",H80/G80-1),"n.a.")</f>
        <v>-0.11836976320582882</v>
      </c>
      <c r="I82" s="1"/>
      <c r="J82" s="1"/>
    </row>
    <row r="83">
      <c r="A83" s="1"/>
      <c r="B83" s="36" t="s">
        <v>100</v>
      </c>
      <c r="C83" s="22">
        <f>IFERROR(C80/C38,"n.a.")</f>
        <v>0.1898132427843803</v>
      </c>
      <c r="D83" s="22">
        <f>IFERROR(D80/D38,"n.a.")</f>
        <v>0.17617123185151923</v>
      </c>
      <c r="E83" s="22">
        <f>IFERROR(E80/E38,"n.a.")</f>
        <v>0.1928106864388057</v>
      </c>
      <c r="F83" s="22">
        <f>IFERROR(F80/F38,"n.a.")</f>
        <v>0.2287280354598702</v>
      </c>
      <c r="G83" s="22">
        <f>IFERROR(G80/G38,"n.a.")</f>
        <v>0.20816242115059805</v>
      </c>
      <c r="H83" s="39">
        <f>IFERROR(H80/H38,"n.a.")</f>
        <v>0.20589636989662954</v>
      </c>
      <c r="I83" s="1"/>
      <c r="J83" s="1"/>
    </row>
    <row r="84">
      <c r="A84" s="1"/>
      <c r="B84" s="36" t="s">
        <v>101</v>
      </c>
      <c r="C84" s="67" t="s">
        <v>35</v>
      </c>
      <c r="D84" s="67" t="s">
        <v>35</v>
      </c>
      <c r="E84" s="67" t="s">
        <v>35</v>
      </c>
      <c r="F84" s="67" t="s">
        <v>35</v>
      </c>
      <c r="G84" s="67" t="s">
        <v>35</v>
      </c>
      <c r="H84" s="68" t="s">
        <v>35</v>
      </c>
      <c r="I84" s="1"/>
      <c r="J84" s="1"/>
    </row>
    <row r="85">
      <c r="A85" s="1"/>
      <c r="B85" s="36" t="s">
        <v>102</v>
      </c>
      <c r="C85" s="67" t="s">
        <v>35</v>
      </c>
      <c r="D85" s="67" t="s">
        <v>35</v>
      </c>
      <c r="E85" s="67" t="s">
        <v>35</v>
      </c>
      <c r="F85" s="67" t="s">
        <v>35</v>
      </c>
      <c r="G85" s="67" t="s">
        <v>35</v>
      </c>
      <c r="H85" s="68" t="s">
        <v>35</v>
      </c>
      <c r="I85" s="1"/>
      <c r="J85" s="1"/>
    </row>
    <row r="86">
      <c r="A86" s="1"/>
      <c r="B86" s="36" t="s">
        <v>103</v>
      </c>
      <c r="C86" s="67" t="s">
        <v>35</v>
      </c>
      <c r="D86" s="67" t="s">
        <v>35</v>
      </c>
      <c r="E86" s="67" t="s">
        <v>35</v>
      </c>
      <c r="F86" s="67" t="s">
        <v>35</v>
      </c>
      <c r="G86" s="67" t="s">
        <v>35</v>
      </c>
      <c r="H86" s="68" t="s">
        <v>35</v>
      </c>
      <c r="I86" s="1"/>
      <c r="J86" s="1"/>
    </row>
    <row r="87">
      <c r="A87" s="1"/>
      <c r="B87" s="21" t="s">
        <v>135</v>
      </c>
      <c r="C87" s="10">
        <f>C80-C61</f>
        <v>8264</v>
      </c>
      <c r="D87" s="10">
        <f>D80-D61</f>
        <v>6988</v>
      </c>
      <c r="E87" s="10">
        <f>E80-E61</f>
        <v>32505</v>
      </c>
      <c r="F87" s="10">
        <f>F80-F61</f>
        <v>9360</v>
      </c>
      <c r="G87" s="10">
        <f>G80-G61</f>
        <v>10133</v>
      </c>
      <c r="H87" s="29">
        <f>H80-H61</f>
        <v>8220.33</v>
      </c>
      <c r="I87" s="1"/>
      <c r="J87" s="1"/>
    </row>
    <row r="88">
      <c r="A88" s="1"/>
      <c r="B88" s="51" t="s">
        <v>99</v>
      </c>
      <c r="C88" s="22">
        <f>IF(AND(ISNUMBER(C87),ISNUMBER(C149)),IF(OR(C149&lt;=0,C87&lt;0),"n.m.",C87/C149-1),"n.a.")</f>
        <v>0.1682216567712751</v>
      </c>
      <c r="D88" s="22">
        <f>IF(AND(ISNUMBER(D87),ISNUMBER(D149)),IF(OR(D149&lt;=0,D87&lt;0),"n.m.",D87/D149-1),"n.a.")</f>
        <v>0.06007281553398047</v>
      </c>
      <c r="E88" s="22">
        <f>IF(AND(ISNUMBER(E87),ISNUMBER(E149)),IF(OR(E149&lt;=0,E87&lt;0),"n.m.",E87/E149-1),"n.a.")</f>
        <v>0.10689232445685493</v>
      </c>
      <c r="F88" s="22">
        <f>IF(AND(ISNUMBER(F87),ISNUMBER(F149)),IF(OR(F149&lt;=0,F87&lt;0),"n.m.",F87/F149-1),"n.a.")</f>
        <v>0.054291507096192904</v>
      </c>
      <c r="G88" s="22">
        <f>IF(AND(ISNUMBER(G87),ISNUMBER(G149)),IF(OR(G149&lt;=0,G87&lt;0),"n.m.",G87/G149-1),"n.a.")</f>
        <v>0.20991044776119394</v>
      </c>
      <c r="H88" s="39">
        <f>IF(AND(ISNUMBER(H87),ISNUMBER(C87)),IF(OR(C87&lt;=0,H87&lt;0),"n.m.",H87/C87-1),"n.a.")</f>
        <v>-0.005284365924491774</v>
      </c>
      <c r="I88" s="1"/>
      <c r="J88" s="1"/>
    </row>
    <row r="89">
      <c r="A89" s="1"/>
      <c r="B89" s="51" t="s">
        <v>60</v>
      </c>
      <c r="C89" s="22">
        <f>IF(AND(ISNUMBER(C87),ISNUMBER(G149)),IF(OR(G149&lt;=0,C87&lt;0),"n.m.",C87/G149-1),"n.a.")</f>
        <v>-0.013253731343283559</v>
      </c>
      <c r="D89" s="22">
        <f>IF(AND(ISNUMBER(D87),ISNUMBER(C87)),IF(OR(C87&lt;=0,D87&lt;0),"n.m.",D87/C87-1),"n.a.")</f>
        <v>-0.15440464666021292</v>
      </c>
      <c r="E89" s="1"/>
      <c r="F89" s="22">
        <f>IF(AND(ISNUMBER(F87),ISNUMBER(D87)),IF(OR(D87&lt;=0,F87&lt;0),"n.m.",F87/D87-1),"n.a.")</f>
        <v>0.3394390383514596</v>
      </c>
      <c r="G89" s="22">
        <f>IF(AND(ISNUMBER(G87),ISNUMBER(F87)),IF(OR(F87&lt;=0,G87&lt;0),"n.m.",G87/F87-1),"n.a.")</f>
        <v>0.08258547008547001</v>
      </c>
      <c r="H89" s="39">
        <f>IF(AND(ISNUMBER(H87),ISNUMBER(G87)),IF(OR(G87&lt;=0,H87&lt;0),"n.m.",H87/G87-1),"n.a.")</f>
        <v>-0.1887565380440146</v>
      </c>
      <c r="I89" s="1"/>
      <c r="J89" s="1"/>
    </row>
    <row r="90">
      <c r="A90" s="1"/>
      <c r="B90" s="51" t="s">
        <v>101</v>
      </c>
      <c r="C90" s="67" t="s">
        <v>35</v>
      </c>
      <c r="D90" s="67" t="s">
        <v>35</v>
      </c>
      <c r="E90" s="67" t="s">
        <v>35</v>
      </c>
      <c r="F90" s="67" t="s">
        <v>35</v>
      </c>
      <c r="G90" s="67" t="s">
        <v>35</v>
      </c>
      <c r="H90" s="68" t="s">
        <v>35</v>
      </c>
      <c r="I90" s="1"/>
      <c r="J90" s="1"/>
    </row>
    <row r="91">
      <c r="A91" s="1"/>
      <c r="B91" s="51" t="s">
        <v>102</v>
      </c>
      <c r="C91" s="67" t="s">
        <v>35</v>
      </c>
      <c r="D91" s="67" t="s">
        <v>35</v>
      </c>
      <c r="E91" s="67" t="s">
        <v>35</v>
      </c>
      <c r="F91" s="67" t="s">
        <v>35</v>
      </c>
      <c r="G91" s="67" t="s">
        <v>35</v>
      </c>
      <c r="H91" s="68" t="s">
        <v>35</v>
      </c>
      <c r="I91" s="1"/>
      <c r="J91" s="1"/>
    </row>
    <row r="92">
      <c r="A92" s="1"/>
      <c r="B92" s="51" t="s">
        <v>103</v>
      </c>
      <c r="C92" s="67" t="s">
        <v>35</v>
      </c>
      <c r="D92" s="67" t="s">
        <v>35</v>
      </c>
      <c r="E92" s="67" t="s">
        <v>35</v>
      </c>
      <c r="F92" s="67" t="s">
        <v>35</v>
      </c>
      <c r="G92" s="67" t="s">
        <v>35</v>
      </c>
      <c r="H92" s="68" t="s">
        <v>35</v>
      </c>
      <c r="I92" s="1"/>
      <c r="J92" s="1"/>
    </row>
    <row r="93">
      <c r="A93" s="1"/>
      <c r="B93" s="21" t="s">
        <v>136</v>
      </c>
      <c r="C93" s="10">
        <f>C74-C87</f>
        <v>14785</v>
      </c>
      <c r="D93" s="10">
        <f>D74-D87</f>
        <v>14671</v>
      </c>
      <c r="E93" s="10">
        <f>E74-E87</f>
        <v>57208</v>
      </c>
      <c r="F93" s="10">
        <f>F74-F87</f>
        <v>15697</v>
      </c>
      <c r="G93" s="10">
        <f>G74-G87</f>
        <v>22267</v>
      </c>
      <c r="H93" s="29">
        <f>H74-H87</f>
        <v>16718.22448899725</v>
      </c>
      <c r="I93" s="1"/>
      <c r="J93" s="1"/>
    </row>
    <row r="94">
      <c r="A94" s="1"/>
      <c r="B94" s="51" t="s">
        <v>99</v>
      </c>
      <c r="C94" s="22">
        <f>IF(AND(ISNUMBER(C93),ISNUMBER(C150)),IF(OR(C150&lt;=0,C93&lt;0),"n.m.",C93/C150-1),"n.a.")</f>
        <v>0.16270839886756838</v>
      </c>
      <c r="D94" s="22">
        <f>IF(AND(ISNUMBER(D93),ISNUMBER(D150)),IF(OR(D150&lt;=0,D93&lt;0),"n.m.",D93/D150-1),"n.a.")</f>
        <v>0.07283363802559406</v>
      </c>
      <c r="E94" s="22">
        <f>IF(AND(ISNUMBER(E93),ISNUMBER(E150)),IF(OR(E150&lt;=0,E93&lt;0),"n.m.",E93/E150-1),"n.a.")</f>
        <v>-0.016487011535750495</v>
      </c>
      <c r="F94" s="22">
        <f>IF(AND(ISNUMBER(F93),ISNUMBER(F150)),IF(OR(F150&lt;=0,F93&lt;0),"n.m.",F93/F150-1),"n.a.")</f>
        <v>0.14068745003996797</v>
      </c>
      <c r="G94" s="22">
        <f>IF(AND(ISNUMBER(G93),ISNUMBER(G150)),IF(OR(G150&lt;=0,G93&lt;0),"n.m.",G93/G150-1),"n.a.")</f>
        <v>0.5915231220070045</v>
      </c>
      <c r="H94" s="39">
        <f>IF(AND(ISNUMBER(H93),ISNUMBER(C93)),IF(OR(C93&lt;=0,H93&lt;0),"n.m.",H93/C93-1),"n.a.")</f>
        <v>0.13075579905290824</v>
      </c>
      <c r="I94" s="1"/>
      <c r="J94" s="1"/>
    </row>
    <row r="95">
      <c r="A95" s="1"/>
      <c r="B95" s="51" t="s">
        <v>60</v>
      </c>
      <c r="C95" s="22">
        <f>IF(AND(ISNUMBER(C93),ISNUMBER(G150)),IF(OR(G150&lt;=0,C93&lt;0),"n.m.",C93/G150-1),"n.a.")</f>
        <v>0.056750768351082836</v>
      </c>
      <c r="D95" s="22">
        <f>IF(AND(ISNUMBER(D93),ISNUMBER(C93)),IF(OR(C93&lt;=0,D93&lt;0),"n.m.",D93/C93-1),"n.a.")</f>
        <v>-0.007710517416300355</v>
      </c>
      <c r="E95" s="1"/>
      <c r="F95" s="22">
        <f>IF(AND(ISNUMBER(F93),ISNUMBER(D93)),IF(OR(D93&lt;=0,F93&lt;0),"n.m.",F93/D93-1),"n.a.")</f>
        <v>0.06993388317088134</v>
      </c>
      <c r="G95" s="22">
        <f>IF(AND(ISNUMBER(G93),ISNUMBER(F93)),IF(OR(F93&lt;=0,G93&lt;0),"n.m.",G93/F93-1),"n.a.")</f>
        <v>0.41855131553800096</v>
      </c>
      <c r="H95" s="39">
        <f>IF(AND(ISNUMBER(H93),ISNUMBER(G93)),IF(OR(G93&lt;=0,H93&lt;0),"n.m.",H93/G93-1),"n.a.")</f>
        <v>-0.2491927745543967</v>
      </c>
      <c r="I95" s="1"/>
      <c r="J95" s="1"/>
    </row>
    <row r="96">
      <c r="A96" s="1"/>
      <c r="B96" s="51" t="s">
        <v>101</v>
      </c>
      <c r="C96" s="67" t="s">
        <v>35</v>
      </c>
      <c r="D96" s="67" t="s">
        <v>35</v>
      </c>
      <c r="E96" s="67" t="s">
        <v>35</v>
      </c>
      <c r="F96" s="67" t="s">
        <v>35</v>
      </c>
      <c r="G96" s="67" t="s">
        <v>35</v>
      </c>
      <c r="H96" s="68" t="s">
        <v>35</v>
      </c>
      <c r="I96" s="1"/>
      <c r="J96" s="1"/>
    </row>
    <row r="97">
      <c r="A97" s="1"/>
      <c r="B97" s="51" t="s">
        <v>102</v>
      </c>
      <c r="C97" s="67" t="s">
        <v>35</v>
      </c>
      <c r="D97" s="67" t="s">
        <v>35</v>
      </c>
      <c r="E97" s="67" t="s">
        <v>35</v>
      </c>
      <c r="F97" s="67" t="s">
        <v>35</v>
      </c>
      <c r="G97" s="67" t="s">
        <v>35</v>
      </c>
      <c r="H97" s="68" t="s">
        <v>35</v>
      </c>
      <c r="I97" s="1"/>
      <c r="J97" s="1"/>
    </row>
    <row r="98">
      <c r="A98" s="1"/>
      <c r="B98" s="51" t="s">
        <v>103</v>
      </c>
      <c r="C98" s="67" t="s">
        <v>35</v>
      </c>
      <c r="D98" s="67" t="s">
        <v>35</v>
      </c>
      <c r="E98" s="67" t="s">
        <v>35</v>
      </c>
      <c r="F98" s="67" t="s">
        <v>35</v>
      </c>
      <c r="G98" s="67" t="s">
        <v>35</v>
      </c>
      <c r="H98" s="68" t="s">
        <v>35</v>
      </c>
      <c r="I98" s="1"/>
      <c r="J98" s="1"/>
    </row>
    <row r="99">
      <c r="A99" s="1"/>
      <c r="B99" s="1"/>
      <c r="C99" s="1"/>
      <c r="D99" s="1"/>
      <c r="E99" s="1"/>
      <c r="F99" s="1"/>
      <c r="G99" s="1"/>
      <c r="H99" s="30"/>
      <c r="I99" s="1"/>
      <c r="J99" s="1"/>
    </row>
    <row r="100">
      <c r="A100" s="1"/>
      <c r="B100" s="31" t="s">
        <v>137</v>
      </c>
      <c r="C100" s="1"/>
      <c r="D100" s="1"/>
      <c r="E100" s="1"/>
      <c r="F100" s="1"/>
      <c r="G100" s="1"/>
      <c r="H100" s="30"/>
      <c r="I100" s="1"/>
      <c r="J100" s="1"/>
    </row>
    <row r="101" ht="26.25">
      <c r="A101" s="1"/>
      <c r="B101" s="124" t="s">
        <v>138</v>
      </c>
      <c r="C101" s="22">
        <f>IF(AND(ISNUMBER(C102),ISNUMBER(G151)),IF(OR(G151&lt;=0,C102&lt;0),"n.m.",C102/G151-1),"n.a.")</f>
        <v>0.012943898333377613</v>
      </c>
      <c r="D101" s="22">
        <f>IF(AND(ISNUMBER(D102),ISNUMBER(C102)),IF(OR(C102&lt;=0,D102&lt;0),"n.m.",D102/C102-1),"n.a.")</f>
        <v>0.007202695029780992</v>
      </c>
      <c r="E101" s="1"/>
      <c r="F101" s="22">
        <f>IF(AND(ISNUMBER(F102),ISNUMBER(D102)),IF(OR(D102&lt;=0,F102&lt;0),"n.m.",F102/D102-1),"n.a.")</f>
        <v>0.05400675463527427</v>
      </c>
      <c r="G101" s="22">
        <f>IF(AND(ISNUMBER(G102),ISNUMBER(F102)),IF(OR(F102&lt;=0,G102&lt;0),"n.m.",G102/F102-1),"n.a.")</f>
        <v>0.03680529008493538</v>
      </c>
      <c r="H101" s="72">
        <v>0.015</v>
      </c>
      <c r="I101" s="1"/>
      <c r="J101" s="1"/>
    </row>
    <row r="102">
      <c r="A102" s="1"/>
      <c r="B102" s="1" t="s">
        <v>139</v>
      </c>
      <c r="C102" s="3">
        <v>3895764</v>
      </c>
      <c r="D102" s="3">
        <v>3923824</v>
      </c>
      <c r="E102" s="3">
        <v>3834359</v>
      </c>
      <c r="F102" s="3">
        <v>4135737</v>
      </c>
      <c r="G102" s="3">
        <v>4287954</v>
      </c>
      <c r="H102" s="29">
        <f>G102*(1+H101)</f>
        <v>4352273.31</v>
      </c>
      <c r="I102" s="1"/>
      <c r="J102" s="2" t="s">
        <v>140</v>
      </c>
    </row>
    <row r="103">
      <c r="A103" s="1"/>
      <c r="B103" s="36" t="s">
        <v>58</v>
      </c>
      <c r="C103" s="22">
        <f>IF(AND(ISNUMBER(C102),ISNUMBER(C151)),IF(OR(C151&lt;=0,C102&lt;0),"n.m.",C102/C151-1),"n.a.")</f>
        <v>0.07565314821553915</v>
      </c>
      <c r="D103" s="22">
        <f>IF(AND(ISNUMBER(D102),ISNUMBER(D151)),IF(OR(D151&lt;=0,D102&lt;0),"n.m.",D102/D151-1),"n.a.")</f>
        <v>0.09850726211939653</v>
      </c>
      <c r="E103" s="22">
        <f>IF(AND(ISNUMBER(E102),ISNUMBER(E151)),IF(OR(E151&lt;=0,E102&lt;0),"n.m.",E102/E151-1),"n.a.")</f>
        <v>0.0838972095793522</v>
      </c>
      <c r="F103" s="22">
        <f>IF(AND(ISNUMBER(F102),ISNUMBER(F151)),IF(OR(F151&lt;=0,F102&lt;0),"n.m.",F102/F151-1),"n.a.")</f>
        <v>0.12740023945148593</v>
      </c>
      <c r="G103" s="22">
        <f>IF(AND(ISNUMBER(G102),ISNUMBER(G151)),IF(OR(G151&lt;=0,G102&lt;0),"n.m.",G102/G151-1),"n.a.")</f>
        <v>0.11491785452974046</v>
      </c>
      <c r="H103" s="39">
        <f>IF(AND(ISNUMBER(H102),ISNUMBER(C102)),IF(OR(C102&lt;=0,H102&lt;0),"n.m.",H102/C102-1),"n.a.")</f>
        <v>0.11718094576570848</v>
      </c>
      <c r="I103" s="1"/>
      <c r="J103" s="1"/>
    </row>
    <row r="104">
      <c r="A104" s="1"/>
      <c r="B104" s="21" t="s">
        <v>114</v>
      </c>
      <c r="C104" s="10">
        <f>C102-G151</f>
        <v>49782</v>
      </c>
      <c r="D104" s="10">
        <f>D102-C102</f>
        <v>28060</v>
      </c>
      <c r="E104" s="1"/>
      <c r="F104" s="10">
        <f>F102-D102</f>
        <v>211913</v>
      </c>
      <c r="G104" s="10">
        <f>G102-F102</f>
        <v>152217</v>
      </c>
      <c r="H104" s="29">
        <f>H102-G102</f>
        <v>64319.30999999959</v>
      </c>
      <c r="I104" s="1"/>
      <c r="J104" s="1"/>
    </row>
    <row r="105">
      <c r="A105" s="1"/>
      <c r="B105" s="21" t="s">
        <v>141</v>
      </c>
      <c r="C105" s="3">
        <v>1404633</v>
      </c>
      <c r="D105" s="3">
        <v>1403245</v>
      </c>
      <c r="E105" s="3">
        <v>1363174</v>
      </c>
      <c r="F105" s="3">
        <v>1599089</v>
      </c>
      <c r="G105" s="3">
        <v>1686445</v>
      </c>
      <c r="H105" s="29">
        <f>G105*(1+H101)</f>
        <v>1711741.6749999998</v>
      </c>
      <c r="I105" s="1"/>
      <c r="J105" s="2" t="s">
        <v>142</v>
      </c>
    </row>
    <row r="106">
      <c r="A106" s="1"/>
      <c r="B106" s="51" t="s">
        <v>58</v>
      </c>
      <c r="C106" s="22">
        <f>IF(AND(ISNUMBER(C105),ISNUMBER(C152)),IF(OR(C152&lt;=0,C105&lt;0),"n.m.",C105/C152-1),"n.a.")</f>
        <v>0.16462189646666703</v>
      </c>
      <c r="D106" s="22">
        <f>IF(AND(ISNUMBER(D105),ISNUMBER(D152)),IF(OR(D152&lt;=0,D105&lt;0),"n.m.",D105/D152-1),"n.a.")</f>
        <v>0.21238944169839669</v>
      </c>
      <c r="E106" s="22">
        <f>IF(AND(ISNUMBER(E105),ISNUMBER(E152)),IF(OR(E152&lt;=0,E105&lt;0),"n.m.",E105/E152-1),"n.a.")</f>
        <v>0.20832369368339232</v>
      </c>
      <c r="F106" s="22">
        <f>IF(AND(ISNUMBER(F105),ISNUMBER(F152)),IF(OR(F152&lt;=0,F105&lt;0),"n.m.",F105/F152-1),"n.a.")</f>
        <v>0.27402324345555784</v>
      </c>
      <c r="G106" s="22">
        <f>IF(AND(ISNUMBER(G105),ISNUMBER(G152)),IF(OR(G152&lt;=0,G105&lt;0),"n.m.",G105/G152-1),"n.a.")</f>
        <v>0.2153822759559061</v>
      </c>
      <c r="H106" s="39">
        <f>IF(AND(ISNUMBER(H105),ISNUMBER(C105)),IF(OR(C105&lt;=0,H105&lt;0),"n.m.",H105/C105-1),"n.a.")</f>
        <v>0.21863979772652353</v>
      </c>
      <c r="I106" s="1"/>
      <c r="J106" s="1"/>
    </row>
    <row r="107">
      <c r="A107" s="1"/>
      <c r="B107" s="20" t="s">
        <v>114</v>
      </c>
      <c r="C107" s="10">
        <f>C105-G152</f>
        <v>17049</v>
      </c>
      <c r="D107" s="10">
        <f>D105-C105</f>
        <v>-1388</v>
      </c>
      <c r="E107" s="1"/>
      <c r="F107" s="10">
        <f>F105-D105</f>
        <v>195844</v>
      </c>
      <c r="G107" s="10">
        <f>G105-F105</f>
        <v>87356</v>
      </c>
      <c r="H107" s="29">
        <f>H105-G105</f>
        <v>25296.674999999814</v>
      </c>
      <c r="I107" s="1"/>
      <c r="J107" s="1"/>
    </row>
    <row r="108">
      <c r="A108" s="1"/>
      <c r="B108" s="1" t="s">
        <v>143</v>
      </c>
      <c r="C108" s="10">
        <f>C102-C105</f>
        <v>2491131</v>
      </c>
      <c r="D108" s="10">
        <f>D102-D105</f>
        <v>2520579</v>
      </c>
      <c r="E108" s="10">
        <f>E102-E105</f>
        <v>2471185</v>
      </c>
      <c r="F108" s="10">
        <f>F102-F105</f>
        <v>2536648</v>
      </c>
      <c r="G108" s="10">
        <f>G102-G105</f>
        <v>2601509</v>
      </c>
      <c r="H108" s="29">
        <f>H102-H105</f>
        <v>2640531.635</v>
      </c>
      <c r="I108" s="1"/>
      <c r="J108" s="1"/>
    </row>
    <row r="109">
      <c r="A109" s="1"/>
      <c r="B109" s="36" t="s">
        <v>58</v>
      </c>
      <c r="C109" s="22">
        <f>IF(AND(ISNUMBER(C108),ISNUMBER(C153)),IF(OR(C153&lt;=0,C108&lt;0),"n.m.",C108/C153-1),"n.a.")</f>
        <v>0.03123342858597633</v>
      </c>
      <c r="D109" s="22">
        <f>IF(AND(ISNUMBER(D108),ISNUMBER(D153)),IF(OR(D153&lt;=0,D108&lt;0),"n.m.",D108/D153-1),"n.a.")</f>
        <v>0.043917286074070416</v>
      </c>
      <c r="E109" s="22">
        <f>IF(AND(ISNUMBER(E108),ISNUMBER(E153)),IF(OR(E153&lt;=0,E108&lt;0),"n.m.",E108/E153-1),"n.a.")</f>
        <v>0.025637354145032765</v>
      </c>
      <c r="F109" s="22">
        <f>IF(AND(ISNUMBER(F108),ISNUMBER(F153)),IF(OR(F153&lt;=0,F108&lt;0),"n.m.",F108/F153-1),"n.a.")</f>
        <v>0.051140067171245196</v>
      </c>
      <c r="G109" s="22">
        <f>IF(AND(ISNUMBER(G108),ISNUMBER(G153)),IF(OR(G153&lt;=0,G108&lt;0),"n.m.",G108/G153-1),"n.a.")</f>
        <v>0.05821311276693186</v>
      </c>
      <c r="H109" s="39">
        <f>IF(AND(ISNUMBER(H108),ISNUMBER(C108)),IF(OR(C108&lt;=0,H108&lt;0),"n.m.",H108/C108-1),"n.a.")</f>
        <v>0.0599730142654078</v>
      </c>
      <c r="I109" s="1"/>
      <c r="J109" s="1"/>
    </row>
    <row r="110">
      <c r="A110" s="1"/>
      <c r="B110" s="21" t="s">
        <v>114</v>
      </c>
      <c r="C110" s="10">
        <f>C108-G153</f>
        <v>32733</v>
      </c>
      <c r="D110" s="10">
        <f>D108-C108</f>
        <v>29448</v>
      </c>
      <c r="E110" s="1"/>
      <c r="F110" s="10">
        <f>F108-D108</f>
        <v>16069</v>
      </c>
      <c r="G110" s="10">
        <f>G108-F108</f>
        <v>64861</v>
      </c>
      <c r="H110" s="29">
        <f>H108-G108</f>
        <v>39022.63499999978</v>
      </c>
      <c r="I110" s="1"/>
      <c r="J110" s="1"/>
    </row>
    <row r="111">
      <c r="A111" s="1"/>
      <c r="B111" s="1" t="s">
        <v>144</v>
      </c>
      <c r="C111" s="3">
        <v>1417466</v>
      </c>
      <c r="D111" s="3">
        <v>1461079</v>
      </c>
      <c r="E111" s="3">
        <v>1400048</v>
      </c>
      <c r="F111" s="3">
        <v>1486145</v>
      </c>
      <c r="G111" s="3">
        <v>1521295</v>
      </c>
      <c r="H111" s="29">
        <f>G111*(1+H114)</f>
        <v>1544114.4249999998</v>
      </c>
      <c r="I111" s="1"/>
      <c r="J111" s="2" t="s">
        <v>145</v>
      </c>
    </row>
    <row r="112">
      <c r="A112" s="1"/>
      <c r="B112" s="36" t="s">
        <v>58</v>
      </c>
      <c r="C112" s="22">
        <f>IF(AND(ISNUMBER(C111),ISNUMBER(C154)),IF(OR(C154&lt;=0,C111&lt;0),"n.m.",C111/C154-1),"n.a.")</f>
        <v>0.06943052873008204</v>
      </c>
      <c r="D112" s="22">
        <f>IF(AND(ISNUMBER(D111),ISNUMBER(D154)),IF(OR(D154&lt;=0,D111&lt;0),"n.m.",D111/D154-1),"n.a.")</f>
        <v>0.09086381887712047</v>
      </c>
      <c r="E112" s="22">
        <f>IF(AND(ISNUMBER(E111),ISNUMBER(E154)),IF(OR(E154&lt;=0,E111&lt;0),"n.m.",E111/E154-1),"n.a.")</f>
        <v>0.058697468665519725</v>
      </c>
      <c r="F112" s="22">
        <f>IF(AND(ISNUMBER(F111),ISNUMBER(F154)),IF(OR(F154&lt;=0,F111&lt;0),"n.m.",F111/F154-1),"n.a.")</f>
        <v>0.10956770651736503</v>
      </c>
      <c r="G112" s="22">
        <f>IF(AND(ISNUMBER(G111),ISNUMBER(G154)),IF(OR(G154&lt;=0,G111&lt;0),"n.m.",G111/G154-1),"n.a.")</f>
        <v>0.10180803432397156</v>
      </c>
      <c r="H112" s="39">
        <f>IF(AND(ISNUMBER(H111),ISNUMBER(C111)),IF(OR(C111&lt;=0,H111&lt;0),"n.m.",H111/C111-1),"n.a.")</f>
        <v>0.08934847467240825</v>
      </c>
      <c r="I112" s="1"/>
      <c r="J112" s="1"/>
    </row>
    <row r="113">
      <c r="A113" s="1"/>
      <c r="B113" s="21" t="s">
        <v>114</v>
      </c>
      <c r="C113" s="10">
        <f>C111-G154</f>
        <v>36740</v>
      </c>
      <c r="D113" s="10">
        <f>D111-C111</f>
        <v>43613</v>
      </c>
      <c r="E113" s="1"/>
      <c r="F113" s="10">
        <f>F111-D111</f>
        <v>25066</v>
      </c>
      <c r="G113" s="10">
        <f>G111-F111</f>
        <v>35150</v>
      </c>
      <c r="H113" s="29">
        <f>H111-G111</f>
        <v>22819.424999999814</v>
      </c>
      <c r="I113" s="1"/>
      <c r="J113" s="1"/>
    </row>
    <row r="114">
      <c r="A114" s="1"/>
      <c r="B114" s="51" t="s">
        <v>146</v>
      </c>
      <c r="C114" s="22">
        <f>IF(AND(ISNUMBER(C111),ISNUMBER(G154)),IF(OR(G154&lt;=0,C111&lt;0),"n.m.",C111/G154-1),"n.a.")</f>
        <v>0.026609189658194365</v>
      </c>
      <c r="D114" s="22">
        <f>IF(AND(ISNUMBER(D111),ISNUMBER(C111)),IF(OR(C111&lt;=0,D111&lt;0),"n.m.",D111/C111-1),"n.a.")</f>
        <v>0.030768286505637565</v>
      </c>
      <c r="E114" s="1"/>
      <c r="F114" s="22">
        <f>IF(AND(ISNUMBER(F111),ISNUMBER(D111)),IF(OR(D111&lt;=0,F111&lt;0),"n.m.",F111/D111-1),"n.a.")</f>
        <v>0.017155814298884575</v>
      </c>
      <c r="G114" s="22">
        <f>IF(AND(ISNUMBER(G111),ISNUMBER(F111)),IF(OR(F111&lt;=0,G111&lt;0),"n.m.",G111/F111-1),"n.a.")</f>
        <v>0.023651797099206284</v>
      </c>
      <c r="H114" s="72">
        <v>0.015</v>
      </c>
      <c r="I114" s="1"/>
      <c r="J114" s="1"/>
    </row>
    <row r="115">
      <c r="A115" s="1"/>
      <c r="B115" s="21" t="s">
        <v>147</v>
      </c>
      <c r="C115" s="3">
        <v>1913958</v>
      </c>
      <c r="D115" s="3">
        <v>1949049</v>
      </c>
      <c r="E115" s="3">
        <v>1902382</v>
      </c>
      <c r="F115" s="3">
        <v>1991590</v>
      </c>
      <c r="G115" s="3">
        <v>2047761</v>
      </c>
      <c r="H115" s="29">
        <f>G115*(1+H118)</f>
        <v>2068238.61</v>
      </c>
      <c r="I115" s="1"/>
      <c r="J115" s="2" t="s">
        <v>148</v>
      </c>
    </row>
    <row r="116">
      <c r="A116" s="1"/>
      <c r="B116" s="51" t="s">
        <v>58</v>
      </c>
      <c r="C116" s="22">
        <f>IF(AND(ISNUMBER(C115),ISNUMBER(C155)),IF(OR(C155&lt;=0,C115&lt;0),"n.m.",C115/C155-1),"n.a.")</f>
        <v>0.09409478818740413</v>
      </c>
      <c r="D116" s="22">
        <f>IF(AND(ISNUMBER(D115),ISNUMBER(D155)),IF(OR(D155&lt;=0,D115&lt;0),"n.m.",D115/D155-1),"n.a.")</f>
        <v>0.08682807525858216</v>
      </c>
      <c r="E116" s="22">
        <f>IF(AND(ISNUMBER(E115),ISNUMBER(E155)),IF(OR(E155&lt;=0,E115&lt;0),"n.m.",E115/E155-1),"n.a.")</f>
        <v>0.08828809244586822</v>
      </c>
      <c r="F116" s="22">
        <f>IF(AND(ISNUMBER(F115),ISNUMBER(F155)),IF(OR(F155&lt;=0,F115&lt;0),"n.m.",F115/F155-1),"n.a.")</f>
        <v>0.08068965666931471</v>
      </c>
      <c r="G116" s="22">
        <f>IF(AND(ISNUMBER(G115),ISNUMBER(G155)),IF(OR(G155&lt;=0,G115&lt;0),"n.m.",G115/G155-1),"n.a.")</f>
        <v>0.07644492011667747</v>
      </c>
      <c r="H116" s="39">
        <f>IF(AND(ISNUMBER(H115),ISNUMBER(C115)),IF(OR(C115&lt;=0,H115&lt;0),"n.m.",H115/C115-1),"n.a.")</f>
        <v>0.08060814814118178</v>
      </c>
      <c r="I116" s="1"/>
      <c r="J116" s="1"/>
    </row>
    <row r="117">
      <c r="A117" s="1"/>
      <c r="B117" s="20" t="s">
        <v>114</v>
      </c>
      <c r="C117" s="10">
        <f>C115-G155</f>
        <v>11621</v>
      </c>
      <c r="D117" s="10">
        <f>D115-C115</f>
        <v>35091</v>
      </c>
      <c r="E117" s="1"/>
      <c r="F117" s="10">
        <f>F115-D115</f>
        <v>42541</v>
      </c>
      <c r="G117" s="10">
        <f>G115-F115</f>
        <v>56171</v>
      </c>
      <c r="H117" s="29">
        <f>H115-G115</f>
        <v>20477.610000000102</v>
      </c>
      <c r="I117" s="1"/>
      <c r="J117" s="1"/>
    </row>
    <row r="118">
      <c r="A118" s="1"/>
      <c r="B118" s="74" t="s">
        <v>146</v>
      </c>
      <c r="C118" s="22">
        <f>IF(AND(ISNUMBER(C115),ISNUMBER(G155)),IF(OR(G155&lt;=0,C115&lt;0),"n.m.",C115/G155-1),"n.a.")</f>
        <v>0.006108801963059074</v>
      </c>
      <c r="D118" s="22">
        <f>IF(AND(ISNUMBER(D115),ISNUMBER(C115)),IF(OR(C115&lt;=0,D115&lt;0),"n.m.",D115/C115-1),"n.a.")</f>
        <v>0.018334258118516633</v>
      </c>
      <c r="E118" s="1"/>
      <c r="F118" s="22">
        <f>IF(AND(ISNUMBER(F115),ISNUMBER(D115)),IF(OR(D115&lt;=0,F115&lt;0),"n.m.",F115/D115-1),"n.a.")</f>
        <v>0.021826542072569843</v>
      </c>
      <c r="G118" s="22">
        <f>IF(AND(ISNUMBER(G115),ISNUMBER(F115)),IF(OR(F115&lt;=0,G115&lt;0),"n.m.",G115/F115-1),"n.a.")</f>
        <v>0.02820409823307002</v>
      </c>
      <c r="H118" s="72">
        <v>0.01</v>
      </c>
      <c r="I118" s="1"/>
      <c r="J118" s="1"/>
    </row>
    <row r="119">
      <c r="A119" s="1"/>
      <c r="B119" s="21" t="s">
        <v>149</v>
      </c>
      <c r="C119" s="3">
        <v>610601</v>
      </c>
      <c r="D119" s="3">
        <v>615559</v>
      </c>
      <c r="E119" s="3">
        <v>604183</v>
      </c>
      <c r="F119" s="3">
        <v>611294</v>
      </c>
      <c r="G119" s="3">
        <v>637817</v>
      </c>
      <c r="H119" s="29">
        <f>G119*(1+H122)</f>
        <v>644195.17</v>
      </c>
      <c r="I119" s="1"/>
      <c r="J119" s="2" t="s">
        <v>148</v>
      </c>
    </row>
    <row r="120">
      <c r="A120" s="1"/>
      <c r="B120" s="51" t="s">
        <v>58</v>
      </c>
      <c r="C120" s="22">
        <f>IF(AND(ISNUMBER(C119),ISNUMBER(C156)),IF(OR(C156&lt;=0,C119&lt;0),"n.m.",C119/C156-1),"n.a.")</f>
        <v>-0.036841615440794895</v>
      </c>
      <c r="D120" s="22">
        <f>IF(AND(ISNUMBER(D119),ISNUMBER(D156)),IF(OR(D156&lt;=0,D119&lt;0),"n.m.",D119/D156-1),"n.a.")</f>
        <v>-0.012979953628133534</v>
      </c>
      <c r="E120" s="22">
        <f>IF(AND(ISNUMBER(E119),ISNUMBER(E156)),IF(OR(E156&lt;=0,E119&lt;0),"n.m.",E119/E156-1),"n.a.")</f>
        <v>-0.053882604229304465</v>
      </c>
      <c r="F120" s="22">
        <f>IF(AND(ISNUMBER(F119),ISNUMBER(F156)),IF(OR(F156&lt;=0,F119&lt;0),"n.m.",F119/F156-1),"n.a.")</f>
        <v>0.04064744466026693</v>
      </c>
      <c r="G120" s="22">
        <f>IF(AND(ISNUMBER(G119),ISNUMBER(G156)),IF(OR(G156&lt;=0,G119&lt;0),"n.m.",G119/G156-1),"n.a.")</f>
        <v>0.05813095058371509</v>
      </c>
      <c r="H120" s="39">
        <f>IF(AND(ISNUMBER(H119),ISNUMBER(C119)),IF(OR(C119&lt;=0,H119&lt;0),"n.m.",H119/C119-1),"n.a.")</f>
        <v>0.05501820337667329</v>
      </c>
      <c r="I120" s="1"/>
      <c r="J120" s="1"/>
    </row>
    <row r="121">
      <c r="A121" s="1"/>
      <c r="B121" s="20" t="s">
        <v>114</v>
      </c>
      <c r="C121" s="10">
        <f>C119-G156</f>
        <v>7824</v>
      </c>
      <c r="D121" s="10">
        <f>D119-C119</f>
        <v>4958</v>
      </c>
      <c r="E121" s="1"/>
      <c r="F121" s="10">
        <f>F119-D119</f>
        <v>-4265</v>
      </c>
      <c r="G121" s="10">
        <f>G119-F119</f>
        <v>26523</v>
      </c>
      <c r="H121" s="29">
        <f>H119-G119</f>
        <v>6378.170000000042</v>
      </c>
      <c r="I121" s="1"/>
      <c r="J121" s="1"/>
    </row>
    <row r="122">
      <c r="A122" s="1"/>
      <c r="B122" s="74" t="s">
        <v>146</v>
      </c>
      <c r="C122" s="22">
        <f>IF(AND(ISNUMBER(C119),ISNUMBER(G156)),IF(OR(G156&lt;=0,C119&lt;0),"n.m.",C119/G156-1),"n.a.")</f>
        <v>0.012979924582391167</v>
      </c>
      <c r="D122" s="22">
        <f>IF(AND(ISNUMBER(D119),ISNUMBER(C119)),IF(OR(C119&lt;=0,D119&lt;0),"n.m.",D119/C119-1),"n.a.")</f>
        <v>0.008119868785016804</v>
      </c>
      <c r="E122" s="1"/>
      <c r="F122" s="22">
        <f>IF(AND(ISNUMBER(F119),ISNUMBER(D119)),IF(OR(D119&lt;=0,F119&lt;0),"n.m.",F119/D119-1),"n.a.")</f>
        <v>-0.006928661590521745</v>
      </c>
      <c r="G122" s="22">
        <f>IF(AND(ISNUMBER(G119),ISNUMBER(F119)),IF(OR(F119&lt;=0,G119&lt;0),"n.m.",G119/F119-1),"n.a.")</f>
        <v>0.043388287796052305</v>
      </c>
      <c r="H122" s="72">
        <v>0.01</v>
      </c>
      <c r="I122" s="1"/>
      <c r="J122" s="1"/>
    </row>
    <row r="123">
      <c r="A123" s="1"/>
      <c r="B123" s="31" t="s">
        <v>150</v>
      </c>
      <c r="C123" s="43">
        <f>C115+C119</f>
        <v>2524559</v>
      </c>
      <c r="D123" s="43">
        <f>D115+D119</f>
        <v>2564608</v>
      </c>
      <c r="E123" s="43">
        <f>E115+E119</f>
        <v>2506565</v>
      </c>
      <c r="F123" s="43">
        <f>F115+F119</f>
        <v>2602884</v>
      </c>
      <c r="G123" s="43">
        <f>G115+G119</f>
        <v>2685578</v>
      </c>
      <c r="H123" s="45">
        <f>H115+H119</f>
        <v>2712433.7800000003</v>
      </c>
      <c r="I123" s="1"/>
      <c r="J123" s="1"/>
    </row>
    <row r="124">
      <c r="A124" s="1"/>
      <c r="B124" s="36" t="s">
        <v>58</v>
      </c>
      <c r="C124" s="22">
        <f>IF(AND(ISNUMBER(C123),ISNUMBER(C157)),IF(OR(C157&lt;=0,C123&lt;0),"n.m.",C123/C157-1),"n.a.")</f>
        <v>0.05926589491085932</v>
      </c>
      <c r="D124" s="22">
        <f>IF(AND(ISNUMBER(D123),ISNUMBER(D157)),IF(OR(D157&lt;=0,D123&lt;0),"n.m.",D123/D157-1),"n.a.")</f>
        <v>0.06107469990579206</v>
      </c>
      <c r="E124" s="22">
        <f>IF(AND(ISNUMBER(E123),ISNUMBER(E157)),IF(OR(E157&lt;=0,E123&lt;0),"n.m.",E123/E157-1),"n.a.")</f>
        <v>0.050247586357736074</v>
      </c>
      <c r="F124" s="22">
        <f>IF(AND(ISNUMBER(F123),ISNUMBER(F157)),IF(OR(F157&lt;=0,F123&lt;0),"n.m.",F123/F157-1),"n.a.")</f>
        <v>0.07101125167417255</v>
      </c>
      <c r="G124" s="22">
        <f>IF(AND(ISNUMBER(G123),ISNUMBER(G157)),IF(OR(G157&lt;=0,G123&lt;0),"n.m.",G123/G157-1),"n.a.")</f>
        <v>0.07203823857916247</v>
      </c>
      <c r="H124" s="39">
        <f>IF(AND(ISNUMBER(H123),ISNUMBER(C123)),IF(OR(C123&lt;=0,H123&lt;0),"n.m.",H123/C123-1),"n.a.")</f>
        <v>0.07441885097555656</v>
      </c>
      <c r="I124" s="1"/>
      <c r="J124" s="1"/>
    </row>
    <row r="125">
      <c r="A125" s="1"/>
      <c r="B125" s="21" t="s">
        <v>114</v>
      </c>
      <c r="C125" s="10">
        <f>C123-G157</f>
        <v>19445</v>
      </c>
      <c r="D125" s="10">
        <f>D123-C123</f>
        <v>40049</v>
      </c>
      <c r="E125" s="1"/>
      <c r="F125" s="10">
        <f>F123-D123</f>
        <v>38276</v>
      </c>
      <c r="G125" s="10">
        <f>G123-F123</f>
        <v>82694</v>
      </c>
      <c r="H125" s="29">
        <f>H123-G123</f>
        <v>26855.78000000026</v>
      </c>
      <c r="I125" s="1"/>
      <c r="J125" s="1"/>
    </row>
    <row r="126">
      <c r="A126" s="1"/>
      <c r="B126" s="1" t="s">
        <v>151</v>
      </c>
      <c r="C126" s="4">
        <v>0.0245</v>
      </c>
      <c r="D126" s="4">
        <v>0.0254</v>
      </c>
      <c r="E126" s="4">
        <v>0.025</v>
      </c>
      <c r="F126" s="4">
        <v>0.025</v>
      </c>
      <c r="G126" s="4">
        <v>0.024</v>
      </c>
      <c r="H126" s="62">
        <f>H64*365/H7/H102</f>
        <v>0.024410307497389823</v>
      </c>
      <c r="I126" s="1"/>
      <c r="J126" s="2" t="s">
        <v>152</v>
      </c>
    </row>
    <row r="127">
      <c r="A127" s="1"/>
      <c r="B127" s="21" t="s">
        <v>153</v>
      </c>
      <c r="C127" s="25">
        <f>(C126-C158)*10000</f>
        <v>-12.999999999999991</v>
      </c>
      <c r="D127" s="25">
        <f>(D126-D158)*10000</f>
        <v>-7.000000000000027</v>
      </c>
      <c r="E127" s="25">
        <f>(E126-E158)*10000</f>
        <v>-12.999999999999991</v>
      </c>
      <c r="F127" s="25">
        <f>(F126-F158)*10000</f>
        <v>-7.999999999999987</v>
      </c>
      <c r="G127" s="25">
        <f>(G126-G158)*10000</f>
        <v>-2.999999999999982</v>
      </c>
      <c r="H127" s="58">
        <f>(H126-C126)*10000</f>
        <v>-0.8969250261017803</v>
      </c>
      <c r="I127" s="1"/>
      <c r="J127" s="1"/>
    </row>
    <row r="128">
      <c r="A128" s="1"/>
      <c r="B128" s="21" t="s">
        <v>154</v>
      </c>
      <c r="C128" s="25">
        <f>(C126-G158)*10000</f>
        <v>2.0000000000000226</v>
      </c>
      <c r="D128" s="25">
        <f>(D126-C126)*10000</f>
        <v>8.99999999999998</v>
      </c>
      <c r="E128" s="1"/>
      <c r="F128" s="25">
        <f>(F126-D126)*10000</f>
        <v>-3.999999999999976</v>
      </c>
      <c r="G128" s="25">
        <f>(G126-F126)*10000</f>
        <v>-10.000000000000009</v>
      </c>
      <c r="H128" s="58">
        <f>(H126-G126)*10000</f>
        <v>4.103074973898224</v>
      </c>
      <c r="I128" s="1"/>
      <c r="J128" s="1"/>
    </row>
    <row r="129">
      <c r="A129" s="1"/>
      <c r="B129" s="1" t="s">
        <v>155</v>
      </c>
      <c r="C129" s="4">
        <v>0.0373</v>
      </c>
      <c r="D129" s="4">
        <v>0.0376</v>
      </c>
      <c r="E129" s="4">
        <v>0.0375</v>
      </c>
      <c r="F129" s="4">
        <v>0.0372</v>
      </c>
      <c r="G129" s="4">
        <v>0.0365</v>
      </c>
      <c r="H129" s="62">
        <f>H57*365/H7/H108</f>
        <v>0.03658638375783977</v>
      </c>
      <c r="I129" s="1"/>
      <c r="J129" s="2" t="s">
        <v>142</v>
      </c>
    </row>
    <row r="130">
      <c r="A130" s="1"/>
      <c r="B130" s="21" t="s">
        <v>153</v>
      </c>
      <c r="C130" s="25">
        <f>(C129-C159)*10000</f>
        <v>-13.000000000000025</v>
      </c>
      <c r="D130" s="25">
        <f>(D129-D159)*10000</f>
        <v>-3.0000000000000164</v>
      </c>
      <c r="E130" s="25">
        <f>(E129-E159)*10000</f>
        <v>-8.99999999999998</v>
      </c>
      <c r="F130" s="25">
        <f>(F129-F159)*10000</f>
        <v>-8.000000000000021</v>
      </c>
      <c r="G130" s="25">
        <f>(G129-G159)*10000</f>
        <v>-6.000000000000033</v>
      </c>
      <c r="H130" s="58">
        <f>(H129-C129)*10000</f>
        <v>-7.136162421602296</v>
      </c>
      <c r="I130" s="1"/>
      <c r="J130" s="1"/>
    </row>
    <row r="131">
      <c r="A131" s="1"/>
      <c r="B131" s="21" t="s">
        <v>154</v>
      </c>
      <c r="C131" s="25">
        <f>(C129-G159)*10000</f>
        <v>1.999999999999988</v>
      </c>
      <c r="D131" s="25">
        <f>(D129-C129)*10000</f>
        <v>3.0000000000000164</v>
      </c>
      <c r="E131" s="1"/>
      <c r="F131" s="25">
        <f>(F129-D129)*10000</f>
        <v>-4.000000000000045</v>
      </c>
      <c r="G131" s="25">
        <f>(G129-F129)*10000</f>
        <v>-6.999999999999992</v>
      </c>
      <c r="H131" s="58">
        <f>(H129-G129)*10000</f>
        <v>0.8638375783977248</v>
      </c>
      <c r="I131" s="1"/>
      <c r="J131" s="1"/>
    </row>
    <row r="132">
      <c r="A132" s="1"/>
      <c r="B132" s="1"/>
      <c r="C132" s="1"/>
      <c r="D132" s="1"/>
      <c r="E132" s="1"/>
      <c r="F132" s="1"/>
      <c r="G132" s="1"/>
      <c r="H132" s="30"/>
      <c r="I132" s="1"/>
      <c r="J132" s="1"/>
    </row>
    <row r="133" ht="27">
      <c r="A133" s="1"/>
      <c r="B133" s="1" t="s">
        <v>156</v>
      </c>
      <c r="C133" s="1"/>
      <c r="D133" s="1"/>
      <c r="E133" s="1"/>
      <c r="F133" s="1"/>
      <c r="G133" s="1"/>
      <c r="H133" s="30"/>
      <c r="I133" s="1"/>
      <c r="J133" s="125" t="s">
        <v>157</v>
      </c>
    </row>
    <row r="134">
      <c r="A134" s="1"/>
      <c r="B134" s="1"/>
      <c r="C134" s="1"/>
      <c r="D134" s="1"/>
      <c r="E134" s="1"/>
      <c r="F134" s="1"/>
      <c r="G134" s="1"/>
      <c r="H134" s="30"/>
      <c r="I134" s="1"/>
      <c r="J134" s="1"/>
    </row>
    <row r="135" ht="39">
      <c r="A135" s="1"/>
      <c r="B135" s="113" t="s">
        <v>158</v>
      </c>
      <c r="C135" s="116" t="s">
        <v>159</v>
      </c>
      <c r="D135" s="116" t="s">
        <v>160</v>
      </c>
      <c r="E135" s="116" t="s">
        <v>161</v>
      </c>
      <c r="F135" s="116" t="s">
        <v>162</v>
      </c>
      <c r="G135" s="116" t="s">
        <v>163</v>
      </c>
      <c r="H135" s="117" t="s">
        <v>57</v>
      </c>
      <c r="I135" s="1"/>
      <c r="J135" s="125" t="s">
        <v>164</v>
      </c>
    </row>
    <row r="136">
      <c r="A136" s="1"/>
      <c r="B136" s="21" t="s">
        <v>165</v>
      </c>
      <c r="C136" s="23">
        <f>'Segment - CCB'!C303</f>
        <v>17791</v>
      </c>
      <c r="D136" s="23">
        <f>'Segment - CCB'!D303</f>
        <v>18362</v>
      </c>
      <c r="E136" s="23">
        <f>'Segment - CCB'!E303</f>
        <v>71507</v>
      </c>
      <c r="F136" s="23">
        <f>'Segment - CCB'!F303</f>
        <v>18313</v>
      </c>
      <c r="G136" s="23">
        <f>'Segment - CCB'!G303</f>
        <v>18847</v>
      </c>
      <c r="H136" s="29">
        <f>C10</f>
        <v>19473</v>
      </c>
      <c r="I136" s="1"/>
      <c r="J136" s="1"/>
    </row>
    <row r="137">
      <c r="A137" s="1"/>
      <c r="B137" s="21" t="s">
        <v>166</v>
      </c>
      <c r="C137" s="23">
        <f>'Segment - CIB'!C311</f>
        <v>17015</v>
      </c>
      <c r="D137" s="23">
        <f>'Segment - CIB'!D311</f>
        <v>17598</v>
      </c>
      <c r="E137" s="23">
        <f>'Segment - CIB'!E311</f>
        <v>70114</v>
      </c>
      <c r="F137" s="23">
        <f>'Segment - CIB'!F311</f>
        <v>19666</v>
      </c>
      <c r="G137" s="23">
        <f>'Segment - CIB'!G311</f>
        <v>19535</v>
      </c>
      <c r="H137" s="29">
        <f>C17</f>
        <v>19878</v>
      </c>
      <c r="I137" s="1"/>
      <c r="J137" s="1"/>
    </row>
    <row r="138">
      <c r="A138" s="1"/>
      <c r="B138" s="21" t="s">
        <v>167</v>
      </c>
      <c r="C138" s="23">
        <f>'Segment - AWM'!C206</f>
        <v>5439</v>
      </c>
      <c r="D138" s="23">
        <f>'Segment - AWM'!D206</f>
        <v>5778</v>
      </c>
      <c r="E138" s="23">
        <f>'Segment - AWM'!E206</f>
        <v>21578</v>
      </c>
      <c r="F138" s="23">
        <f>'Segment - AWM'!F206</f>
        <v>5731</v>
      </c>
      <c r="G138" s="23">
        <f>'Segment - AWM'!G206</f>
        <v>5760</v>
      </c>
      <c r="H138" s="29">
        <f>C24</f>
        <v>6066</v>
      </c>
      <c r="I138" s="1"/>
      <c r="J138" s="1"/>
    </row>
    <row r="139">
      <c r="A139" s="1"/>
      <c r="B139" s="21" t="s">
        <v>168</v>
      </c>
      <c r="C139" s="23">
        <f>'Segment - Corporate'!C104</f>
        <v>3070</v>
      </c>
      <c r="D139" s="23">
        <f>'Segment - Corporate'!D104</f>
        <v>2000</v>
      </c>
      <c r="E139" s="23">
        <f>'Segment - Corporate'!E104</f>
        <v>17394</v>
      </c>
      <c r="F139" s="23">
        <f>'Segment - Corporate'!F104</f>
        <v>2304</v>
      </c>
      <c r="G139" s="23">
        <f>'Segment - Corporate'!G104</f>
        <v>1538</v>
      </c>
      <c r="H139" s="29">
        <f>C31</f>
        <v>1703</v>
      </c>
      <c r="I139" s="1"/>
      <c r="J139" s="1"/>
    </row>
    <row r="140">
      <c r="A140" s="1"/>
      <c r="B140" s="21" t="s">
        <v>169</v>
      </c>
      <c r="C140" s="10">
        <f>C136+C137+C138+C139</f>
        <v>43315</v>
      </c>
      <c r="D140" s="10">
        <f>D136+D137+D138+D139</f>
        <v>43738</v>
      </c>
      <c r="E140" s="10">
        <f>E136+E137+E138+E139</f>
        <v>180593</v>
      </c>
      <c r="F140" s="10">
        <f>F136+F137+F138+F139</f>
        <v>46014</v>
      </c>
      <c r="G140" s="10">
        <f>G136+G137+G138+G139</f>
        <v>45680</v>
      </c>
      <c r="H140" s="29">
        <f>C38</f>
        <v>47120</v>
      </c>
      <c r="I140" s="1"/>
      <c r="J140" s="1"/>
    </row>
    <row r="141">
      <c r="A141" s="1"/>
      <c r="B141" s="21" t="s">
        <v>170</v>
      </c>
      <c r="C141" s="3">
        <v>661</v>
      </c>
      <c r="D141" s="3">
        <v>970</v>
      </c>
      <c r="E141" s="3">
        <v>3037</v>
      </c>
      <c r="F141" s="3">
        <v>704</v>
      </c>
      <c r="G141" s="3">
        <v>768</v>
      </c>
      <c r="H141" s="29">
        <f>C44</f>
        <v>693</v>
      </c>
      <c r="I141" s="1"/>
      <c r="J141" s="1"/>
    </row>
    <row r="142">
      <c r="A142" s="1"/>
      <c r="B142" s="21" t="s">
        <v>171</v>
      </c>
      <c r="C142" s="10">
        <f>C140-C141</f>
        <v>42654</v>
      </c>
      <c r="D142" s="10">
        <f>D140-D141</f>
        <v>42768</v>
      </c>
      <c r="E142" s="10">
        <f>E140-E141</f>
        <v>177556</v>
      </c>
      <c r="F142" s="10">
        <f>F140-F141</f>
        <v>45310</v>
      </c>
      <c r="G142" s="10">
        <f>G140-G141</f>
        <v>44912</v>
      </c>
      <c r="H142" s="29">
        <f>C47</f>
        <v>46427</v>
      </c>
      <c r="I142" s="1"/>
      <c r="J142" s="1"/>
    </row>
    <row r="143">
      <c r="A143" s="1"/>
      <c r="B143" s="21" t="s">
        <v>172</v>
      </c>
      <c r="C143" s="3">
        <v>23447</v>
      </c>
      <c r="D143" s="3">
        <v>23014</v>
      </c>
      <c r="E143" s="3">
        <v>92419</v>
      </c>
      <c r="F143" s="3">
        <v>22590</v>
      </c>
      <c r="G143" s="3">
        <v>22753</v>
      </c>
      <c r="H143" s="29">
        <f>C57</f>
        <v>23391</v>
      </c>
      <c r="I143" s="1"/>
      <c r="J143" s="1"/>
    </row>
    <row r="144">
      <c r="A144" s="1"/>
      <c r="B144" s="21" t="s">
        <v>173</v>
      </c>
      <c r="C144" s="3">
        <v>78</v>
      </c>
      <c r="D144" s="3">
        <v>457</v>
      </c>
      <c r="E144" s="3">
        <v>641</v>
      </c>
      <c r="F144" s="3">
        <v>785</v>
      </c>
      <c r="G144" s="3">
        <v>561</v>
      </c>
      <c r="H144" s="29">
        <f>C61</f>
        <v>680</v>
      </c>
      <c r="I144" s="1"/>
      <c r="J144" s="1"/>
    </row>
    <row r="145">
      <c r="A145" s="1"/>
      <c r="B145" s="21" t="s">
        <v>174</v>
      </c>
      <c r="C145" s="10">
        <f>C143+C144</f>
        <v>23525</v>
      </c>
      <c r="D145" s="10">
        <f>D143+D144</f>
        <v>23471</v>
      </c>
      <c r="E145" s="10">
        <f>E143+E144</f>
        <v>93060</v>
      </c>
      <c r="F145" s="10">
        <f>F143+F144</f>
        <v>23375</v>
      </c>
      <c r="G145" s="10">
        <f>G143+G144</f>
        <v>23314</v>
      </c>
      <c r="H145" s="29">
        <f>C64</f>
        <v>24071</v>
      </c>
      <c r="I145" s="1"/>
      <c r="J145" s="1"/>
    </row>
    <row r="146">
      <c r="A146" s="1"/>
      <c r="B146" s="21" t="s">
        <v>175</v>
      </c>
      <c r="C146" s="3">
        <v>120</v>
      </c>
      <c r="D146" s="3">
        <v>121</v>
      </c>
      <c r="E146" s="3">
        <v>477</v>
      </c>
      <c r="F146" s="3">
        <v>102</v>
      </c>
      <c r="G146" s="3">
        <v>105</v>
      </c>
      <c r="H146" s="29">
        <f>C70</f>
        <v>105</v>
      </c>
      <c r="I146" s="1"/>
      <c r="J146" s="1"/>
    </row>
    <row r="147">
      <c r="A147" s="1"/>
      <c r="B147" s="21" t="s">
        <v>176</v>
      </c>
      <c r="C147" s="10">
        <f>C140-C145</f>
        <v>19790</v>
      </c>
      <c r="D147" s="10">
        <f>D140-D145</f>
        <v>20267</v>
      </c>
      <c r="E147" s="10">
        <f>E140-E145</f>
        <v>87533</v>
      </c>
      <c r="F147" s="10">
        <f>F140-F145</f>
        <v>22639</v>
      </c>
      <c r="G147" s="10">
        <f>G140-G145</f>
        <v>22366</v>
      </c>
      <c r="H147" s="29">
        <f>C74</f>
        <v>23049</v>
      </c>
      <c r="I147" s="1"/>
      <c r="J147" s="1"/>
    </row>
    <row r="148">
      <c r="A148" s="1"/>
      <c r="B148" s="21" t="s">
        <v>177</v>
      </c>
      <c r="C148" s="23">
        <f>'Segment - CIB'!C307</f>
        <v>7152</v>
      </c>
      <c r="D148" s="23">
        <f>'Segment - CIB'!D307</f>
        <v>7049</v>
      </c>
      <c r="E148" s="23">
        <f>'Segment - CIB'!E307</f>
        <v>30007</v>
      </c>
      <c r="F148" s="23">
        <f>'Segment - CIB'!F307</f>
        <v>9663</v>
      </c>
      <c r="G148" s="23">
        <f>'Segment - CIB'!G307</f>
        <v>8936</v>
      </c>
      <c r="H148" s="29">
        <f>C80</f>
        <v>8944</v>
      </c>
      <c r="I148" s="1"/>
      <c r="J148" s="1"/>
    </row>
    <row r="149">
      <c r="A149" s="1"/>
      <c r="B149" s="21" t="s">
        <v>178</v>
      </c>
      <c r="C149" s="10">
        <f>C148-C144</f>
        <v>7074</v>
      </c>
      <c r="D149" s="10">
        <f>D148-D144</f>
        <v>6592</v>
      </c>
      <c r="E149" s="10">
        <f>E148-E144</f>
        <v>29366</v>
      </c>
      <c r="F149" s="10">
        <f>F148-F144</f>
        <v>8878</v>
      </c>
      <c r="G149" s="10">
        <f>G148-G144</f>
        <v>8375</v>
      </c>
      <c r="H149" s="29">
        <f>C87</f>
        <v>8264</v>
      </c>
      <c r="I149" s="1"/>
      <c r="J149" s="1"/>
    </row>
    <row r="150">
      <c r="A150" s="1"/>
      <c r="B150" s="21" t="s">
        <v>179</v>
      </c>
      <c r="C150" s="10">
        <f>C147-C149</f>
        <v>12716</v>
      </c>
      <c r="D150" s="10">
        <f>D147-D149</f>
        <v>13675</v>
      </c>
      <c r="E150" s="10">
        <f>E147-E149</f>
        <v>58167</v>
      </c>
      <c r="F150" s="10">
        <f>F147-F149</f>
        <v>13761</v>
      </c>
      <c r="G150" s="10">
        <f>G147-G149</f>
        <v>13991</v>
      </c>
      <c r="H150" s="29">
        <f>C93</f>
        <v>14785</v>
      </c>
      <c r="I150" s="1"/>
      <c r="J150" s="1"/>
    </row>
    <row r="151">
      <c r="A151" s="1"/>
      <c r="B151" s="21" t="s">
        <v>180</v>
      </c>
      <c r="C151" s="3">
        <v>3621766</v>
      </c>
      <c r="D151" s="3">
        <v>3571960</v>
      </c>
      <c r="E151" s="3">
        <v>3537567</v>
      </c>
      <c r="F151" s="3">
        <v>3668384</v>
      </c>
      <c r="G151" s="3">
        <v>3845982</v>
      </c>
      <c r="H151" s="29">
        <f>C102</f>
        <v>3895764</v>
      </c>
      <c r="I151" s="1"/>
      <c r="J151" s="1"/>
    </row>
    <row r="152">
      <c r="A152" s="1"/>
      <c r="B152" s="21" t="s">
        <v>181</v>
      </c>
      <c r="C152" s="3">
        <v>1206085</v>
      </c>
      <c r="D152" s="3">
        <v>1157421</v>
      </c>
      <c r="E152" s="3">
        <v>1128153</v>
      </c>
      <c r="F152" s="3">
        <v>1255149</v>
      </c>
      <c r="G152" s="3">
        <v>1387584</v>
      </c>
      <c r="H152" s="29">
        <f>C105</f>
        <v>1404633</v>
      </c>
      <c r="I152" s="1"/>
      <c r="J152" s="1"/>
    </row>
    <row r="153">
      <c r="A153" s="1"/>
      <c r="B153" s="21" t="s">
        <v>182</v>
      </c>
      <c r="C153" s="10">
        <f>C151-C152</f>
        <v>2415681</v>
      </c>
      <c r="D153" s="10">
        <f>D151-D152</f>
        <v>2414539</v>
      </c>
      <c r="E153" s="10">
        <f>E151-E152</f>
        <v>2409414</v>
      </c>
      <c r="F153" s="10">
        <f>F151-F152</f>
        <v>2413235</v>
      </c>
      <c r="G153" s="10">
        <f>G151-G152</f>
        <v>2458398</v>
      </c>
      <c r="H153" s="29">
        <f>C108</f>
        <v>2491131</v>
      </c>
      <c r="I153" s="1"/>
      <c r="J153" s="1"/>
    </row>
    <row r="154">
      <c r="A154" s="1"/>
      <c r="B154" s="21" t="s">
        <v>183</v>
      </c>
      <c r="C154" s="3">
        <v>1325440</v>
      </c>
      <c r="D154" s="3">
        <v>1339378</v>
      </c>
      <c r="E154" s="3">
        <v>1322425</v>
      </c>
      <c r="F154" s="3">
        <v>1339391</v>
      </c>
      <c r="G154" s="3">
        <v>1380726</v>
      </c>
      <c r="H154" s="29">
        <f>C111</f>
        <v>1417466</v>
      </c>
      <c r="I154" s="1"/>
      <c r="J154" s="1"/>
    </row>
    <row r="155">
      <c r="A155" s="1"/>
      <c r="B155" s="21" t="s">
        <v>184</v>
      </c>
      <c r="C155" s="3">
        <v>1749353</v>
      </c>
      <c r="D155" s="3">
        <v>1793337</v>
      </c>
      <c r="E155" s="3">
        <v>1748050</v>
      </c>
      <c r="F155" s="3">
        <v>1842888</v>
      </c>
      <c r="G155" s="3">
        <v>1902337</v>
      </c>
      <c r="H155" s="29">
        <f>C115</f>
        <v>1913958</v>
      </c>
      <c r="I155" s="1"/>
      <c r="J155" s="1"/>
    </row>
    <row r="156">
      <c r="A156" s="1"/>
      <c r="B156" s="21" t="s">
        <v>185</v>
      </c>
      <c r="C156" s="3">
        <v>633957</v>
      </c>
      <c r="D156" s="3">
        <v>623654</v>
      </c>
      <c r="E156" s="3">
        <v>638592</v>
      </c>
      <c r="F156" s="3">
        <v>587417</v>
      </c>
      <c r="G156" s="3">
        <v>602777</v>
      </c>
      <c r="H156" s="29">
        <f>C119</f>
        <v>610601</v>
      </c>
      <c r="I156" s="1"/>
      <c r="J156" s="1"/>
    </row>
    <row r="157">
      <c r="A157" s="1"/>
      <c r="B157" s="21" t="s">
        <v>186</v>
      </c>
      <c r="C157" s="10">
        <f>C155+C156</f>
        <v>2383310</v>
      </c>
      <c r="D157" s="10">
        <f>D155+D156</f>
        <v>2416991</v>
      </c>
      <c r="E157" s="10">
        <f>E155+E156</f>
        <v>2386642</v>
      </c>
      <c r="F157" s="10">
        <f>F155+F156</f>
        <v>2430305</v>
      </c>
      <c r="G157" s="10">
        <f>G155+G156</f>
        <v>2505114</v>
      </c>
      <c r="H157" s="29">
        <f>C123</f>
        <v>2524559</v>
      </c>
      <c r="I157" s="1"/>
      <c r="J157" s="1"/>
    </row>
    <row r="158">
      <c r="A158" s="1"/>
      <c r="B158" s="21" t="s">
        <v>187</v>
      </c>
      <c r="C158" s="4">
        <v>0.0258</v>
      </c>
      <c r="D158" s="4">
        <v>0.0261</v>
      </c>
      <c r="E158" s="4">
        <v>0.0263</v>
      </c>
      <c r="F158" s="4">
        <v>0.0258</v>
      </c>
      <c r="G158" s="4">
        <v>0.0243</v>
      </c>
      <c r="H158" s="62">
        <f>C126</f>
        <v>0.0245</v>
      </c>
      <c r="I158" s="1"/>
      <c r="J158" s="1"/>
    </row>
    <row r="159">
      <c r="A159" s="1"/>
      <c r="B159" s="21" t="s">
        <v>188</v>
      </c>
      <c r="C159" s="4">
        <v>0.0386</v>
      </c>
      <c r="D159" s="4">
        <v>0.0379</v>
      </c>
      <c r="E159" s="4">
        <v>0.0384</v>
      </c>
      <c r="F159" s="4">
        <v>0.038</v>
      </c>
      <c r="G159" s="4">
        <v>0.0371</v>
      </c>
      <c r="H159" s="62">
        <f>C129</f>
        <v>0.0373</v>
      </c>
      <c r="I159" s="1"/>
      <c r="J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dimension ref="A1:J369"/>
  <sheetViews>
    <sheetView showGridLines="0" workbookViewId="0"/>
  </sheetViews>
  <sheetFormatPr defaultColWidth="8.42578125" defaultRowHeight="15"/>
  <cols>
    <col min="1" max="1" width="2" customWidth="1"/>
    <col min="2" max="2" width="38" customWidth="1"/>
    <col min="3" max="8" width="12" customWidth="1"/>
    <col min="9" max="9" width="2" customWidth="1"/>
    <col min="10" max="10" width="7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</row>
    <row r="2">
      <c r="A2" s="1"/>
      <c r="B2" s="38" t="s">
        <v>0</v>
      </c>
      <c r="C2" s="1"/>
      <c r="D2" s="1"/>
      <c r="E2" s="1"/>
      <c r="F2" s="1"/>
      <c r="G2" s="1"/>
      <c r="H2" s="1"/>
      <c r="I2" s="1"/>
      <c r="J2" s="1"/>
    </row>
    <row r="3">
      <c r="A3" s="1"/>
      <c r="B3" s="31" t="s">
        <v>189</v>
      </c>
      <c r="C3" s="1"/>
      <c r="D3" s="1"/>
      <c r="E3" s="1"/>
      <c r="F3" s="1"/>
      <c r="G3" s="1"/>
      <c r="H3" s="1"/>
      <c r="I3" s="1"/>
      <c r="J3" s="1"/>
    </row>
    <row r="4">
      <c r="A4" s="1"/>
      <c r="B4" s="24" t="s">
        <v>2</v>
      </c>
      <c r="C4" s="1"/>
      <c r="D4" s="1"/>
      <c r="E4" s="1"/>
      <c r="F4" s="1"/>
      <c r="G4" s="1"/>
      <c r="H4" s="1"/>
      <c r="I4" s="1"/>
      <c r="J4" s="1"/>
    </row>
    <row r="5">
      <c r="A5" s="1"/>
      <c r="B5" s="14" t="s">
        <v>89</v>
      </c>
      <c r="C5" s="11" t="s">
        <v>57</v>
      </c>
      <c r="D5" s="11" t="s">
        <v>90</v>
      </c>
      <c r="E5" s="11" t="s">
        <v>91</v>
      </c>
      <c r="F5" s="11" t="s">
        <v>92</v>
      </c>
      <c r="G5" s="11" t="s">
        <v>59</v>
      </c>
      <c r="H5" s="11" t="s">
        <v>56</v>
      </c>
      <c r="I5" s="14"/>
      <c r="J5" s="14" t="s">
        <v>93</v>
      </c>
    </row>
    <row r="6">
      <c r="A6" s="1"/>
      <c r="B6" s="19" t="s">
        <v>94</v>
      </c>
      <c r="C6" s="13">
        <v>45930</v>
      </c>
      <c r="D6" s="13">
        <v>46022</v>
      </c>
      <c r="E6" s="13">
        <v>46022</v>
      </c>
      <c r="F6" s="13">
        <v>46112</v>
      </c>
      <c r="G6" s="13">
        <v>46203</v>
      </c>
      <c r="H6" s="13">
        <v>46295</v>
      </c>
      <c r="I6" s="19"/>
      <c r="J6" s="19"/>
    </row>
    <row r="7">
      <c r="A7" s="1"/>
      <c r="B7" s="28" t="s">
        <v>95</v>
      </c>
      <c r="C7" s="9">
        <v>92</v>
      </c>
      <c r="D7" s="9">
        <v>92</v>
      </c>
      <c r="E7" s="9">
        <v>365</v>
      </c>
      <c r="F7" s="9">
        <v>90</v>
      </c>
      <c r="G7" s="9">
        <v>91</v>
      </c>
      <c r="H7" s="9">
        <v>92</v>
      </c>
      <c r="I7" s="28"/>
      <c r="J7" s="28"/>
    </row>
    <row r="8">
      <c r="A8" s="1"/>
      <c r="B8" s="1"/>
      <c r="C8" s="1"/>
      <c r="D8" s="1"/>
      <c r="E8" s="1"/>
      <c r="F8" s="1"/>
      <c r="G8" s="1"/>
      <c r="H8" s="30"/>
      <c r="I8" s="1"/>
      <c r="J8" s="1"/>
    </row>
    <row r="9">
      <c r="A9" s="1"/>
      <c r="B9" s="31" t="s">
        <v>190</v>
      </c>
      <c r="C9" s="1"/>
      <c r="D9" s="1"/>
      <c r="E9" s="1"/>
      <c r="F9" s="1"/>
      <c r="G9" s="1"/>
      <c r="H9" s="30"/>
      <c r="I9" s="1"/>
      <c r="J9" s="1"/>
    </row>
    <row r="10">
      <c r="A10" s="1"/>
      <c r="B10" s="1" t="s">
        <v>191</v>
      </c>
      <c r="C10" s="3">
        <v>11040</v>
      </c>
      <c r="D10" s="3">
        <v>10870</v>
      </c>
      <c r="E10" s="3">
        <v>42862</v>
      </c>
      <c r="F10" s="3">
        <v>10577</v>
      </c>
      <c r="G10" s="3">
        <v>11229</v>
      </c>
      <c r="H10" s="29">
        <f>H117+H120</f>
        <v>11596.171985855342</v>
      </c>
      <c r="I10" s="1"/>
      <c r="J10" s="2" t="s">
        <v>192</v>
      </c>
    </row>
    <row r="11">
      <c r="A11" s="1"/>
      <c r="B11" s="36" t="s">
        <v>99</v>
      </c>
      <c r="C11" s="22">
        <f>IF(AND(ISNUMBER(C10),ISNUMBER(C300)),IF(OR(C300&lt;=0,C10&lt;0),"n.m.",C10/C300-1),"n.a.")</f>
        <v>0.09415262636273547</v>
      </c>
      <c r="D11" s="22">
        <f>IF(AND(ISNUMBER(D10),ISNUMBER(D300)),IF(OR(D300&lt;=0,D10&lt;0),"n.m.",D10/D300-1),"n.a.")</f>
        <v>0.07051408311995266</v>
      </c>
      <c r="E11" s="22">
        <f>IF(AND(ISNUMBER(E10),ISNUMBER(E300)),IF(OR(E300&lt;=0,E10&lt;0),"n.m.",E10/E300-1),"n.a.")</f>
        <v>0.04687003883447716</v>
      </c>
      <c r="F11" s="22">
        <f>IF(AND(ISNUMBER(F10),ISNUMBER(F300)),IF(OR(F300&lt;=0,F10&lt;0),"n.m.",F10/F300-1),"n.a.")</f>
        <v>0.03149990247708212</v>
      </c>
      <c r="G11" s="22">
        <f>IF(AND(ISNUMBER(G10),ISNUMBER(G300)),IF(OR(G300&lt;=0,G10&lt;0),"n.m.",G10/G300-1),"n.a.")</f>
        <v>0.04963544587773416</v>
      </c>
      <c r="H11" s="39">
        <f>IF(AND(ISNUMBER(H10),ISNUMBER(C10)),IF(OR(C10&lt;=0,H10&lt;0),"n.m.",H10/C10-1),"n.a.")</f>
        <v>0.0503778972695057</v>
      </c>
      <c r="I11" s="1"/>
      <c r="J11" s="1"/>
    </row>
    <row r="12">
      <c r="A12" s="1"/>
      <c r="B12" s="36" t="s">
        <v>60</v>
      </c>
      <c r="C12" s="22">
        <f>IF(AND(ISNUMBER(C10),ISNUMBER(G300)),IF(OR(G300&lt;=0,C10&lt;0),"n.m.",C10/G300-1),"n.a.")</f>
        <v>0.03196859226023552</v>
      </c>
      <c r="D12" s="22">
        <f>IF(AND(ISNUMBER(D10),ISNUMBER(C10)),IF(OR(C10&lt;=0,D10&lt;0),"n.m.",D10/C10-1),"n.a.")</f>
        <v>-0.015398550724637694</v>
      </c>
      <c r="E12" s="1"/>
      <c r="F12" s="22">
        <f>IF(AND(ISNUMBER(F10),ISNUMBER(D10)),IF(OR(D10&lt;=0,F10&lt;0),"n.m.",F10/D10-1),"n.a.")</f>
        <v>-0.026954921803127863</v>
      </c>
      <c r="G12" s="22">
        <f>IF(AND(ISNUMBER(G10),ISNUMBER(F10)),IF(OR(F10&lt;=0,G10&lt;0),"n.m.",G10/F10-1),"n.a.")</f>
        <v>0.061643188049541386</v>
      </c>
      <c r="H12" s="39">
        <f>IF(AND(ISNUMBER(H10),ISNUMBER(G10)),IF(OR(G10&lt;=0,H10&lt;0),"n.m.",H10/G10-1),"n.a.")</f>
        <v>0.0326985471418062</v>
      </c>
      <c r="I12" s="1"/>
      <c r="J12" s="1"/>
    </row>
    <row r="13">
      <c r="A13" s="1"/>
      <c r="B13" s="36" t="s">
        <v>193</v>
      </c>
      <c r="C13" s="22">
        <f>IFERROR(C10/C31,"n.a.")</f>
        <v>0.5669388383916192</v>
      </c>
      <c r="D13" s="22">
        <f>IFERROR(D10/D31,"n.a.")</f>
        <v>0.5604248298618272</v>
      </c>
      <c r="E13" s="22">
        <f>IFERROR(E10/E31,"n.a.")</f>
        <v>0.5637585658104145</v>
      </c>
      <c r="F13" s="22">
        <f>IFERROR(F10/F31,"n.a.")</f>
        <v>0.5405253475061325</v>
      </c>
      <c r="G13" s="22">
        <f>IFERROR(G10/G31,"n.a.")</f>
        <v>0.5539167324388319</v>
      </c>
      <c r="H13" s="39">
        <f>IFERROR(H10/H31,"n.a.")</f>
        <v>0.5566660198357588</v>
      </c>
      <c r="I13" s="1"/>
      <c r="J13" s="1"/>
    </row>
    <row r="14">
      <c r="A14" s="1"/>
      <c r="B14" s="36" t="s">
        <v>101</v>
      </c>
      <c r="C14" s="67" t="s">
        <v>35</v>
      </c>
      <c r="D14" s="67" t="s">
        <v>35</v>
      </c>
      <c r="E14" s="67" t="s">
        <v>35</v>
      </c>
      <c r="F14" s="67" t="s">
        <v>35</v>
      </c>
      <c r="G14" s="67" t="s">
        <v>35</v>
      </c>
      <c r="H14" s="68" t="s">
        <v>35</v>
      </c>
      <c r="I14" s="1"/>
      <c r="J14" s="1"/>
    </row>
    <row r="15">
      <c r="A15" s="1"/>
      <c r="B15" s="36" t="s">
        <v>102</v>
      </c>
      <c r="C15" s="67" t="s">
        <v>35</v>
      </c>
      <c r="D15" s="67" t="s">
        <v>35</v>
      </c>
      <c r="E15" s="67" t="s">
        <v>35</v>
      </c>
      <c r="F15" s="67" t="s">
        <v>35</v>
      </c>
      <c r="G15" s="67" t="s">
        <v>35</v>
      </c>
      <c r="H15" s="68" t="s">
        <v>35</v>
      </c>
      <c r="I15" s="1"/>
      <c r="J15" s="1"/>
    </row>
    <row r="16">
      <c r="A16" s="1"/>
      <c r="B16" s="36" t="s">
        <v>103</v>
      </c>
      <c r="C16" s="67" t="s">
        <v>35</v>
      </c>
      <c r="D16" s="67" t="s">
        <v>35</v>
      </c>
      <c r="E16" s="67" t="s">
        <v>35</v>
      </c>
      <c r="F16" s="67" t="s">
        <v>35</v>
      </c>
      <c r="G16" s="67" t="s">
        <v>35</v>
      </c>
      <c r="H16" s="68" t="s">
        <v>35</v>
      </c>
      <c r="I16" s="1"/>
      <c r="J16" s="1"/>
    </row>
    <row r="17">
      <c r="A17" s="1"/>
      <c r="B17" s="1" t="s">
        <v>194</v>
      </c>
      <c r="C17" s="3">
        <v>1260</v>
      </c>
      <c r="D17" s="3">
        <v>1249</v>
      </c>
      <c r="E17" s="3">
        <v>4966</v>
      </c>
      <c r="F17" s="3">
        <v>1232</v>
      </c>
      <c r="G17" s="3">
        <v>1285</v>
      </c>
      <c r="H17" s="29">
        <f>G17*(1+H178)</f>
        <v>1291.425</v>
      </c>
      <c r="I17" s="1"/>
      <c r="J17" s="2" t="s">
        <v>195</v>
      </c>
    </row>
    <row r="18">
      <c r="A18" s="1"/>
      <c r="B18" s="36" t="s">
        <v>99</v>
      </c>
      <c r="C18" s="22">
        <f>IF(AND(ISNUMBER(C17),ISNUMBER(C301)),IF(OR(C301&lt;=0,C17&lt;0),"n.m.",C17/C301-1),"n.a.")</f>
        <v>-0.027027027027026973</v>
      </c>
      <c r="D18" s="22">
        <f>IF(AND(ISNUMBER(D17),ISNUMBER(D301)),IF(OR(D301&lt;=0,D17&lt;0),"n.m.",D17/D301-1),"n.a.")</f>
        <v>-0.037008481110254454</v>
      </c>
      <c r="E18" s="22">
        <f>IF(AND(ISNUMBER(E17),ISNUMBER(E301)),IF(OR(E301&lt;=0,E17&lt;0),"n.m.",E17/E301-1),"n.a.")</f>
        <v>-0.025701392976260506</v>
      </c>
      <c r="F18" s="22">
        <f>IF(AND(ISNUMBER(F17),ISNUMBER(F301)),IF(OR(F301&lt;=0,F17&lt;0),"n.m.",F17/F301-1),"n.a.")</f>
        <v>0.0207125103562551</v>
      </c>
      <c r="G18" s="22">
        <f>IF(AND(ISNUMBER(G17),ISNUMBER(G301)),IF(OR(G301&lt;=0,G17&lt;0),"n.m.",G17/G301-1),"n.a.")</f>
        <v>0.028000000000000025</v>
      </c>
      <c r="H18" s="39">
        <f>IF(AND(ISNUMBER(H17),ISNUMBER(C17)),IF(OR(C17&lt;=0,H17&lt;0),"n.m.",H17/C17-1),"n.a.")</f>
        <v>0.024940476190476124</v>
      </c>
      <c r="I18" s="1"/>
      <c r="J18" s="1"/>
    </row>
    <row r="19">
      <c r="A19" s="1"/>
      <c r="B19" s="36" t="s">
        <v>60</v>
      </c>
      <c r="C19" s="22">
        <f>IF(AND(ISNUMBER(C17),ISNUMBER(G301)),IF(OR(G301&lt;=0,C17&lt;0),"n.m.",C17/G301-1),"n.a.")</f>
        <v>0.008000000000000007</v>
      </c>
      <c r="D19" s="22">
        <f>IF(AND(ISNUMBER(D17),ISNUMBER(C17)),IF(OR(C17&lt;=0,D17&lt;0),"n.m.",D17/C17-1),"n.a.")</f>
        <v>-0.0087301587301587</v>
      </c>
      <c r="E19" s="1"/>
      <c r="F19" s="22">
        <f>IF(AND(ISNUMBER(F17),ISNUMBER(D17)),IF(OR(D17&lt;=0,F17&lt;0),"n.m.",F17/D17-1),"n.a.")</f>
        <v>-0.013610888710968827</v>
      </c>
      <c r="G19" s="22">
        <f>IF(AND(ISNUMBER(G17),ISNUMBER(F17)),IF(OR(F17&lt;=0,G17&lt;0),"n.m.",G17/F17-1),"n.a.")</f>
        <v>0.04301948051948057</v>
      </c>
      <c r="H19" s="39">
        <f>IF(AND(ISNUMBER(H17),ISNUMBER(G17)),IF(OR(G17&lt;=0,H17&lt;0),"n.m.",H17/G17-1),"n.a.")</f>
        <v>0.004999999999999893</v>
      </c>
      <c r="I19" s="1"/>
      <c r="J19" s="1"/>
    </row>
    <row r="20">
      <c r="A20" s="1"/>
      <c r="B20" s="36" t="s">
        <v>193</v>
      </c>
      <c r="C20" s="22">
        <f>IFERROR(C17/C31,"n.a.")</f>
        <v>0.06470497612078262</v>
      </c>
      <c r="D20" s="22">
        <f>IFERROR(D17/D31,"n.a.")</f>
        <v>0.0643947205609404</v>
      </c>
      <c r="E20" s="22">
        <f>IFERROR(E17/E31,"n.a.")</f>
        <v>0.06531718160175723</v>
      </c>
      <c r="F20" s="22">
        <f>IFERROR(F17/F31,"n.a.")</f>
        <v>0.06295993458708095</v>
      </c>
      <c r="G20" s="22">
        <f>IFERROR(G17/G31,"n.a.")</f>
        <v>0.06338792423046567</v>
      </c>
      <c r="H20" s="39">
        <f>IFERROR(H17/H31,"n.a.")</f>
        <v>0.061993942099451256</v>
      </c>
      <c r="I20" s="1"/>
      <c r="J20" s="1"/>
    </row>
    <row r="21">
      <c r="A21" s="1"/>
      <c r="B21" s="36" t="s">
        <v>101</v>
      </c>
      <c r="C21" s="67" t="s">
        <v>35</v>
      </c>
      <c r="D21" s="67" t="s">
        <v>35</v>
      </c>
      <c r="E21" s="67" t="s">
        <v>35</v>
      </c>
      <c r="F21" s="67" t="s">
        <v>35</v>
      </c>
      <c r="G21" s="67" t="s">
        <v>35</v>
      </c>
      <c r="H21" s="68" t="s">
        <v>35</v>
      </c>
      <c r="I21" s="1"/>
      <c r="J21" s="1"/>
    </row>
    <row r="22">
      <c r="A22" s="1"/>
      <c r="B22" s="36" t="s">
        <v>102</v>
      </c>
      <c r="C22" s="67" t="s">
        <v>35</v>
      </c>
      <c r="D22" s="67" t="s">
        <v>35</v>
      </c>
      <c r="E22" s="67" t="s">
        <v>35</v>
      </c>
      <c r="F22" s="67" t="s">
        <v>35</v>
      </c>
      <c r="G22" s="67" t="s">
        <v>35</v>
      </c>
      <c r="H22" s="68" t="s">
        <v>35</v>
      </c>
      <c r="I22" s="1"/>
      <c r="J22" s="1"/>
    </row>
    <row r="23">
      <c r="A23" s="1"/>
      <c r="B23" s="36" t="s">
        <v>103</v>
      </c>
      <c r="C23" s="67" t="s">
        <v>35</v>
      </c>
      <c r="D23" s="67" t="s">
        <v>35</v>
      </c>
      <c r="E23" s="67" t="s">
        <v>35</v>
      </c>
      <c r="F23" s="67" t="s">
        <v>35</v>
      </c>
      <c r="G23" s="67" t="s">
        <v>35</v>
      </c>
      <c r="H23" s="68" t="s">
        <v>35</v>
      </c>
      <c r="I23" s="1"/>
      <c r="J23" s="1"/>
    </row>
    <row r="24">
      <c r="A24" s="1"/>
      <c r="B24" s="1" t="s">
        <v>196</v>
      </c>
      <c r="C24" s="3">
        <v>7173</v>
      </c>
      <c r="D24" s="3">
        <v>7277</v>
      </c>
      <c r="E24" s="3">
        <v>28201</v>
      </c>
      <c r="F24" s="3">
        <v>7759</v>
      </c>
      <c r="G24" s="3">
        <v>7758</v>
      </c>
      <c r="H24" s="29">
        <f>H208+H211</f>
        <v>7943.87390090137</v>
      </c>
      <c r="I24" s="1"/>
      <c r="J24" s="2" t="s">
        <v>197</v>
      </c>
    </row>
    <row r="25">
      <c r="A25" s="1"/>
      <c r="B25" s="36" t="s">
        <v>99</v>
      </c>
      <c r="C25" s="22">
        <f>IF(AND(ISNUMBER(C24),ISNUMBER(C302)),IF(OR(C302&lt;=0,C24&lt;0),"n.m.",C24/C302-1),"n.a.")</f>
        <v>0.11973150171714009</v>
      </c>
      <c r="D25" s="22">
        <f>IF(AND(ISNUMBER(D24),ISNUMBER(D302)),IF(OR(D302&lt;=0,D24&lt;0),"n.m.",D24/D302-1),"n.a.")</f>
        <v>0.05295905078859797</v>
      </c>
      <c r="E25" s="22">
        <f>IF(AND(ISNUMBER(E24),ISNUMBER(E302)),IF(OR(E302&lt;=0,E24&lt;0),"n.m.",E24/E302-1),"n.a.")</f>
        <v>0.10735461577728045</v>
      </c>
      <c r="F25" s="22">
        <f>IF(AND(ISNUMBER(F24),ISNUMBER(F302)),IF(OR(F302&lt;=0,F24&lt;0),"n.m.",F24/F302-1),"n.a.")</f>
        <v>0.13237011091652073</v>
      </c>
      <c r="G25" s="22">
        <f>IF(AND(ISNUMBER(G24),ISNUMBER(G302)),IF(OR(G302&lt;=0,G24&lt;0),"n.m.",G24/G302-1),"n.a.")</f>
        <v>0.1245107986664733</v>
      </c>
      <c r="H25" s="39">
        <f>IF(AND(ISNUMBER(H24),ISNUMBER(C24)),IF(OR(C24&lt;=0,H24&lt;0),"n.m.",H24/C24-1),"n.a.")</f>
        <v>0.10746882767340993</v>
      </c>
      <c r="I25" s="1"/>
      <c r="J25" s="1"/>
    </row>
    <row r="26">
      <c r="A26" s="1"/>
      <c r="B26" s="36" t="s">
        <v>60</v>
      </c>
      <c r="C26" s="22">
        <f>IF(AND(ISNUMBER(C24),ISNUMBER(G302)),IF(OR(G302&lt;=0,C24&lt;0),"n.m.",C24/G302-1),"n.a.")</f>
        <v>0.039715900855196384</v>
      </c>
      <c r="D26" s="22">
        <f>IF(AND(ISNUMBER(D24),ISNUMBER(C24)),IF(OR(C24&lt;=0,D24&lt;0),"n.m.",D24/C24-1),"n.a.")</f>
        <v>0.014498815000697052</v>
      </c>
      <c r="E26" s="1"/>
      <c r="F26" s="22">
        <f>IF(AND(ISNUMBER(F24),ISNUMBER(D24)),IF(OR(D24&lt;=0,F24&lt;0),"n.m.",F24/D24-1),"n.a.")</f>
        <v>0.06623608629929922</v>
      </c>
      <c r="G26" s="22">
        <f>IF(AND(ISNUMBER(G24),ISNUMBER(F24)),IF(OR(F24&lt;=0,G24&lt;0),"n.m.",G24/F24-1),"n.a.")</f>
        <v>-0.00012888258796239782</v>
      </c>
      <c r="H26" s="39">
        <f>IF(AND(ISNUMBER(H24),ISNUMBER(G24)),IF(OR(G24&lt;=0,H24&lt;0),"n.m.",H24/G24-1),"n.a.")</f>
        <v>0.023958997280403516</v>
      </c>
      <c r="I26" s="1"/>
      <c r="J26" s="1"/>
    </row>
    <row r="27">
      <c r="A27" s="1"/>
      <c r="B27" s="36" t="s">
        <v>193</v>
      </c>
      <c r="C27" s="22">
        <f>IFERROR(C24/C31,"n.a.")</f>
        <v>0.3683561854875982</v>
      </c>
      <c r="D27" s="22">
        <f>IFERROR(D24/D31,"n.a.")</f>
        <v>0.3751804495772324</v>
      </c>
      <c r="E27" s="22">
        <f>IFERROR(E24/E31,"n.a.")</f>
        <v>0.37092425258782835</v>
      </c>
      <c r="F27" s="22">
        <f>IFERROR(F24/F31,"n.a.")</f>
        <v>0.3965147179067866</v>
      </c>
      <c r="G27" s="22">
        <f>IFERROR(G24/G31,"n.a.")</f>
        <v>0.38269534333070243</v>
      </c>
      <c r="H27" s="39">
        <f>IFERROR(H24/H31,"n.a.")</f>
        <v>0.38134003806479005</v>
      </c>
      <c r="I27" s="1"/>
      <c r="J27" s="1"/>
    </row>
    <row r="28">
      <c r="A28" s="1"/>
      <c r="B28" s="36" t="s">
        <v>101</v>
      </c>
      <c r="C28" s="67" t="s">
        <v>35</v>
      </c>
      <c r="D28" s="67" t="s">
        <v>35</v>
      </c>
      <c r="E28" s="67" t="s">
        <v>35</v>
      </c>
      <c r="F28" s="67" t="s">
        <v>35</v>
      </c>
      <c r="G28" s="67" t="s">
        <v>35</v>
      </c>
      <c r="H28" s="68" t="s">
        <v>35</v>
      </c>
      <c r="I28" s="1"/>
      <c r="J28" s="1"/>
    </row>
    <row r="29">
      <c r="A29" s="1"/>
      <c r="B29" s="36" t="s">
        <v>102</v>
      </c>
      <c r="C29" s="67" t="s">
        <v>35</v>
      </c>
      <c r="D29" s="67" t="s">
        <v>35</v>
      </c>
      <c r="E29" s="67" t="s">
        <v>35</v>
      </c>
      <c r="F29" s="67" t="s">
        <v>35</v>
      </c>
      <c r="G29" s="67" t="s">
        <v>35</v>
      </c>
      <c r="H29" s="68" t="s">
        <v>35</v>
      </c>
      <c r="I29" s="1"/>
      <c r="J29" s="1"/>
    </row>
    <row r="30">
      <c r="A30" s="1"/>
      <c r="B30" s="36" t="s">
        <v>103</v>
      </c>
      <c r="C30" s="67" t="s">
        <v>35</v>
      </c>
      <c r="D30" s="67" t="s">
        <v>35</v>
      </c>
      <c r="E30" s="67" t="s">
        <v>35</v>
      </c>
      <c r="F30" s="67" t="s">
        <v>35</v>
      </c>
      <c r="G30" s="67" t="s">
        <v>35</v>
      </c>
      <c r="H30" s="68" t="s">
        <v>35</v>
      </c>
      <c r="I30" s="1"/>
      <c r="J30" s="1"/>
    </row>
    <row r="31">
      <c r="A31" s="1"/>
      <c r="B31" s="31" t="s">
        <v>198</v>
      </c>
      <c r="C31" s="43">
        <f>C10+C17+C24</f>
        <v>19473</v>
      </c>
      <c r="D31" s="43">
        <f>D10+D17+D24</f>
        <v>19396</v>
      </c>
      <c r="E31" s="43">
        <f>E10+E17+E24</f>
        <v>76029</v>
      </c>
      <c r="F31" s="43">
        <f>F10+F17+F24</f>
        <v>19568</v>
      </c>
      <c r="G31" s="43">
        <f>G10+G17+G24</f>
        <v>20272</v>
      </c>
      <c r="H31" s="45">
        <f>H10+H17+H24</f>
        <v>20831.47088675671</v>
      </c>
      <c r="I31" s="1"/>
      <c r="J31" s="1"/>
    </row>
    <row r="32">
      <c r="A32" s="1"/>
      <c r="B32" s="36" t="s">
        <v>99</v>
      </c>
      <c r="C32" s="22">
        <f>IF(AND(ISNUMBER(C31),ISNUMBER(C303)),IF(OR(C303&lt;=0,C31&lt;0),"n.m.",C31/C303-1),"n.a.")</f>
        <v>0.09454218425046368</v>
      </c>
      <c r="D32" s="22">
        <f>IF(AND(ISNUMBER(D31),ISNUMBER(D303)),IF(OR(D303&lt;=0,D31&lt;0),"n.m.",D31/D303-1),"n.a.")</f>
        <v>0.0563119485894783</v>
      </c>
      <c r="E32" s="22">
        <f>IF(AND(ISNUMBER(E31),ISNUMBER(E303)),IF(OR(E303&lt;=0,E31&lt;0),"n.m.",E31/E303-1),"n.a.")</f>
        <v>0.06323856405666572</v>
      </c>
      <c r="F32" s="22">
        <f>IF(AND(ISNUMBER(F31),ISNUMBER(F303)),IF(OR(F303&lt;=0,F31&lt;0),"n.m.",F31/F303-1),"n.a.")</f>
        <v>0.06853055206683778</v>
      </c>
      <c r="G32" s="22">
        <f>IF(AND(ISNUMBER(G31),ISNUMBER(G303)),IF(OR(G303&lt;=0,G31&lt;0),"n.m.",G31/G303-1),"n.a.")</f>
        <v>0.07560885021488839</v>
      </c>
      <c r="H32" s="39">
        <f>IF(AND(ISNUMBER(H31),ISNUMBER(C31)),IF(OR(C31&lt;=0,H31&lt;0),"n.m.",H31/C31-1),"n.a.")</f>
        <v>0.06976176689553282</v>
      </c>
      <c r="I32" s="1"/>
      <c r="J32" s="1"/>
    </row>
    <row r="33">
      <c r="A33" s="1"/>
      <c r="B33" s="36" t="s">
        <v>60</v>
      </c>
      <c r="C33" s="22">
        <f>IF(AND(ISNUMBER(C31),ISNUMBER(G303)),IF(OR(G303&lt;=0,C31&lt;0),"n.m.",C31/G303-1),"n.a.")</f>
        <v>0.03321483525229474</v>
      </c>
      <c r="D33" s="22">
        <f>IF(AND(ISNUMBER(D31),ISNUMBER(C31)),IF(OR(C31&lt;=0,D31&lt;0),"n.m.",D31/C31-1),"n.a.")</f>
        <v>-0.0039541929851589774</v>
      </c>
      <c r="E33" s="1"/>
      <c r="F33" s="22">
        <f>IF(AND(ISNUMBER(F31),ISNUMBER(D31)),IF(OR(D31&lt;=0,F31&lt;0),"n.m.",F31/D31-1),"n.a.")</f>
        <v>0.008867807795421845</v>
      </c>
      <c r="G33" s="22">
        <f>IF(AND(ISNUMBER(G31),ISNUMBER(F31)),IF(OR(F31&lt;=0,G31&lt;0),"n.m.",G31/F31-1),"n.a.")</f>
        <v>0.035977105478331994</v>
      </c>
      <c r="H33" s="39">
        <f>IF(AND(ISNUMBER(H31),ISNUMBER(G31)),IF(OR(G31&lt;=0,H31&lt;0),"n.m.",H31/G31-1),"n.a.")</f>
        <v>0.027598208699521898</v>
      </c>
      <c r="I33" s="1"/>
      <c r="J33" s="1"/>
    </row>
    <row r="34">
      <c r="A34" s="1"/>
      <c r="B34" s="36" t="s">
        <v>199</v>
      </c>
      <c r="C34" s="42">
        <f>IFERROR(C31/'Revenue summary'!C38,"n.a.")</f>
        <v>0.4132640067911715</v>
      </c>
      <c r="D34" s="42">
        <f>IFERROR(D31/'Revenue summary'!D38,"n.a.")</f>
        <v>0.4147368871212607</v>
      </c>
      <c r="E34" s="42">
        <f>IFERROR(E31/'Revenue summary'!E38,"n.a.")</f>
        <v>0.40968094794186904</v>
      </c>
      <c r="F34" s="42">
        <f>IFERROR(F31/'Revenue summary'!F38,"n.a.")</f>
        <v>0.38720911825233495</v>
      </c>
      <c r="G34" s="42">
        <f>IFERROR(G31/'Revenue summary'!G38,"n.a.")</f>
        <v>0.349384716142153</v>
      </c>
      <c r="H34" s="56">
        <f>IFERROR(H31/'Revenue summary'!H38,"n.a.")</f>
        <v>0.4027978316966631</v>
      </c>
      <c r="I34" s="1"/>
      <c r="J34" s="1"/>
    </row>
    <row r="35">
      <c r="A35" s="1"/>
      <c r="B35" s="36" t="s">
        <v>101</v>
      </c>
      <c r="C35" s="67" t="s">
        <v>35</v>
      </c>
      <c r="D35" s="67" t="s">
        <v>35</v>
      </c>
      <c r="E35" s="67" t="s">
        <v>35</v>
      </c>
      <c r="F35" s="67" t="s">
        <v>35</v>
      </c>
      <c r="G35" s="67" t="s">
        <v>35</v>
      </c>
      <c r="H35" s="68" t="s">
        <v>35</v>
      </c>
      <c r="I35" s="1"/>
      <c r="J35" s="1"/>
    </row>
    <row r="36">
      <c r="A36" s="1"/>
      <c r="B36" s="36" t="s">
        <v>102</v>
      </c>
      <c r="C36" s="67" t="s">
        <v>35</v>
      </c>
      <c r="D36" s="67" t="s">
        <v>35</v>
      </c>
      <c r="E36" s="67" t="s">
        <v>35</v>
      </c>
      <c r="F36" s="67" t="s">
        <v>35</v>
      </c>
      <c r="G36" s="67" t="s">
        <v>35</v>
      </c>
      <c r="H36" s="68" t="s">
        <v>35</v>
      </c>
      <c r="I36" s="1"/>
      <c r="J36" s="1"/>
    </row>
    <row r="37">
      <c r="A37" s="1"/>
      <c r="B37" s="36" t="s">
        <v>103</v>
      </c>
      <c r="C37" s="67" t="s">
        <v>35</v>
      </c>
      <c r="D37" s="67" t="s">
        <v>35</v>
      </c>
      <c r="E37" s="67" t="s">
        <v>35</v>
      </c>
      <c r="F37" s="67" t="s">
        <v>35</v>
      </c>
      <c r="G37" s="67" t="s">
        <v>35</v>
      </c>
      <c r="H37" s="68" t="s">
        <v>35</v>
      </c>
      <c r="I37" s="1"/>
      <c r="J37" s="1"/>
    </row>
    <row r="38">
      <c r="A38" s="1"/>
      <c r="B38" s="24" t="s">
        <v>200</v>
      </c>
      <c r="C38" s="34">
        <f>C31-C107</f>
        <v>0</v>
      </c>
      <c r="D38" s="34">
        <f>D31-D107</f>
        <v>0</v>
      </c>
      <c r="E38" s="34">
        <f>E31-E107</f>
        <v>0</v>
      </c>
      <c r="F38" s="34">
        <f>F31-F107</f>
        <v>0</v>
      </c>
      <c r="G38" s="34">
        <f>G31-G107</f>
        <v>0</v>
      </c>
      <c r="H38" s="48">
        <f>H31-H107</f>
        <v>0</v>
      </c>
      <c r="I38" s="1"/>
      <c r="J38" s="2" t="s">
        <v>118</v>
      </c>
    </row>
    <row r="39">
      <c r="A39" s="1"/>
      <c r="B39" s="1"/>
      <c r="C39" s="1"/>
      <c r="D39" s="1"/>
      <c r="E39" s="1"/>
      <c r="F39" s="1"/>
      <c r="G39" s="1"/>
      <c r="H39" s="30"/>
      <c r="I39" s="1"/>
      <c r="J39" s="1"/>
    </row>
    <row r="40">
      <c r="A40" s="1"/>
      <c r="B40" s="31" t="s">
        <v>201</v>
      </c>
      <c r="C40" s="1"/>
      <c r="D40" s="1"/>
      <c r="E40" s="1"/>
      <c r="F40" s="1"/>
      <c r="G40" s="1"/>
      <c r="H40" s="30"/>
      <c r="I40" s="1"/>
      <c r="J40" s="1"/>
    </row>
    <row r="41">
      <c r="A41" s="1"/>
      <c r="B41" s="21" t="s">
        <v>202</v>
      </c>
      <c r="C41" s="3">
        <v>969</v>
      </c>
      <c r="D41" s="3">
        <v>973</v>
      </c>
      <c r="E41" s="3">
        <v>3669</v>
      </c>
      <c r="F41" s="3">
        <v>947</v>
      </c>
      <c r="G41" s="3">
        <v>971</v>
      </c>
      <c r="H41" s="29">
        <f>G41*(1+H55)</f>
        <v>985.5649999999999</v>
      </c>
      <c r="I41" s="1"/>
      <c r="J41" s="2" t="s">
        <v>195</v>
      </c>
    </row>
    <row r="42">
      <c r="A42" s="1"/>
      <c r="B42" s="51" t="s">
        <v>99</v>
      </c>
      <c r="C42" s="22">
        <f>IF(AND(ISNUMBER(C41),ISNUMBER(C304)),IF(OR(C304&lt;=0,C41&lt;0),"n.m.",C41/C304-1),"n.a.")</f>
        <v>0.12282734646581694</v>
      </c>
      <c r="D42" s="22">
        <f>IF(AND(ISNUMBER(D41),ISNUMBER(D304)),IF(OR(D304&lt;=0,D41&lt;0),"n.m.",D41/D304-1),"n.a.")</f>
        <v>0.11582568807339455</v>
      </c>
      <c r="E42" s="22">
        <f>IF(AND(ISNUMBER(E41),ISNUMBER(E304)),IF(OR(E304&lt;=0,E41&lt;0),"n.m.",E41/E304-1),"n.a.")</f>
        <v>0.08325952170062001</v>
      </c>
      <c r="F42" s="22">
        <f>IF(AND(ISNUMBER(F41),ISNUMBER(F304)),IF(OR(F304&lt;=0,F41&lt;0),"n.m.",F41/F304-1),"n.a.")</f>
        <v>0.12872467222884376</v>
      </c>
      <c r="G42" s="22">
        <f>IF(AND(ISNUMBER(G41),ISNUMBER(G304)),IF(OR(G304&lt;=0,G41&lt;0),"n.m.",G41/G304-1),"n.a.")</f>
        <v>0.09346846846846857</v>
      </c>
      <c r="H42" s="39">
        <f>IF(AND(ISNUMBER(H41),ISNUMBER(C41)),IF(OR(C41&lt;=0,H41&lt;0),"n.m.",H41/C41-1),"n.a.")</f>
        <v>0.017094943240453908</v>
      </c>
      <c r="I42" s="1"/>
      <c r="J42" s="1"/>
    </row>
    <row r="43">
      <c r="A43" s="1"/>
      <c r="B43" s="51" t="s">
        <v>60</v>
      </c>
      <c r="C43" s="22">
        <f>IF(AND(ISNUMBER(C41),ISNUMBER(G304)),IF(OR(G304&lt;=0,C41&lt;0),"n.m.",C41/G304-1),"n.a.")</f>
        <v>0.09121621621621623</v>
      </c>
      <c r="D43" s="22">
        <f>IF(AND(ISNUMBER(D41),ISNUMBER(C41)),IF(OR(C41&lt;=0,D41&lt;0),"n.m.",D41/C41-1),"n.a.")</f>
        <v>0.0041279669762641635</v>
      </c>
      <c r="E43" s="1"/>
      <c r="F43" s="22">
        <f>IF(AND(ISNUMBER(F41),ISNUMBER(D41)),IF(OR(D41&lt;=0,F41&lt;0),"n.m.",F41/D41-1),"n.a.")</f>
        <v>-0.02672147995889007</v>
      </c>
      <c r="G43" s="22">
        <f>IF(AND(ISNUMBER(G41),ISNUMBER(F41)),IF(OR(F41&lt;=0,G41&lt;0),"n.m.",G41/F41-1),"n.a.")</f>
        <v>0.025343189017951406</v>
      </c>
      <c r="H43" s="39">
        <f>IF(AND(ISNUMBER(H41),ISNUMBER(G41)),IF(OR(G41&lt;=0,H41&lt;0),"n.m.",H41/G41-1),"n.a.")</f>
        <v>0.014999999999999902</v>
      </c>
      <c r="I43" s="1"/>
      <c r="J43" s="1"/>
    </row>
    <row r="44">
      <c r="A44" s="1"/>
      <c r="B44" s="51" t="s">
        <v>193</v>
      </c>
      <c r="C44" s="22">
        <f>IFERROR(C41/C31,"n.a.")</f>
        <v>0.04976120782622092</v>
      </c>
      <c r="D44" s="22">
        <f>IFERROR(D41/D31,"n.a.")</f>
        <v>0.0501649824706125</v>
      </c>
      <c r="E44" s="22">
        <f>IFERROR(E41/E31,"n.a.")</f>
        <v>0.04825790159018269</v>
      </c>
      <c r="F44" s="22">
        <f>IFERROR(F41/F31,"n.a.")</f>
        <v>0.04839533932951758</v>
      </c>
      <c r="G44" s="22">
        <f>IFERROR(G41/G31,"n.a.")</f>
        <v>0.047898579321231254</v>
      </c>
      <c r="H44" s="39">
        <f>IFERROR(H41/H31,"n.a.")</f>
        <v>0.04731134951332495</v>
      </c>
      <c r="I44" s="1"/>
      <c r="J44" s="1"/>
    </row>
    <row r="45">
      <c r="A45" s="1"/>
      <c r="B45" s="51" t="s">
        <v>101</v>
      </c>
      <c r="C45" s="67" t="s">
        <v>35</v>
      </c>
      <c r="D45" s="67" t="s">
        <v>35</v>
      </c>
      <c r="E45" s="67" t="s">
        <v>35</v>
      </c>
      <c r="F45" s="67" t="s">
        <v>35</v>
      </c>
      <c r="G45" s="67" t="s">
        <v>35</v>
      </c>
      <c r="H45" s="68" t="s">
        <v>35</v>
      </c>
      <c r="I45" s="1"/>
      <c r="J45" s="1"/>
    </row>
    <row r="46">
      <c r="A46" s="1"/>
      <c r="B46" s="51" t="s">
        <v>102</v>
      </c>
      <c r="C46" s="67" t="s">
        <v>35</v>
      </c>
      <c r="D46" s="67" t="s">
        <v>35</v>
      </c>
      <c r="E46" s="67" t="s">
        <v>35</v>
      </c>
      <c r="F46" s="67" t="s">
        <v>35</v>
      </c>
      <c r="G46" s="67" t="s">
        <v>35</v>
      </c>
      <c r="H46" s="68" t="s">
        <v>35</v>
      </c>
      <c r="I46" s="1"/>
      <c r="J46" s="1"/>
    </row>
    <row r="47">
      <c r="A47" s="1"/>
      <c r="B47" s="51" t="s">
        <v>103</v>
      </c>
      <c r="C47" s="67" t="s">
        <v>35</v>
      </c>
      <c r="D47" s="67" t="s">
        <v>35</v>
      </c>
      <c r="E47" s="67" t="s">
        <v>35</v>
      </c>
      <c r="F47" s="67" t="s">
        <v>35</v>
      </c>
      <c r="G47" s="67" t="s">
        <v>35</v>
      </c>
      <c r="H47" s="68" t="s">
        <v>35</v>
      </c>
      <c r="I47" s="1"/>
      <c r="J47" s="1"/>
    </row>
    <row r="48">
      <c r="A48" s="1"/>
      <c r="B48" s="21" t="s">
        <v>203</v>
      </c>
      <c r="C48" s="3">
        <v>1189</v>
      </c>
      <c r="D48" s="3">
        <v>1277</v>
      </c>
      <c r="E48" s="3">
        <v>4669</v>
      </c>
      <c r="F48" s="3">
        <v>1303</v>
      </c>
      <c r="G48" s="3">
        <v>1379</v>
      </c>
      <c r="H48" s="29">
        <f>G48*(1+H124)</f>
        <v>1420.3700000000001</v>
      </c>
      <c r="I48" s="1"/>
      <c r="J48" s="2" t="s">
        <v>204</v>
      </c>
    </row>
    <row r="49">
      <c r="A49" s="1"/>
      <c r="B49" s="51" t="s">
        <v>99</v>
      </c>
      <c r="C49" s="22">
        <f>IF(AND(ISNUMBER(C48),ISNUMBER(C305)),IF(OR(C305&lt;=0,C48&lt;0),"n.m.",C48/C305-1),"n.a.")</f>
        <v>0.16340508806262233</v>
      </c>
      <c r="D49" s="22">
        <f>IF(AND(ISNUMBER(D48),ISNUMBER(D305)),IF(OR(D305&lt;=0,D48&lt;0),"n.m.",D48/D305-1),"n.a.")</f>
        <v>0.19681349578256802</v>
      </c>
      <c r="E49" s="22">
        <f>IF(AND(ISNUMBER(E48),ISNUMBER(E305)),IF(OR(E305&lt;=0,E48&lt;0),"n.m.",E48/E305-1),"n.a.")</f>
        <v>0.16317887394120567</v>
      </c>
      <c r="F49" s="22">
        <f>IF(AND(ISNUMBER(F48),ISNUMBER(F305)),IF(OR(F305&lt;=0,F48&lt;0),"n.m.",F48/F305-1),"n.a.")</f>
        <v>0.19213174748398898</v>
      </c>
      <c r="G49" s="22">
        <f>IF(AND(ISNUMBER(G48),ISNUMBER(G305)),IF(OR(G305&lt;=0,G48&lt;0),"n.m.",G48/G305-1),"n.a.")</f>
        <v>0.2423423423423423</v>
      </c>
      <c r="H49" s="39">
        <f>IF(AND(ISNUMBER(H48),ISNUMBER(C48)),IF(OR(C48&lt;=0,H48&lt;0),"n.m.",H48/C48-1),"n.a.")</f>
        <v>0.19459209419680423</v>
      </c>
      <c r="I49" s="1"/>
      <c r="J49" s="1"/>
    </row>
    <row r="50">
      <c r="A50" s="1"/>
      <c r="B50" s="51" t="s">
        <v>60</v>
      </c>
      <c r="C50" s="22">
        <f>IF(AND(ISNUMBER(C48),ISNUMBER(G305)),IF(OR(G305&lt;=0,C48&lt;0),"n.m.",C48/G305-1),"n.a.")</f>
        <v>0.07117117117117111</v>
      </c>
      <c r="D50" s="22">
        <f>IF(AND(ISNUMBER(D48),ISNUMBER(C48)),IF(OR(C48&lt;=0,D48&lt;0),"n.m.",D48/C48-1),"n.a.")</f>
        <v>0.07401177460050468</v>
      </c>
      <c r="E50" s="1"/>
      <c r="F50" s="22">
        <f>IF(AND(ISNUMBER(F48),ISNUMBER(D48)),IF(OR(D48&lt;=0,F48&lt;0),"n.m.",F48/D48-1),"n.a.")</f>
        <v>0.02036021926389986</v>
      </c>
      <c r="G50" s="22">
        <f>IF(AND(ISNUMBER(G48),ISNUMBER(F48)),IF(OR(F48&lt;=0,G48&lt;0),"n.m.",G48/F48-1),"n.a.")</f>
        <v>0.05832693783576359</v>
      </c>
      <c r="H50" s="39">
        <f>IF(AND(ISNUMBER(H48),ISNUMBER(G48)),IF(OR(G48&lt;=0,H48&lt;0),"n.m.",H48/G48-1),"n.a.")</f>
        <v>0.030000000000000027</v>
      </c>
      <c r="I50" s="1"/>
      <c r="J50" s="1"/>
    </row>
    <row r="51">
      <c r="A51" s="1"/>
      <c r="B51" s="51" t="s">
        <v>193</v>
      </c>
      <c r="C51" s="22">
        <f>IFERROR(C48/C31,"n.a.")</f>
        <v>0.06105890206953217</v>
      </c>
      <c r="D51" s="22">
        <f>IFERROR(D48/D31,"n.a.")</f>
        <v>0.06583831717879975</v>
      </c>
      <c r="E51" s="22">
        <f>IFERROR(E48/E31,"n.a.")</f>
        <v>0.061410777466493045</v>
      </c>
      <c r="F51" s="22">
        <f>IFERROR(F48/F31,"n.a.")</f>
        <v>0.06658830744071954</v>
      </c>
      <c r="G51" s="22">
        <f>IFERROR(G48/G31,"n.a.")</f>
        <v>0.06802486187845304</v>
      </c>
      <c r="H51" s="39">
        <f>IFERROR(H48/H31,"n.a.")</f>
        <v>0.06818385546183293</v>
      </c>
      <c r="I51" s="1"/>
      <c r="J51" s="1"/>
    </row>
    <row r="52">
      <c r="A52" s="1"/>
      <c r="B52" s="51" t="s">
        <v>101</v>
      </c>
      <c r="C52" s="67" t="s">
        <v>35</v>
      </c>
      <c r="D52" s="67" t="s">
        <v>35</v>
      </c>
      <c r="E52" s="67" t="s">
        <v>35</v>
      </c>
      <c r="F52" s="67" t="s">
        <v>35</v>
      </c>
      <c r="G52" s="67" t="s">
        <v>35</v>
      </c>
      <c r="H52" s="68" t="s">
        <v>35</v>
      </c>
      <c r="I52" s="1"/>
      <c r="J52" s="1"/>
    </row>
    <row r="53">
      <c r="A53" s="1"/>
      <c r="B53" s="51" t="s">
        <v>102</v>
      </c>
      <c r="C53" s="67" t="s">
        <v>35</v>
      </c>
      <c r="D53" s="67" t="s">
        <v>35</v>
      </c>
      <c r="E53" s="67" t="s">
        <v>35</v>
      </c>
      <c r="F53" s="67" t="s">
        <v>35</v>
      </c>
      <c r="G53" s="67" t="s">
        <v>35</v>
      </c>
      <c r="H53" s="68" t="s">
        <v>35</v>
      </c>
      <c r="I53" s="1"/>
      <c r="J53" s="1"/>
    </row>
    <row r="54">
      <c r="A54" s="1"/>
      <c r="B54" s="51" t="s">
        <v>103</v>
      </c>
      <c r="C54" s="67" t="s">
        <v>35</v>
      </c>
      <c r="D54" s="67" t="s">
        <v>35</v>
      </c>
      <c r="E54" s="67" t="s">
        <v>35</v>
      </c>
      <c r="F54" s="67" t="s">
        <v>35</v>
      </c>
      <c r="G54" s="67" t="s">
        <v>35</v>
      </c>
      <c r="H54" s="68" t="s">
        <v>35</v>
      </c>
      <c r="I54" s="1"/>
      <c r="J54" s="1"/>
    </row>
    <row r="55">
      <c r="A55" s="1"/>
      <c r="B55" s="51" t="s">
        <v>205</v>
      </c>
      <c r="C55" s="22">
        <f>IF(AND(ISNUMBER(C41),ISNUMBER(G304)),IF(OR(G304&lt;=0,C41&lt;0),"n.m.",C41/G304-1),"n.a.")</f>
        <v>0.09121621621621623</v>
      </c>
      <c r="D55" s="22">
        <f>IF(AND(ISNUMBER(D41),ISNUMBER(C41)),IF(OR(C41&lt;=0,D41&lt;0),"n.m.",D41/C41-1),"n.a.")</f>
        <v>0.0041279669762641635</v>
      </c>
      <c r="E55" s="1"/>
      <c r="F55" s="22">
        <f>IF(AND(ISNUMBER(F41),ISNUMBER(D41)),IF(OR(D41&lt;=0,F41&lt;0),"n.m.",F41/D41-1),"n.a.")</f>
        <v>-0.02672147995889007</v>
      </c>
      <c r="G55" s="22">
        <f>IF(AND(ISNUMBER(G41),ISNUMBER(F41)),IF(OR(F41&lt;=0,G41&lt;0),"n.m.",G41/F41-1),"n.a.")</f>
        <v>0.025343189017951406</v>
      </c>
      <c r="H55" s="72">
        <v>0.015</v>
      </c>
      <c r="I55" s="1"/>
      <c r="J55" s="1"/>
    </row>
    <row r="56">
      <c r="A56" s="1"/>
      <c r="B56" s="20" t="s">
        <v>206</v>
      </c>
      <c r="C56" s="3">
        <v>173</v>
      </c>
      <c r="D56" s="3">
        <v>188</v>
      </c>
      <c r="E56" s="3">
        <v>622</v>
      </c>
      <c r="F56" s="3">
        <v>178</v>
      </c>
      <c r="G56" s="3">
        <v>147</v>
      </c>
      <c r="H56" s="29">
        <f>G56</f>
        <v>147</v>
      </c>
      <c r="I56" s="1"/>
      <c r="J56" s="2" t="s">
        <v>207</v>
      </c>
    </row>
    <row r="57">
      <c r="A57" s="1"/>
      <c r="B57" s="74" t="s">
        <v>99</v>
      </c>
      <c r="C57" s="22">
        <f>IF(AND(ISNUMBER(C56),ISNUMBER(C306)),IF(OR(C306&lt;=0,C56&lt;0),"n.m.",C56/C306-1),"n.a.")</f>
        <v>0.12337662337662336</v>
      </c>
      <c r="D57" s="22">
        <f>IF(AND(ISNUMBER(D56),ISNUMBER(D306)),IF(OR(D306&lt;=0,D56&lt;0),"n.m.",D56/D306-1),"n.a.")</f>
        <v>0.010752688172043001</v>
      </c>
      <c r="E57" s="22">
        <f>IF(AND(ISNUMBER(E56),ISNUMBER(E306)),IF(OR(E306&lt;=0,E56&lt;0),"n.m.",E56/E306-1),"n.a.")</f>
        <v>-0.00797448165869219</v>
      </c>
      <c r="F57" s="22">
        <f>IF(AND(ISNUMBER(F56),ISNUMBER(F306)),IF(OR(F306&lt;=0,F56&lt;0),"n.m.",F56/F306-1),"n.a.")</f>
        <v>0.6181818181818182</v>
      </c>
      <c r="G57" s="22">
        <f>IF(AND(ISNUMBER(G56),ISNUMBER(G306)),IF(OR(G306&lt;=0,G56&lt;0),"n.m.",G56/G306-1),"n.a.")</f>
        <v>-0.026490066225165587</v>
      </c>
      <c r="H57" s="39">
        <f>IF(AND(ISNUMBER(H56),ISNUMBER(C56)),IF(OR(C56&lt;=0,H56&lt;0),"n.m.",H56/C56-1),"n.a.")</f>
        <v>-0.1502890173410405</v>
      </c>
      <c r="I57" s="1"/>
      <c r="J57" s="1"/>
    </row>
    <row r="58">
      <c r="A58" s="1"/>
      <c r="B58" s="74" t="s">
        <v>60</v>
      </c>
      <c r="C58" s="22">
        <f>IF(AND(ISNUMBER(C56),ISNUMBER(G306)),IF(OR(G306&lt;=0,C56&lt;0),"n.m.",C56/G306-1),"n.a.")</f>
        <v>0.14569536423841067</v>
      </c>
      <c r="D58" s="22">
        <f>IF(AND(ISNUMBER(D56),ISNUMBER(C56)),IF(OR(C56&lt;=0,D56&lt;0),"n.m.",D56/C56-1),"n.a.")</f>
        <v>0.08670520231213863</v>
      </c>
      <c r="E58" s="1"/>
      <c r="F58" s="22">
        <f>IF(AND(ISNUMBER(F56),ISNUMBER(D56)),IF(OR(D56&lt;=0,F56&lt;0),"n.m.",F56/D56-1),"n.a.")</f>
        <v>-0.05319148936170215</v>
      </c>
      <c r="G58" s="22">
        <f>IF(AND(ISNUMBER(G56),ISNUMBER(F56)),IF(OR(F56&lt;=0,G56&lt;0),"n.m.",G56/F56-1),"n.a.")</f>
        <v>-0.1741573033707865</v>
      </c>
      <c r="H58" s="39">
        <f>IF(AND(ISNUMBER(H56),ISNUMBER(G56)),IF(OR(G56&lt;=0,H56&lt;0),"n.m.",H56/G56-1),"n.a.")</f>
        <v>0</v>
      </c>
      <c r="I58" s="1"/>
      <c r="J58" s="1"/>
    </row>
    <row r="59">
      <c r="A59" s="1"/>
      <c r="B59" s="74" t="s">
        <v>193</v>
      </c>
      <c r="C59" s="22">
        <f>IFERROR(C56/C31,"n.a.")</f>
        <v>0.008884095927694758</v>
      </c>
      <c r="D59" s="22">
        <f>IFERROR(D56/D31,"n.a.")</f>
        <v>0.009692720148484223</v>
      </c>
      <c r="E59" s="22">
        <f>IFERROR(E56/E31,"n.a.")</f>
        <v>0.008181088795065041</v>
      </c>
      <c r="F59" s="22">
        <f>IFERROR(F56/F31,"n.a.")</f>
        <v>0.00909648405560098</v>
      </c>
      <c r="G59" s="22">
        <f>IFERROR(G56/G31,"n.a.")</f>
        <v>0.007251381215469613</v>
      </c>
      <c r="H59" s="39">
        <f>IFERROR(H56/H31,"n.a.")</f>
        <v>0.007056630844702042</v>
      </c>
      <c r="I59" s="1"/>
      <c r="J59" s="1"/>
    </row>
    <row r="60">
      <c r="A60" s="1"/>
      <c r="B60" s="74" t="s">
        <v>101</v>
      </c>
      <c r="C60" s="67" t="s">
        <v>35</v>
      </c>
      <c r="D60" s="67" t="s">
        <v>35</v>
      </c>
      <c r="E60" s="67" t="s">
        <v>35</v>
      </c>
      <c r="F60" s="67" t="s">
        <v>35</v>
      </c>
      <c r="G60" s="67" t="s">
        <v>35</v>
      </c>
      <c r="H60" s="68" t="s">
        <v>35</v>
      </c>
      <c r="I60" s="1"/>
      <c r="J60" s="1"/>
    </row>
    <row r="61">
      <c r="A61" s="1"/>
      <c r="B61" s="74" t="s">
        <v>102</v>
      </c>
      <c r="C61" s="67" t="s">
        <v>35</v>
      </c>
      <c r="D61" s="67" t="s">
        <v>35</v>
      </c>
      <c r="E61" s="67" t="s">
        <v>35</v>
      </c>
      <c r="F61" s="67" t="s">
        <v>35</v>
      </c>
      <c r="G61" s="67" t="s">
        <v>35</v>
      </c>
      <c r="H61" s="68" t="s">
        <v>35</v>
      </c>
      <c r="I61" s="1"/>
      <c r="J61" s="1"/>
    </row>
    <row r="62">
      <c r="A62" s="1"/>
      <c r="B62" s="74" t="s">
        <v>103</v>
      </c>
      <c r="C62" s="67" t="s">
        <v>35</v>
      </c>
      <c r="D62" s="67" t="s">
        <v>35</v>
      </c>
      <c r="E62" s="67" t="s">
        <v>35</v>
      </c>
      <c r="F62" s="67" t="s">
        <v>35</v>
      </c>
      <c r="G62" s="67" t="s">
        <v>35</v>
      </c>
      <c r="H62" s="68" t="s">
        <v>35</v>
      </c>
      <c r="I62" s="1"/>
      <c r="J62" s="1"/>
    </row>
    <row r="63">
      <c r="A63" s="1"/>
      <c r="B63" s="20" t="s">
        <v>208</v>
      </c>
      <c r="C63" s="3">
        <v>199</v>
      </c>
      <c r="D63" s="3">
        <v>156</v>
      </c>
      <c r="E63" s="3">
        <v>704</v>
      </c>
      <c r="F63" s="3">
        <v>125</v>
      </c>
      <c r="G63" s="3">
        <v>178</v>
      </c>
      <c r="H63" s="29">
        <f>G63</f>
        <v>178</v>
      </c>
      <c r="I63" s="1"/>
      <c r="J63" s="2" t="s">
        <v>207</v>
      </c>
    </row>
    <row r="64">
      <c r="A64" s="1"/>
      <c r="B64" s="74" t="s">
        <v>99</v>
      </c>
      <c r="C64" s="22">
        <f>IF(AND(ISNUMBER(C63),ISNUMBER(C307)),IF(OR(C307&lt;=0,C63&lt;0),"n.m.",C63/C307-1),"n.a.")</f>
        <v>-0.15677966101694918</v>
      </c>
      <c r="D64" s="22">
        <f>IF(AND(ISNUMBER(D63),ISNUMBER(D307)),IF(OR(D307&lt;=0,D63&lt;0),"n.m.",D63/D307-1),"n.a.")</f>
        <v>-0.1428571428571429</v>
      </c>
      <c r="E64" s="22">
        <f>IF(AND(ISNUMBER(E63),ISNUMBER(E307)),IF(OR(E307&lt;=0,E63&lt;0),"n.m.",E63/E307-1),"n.a.")</f>
        <v>-0.06258322237017311</v>
      </c>
      <c r="F64" s="22">
        <f>IF(AND(ISNUMBER(F63),ISNUMBER(F307)),IF(OR(F307&lt;=0,F63&lt;0),"n.m.",F63/F307-1),"n.a.")</f>
        <v>-0.18300653594771243</v>
      </c>
      <c r="G64" s="22">
        <f>IF(AND(ISNUMBER(G63),ISNUMBER(G307)),IF(OR(G307&lt;=0,G63&lt;0),"n.m.",G63/G307-1),"n.a.")</f>
        <v>-0.09183673469387754</v>
      </c>
      <c r="H64" s="39">
        <f>IF(AND(ISNUMBER(H63),ISNUMBER(C63)),IF(OR(C63&lt;=0,H63&lt;0),"n.m.",H63/C63-1),"n.a.")</f>
        <v>-0.10552763819095479</v>
      </c>
      <c r="I64" s="1"/>
      <c r="J64" s="1"/>
    </row>
    <row r="65">
      <c r="A65" s="1"/>
      <c r="B65" s="74" t="s">
        <v>60</v>
      </c>
      <c r="C65" s="22">
        <f>IF(AND(ISNUMBER(C63),ISNUMBER(G307)),IF(OR(G307&lt;=0,C63&lt;0),"n.m.",C63/G307-1),"n.a.")</f>
        <v>0.015306122448979664</v>
      </c>
      <c r="D65" s="22">
        <f>IF(AND(ISNUMBER(D63),ISNUMBER(C63)),IF(OR(C63&lt;=0,D63&lt;0),"n.m.",D63/C63-1),"n.a.")</f>
        <v>-0.2160804020100503</v>
      </c>
      <c r="E65" s="1"/>
      <c r="F65" s="22">
        <f>IF(AND(ISNUMBER(F63),ISNUMBER(D63)),IF(OR(D63&lt;=0,F63&lt;0),"n.m.",F63/D63-1),"n.a.")</f>
        <v>-0.19871794871794868</v>
      </c>
      <c r="G65" s="22">
        <f>IF(AND(ISNUMBER(G63),ISNUMBER(F63)),IF(OR(F63&lt;=0,G63&lt;0),"n.m.",G63/F63-1),"n.a.")</f>
        <v>0.42399999999999993</v>
      </c>
      <c r="H65" s="39">
        <f>IF(AND(ISNUMBER(H63),ISNUMBER(G63)),IF(OR(G63&lt;=0,H63&lt;0),"n.m.",H63/G63-1),"n.a.")</f>
        <v>0</v>
      </c>
      <c r="I65" s="1"/>
      <c r="J65" s="1"/>
    </row>
    <row r="66">
      <c r="A66" s="1"/>
      <c r="B66" s="74" t="s">
        <v>193</v>
      </c>
      <c r="C66" s="22">
        <f>IFERROR(C63/C31,"n.a.")</f>
        <v>0.010219277974631541</v>
      </c>
      <c r="D66" s="22">
        <f>IFERROR(D63/D31,"n.a.")</f>
        <v>0.00804289544235925</v>
      </c>
      <c r="E66" s="22">
        <f>IFERROR(E63/E31,"n.a.")</f>
        <v>0.00925962461692249</v>
      </c>
      <c r="F66" s="22">
        <f>IFERROR(F63/F31,"n.a.")</f>
        <v>0.006387980376124284</v>
      </c>
      <c r="G66" s="22">
        <f>IFERROR(G63/G31,"n.a.")</f>
        <v>0.00878058405682715</v>
      </c>
      <c r="H66" s="39">
        <f>IFERROR(H63/H31,"n.a.")</f>
        <v>0.008544763879979343</v>
      </c>
      <c r="I66" s="1"/>
      <c r="J66" s="1"/>
    </row>
    <row r="67">
      <c r="A67" s="1"/>
      <c r="B67" s="74" t="s">
        <v>101</v>
      </c>
      <c r="C67" s="67" t="s">
        <v>35</v>
      </c>
      <c r="D67" s="67" t="s">
        <v>35</v>
      </c>
      <c r="E67" s="67" t="s">
        <v>35</v>
      </c>
      <c r="F67" s="67" t="s">
        <v>35</v>
      </c>
      <c r="G67" s="67" t="s">
        <v>35</v>
      </c>
      <c r="H67" s="68" t="s">
        <v>35</v>
      </c>
      <c r="I67" s="1"/>
      <c r="J67" s="1"/>
    </row>
    <row r="68">
      <c r="A68" s="1"/>
      <c r="B68" s="74" t="s">
        <v>102</v>
      </c>
      <c r="C68" s="67" t="s">
        <v>35</v>
      </c>
      <c r="D68" s="67" t="s">
        <v>35</v>
      </c>
      <c r="E68" s="67" t="s">
        <v>35</v>
      </c>
      <c r="F68" s="67" t="s">
        <v>35</v>
      </c>
      <c r="G68" s="67" t="s">
        <v>35</v>
      </c>
      <c r="H68" s="68" t="s">
        <v>35</v>
      </c>
      <c r="I68" s="1"/>
      <c r="J68" s="1"/>
    </row>
    <row r="69">
      <c r="A69" s="1"/>
      <c r="B69" s="74" t="s">
        <v>103</v>
      </c>
      <c r="C69" s="67" t="s">
        <v>35</v>
      </c>
      <c r="D69" s="67" t="s">
        <v>35</v>
      </c>
      <c r="E69" s="67" t="s">
        <v>35</v>
      </c>
      <c r="F69" s="67" t="s">
        <v>35</v>
      </c>
      <c r="G69" s="67" t="s">
        <v>35</v>
      </c>
      <c r="H69" s="68" t="s">
        <v>35</v>
      </c>
      <c r="I69" s="1"/>
      <c r="J69" s="1"/>
    </row>
    <row r="70">
      <c r="A70" s="1"/>
      <c r="B70" s="76" t="s">
        <v>209</v>
      </c>
      <c r="C70" s="43">
        <f>C56+C63</f>
        <v>372</v>
      </c>
      <c r="D70" s="43">
        <f>D56+D63</f>
        <v>344</v>
      </c>
      <c r="E70" s="43">
        <f>E56+E63</f>
        <v>1326</v>
      </c>
      <c r="F70" s="43">
        <f>F56+F63</f>
        <v>303</v>
      </c>
      <c r="G70" s="43">
        <f>G56+G63</f>
        <v>325</v>
      </c>
      <c r="H70" s="45">
        <f>H56+H63</f>
        <v>325</v>
      </c>
      <c r="I70" s="1"/>
      <c r="J70" s="1"/>
    </row>
    <row r="71">
      <c r="A71" s="1"/>
      <c r="B71" s="51" t="s">
        <v>99</v>
      </c>
      <c r="C71" s="22">
        <f>IF(AND(ISNUMBER(C70),ISNUMBER(C308)),IF(OR(C308&lt;=0,C70&lt;0),"n.m.",C70/C308-1),"n.a.")</f>
        <v>-0.0461538461538461</v>
      </c>
      <c r="D71" s="22">
        <f>IF(AND(ISNUMBER(D70),ISNUMBER(D308)),IF(OR(D308&lt;=0,D70&lt;0),"n.m.",D70/D308-1),"n.a.")</f>
        <v>-0.06521739130434778</v>
      </c>
      <c r="E71" s="22">
        <f>IF(AND(ISNUMBER(E70),ISNUMBER(E308)),IF(OR(E308&lt;=0,E70&lt;0),"n.m.",E70/E308-1),"n.a.")</f>
        <v>-0.037735849056603765</v>
      </c>
      <c r="F71" s="22">
        <f>IF(AND(ISNUMBER(F70),ISNUMBER(F308)),IF(OR(F308&lt;=0,F70&lt;0),"n.m.",F70/F308-1),"n.a.")</f>
        <v>0.15209125475285168</v>
      </c>
      <c r="G71" s="22">
        <f>IF(AND(ISNUMBER(G70),ISNUMBER(G308)),IF(OR(G308&lt;=0,G70&lt;0),"n.m.",G70/G308-1),"n.a.")</f>
        <v>-0.06340057636887608</v>
      </c>
      <c r="H71" s="39">
        <f>IF(AND(ISNUMBER(H70),ISNUMBER(C70)),IF(OR(C70&lt;=0,H70&lt;0),"n.m.",H70/C70-1),"n.a.")</f>
        <v>-0.12634408602150538</v>
      </c>
      <c r="I71" s="1"/>
      <c r="J71" s="1"/>
    </row>
    <row r="72">
      <c r="A72" s="1"/>
      <c r="B72" s="51" t="s">
        <v>60</v>
      </c>
      <c r="C72" s="22">
        <f>IF(AND(ISNUMBER(C70),ISNUMBER(G308)),IF(OR(G308&lt;=0,C70&lt;0),"n.m.",C70/G308-1),"n.a.")</f>
        <v>0.07204610951008639</v>
      </c>
      <c r="D72" s="22">
        <f>IF(AND(ISNUMBER(D70),ISNUMBER(C70)),IF(OR(C70&lt;=0,D70&lt;0),"n.m.",D70/C70-1),"n.a.")</f>
        <v>-0.07526881720430112</v>
      </c>
      <c r="E72" s="1"/>
      <c r="F72" s="22">
        <f>IF(AND(ISNUMBER(F70),ISNUMBER(D70)),IF(OR(D70&lt;=0,F70&lt;0),"n.m.",F70/D70-1),"n.a.")</f>
        <v>-0.1191860465116279</v>
      </c>
      <c r="G72" s="22">
        <f>IF(AND(ISNUMBER(G70),ISNUMBER(F70)),IF(OR(F70&lt;=0,G70&lt;0),"n.m.",G70/F70-1),"n.a.")</f>
        <v>0.0726072607260726</v>
      </c>
      <c r="H72" s="39">
        <f>IF(AND(ISNUMBER(H70),ISNUMBER(G70)),IF(OR(G70&lt;=0,H70&lt;0),"n.m.",H70/G70-1),"n.a.")</f>
        <v>0</v>
      </c>
      <c r="I72" s="1"/>
      <c r="J72" s="1"/>
    </row>
    <row r="73">
      <c r="A73" s="1"/>
      <c r="B73" s="51" t="s">
        <v>193</v>
      </c>
      <c r="C73" s="22">
        <f>IFERROR(C70/C31,"n.a.")</f>
        <v>0.019103373902326297</v>
      </c>
      <c r="D73" s="22">
        <f>IFERROR(D70/D31,"n.a.")</f>
        <v>0.017735615590843475</v>
      </c>
      <c r="E73" s="22">
        <f>IFERROR(E70/E31,"n.a.")</f>
        <v>0.01744071341198753</v>
      </c>
      <c r="F73" s="22">
        <f>IFERROR(F70/F31,"n.a.")</f>
        <v>0.015484464431725267</v>
      </c>
      <c r="G73" s="22">
        <f>IFERROR(G70/G31,"n.a.")</f>
        <v>0.016031965272296764</v>
      </c>
      <c r="H73" s="39">
        <f>IFERROR(H70/H31,"n.a.")</f>
        <v>0.015601394724681385</v>
      </c>
      <c r="I73" s="1"/>
      <c r="J73" s="1"/>
    </row>
    <row r="74">
      <c r="A74" s="1"/>
      <c r="B74" s="51" t="s">
        <v>101</v>
      </c>
      <c r="C74" s="67" t="s">
        <v>35</v>
      </c>
      <c r="D74" s="67" t="s">
        <v>35</v>
      </c>
      <c r="E74" s="67" t="s">
        <v>35</v>
      </c>
      <c r="F74" s="67" t="s">
        <v>35</v>
      </c>
      <c r="G74" s="67" t="s">
        <v>35</v>
      </c>
      <c r="H74" s="68" t="s">
        <v>35</v>
      </c>
      <c r="I74" s="1"/>
      <c r="J74" s="1"/>
    </row>
    <row r="75">
      <c r="A75" s="1"/>
      <c r="B75" s="51" t="s">
        <v>102</v>
      </c>
      <c r="C75" s="67" t="s">
        <v>35</v>
      </c>
      <c r="D75" s="67" t="s">
        <v>35</v>
      </c>
      <c r="E75" s="67" t="s">
        <v>35</v>
      </c>
      <c r="F75" s="67" t="s">
        <v>35</v>
      </c>
      <c r="G75" s="67" t="s">
        <v>35</v>
      </c>
      <c r="H75" s="68" t="s">
        <v>35</v>
      </c>
      <c r="I75" s="1"/>
      <c r="J75" s="1"/>
    </row>
    <row r="76">
      <c r="A76" s="1"/>
      <c r="B76" s="51" t="s">
        <v>103</v>
      </c>
      <c r="C76" s="67" t="s">
        <v>35</v>
      </c>
      <c r="D76" s="67" t="s">
        <v>35</v>
      </c>
      <c r="E76" s="67" t="s">
        <v>35</v>
      </c>
      <c r="F76" s="67" t="s">
        <v>35</v>
      </c>
      <c r="G76" s="67" t="s">
        <v>35</v>
      </c>
      <c r="H76" s="68" t="s">
        <v>35</v>
      </c>
      <c r="I76" s="1"/>
      <c r="J76" s="1"/>
    </row>
    <row r="77">
      <c r="A77" s="1"/>
      <c r="B77" s="21" t="s">
        <v>210</v>
      </c>
      <c r="C77" s="3">
        <v>514</v>
      </c>
      <c r="D77" s="3">
        <v>376</v>
      </c>
      <c r="E77" s="3">
        <v>2230</v>
      </c>
      <c r="F77" s="3">
        <v>592</v>
      </c>
      <c r="G77" s="3">
        <v>691</v>
      </c>
      <c r="H77" s="29">
        <f>C77*(1+H84)</f>
        <v>565.4000000000001</v>
      </c>
      <c r="I77" s="1"/>
      <c r="J77" s="2" t="s">
        <v>211</v>
      </c>
    </row>
    <row r="78">
      <c r="A78" s="1"/>
      <c r="B78" s="51" t="s">
        <v>99</v>
      </c>
      <c r="C78" s="22">
        <f>IF(AND(ISNUMBER(C77),ISNUMBER(C309)),IF(OR(C309&lt;=0,C77&lt;0),"n.m.",C77/C309-1),"n.a.")</f>
        <v>-0.30820995962314934</v>
      </c>
      <c r="D78" s="22">
        <f>IF(AND(ISNUMBER(D77),ISNUMBER(D309)),IF(OR(D309&lt;=0,D77&lt;0),"n.m.",D77/D309-1),"n.a.")</f>
        <v>-0.6135662898252826</v>
      </c>
      <c r="E78" s="22">
        <f>IF(AND(ISNUMBER(E77),ISNUMBER(E309)),IF(OR(E309&lt;=0,E77&lt;0),"n.m.",E77/E309-1),"n.a.")</f>
        <v>-0.2895826696400128</v>
      </c>
      <c r="F78" s="22">
        <f>IF(AND(ISNUMBER(F77),ISNUMBER(F309)),IF(OR(F309&lt;=0,F77&lt;0),"n.m.",F77/F309-1),"n.a.")</f>
        <v>-0.09341500765696786</v>
      </c>
      <c r="G78" s="22">
        <f>IF(AND(ISNUMBER(G77),ISNUMBER(G309)),IF(OR(G309&lt;=0,G77&lt;0),"n.m.",G77/G309-1),"n.a.")</f>
        <v>0.005822416302765587</v>
      </c>
      <c r="H78" s="39">
        <f>IF(AND(ISNUMBER(H77),ISNUMBER(C77)),IF(OR(C77&lt;=0,H77&lt;0),"n.m.",H77/C77-1),"n.a.")</f>
        <v>0.10000000000000009</v>
      </c>
      <c r="I78" s="1"/>
      <c r="J78" s="1"/>
    </row>
    <row r="79">
      <c r="A79" s="1"/>
      <c r="B79" s="51" t="s">
        <v>60</v>
      </c>
      <c r="C79" s="22">
        <f>IF(AND(ISNUMBER(C77),ISNUMBER(G309)),IF(OR(G309&lt;=0,C77&lt;0),"n.m.",C77/G309-1),"n.a.")</f>
        <v>-0.25181950509461426</v>
      </c>
      <c r="D79" s="22">
        <f>IF(AND(ISNUMBER(D77),ISNUMBER(C77)),IF(OR(C77&lt;=0,D77&lt;0),"n.m.",D77/C77-1),"n.a.")</f>
        <v>-0.2684824902723736</v>
      </c>
      <c r="E79" s="1"/>
      <c r="F79" s="22">
        <f>IF(AND(ISNUMBER(F77),ISNUMBER(D77)),IF(OR(D77&lt;=0,F77&lt;0),"n.m.",F77/D77-1),"n.a.")</f>
        <v>0.574468085106383</v>
      </c>
      <c r="G79" s="22">
        <f>IF(AND(ISNUMBER(G77),ISNUMBER(F77)),IF(OR(F77&lt;=0,G77&lt;0),"n.m.",G77/F77-1),"n.a.")</f>
        <v>0.16722972972972983</v>
      </c>
      <c r="H79" s="39">
        <f>IF(AND(ISNUMBER(H77),ISNUMBER(G77)),IF(OR(G77&lt;=0,H77&lt;0),"n.m.",H77/G77-1),"n.a.")</f>
        <v>-0.18176555716353093</v>
      </c>
      <c r="I79" s="1"/>
      <c r="J79" s="1"/>
    </row>
    <row r="80">
      <c r="A80" s="1"/>
      <c r="B80" s="51" t="s">
        <v>193</v>
      </c>
      <c r="C80" s="22">
        <f>IFERROR(C77/C31,"n.a.")</f>
        <v>0.026395522004827195</v>
      </c>
      <c r="D80" s="22">
        <f>IFERROR(D77/D31,"n.a.")</f>
        <v>0.019385440296968447</v>
      </c>
      <c r="E80" s="22">
        <f>IFERROR(E77/E31,"n.a.")</f>
        <v>0.029330913204172093</v>
      </c>
      <c r="F80" s="22">
        <f>IFERROR(F77/F31,"n.a.")</f>
        <v>0.03025347506132461</v>
      </c>
      <c r="G80" s="22">
        <f>IFERROR(G77/G31,"n.a.")</f>
        <v>0.03408642462509866</v>
      </c>
      <c r="H80" s="39">
        <f>IFERROR(H77/H31,"n.a.")</f>
        <v>0.02714162639179956</v>
      </c>
      <c r="I80" s="1"/>
      <c r="J80" s="1"/>
    </row>
    <row r="81">
      <c r="A81" s="1"/>
      <c r="B81" s="51" t="s">
        <v>101</v>
      </c>
      <c r="C81" s="67" t="s">
        <v>35</v>
      </c>
      <c r="D81" s="67" t="s">
        <v>35</v>
      </c>
      <c r="E81" s="67" t="s">
        <v>35</v>
      </c>
      <c r="F81" s="67" t="s">
        <v>35</v>
      </c>
      <c r="G81" s="67" t="s">
        <v>35</v>
      </c>
      <c r="H81" s="68" t="s">
        <v>35</v>
      </c>
      <c r="I81" s="1"/>
      <c r="J81" s="1"/>
    </row>
    <row r="82">
      <c r="A82" s="1"/>
      <c r="B82" s="51" t="s">
        <v>102</v>
      </c>
      <c r="C82" s="67" t="s">
        <v>35</v>
      </c>
      <c r="D82" s="67" t="s">
        <v>35</v>
      </c>
      <c r="E82" s="67" t="s">
        <v>35</v>
      </c>
      <c r="F82" s="67" t="s">
        <v>35</v>
      </c>
      <c r="G82" s="67" t="s">
        <v>35</v>
      </c>
      <c r="H82" s="68" t="s">
        <v>35</v>
      </c>
      <c r="I82" s="1"/>
      <c r="J82" s="1"/>
    </row>
    <row r="83">
      <c r="A83" s="1"/>
      <c r="B83" s="51" t="s">
        <v>103</v>
      </c>
      <c r="C83" s="67" t="s">
        <v>35</v>
      </c>
      <c r="D83" s="67" t="s">
        <v>35</v>
      </c>
      <c r="E83" s="67" t="s">
        <v>35</v>
      </c>
      <c r="F83" s="67" t="s">
        <v>35</v>
      </c>
      <c r="G83" s="67" t="s">
        <v>35</v>
      </c>
      <c r="H83" s="68" t="s">
        <v>35</v>
      </c>
      <c r="I83" s="1"/>
      <c r="J83" s="1"/>
    </row>
    <row r="84">
      <c r="A84" s="1"/>
      <c r="B84" s="51" t="s">
        <v>212</v>
      </c>
      <c r="C84" s="22">
        <f>IF(AND(ISNUMBER(C77),ISNUMBER(C309)),IF(OR(C309&lt;=0,C77&lt;0),"n.m.",C77/C309-1),"n.a.")</f>
        <v>-0.30820995962314934</v>
      </c>
      <c r="D84" s="22">
        <f>IF(AND(ISNUMBER(D77),ISNUMBER(D309)),IF(OR(D309&lt;=0,D77&lt;0),"n.m.",D77/D309-1),"n.a.")</f>
        <v>-0.6135662898252826</v>
      </c>
      <c r="E84" s="22">
        <f>IF(AND(ISNUMBER(E77),ISNUMBER(E309)),IF(OR(E309&lt;=0,E77&lt;0),"n.m.",E77/E309-1),"n.a.")</f>
        <v>-0.2895826696400128</v>
      </c>
      <c r="F84" s="22">
        <f>IF(AND(ISNUMBER(F77),ISNUMBER(F309)),IF(OR(F309&lt;=0,F77&lt;0),"n.m.",F77/F309-1),"n.a.")</f>
        <v>-0.09341500765696786</v>
      </c>
      <c r="G84" s="22">
        <f>IF(AND(ISNUMBER(G77),ISNUMBER(G309)),IF(OR(G309&lt;=0,G77&lt;0),"n.m.",G77/G309-1),"n.a.")</f>
        <v>0.005822416302765587</v>
      </c>
      <c r="H84" s="72">
        <v>0.1</v>
      </c>
      <c r="I84" s="1"/>
      <c r="J84" s="2" t="s">
        <v>213</v>
      </c>
    </row>
    <row r="85">
      <c r="A85" s="1"/>
      <c r="B85" s="21" t="s">
        <v>214</v>
      </c>
      <c r="C85" s="3">
        <v>1573</v>
      </c>
      <c r="D85" s="3">
        <v>1585</v>
      </c>
      <c r="E85" s="3">
        <v>5901</v>
      </c>
      <c r="F85" s="3">
        <v>1685</v>
      </c>
      <c r="G85" s="3">
        <v>1814</v>
      </c>
      <c r="H85" s="29">
        <f>G85*(1+H92)</f>
        <v>1832.14</v>
      </c>
      <c r="I85" s="1"/>
      <c r="J85" s="2" t="s">
        <v>195</v>
      </c>
    </row>
    <row r="86">
      <c r="A86" s="1"/>
      <c r="B86" s="51" t="s">
        <v>99</v>
      </c>
      <c r="C86" s="22">
        <f>IF(AND(ISNUMBER(C85),ISNUMBER(C310)),IF(OR(C310&lt;=0,C85&lt;0),"n.m.",C85/C310-1),"n.a.")</f>
        <v>0.3152173913043479</v>
      </c>
      <c r="D86" s="22">
        <f>IF(AND(ISNUMBER(D85),ISNUMBER(D310)),IF(OR(D310&lt;=0,D85&lt;0),"n.m.",D85/D310-1),"n.a.")</f>
        <v>0.3056013179571664</v>
      </c>
      <c r="E86" s="22">
        <f>IF(AND(ISNUMBER(E85),ISNUMBER(E310)),IF(OR(E310&lt;=0,E85&lt;0),"n.m.",E85/E310-1),"n.a.")</f>
        <v>0.24730500951173107</v>
      </c>
      <c r="F86" s="22">
        <f>IF(AND(ISNUMBER(F85),ISNUMBER(F310)),IF(OR(F310&lt;=0,F85&lt;0),"n.m.",F85/F310-1),"n.a.")</f>
        <v>0.2736205593348451</v>
      </c>
      <c r="G86" s="22">
        <f>IF(AND(ISNUMBER(G85),ISNUMBER(G310)),IF(OR(G310&lt;=0,G85&lt;0),"n.m.",G85/G310-1),"n.a.")</f>
        <v>0.27746478873239444</v>
      </c>
      <c r="H86" s="39">
        <f>IF(AND(ISNUMBER(H85),ISNUMBER(C85)),IF(OR(C85&lt;=0,H85&lt;0),"n.m.",H85/C85-1),"n.a.")</f>
        <v>0.16474253019707574</v>
      </c>
      <c r="I86" s="1"/>
      <c r="J86" s="1"/>
    </row>
    <row r="87">
      <c r="A87" s="1"/>
      <c r="B87" s="51" t="s">
        <v>60</v>
      </c>
      <c r="C87" s="22">
        <f>IF(AND(ISNUMBER(C85),ISNUMBER(G310)),IF(OR(G310&lt;=0,C85&lt;0),"n.m.",C85/G310-1),"n.a.")</f>
        <v>0.1077464788732394</v>
      </c>
      <c r="D87" s="22">
        <f>IF(AND(ISNUMBER(D85),ISNUMBER(C85)),IF(OR(C85&lt;=0,D85&lt;0),"n.m.",D85/C85-1),"n.a.")</f>
        <v>0.0076287349014620975</v>
      </c>
      <c r="E87" s="1"/>
      <c r="F87" s="22">
        <f>IF(AND(ISNUMBER(F85),ISNUMBER(D85)),IF(OR(D85&lt;=0,F85&lt;0),"n.m.",F85/D85-1),"n.a.")</f>
        <v>0.06309148264984232</v>
      </c>
      <c r="G87" s="22">
        <f>IF(AND(ISNUMBER(G85),ISNUMBER(F85)),IF(OR(F85&lt;=0,G85&lt;0),"n.m.",G85/F85-1),"n.a.")</f>
        <v>0.07655786350148364</v>
      </c>
      <c r="H87" s="39">
        <f>IF(AND(ISNUMBER(H85),ISNUMBER(G85)),IF(OR(G85&lt;=0,H85&lt;0),"n.m.",H85/G85-1),"n.a.")</f>
        <v>0.010000000000000009</v>
      </c>
      <c r="I87" s="1"/>
      <c r="J87" s="1"/>
    </row>
    <row r="88">
      <c r="A88" s="1"/>
      <c r="B88" s="51" t="s">
        <v>193</v>
      </c>
      <c r="C88" s="22">
        <f>IFERROR(C85/C31,"n.a.")</f>
        <v>0.08077851383967545</v>
      </c>
      <c r="D88" s="22">
        <f>IFERROR(D85/D31,"n.a.")</f>
        <v>0.08171787997525264</v>
      </c>
      <c r="E88" s="22">
        <f>IFERROR(E85/E31,"n.a.")</f>
        <v>0.0776151205461074</v>
      </c>
      <c r="F88" s="22">
        <f>IFERROR(F85/F31,"n.a.")</f>
        <v>0.08610997547015535</v>
      </c>
      <c r="G88" s="22">
        <f>IFERROR(G85/G31,"n.a.")</f>
        <v>0.08948303078137332</v>
      </c>
      <c r="H88" s="39">
        <f>IFERROR(H85/H31,"n.a.")</f>
        <v>0.08795058255654695</v>
      </c>
      <c r="I88" s="1"/>
      <c r="J88" s="1"/>
    </row>
    <row r="89">
      <c r="A89" s="1"/>
      <c r="B89" s="51" t="s">
        <v>101</v>
      </c>
      <c r="C89" s="67" t="s">
        <v>35</v>
      </c>
      <c r="D89" s="67" t="s">
        <v>35</v>
      </c>
      <c r="E89" s="67" t="s">
        <v>35</v>
      </c>
      <c r="F89" s="67" t="s">
        <v>35</v>
      </c>
      <c r="G89" s="67" t="s">
        <v>35</v>
      </c>
      <c r="H89" s="68" t="s">
        <v>35</v>
      </c>
      <c r="I89" s="1"/>
      <c r="J89" s="1"/>
    </row>
    <row r="90">
      <c r="A90" s="1"/>
      <c r="B90" s="51" t="s">
        <v>102</v>
      </c>
      <c r="C90" s="67" t="s">
        <v>35</v>
      </c>
      <c r="D90" s="67" t="s">
        <v>35</v>
      </c>
      <c r="E90" s="67" t="s">
        <v>35</v>
      </c>
      <c r="F90" s="67" t="s">
        <v>35</v>
      </c>
      <c r="G90" s="67" t="s">
        <v>35</v>
      </c>
      <c r="H90" s="68" t="s">
        <v>35</v>
      </c>
      <c r="I90" s="1"/>
      <c r="J90" s="1"/>
    </row>
    <row r="91">
      <c r="A91" s="1"/>
      <c r="B91" s="51" t="s">
        <v>103</v>
      </c>
      <c r="C91" s="67" t="s">
        <v>35</v>
      </c>
      <c r="D91" s="67" t="s">
        <v>35</v>
      </c>
      <c r="E91" s="67" t="s">
        <v>35</v>
      </c>
      <c r="F91" s="67" t="s">
        <v>35</v>
      </c>
      <c r="G91" s="67" t="s">
        <v>35</v>
      </c>
      <c r="H91" s="68" t="s">
        <v>35</v>
      </c>
      <c r="I91" s="1"/>
      <c r="J91" s="1"/>
    </row>
    <row r="92">
      <c r="A92" s="1"/>
      <c r="B92" s="51" t="s">
        <v>215</v>
      </c>
      <c r="C92" s="22">
        <f>IF(AND(ISNUMBER(C85),ISNUMBER(G310)),IF(OR(G310&lt;=0,C85&lt;0),"n.m.",C85/G310-1),"n.a.")</f>
        <v>0.1077464788732394</v>
      </c>
      <c r="D92" s="22">
        <f>IF(AND(ISNUMBER(D85),ISNUMBER(C85)),IF(OR(C85&lt;=0,D85&lt;0),"n.m.",D85/C85-1),"n.a.")</f>
        <v>0.0076287349014620975</v>
      </c>
      <c r="E92" s="1"/>
      <c r="F92" s="22">
        <f>IF(AND(ISNUMBER(F85),ISNUMBER(D85)),IF(OR(D85&lt;=0,F85&lt;0),"n.m.",F85/D85-1),"n.a.")</f>
        <v>0.06309148264984232</v>
      </c>
      <c r="G92" s="22">
        <f>IF(AND(ISNUMBER(G85),ISNUMBER(F85)),IF(OR(F85&lt;=0,G85&lt;0),"n.m.",G85/F85-1),"n.a.")</f>
        <v>0.07655786350148364</v>
      </c>
      <c r="H92" s="72">
        <v>0.01</v>
      </c>
      <c r="I92" s="1"/>
      <c r="J92" s="1"/>
    </row>
    <row r="93">
      <c r="A93" s="1"/>
      <c r="B93" s="31" t="s">
        <v>216</v>
      </c>
      <c r="C93" s="43">
        <f>C41+C48+C70+C77+C85</f>
        <v>4617</v>
      </c>
      <c r="D93" s="43">
        <f>D41+D48+D70+D77+D85</f>
        <v>4555</v>
      </c>
      <c r="E93" s="43">
        <f>E41+E48+E70+E77+E85</f>
        <v>17795</v>
      </c>
      <c r="F93" s="43">
        <f>F41+F48+F70+F77+F85</f>
        <v>4830</v>
      </c>
      <c r="G93" s="43">
        <f>G41+G48+G70+G77+G85</f>
        <v>5180</v>
      </c>
      <c r="H93" s="45">
        <f>H41+H48+H70+H77+H85</f>
        <v>5128.475</v>
      </c>
      <c r="I93" s="1"/>
      <c r="J93" s="1"/>
    </row>
    <row r="94">
      <c r="A94" s="1"/>
      <c r="B94" s="36" t="s">
        <v>99</v>
      </c>
      <c r="C94" s="22">
        <f>IF(AND(ISNUMBER(C93),ISNUMBER(C311)),IF(OR(C311&lt;=0,C93&lt;0),"n.m.",C93/C311-1),"n.a.")</f>
        <v>0.09563360227812057</v>
      </c>
      <c r="D94" s="22">
        <f>IF(AND(ISNUMBER(D93),ISNUMBER(D311)),IF(OR(D311&lt;=0,D93&lt;0),"n.m.",D93/D311-1),"n.a.")</f>
        <v>0.013573653760569737</v>
      </c>
      <c r="E94" s="22">
        <f>IF(AND(ISNUMBER(E93),ISNUMBER(E311)),IF(OR(E311&lt;=0,E93&lt;0),"n.m.",E93/E311-1),"n.a.")</f>
        <v>0.06883296294071717</v>
      </c>
      <c r="F94" s="22">
        <f>IF(AND(ISNUMBER(F93),ISNUMBER(F311)),IF(OR(F311&lt;=0,F93&lt;0),"n.m.",F93/F311-1),"n.a.")</f>
        <v>0.15799568448813228</v>
      </c>
      <c r="G94" s="22">
        <f>IF(AND(ISNUMBER(G93),ISNUMBER(G311)),IF(OR(G311&lt;=0,G93&lt;0),"n.m.",G93/G311-1),"n.a.")</f>
        <v>0.16352201257861632</v>
      </c>
      <c r="H94" s="39">
        <f>IF(AND(ISNUMBER(H93),ISNUMBER(C93)),IF(OR(C93&lt;=0,H93&lt;0),"n.m.",H93/C93-1),"n.a.")</f>
        <v>0.11078081004981599</v>
      </c>
      <c r="I94" s="1"/>
      <c r="J94" s="1"/>
    </row>
    <row r="95">
      <c r="A95" s="1"/>
      <c r="B95" s="36" t="s">
        <v>60</v>
      </c>
      <c r="C95" s="22">
        <f>IF(AND(ISNUMBER(C93),ISNUMBER(G311)),IF(OR(G311&lt;=0,C93&lt;0),"n.m.",C93/G311-1),"n.a.")</f>
        <v>0.03706199460916437</v>
      </c>
      <c r="D95" s="22">
        <f>IF(AND(ISNUMBER(D93),ISNUMBER(C93)),IF(OR(C93&lt;=0,D93&lt;0),"n.m.",D93/C93-1),"n.a.")</f>
        <v>-0.01342863331167421</v>
      </c>
      <c r="E95" s="1"/>
      <c r="F95" s="22">
        <f>IF(AND(ISNUMBER(F93),ISNUMBER(D93)),IF(OR(D93&lt;=0,F93&lt;0),"n.m.",F93/D93-1),"n.a.")</f>
        <v>0.060373216245883654</v>
      </c>
      <c r="G95" s="22">
        <f>IF(AND(ISNUMBER(G93),ISNUMBER(F93)),IF(OR(F93&lt;=0,G93&lt;0),"n.m.",G93/F93-1),"n.a.")</f>
        <v>0.07246376811594213</v>
      </c>
      <c r="H95" s="39">
        <f>IF(AND(ISNUMBER(H93),ISNUMBER(G93)),IF(OR(G93&lt;=0,H93&lt;0),"n.m.",H93/G93-1),"n.a.")</f>
        <v>-0.009946911196911157</v>
      </c>
      <c r="I95" s="1"/>
      <c r="J95" s="1"/>
    </row>
    <row r="96">
      <c r="A96" s="1"/>
      <c r="B96" s="36" t="s">
        <v>193</v>
      </c>
      <c r="C96" s="22">
        <f>IFERROR(C93/C31,"n.a.")</f>
        <v>0.23709751964258205</v>
      </c>
      <c r="D96" s="22">
        <f>IFERROR(D93/D31,"n.a.")</f>
        <v>0.2348422355124768</v>
      </c>
      <c r="E96" s="22">
        <f>IFERROR(E93/E31,"n.a.")</f>
        <v>0.23405542621894276</v>
      </c>
      <c r="F96" s="22">
        <f>IFERROR(F93/F31,"n.a.")</f>
        <v>0.24683156173344237</v>
      </c>
      <c r="G96" s="22">
        <f>IFERROR(G93/G31,"n.a.")</f>
        <v>0.255524861878453</v>
      </c>
      <c r="H96" s="39">
        <f>IFERROR(H93/H31,"n.a.")</f>
        <v>0.24618880864818576</v>
      </c>
      <c r="I96" s="1"/>
      <c r="J96" s="1"/>
    </row>
    <row r="97">
      <c r="A97" s="1"/>
      <c r="B97" s="36" t="s">
        <v>101</v>
      </c>
      <c r="C97" s="67" t="s">
        <v>35</v>
      </c>
      <c r="D97" s="67" t="s">
        <v>35</v>
      </c>
      <c r="E97" s="67" t="s">
        <v>35</v>
      </c>
      <c r="F97" s="67" t="s">
        <v>35</v>
      </c>
      <c r="G97" s="67" t="s">
        <v>35</v>
      </c>
      <c r="H97" s="68" t="s">
        <v>35</v>
      </c>
      <c r="I97" s="1"/>
      <c r="J97" s="1"/>
    </row>
    <row r="98">
      <c r="A98" s="1"/>
      <c r="B98" s="36" t="s">
        <v>102</v>
      </c>
      <c r="C98" s="67" t="s">
        <v>35</v>
      </c>
      <c r="D98" s="67" t="s">
        <v>35</v>
      </c>
      <c r="E98" s="67" t="s">
        <v>35</v>
      </c>
      <c r="F98" s="67" t="s">
        <v>35</v>
      </c>
      <c r="G98" s="67" t="s">
        <v>35</v>
      </c>
      <c r="H98" s="68" t="s">
        <v>35</v>
      </c>
      <c r="I98" s="1"/>
      <c r="J98" s="1"/>
    </row>
    <row r="99">
      <c r="A99" s="1"/>
      <c r="B99" s="36" t="s">
        <v>103</v>
      </c>
      <c r="C99" s="67" t="s">
        <v>35</v>
      </c>
      <c r="D99" s="67" t="s">
        <v>35</v>
      </c>
      <c r="E99" s="67" t="s">
        <v>35</v>
      </c>
      <c r="F99" s="67" t="s">
        <v>35</v>
      </c>
      <c r="G99" s="67" t="s">
        <v>35</v>
      </c>
      <c r="H99" s="68" t="s">
        <v>35</v>
      </c>
      <c r="I99" s="1"/>
      <c r="J99" s="1"/>
    </row>
    <row r="100">
      <c r="A100" s="1"/>
      <c r="B100" s="31" t="s">
        <v>217</v>
      </c>
      <c r="C100" s="33">
        <v>14856</v>
      </c>
      <c r="D100" s="33">
        <v>14841</v>
      </c>
      <c r="E100" s="33">
        <v>58234</v>
      </c>
      <c r="F100" s="33">
        <v>14738</v>
      </c>
      <c r="G100" s="33">
        <v>15092</v>
      </c>
      <c r="H100" s="64">
        <f>H31-H93</f>
        <v>15702.99588675671</v>
      </c>
      <c r="I100" s="1"/>
      <c r="J100" s="2" t="s">
        <v>218</v>
      </c>
    </row>
    <row r="101">
      <c r="A101" s="1"/>
      <c r="B101" s="36" t="s">
        <v>99</v>
      </c>
      <c r="C101" s="22">
        <f>IF(AND(ISNUMBER(C100),ISNUMBER(C312)),IF(OR(C312&lt;=0,C100&lt;0),"n.m.",C100/C312-1),"n.a.")</f>
        <v>0.09420343227517125</v>
      </c>
      <c r="D101" s="22">
        <f>IF(AND(ISNUMBER(D100),ISNUMBER(D312)),IF(OR(D312&lt;=0,D100&lt;0),"n.m.",D100/D312-1),"n.a.")</f>
        <v>0.0701615229304875</v>
      </c>
      <c r="E101" s="22">
        <f>IF(AND(ISNUMBER(E100),ISNUMBER(E312)),IF(OR(E312&lt;=0,E100&lt;0),"n.m.",E100/E312-1),"n.a.")</f>
        <v>0.06154070509314957</v>
      </c>
      <c r="F101" s="22">
        <f>IF(AND(ISNUMBER(F100),ISNUMBER(F312)),IF(OR(F312&lt;=0,F100&lt;0),"n.m.",F100/F312-1),"n.a.")</f>
        <v>0.04214396832131251</v>
      </c>
      <c r="G101" s="22">
        <f>IF(AND(ISNUMBER(G100),ISNUMBER(G312)),IF(OR(G312&lt;=0,G100&lt;0),"n.m.",G100/G312-1),"n.a.")</f>
        <v>0.0484195901354636</v>
      </c>
      <c r="H101" s="39">
        <f>IF(AND(ISNUMBER(H100),ISNUMBER(C100)),IF(OR(C100&lt;=0,H100&lt;0),"n.m.",H100/C100-1),"n.a.")</f>
        <v>0.05701372420279416</v>
      </c>
      <c r="I101" s="1"/>
      <c r="J101" s="1"/>
    </row>
    <row r="102">
      <c r="A102" s="1"/>
      <c r="B102" s="36" t="s">
        <v>60</v>
      </c>
      <c r="C102" s="22">
        <f>IF(AND(ISNUMBER(C100),ISNUMBER(G312)),IF(OR(G312&lt;=0,C100&lt;0),"n.m.",C100/G312-1),"n.a.")</f>
        <v>0.03202500868357072</v>
      </c>
      <c r="D102" s="22">
        <f>IF(AND(ISNUMBER(D100),ISNUMBER(C100)),IF(OR(C100&lt;=0,D100&lt;0),"n.m.",D100/C100-1),"n.a.")</f>
        <v>-0.0010096930533117776</v>
      </c>
      <c r="E102" s="1"/>
      <c r="F102" s="22">
        <f>IF(AND(ISNUMBER(F100),ISNUMBER(D100)),IF(OR(D100&lt;=0,F100&lt;0),"n.m.",F100/D100-1),"n.a.")</f>
        <v>-0.006940233137928686</v>
      </c>
      <c r="G102" s="22">
        <f>IF(AND(ISNUMBER(G100),ISNUMBER(F100)),IF(OR(F100&lt;=0,G100&lt;0),"n.m.",G100/F100-1),"n.a.")</f>
        <v>0.024019541321753213</v>
      </c>
      <c r="H102" s="39">
        <f>IF(AND(ISNUMBER(H100),ISNUMBER(G100)),IF(OR(G100&lt;=0,H100&lt;0),"n.m.",H100/G100-1),"n.a.")</f>
        <v>0.04048475263429041</v>
      </c>
      <c r="I102" s="1"/>
      <c r="J102" s="1"/>
    </row>
    <row r="103">
      <c r="A103" s="1"/>
      <c r="B103" s="36" t="s">
        <v>193</v>
      </c>
      <c r="C103" s="22">
        <f>IFERROR(C100/C31,"n.a.")</f>
        <v>0.7629024803574179</v>
      </c>
      <c r="D103" s="22">
        <f>IFERROR(D100/D31,"n.a.")</f>
        <v>0.7651577644875232</v>
      </c>
      <c r="E103" s="22">
        <f>IFERROR(E100/E31,"n.a.")</f>
        <v>0.7659445737810572</v>
      </c>
      <c r="F103" s="22">
        <f>IFERROR(F100/F31,"n.a.")</f>
        <v>0.7531684382665577</v>
      </c>
      <c r="G103" s="22">
        <f>IFERROR(G100/G31,"n.a.")</f>
        <v>0.744475138121547</v>
      </c>
      <c r="H103" s="39">
        <f>IFERROR(H100/H31,"n.a.")</f>
        <v>0.7538111913518142</v>
      </c>
      <c r="I103" s="1"/>
      <c r="J103" s="1"/>
    </row>
    <row r="104">
      <c r="A104" s="1"/>
      <c r="B104" s="36" t="s">
        <v>101</v>
      </c>
      <c r="C104" s="67" t="s">
        <v>35</v>
      </c>
      <c r="D104" s="67" t="s">
        <v>35</v>
      </c>
      <c r="E104" s="67" t="s">
        <v>35</v>
      </c>
      <c r="F104" s="67" t="s">
        <v>35</v>
      </c>
      <c r="G104" s="67" t="s">
        <v>35</v>
      </c>
      <c r="H104" s="68" t="s">
        <v>35</v>
      </c>
      <c r="I104" s="1"/>
      <c r="J104" s="1"/>
    </row>
    <row r="105">
      <c r="A105" s="1"/>
      <c r="B105" s="36" t="s">
        <v>102</v>
      </c>
      <c r="C105" s="67" t="s">
        <v>35</v>
      </c>
      <c r="D105" s="67" t="s">
        <v>35</v>
      </c>
      <c r="E105" s="67" t="s">
        <v>35</v>
      </c>
      <c r="F105" s="67" t="s">
        <v>35</v>
      </c>
      <c r="G105" s="67" t="s">
        <v>35</v>
      </c>
      <c r="H105" s="68" t="s">
        <v>35</v>
      </c>
      <c r="I105" s="1"/>
      <c r="J105" s="1"/>
    </row>
    <row r="106">
      <c r="A106" s="1"/>
      <c r="B106" s="36" t="s">
        <v>103</v>
      </c>
      <c r="C106" s="67" t="s">
        <v>35</v>
      </c>
      <c r="D106" s="67" t="s">
        <v>35</v>
      </c>
      <c r="E106" s="67" t="s">
        <v>35</v>
      </c>
      <c r="F106" s="67" t="s">
        <v>35</v>
      </c>
      <c r="G106" s="67" t="s">
        <v>35</v>
      </c>
      <c r="H106" s="68" t="s">
        <v>35</v>
      </c>
      <c r="I106" s="1"/>
      <c r="J106" s="1"/>
    </row>
    <row r="107">
      <c r="A107" s="1"/>
      <c r="B107" s="31" t="s">
        <v>219</v>
      </c>
      <c r="C107" s="43">
        <f>C93+C100</f>
        <v>19473</v>
      </c>
      <c r="D107" s="43">
        <f>D93+D100</f>
        <v>19396</v>
      </c>
      <c r="E107" s="43">
        <f>E93+E100</f>
        <v>76029</v>
      </c>
      <c r="F107" s="43">
        <f>F93+F100</f>
        <v>19568</v>
      </c>
      <c r="G107" s="43">
        <f>G93+G100</f>
        <v>20272</v>
      </c>
      <c r="H107" s="45">
        <f>H93+H100</f>
        <v>20831.47088675671</v>
      </c>
      <c r="I107" s="1"/>
      <c r="J107" s="1"/>
    </row>
    <row r="108">
      <c r="A108" s="1"/>
      <c r="B108" s="1"/>
      <c r="C108" s="1"/>
      <c r="D108" s="1"/>
      <c r="E108" s="1"/>
      <c r="F108" s="1"/>
      <c r="G108" s="1"/>
      <c r="H108" s="30"/>
      <c r="I108" s="1"/>
      <c r="J108" s="1"/>
    </row>
    <row r="109">
      <c r="A109" s="1"/>
      <c r="B109" s="31" t="s">
        <v>220</v>
      </c>
      <c r="C109" s="1"/>
      <c r="D109" s="1"/>
      <c r="E109" s="1"/>
      <c r="F109" s="1"/>
      <c r="G109" s="1"/>
      <c r="H109" s="30"/>
      <c r="I109" s="1"/>
      <c r="J109" s="1"/>
    </row>
    <row r="110">
      <c r="A110" s="1"/>
      <c r="B110" s="36" t="s">
        <v>221</v>
      </c>
      <c r="C110" s="22">
        <f>IF(AND(ISNUMBER(C111),ISNUMBER(G313)),IF(OR(G313&lt;=0,C111&lt;0),"n.m.",C111/G313-1),"n.a.")</f>
        <v>-0.003597156752139008</v>
      </c>
      <c r="D110" s="22">
        <f>IF(AND(ISNUMBER(D111),ISNUMBER(C111)),IF(OR(C111&lt;=0,D111&lt;0),"n.m.",D111/C111-1),"n.a.")</f>
        <v>-0.0007506713751030958</v>
      </c>
      <c r="E110" s="1"/>
      <c r="F110" s="22">
        <f>IF(AND(ISNUMBER(F111),ISNUMBER(D111)),IF(OR(D111&lt;=0,F111&lt;0),"n.m.",F111/D111-1),"n.a.")</f>
        <v>0.01908580146033989</v>
      </c>
      <c r="G110" s="22">
        <f>IF(AND(ISNUMBER(G111),ISNUMBER(F111)),IF(OR(F111&lt;=0,G111&lt;0),"n.m.",G111/F111-1),"n.a.")</f>
        <v>0.01784866484247205</v>
      </c>
      <c r="H110" s="72">
        <v>0.008</v>
      </c>
      <c r="I110" s="1"/>
      <c r="J110" s="2" t="s">
        <v>222</v>
      </c>
    </row>
    <row r="111">
      <c r="A111" s="1"/>
      <c r="B111" s="1" t="s">
        <v>223</v>
      </c>
      <c r="C111" s="3">
        <v>1040402</v>
      </c>
      <c r="D111" s="3">
        <v>1039621</v>
      </c>
      <c r="E111" s="3">
        <v>1040787</v>
      </c>
      <c r="F111" s="3">
        <v>1059463</v>
      </c>
      <c r="G111" s="3">
        <v>1078373</v>
      </c>
      <c r="H111" s="29">
        <f>G111*(1+H110)</f>
        <v>1086999.984</v>
      </c>
      <c r="I111" s="1"/>
      <c r="J111" s="2" t="s">
        <v>224</v>
      </c>
    </row>
    <row r="112">
      <c r="A112" s="1"/>
      <c r="B112" s="36" t="s">
        <v>58</v>
      </c>
      <c r="C112" s="22">
        <f>IF(AND(ISNUMBER(C111),ISNUMBER(C313)),IF(OR(C313&lt;=0,C111&lt;0),"n.m.",C111/C313-1),"n.a.")</f>
        <v>0.002359451728546569</v>
      </c>
      <c r="D112" s="22">
        <f>IF(AND(ISNUMBER(D111),ISNUMBER(D313)),IF(OR(D313&lt;=0,D111&lt;0),"n.m.",D111/D313-1),"n.a.")</f>
        <v>0.004286194531600174</v>
      </c>
      <c r="E112" s="22">
        <f>IF(AND(ISNUMBER(E111),ISNUMBER(E313)),IF(OR(E313&lt;=0,E111&lt;0),"n.m.",E111/E313-1),"n.a.")</f>
        <v>-0.008144221138570829</v>
      </c>
      <c r="F112" s="22">
        <f>IF(AND(ISNUMBER(F111),ISNUMBER(F313)),IF(OR(F313&lt;=0,F111&lt;0),"n.m.",F111/F313-1),"n.a.")</f>
        <v>0.019730231268840992</v>
      </c>
      <c r="G112" s="22">
        <f>IF(AND(ISNUMBER(G111),ISNUMBER(G313)),IF(OR(G313&lt;=0,G111&lt;0),"n.m.",G111/G313-1),"n.a.")</f>
        <v>0.03276802935954137</v>
      </c>
      <c r="H112" s="39">
        <f>IF(AND(ISNUMBER(H111),ISNUMBER(C111)),IF(OR(C111&lt;=0,H111&lt;0),"n.m.",H111/C111-1),"n.a.")</f>
        <v>0.04478844139092386</v>
      </c>
      <c r="I112" s="1"/>
      <c r="J112" s="1"/>
    </row>
    <row r="113">
      <c r="A113" s="1"/>
      <c r="B113" s="21" t="s">
        <v>114</v>
      </c>
      <c r="C113" s="10">
        <f>C111-G313</f>
        <v>-3756</v>
      </c>
      <c r="D113" s="10">
        <f>D111-C111</f>
        <v>-781</v>
      </c>
      <c r="E113" s="1"/>
      <c r="F113" s="10">
        <f>F111-D111</f>
        <v>19842</v>
      </c>
      <c r="G113" s="10">
        <f>G111-F111</f>
        <v>18910</v>
      </c>
      <c r="H113" s="29">
        <f>H111-G111</f>
        <v>8626.983999999939</v>
      </c>
      <c r="I113" s="1"/>
      <c r="J113" s="1"/>
    </row>
    <row r="114" ht="27">
      <c r="A114" s="1"/>
      <c r="B114" s="1" t="s">
        <v>225</v>
      </c>
      <c r="C114" s="4">
        <v>0.0279</v>
      </c>
      <c r="D114" s="4">
        <v>0.0272</v>
      </c>
      <c r="E114" s="4">
        <v>0.027400000000000004</v>
      </c>
      <c r="F114" s="4">
        <v>0.0263</v>
      </c>
      <c r="G114" s="4">
        <v>0.027000000000000003</v>
      </c>
      <c r="H114" s="87">
        <v>0.0274</v>
      </c>
      <c r="I114" s="1"/>
      <c r="J114" s="125" t="s">
        <v>226</v>
      </c>
    </row>
    <row r="115">
      <c r="A115" s="1"/>
      <c r="B115" s="21" t="s">
        <v>153</v>
      </c>
      <c r="C115" s="25">
        <f>(C114-C314)*10000</f>
        <v>19.000000000000025</v>
      </c>
      <c r="D115" s="25">
        <f>(D114-D314)*10000</f>
        <v>10.999999999999968</v>
      </c>
      <c r="E115" s="25">
        <f>(E114-E314)*10000</f>
        <v>8.000000000000055</v>
      </c>
      <c r="F115" s="25">
        <f>(F114-F314)*10000</f>
        <v>-5.999999999999998</v>
      </c>
      <c r="G115" s="25">
        <f>(G114-G314)*10000</f>
        <v>-5.999999999999964</v>
      </c>
      <c r="H115" s="58">
        <f>(H114-C114)*10000</f>
        <v>-5.000000000000004</v>
      </c>
      <c r="I115" s="1"/>
      <c r="J115" s="1"/>
    </row>
    <row r="116">
      <c r="A116" s="1"/>
      <c r="B116" s="21" t="s">
        <v>154</v>
      </c>
      <c r="C116" s="25">
        <f>(C114-G314)*10000</f>
        <v>3.0000000000000164</v>
      </c>
      <c r="D116" s="25">
        <f>(D114-C114)*10000</f>
        <v>-7.000000000000027</v>
      </c>
      <c r="E116" s="1"/>
      <c r="F116" s="25">
        <f>(F114-D114)*10000</f>
        <v>-8.99999999999998</v>
      </c>
      <c r="G116" s="25">
        <f>(G114-F114)*10000</f>
        <v>7.000000000000027</v>
      </c>
      <c r="H116" s="58">
        <f>(H114-G114)*10000</f>
        <v>3.999999999999976</v>
      </c>
      <c r="I116" s="1"/>
      <c r="J116" s="1"/>
    </row>
    <row r="117">
      <c r="A117" s="1"/>
      <c r="B117" s="21" t="s">
        <v>227</v>
      </c>
      <c r="C117" s="10">
        <f>C111*C114*C7/365</f>
        <v>7316.448913972603</v>
      </c>
      <c r="D117" s="10">
        <f>D111*D114*D7/365</f>
        <v>7127.527644931506</v>
      </c>
      <c r="E117" s="10">
        <f>E111*E114*E7/365</f>
        <v>28517.5638</v>
      </c>
      <c r="F117" s="10">
        <f>F111*F114*F7/365</f>
        <v>6870.544989041096</v>
      </c>
      <c r="G117" s="10">
        <f>G111*G114*G7/365</f>
        <v>7259.0752356164385</v>
      </c>
      <c r="H117" s="29">
        <f>H111*H114*H7/365</f>
        <v>7507.149478540274</v>
      </c>
      <c r="I117" s="1"/>
      <c r="J117" s="1"/>
    </row>
    <row r="118">
      <c r="A118" s="1"/>
      <c r="B118" s="51" t="s">
        <v>58</v>
      </c>
      <c r="C118" s="22">
        <f>IF(AND(ISNUMBER(C117),ISNUMBER(C315)),IF(OR(C315&lt;=0,C117&lt;0),"n.m.",C117/C315-1),"n.a.")</f>
        <v>0.07560879627794037</v>
      </c>
      <c r="D118" s="22">
        <f>IF(AND(ISNUMBER(D117),ISNUMBER(D315)),IF(OR(D315&lt;=0,D117&lt;0),"n.m.",D117/D315-1),"n.a.")</f>
        <v>0.04661243261530745</v>
      </c>
      <c r="E118" s="22">
        <f>IF(AND(ISNUMBER(E117),ISNUMBER(E315)),IF(OR(E315&lt;=0,E117&lt;0),"n.m.",E117/E315-1),"n.a.")</f>
        <v>0.02168602784974283</v>
      </c>
      <c r="F118" s="22">
        <f>IF(AND(ISNUMBER(F117),ISNUMBER(F315)),IF(OR(F315&lt;=0,F117&lt;0),"n.m.",F117/F315-1),"n.a.")</f>
        <v>-0.003014680952768911</v>
      </c>
      <c r="G118" s="22">
        <f>IF(AND(ISNUMBER(G117),ISNUMBER(G315)),IF(OR(G315&lt;=0,G117&lt;0),"n.m.",G117/G315-1),"n.a.")</f>
        <v>0.010316550460421015</v>
      </c>
      <c r="H118" s="39">
        <f>IF(AND(ISNUMBER(H117),ISNUMBER(C117)),IF(OR(C117&lt;=0,H117&lt;0),"n.m.",H117/C117-1),"n.a.")</f>
        <v>0.026064634197538128</v>
      </c>
      <c r="I118" s="1"/>
      <c r="J118" s="1"/>
    </row>
    <row r="119">
      <c r="A119" s="1"/>
      <c r="B119" s="20" t="s">
        <v>114</v>
      </c>
      <c r="C119" s="10">
        <f>C117-G315</f>
        <v>131.4975912328773</v>
      </c>
      <c r="D119" s="10">
        <f>D117-C117</f>
        <v>-188.92126904109682</v>
      </c>
      <c r="E119" s="1"/>
      <c r="F119" s="10">
        <f>F117-D117</f>
        <v>-256.98265589040966</v>
      </c>
      <c r="G119" s="10">
        <f>G117-F117</f>
        <v>388.53024657534206</v>
      </c>
      <c r="H119" s="29">
        <f>H117-G117</f>
        <v>248.0742429238353</v>
      </c>
      <c r="I119" s="1"/>
      <c r="J119" s="1"/>
    </row>
    <row r="120">
      <c r="A120" s="1"/>
      <c r="B120" s="21" t="s">
        <v>228</v>
      </c>
      <c r="C120" s="10">
        <f>C10-C117</f>
        <v>3723.551086027397</v>
      </c>
      <c r="D120" s="10">
        <f>D10-D117</f>
        <v>3742.472355068494</v>
      </c>
      <c r="E120" s="10">
        <f>E10-E117</f>
        <v>14344.4362</v>
      </c>
      <c r="F120" s="10">
        <f>F10-F117</f>
        <v>3706.4550109589036</v>
      </c>
      <c r="G120" s="10">
        <f>G10-G117</f>
        <v>3969.9247643835615</v>
      </c>
      <c r="H120" s="29">
        <f>G120*(1+H123)</f>
        <v>4089.0225073150687</v>
      </c>
      <c r="I120" s="1"/>
      <c r="J120" s="1"/>
    </row>
    <row r="121">
      <c r="A121" s="1"/>
      <c r="B121" s="51" t="s">
        <v>58</v>
      </c>
      <c r="C121" s="22">
        <f>IF(AND(ISNUMBER(C120),ISNUMBER(C316)),IF(OR(C316&lt;=0,C120&lt;0),"n.m.",C120/C316-1),"n.a.")</f>
        <v>0.13251743338500366</v>
      </c>
      <c r="D121" s="22">
        <f>IF(AND(ISNUMBER(D120),ISNUMBER(D316)),IF(OR(D316&lt;=0,D120&lt;0),"n.m.",D120/D316-1),"n.a.")</f>
        <v>0.11919140521455529</v>
      </c>
      <c r="E121" s="22">
        <f>IF(AND(ISNUMBER(E120),ISNUMBER(E316)),IF(OR(E316&lt;=0,E120&lt;0),"n.m.",E120/E316-1),"n.a.")</f>
        <v>0.10081497890427138</v>
      </c>
      <c r="F121" s="22">
        <f>IF(AND(ISNUMBER(F120),ISNUMBER(F316)),IF(OR(F316&lt;=0,F120&lt;0),"n.m.",F120/F316-1),"n.a.")</f>
        <v>0.10223248832204246</v>
      </c>
      <c r="G121" s="22">
        <f>IF(AND(ISNUMBER(G120),ISNUMBER(G316)),IF(OR(G316&lt;=0,G120&lt;0),"n.m.",G120/G316-1),"n.a.")</f>
        <v>0.13005116896916769</v>
      </c>
      <c r="H121" s="39">
        <f>IF(AND(ISNUMBER(H120),ISNUMBER(C120)),IF(OR(C120&lt;=0,H120&lt;0),"n.m.",H120/C120-1),"n.a.")</f>
        <v>0.09815131116613407</v>
      </c>
      <c r="I121" s="1"/>
      <c r="J121" s="1"/>
    </row>
    <row r="122">
      <c r="A122" s="1"/>
      <c r="B122" s="20" t="s">
        <v>114</v>
      </c>
      <c r="C122" s="10">
        <f>C120-G316</f>
        <v>210.5024087671227</v>
      </c>
      <c r="D122" s="10">
        <f>D120-C120</f>
        <v>18.92126904109682</v>
      </c>
      <c r="E122" s="1"/>
      <c r="F122" s="10">
        <f>F120-D120</f>
        <v>-36.01734410959034</v>
      </c>
      <c r="G122" s="10">
        <f>G120-F120</f>
        <v>263.46975342465794</v>
      </c>
      <c r="H122" s="29">
        <f>H120-G120</f>
        <v>119.09774293150713</v>
      </c>
      <c r="I122" s="1"/>
      <c r="J122" s="1"/>
    </row>
    <row r="123">
      <c r="A123" s="1"/>
      <c r="B123" s="51" t="s">
        <v>229</v>
      </c>
      <c r="C123" s="22">
        <f>IF(AND(ISNUMBER(C120),ISNUMBER(G316)),IF(OR(G316&lt;=0,C120&lt;0),"n.m.",C120/G316-1),"n.a.")</f>
        <v>0.05992015144273144</v>
      </c>
      <c r="D123" s="22">
        <f>IF(AND(ISNUMBER(D120),ISNUMBER(C120)),IF(OR(C120&lt;=0,D120&lt;0),"n.m.",D120/C120-1),"n.a.")</f>
        <v>0.0050815118697038475</v>
      </c>
      <c r="E123" s="1"/>
      <c r="F123" s="22">
        <f>IF(AND(ISNUMBER(F120),ISNUMBER(D120)),IF(OR(D120&lt;=0,F120&lt;0),"n.m.",F120/D120-1),"n.a.")</f>
        <v>-0.009623943931292178</v>
      </c>
      <c r="G123" s="22">
        <f>IF(AND(ISNUMBER(G120),ISNUMBER(F120)),IF(OR(F120&lt;=0,G120&lt;0),"n.m.",G120/F120-1),"n.a.")</f>
        <v>0.07108402844379746</v>
      </c>
      <c r="H123" s="72">
        <v>0.03</v>
      </c>
      <c r="I123" s="1"/>
      <c r="J123" s="2" t="s">
        <v>230</v>
      </c>
    </row>
    <row r="124">
      <c r="A124" s="1"/>
      <c r="B124" s="36" t="s">
        <v>231</v>
      </c>
      <c r="C124" s="22">
        <f>IF(AND(ISNUMBER(C125),ISNUMBER(G317)),IF(OR(G317&lt;=0,C125&lt;0),"n.m.",C125/G317-1),"n.a.")</f>
        <v>0.0669886244098572</v>
      </c>
      <c r="D124" s="22">
        <f>IF(AND(ISNUMBER(D125),ISNUMBER(C125)),IF(OR(C125&lt;=0,D125&lt;0),"n.m.",D125/C125-1),"n.a.")</f>
        <v>0.030422999212911472</v>
      </c>
      <c r="E124" s="1"/>
      <c r="F124" s="22">
        <f>IF(AND(ISNUMBER(F125),ISNUMBER(D125)),IF(OR(D125&lt;=0,F125&lt;0),"n.m.",F125/D125-1),"n.a.")</f>
        <v>0.0018088280573880233</v>
      </c>
      <c r="G124" s="22">
        <f>IF(AND(ISNUMBER(G125),ISNUMBER(F125)),IF(OR(F125&lt;=0,G125&lt;0),"n.m.",G125/F125-1),"n.a.")</f>
        <v>0.09643603892530939</v>
      </c>
      <c r="H124" s="72">
        <v>0.03</v>
      </c>
      <c r="I124" s="1"/>
      <c r="J124" s="1"/>
    </row>
    <row r="125">
      <c r="A125" s="1"/>
      <c r="B125" s="1" t="s">
        <v>232</v>
      </c>
      <c r="C125" s="3">
        <v>1232390</v>
      </c>
      <c r="D125" s="3">
        <v>1269883</v>
      </c>
      <c r="E125" s="3">
        <v>1269883</v>
      </c>
      <c r="F125" s="3">
        <v>1272180</v>
      </c>
      <c r="G125" s="3">
        <v>1394864</v>
      </c>
      <c r="H125" s="29">
        <f>G125*(1+H124)</f>
        <v>1436709.92</v>
      </c>
      <c r="I125" s="1"/>
      <c r="J125" s="2" t="s">
        <v>224</v>
      </c>
    </row>
    <row r="126">
      <c r="A126" s="1"/>
      <c r="B126" s="36" t="s">
        <v>58</v>
      </c>
      <c r="C126" s="22">
        <f>IF(AND(ISNUMBER(C125),ISNUMBER(C317)),IF(OR(C317&lt;=0,C125&lt;0),"n.m.",C125/C317-1),"n.a.")</f>
        <v>0.1539977770099379</v>
      </c>
      <c r="D126" s="22">
        <f>IF(AND(ISNUMBER(D125),ISNUMBER(D317)),IF(OR(D317&lt;=0,D125&lt;0),"n.m.",D125/D317-1),"n.a.")</f>
        <v>0.1675925517281962</v>
      </c>
      <c r="E126" s="22">
        <f>IF(AND(ISNUMBER(E125),ISNUMBER(E317)),IF(OR(E317&lt;=0,E125&lt;0),"n.m.",E125/E317-1),"n.a.")</f>
        <v>0.1675925517281962</v>
      </c>
      <c r="F126" s="22">
        <f>IF(AND(ISNUMBER(F125),ISNUMBER(F317)),IF(OR(F317&lt;=0,F125&lt;0),"n.m.",F125/F317-1),"n.a.")</f>
        <v>0.17812661772700045</v>
      </c>
      <c r="G126" s="22">
        <f>IF(AND(ISNUMBER(G125),ISNUMBER(G317)),IF(OR(G317&lt;=0,G125&lt;0),"n.m.",G125/G317-1),"n.a.")</f>
        <v>0.207656683841017</v>
      </c>
      <c r="H126" s="39">
        <f>IF(AND(ISNUMBER(H125),ISNUMBER(C125)),IF(OR(C125&lt;=0,H125&lt;0),"n.m.",H125/C125-1),"n.a.")</f>
        <v>0.16579160817598315</v>
      </c>
      <c r="I126" s="1"/>
      <c r="J126" s="1"/>
    </row>
    <row r="127">
      <c r="A127" s="1"/>
      <c r="B127" s="21" t="s">
        <v>114</v>
      </c>
      <c r="C127" s="10">
        <f>C125-G317</f>
        <v>77373</v>
      </c>
      <c r="D127" s="10">
        <f>D125-C125</f>
        <v>37493</v>
      </c>
      <c r="E127" s="1"/>
      <c r="F127" s="10">
        <f>F125-D125</f>
        <v>2297</v>
      </c>
      <c r="G127" s="10">
        <f>G125-F125</f>
        <v>122684</v>
      </c>
      <c r="H127" s="29">
        <f>H125-G125</f>
        <v>41845.919999999925</v>
      </c>
      <c r="I127" s="1"/>
      <c r="J127" s="1"/>
    </row>
    <row r="128">
      <c r="A128" s="1"/>
      <c r="B128" s="1" t="s">
        <v>233</v>
      </c>
      <c r="C128" s="73">
        <v>6025</v>
      </c>
      <c r="D128" s="73">
        <v>6049</v>
      </c>
      <c r="E128" s="73">
        <v>6049</v>
      </c>
      <c r="F128" s="73">
        <v>6243</v>
      </c>
      <c r="G128" s="73">
        <v>6329</v>
      </c>
      <c r="H128" s="58">
        <f>G128+H131</f>
        <v>6389</v>
      </c>
      <c r="I128" s="1"/>
      <c r="J128" s="2" t="s">
        <v>224</v>
      </c>
    </row>
    <row r="129">
      <c r="A129" s="1"/>
      <c r="B129" s="36" t="s">
        <v>58</v>
      </c>
      <c r="C129" s="22">
        <f>IF(AND(ISNUMBER(C128),ISNUMBER(C318)),IF(OR(C318&lt;=0,C128&lt;0),"n.m.",C128/C318-1),"n.a.")</f>
        <v>0.04329004329004338</v>
      </c>
      <c r="D129" s="22">
        <f>IF(AND(ISNUMBER(D128),ISNUMBER(D318)),IF(OR(D318&lt;=0,D128&lt;0),"n.m.",D128/D318-1),"n.a.")</f>
        <v>0.0510860121633363</v>
      </c>
      <c r="E129" s="22">
        <f>IF(AND(ISNUMBER(E128),ISNUMBER(E318)),IF(OR(E318&lt;=0,E128&lt;0),"n.m.",E128/E318-1),"n.a.")</f>
        <v>0.0510860121633363</v>
      </c>
      <c r="F129" s="22">
        <f>IF(AND(ISNUMBER(F128),ISNUMBER(F318)),IF(OR(F318&lt;=0,F128&lt;0),"n.m.",F128/F318-1),"n.a.")</f>
        <v>0.06535836177474397</v>
      </c>
      <c r="G129" s="22">
        <f>IF(AND(ISNUMBER(G128),ISNUMBER(G318)),IF(OR(G318&lt;=0,G128&lt;0),"n.m.",G128/G318-1),"n.a.")</f>
        <v>0.0640551445864157</v>
      </c>
      <c r="H129" s="39">
        <f>IF(AND(ISNUMBER(H128),ISNUMBER(C128)),IF(OR(C128&lt;=0,H128&lt;0),"n.m.",H128/C128-1),"n.a.")</f>
        <v>0.06041493775933615</v>
      </c>
      <c r="I129" s="1"/>
      <c r="J129" s="1"/>
    </row>
    <row r="130">
      <c r="A130" s="1"/>
      <c r="B130" s="21" t="s">
        <v>114</v>
      </c>
      <c r="C130" s="25">
        <f>C128-G318</f>
        <v>77</v>
      </c>
      <c r="D130" s="25">
        <f>D128-C128</f>
        <v>24</v>
      </c>
      <c r="E130" s="1"/>
      <c r="F130" s="25">
        <f>F128-D128</f>
        <v>194</v>
      </c>
      <c r="G130" s="25">
        <f>G128-F128</f>
        <v>86</v>
      </c>
      <c r="H130" s="58">
        <f>H128-G128</f>
        <v>60</v>
      </c>
      <c r="I130" s="1"/>
      <c r="J130" s="1"/>
    </row>
    <row r="131" ht="27">
      <c r="A131" s="1"/>
      <c r="B131" s="51" t="s">
        <v>234</v>
      </c>
      <c r="C131" s="61">
        <f>C128-G318</f>
        <v>77</v>
      </c>
      <c r="D131" s="61">
        <f>D128-C128</f>
        <v>24</v>
      </c>
      <c r="E131" s="1"/>
      <c r="F131" s="61">
        <f>F128-D128</f>
        <v>194</v>
      </c>
      <c r="G131" s="61">
        <f>G128-F128</f>
        <v>86</v>
      </c>
      <c r="H131" s="92">
        <v>60</v>
      </c>
      <c r="I131" s="1"/>
      <c r="J131" s="125" t="s">
        <v>235</v>
      </c>
    </row>
    <row r="132">
      <c r="A132" s="1"/>
      <c r="B132" s="1" t="s">
        <v>236</v>
      </c>
      <c r="C132" s="3">
        <v>18922</v>
      </c>
      <c r="D132" s="3">
        <v>18747</v>
      </c>
      <c r="E132" s="3">
        <v>19087</v>
      </c>
      <c r="F132" s="3">
        <v>18578</v>
      </c>
      <c r="G132" s="3">
        <v>18324</v>
      </c>
      <c r="H132" s="29">
        <f>G132</f>
        <v>18324</v>
      </c>
      <c r="I132" s="1"/>
      <c r="J132" s="2" t="s">
        <v>237</v>
      </c>
    </row>
    <row r="133">
      <c r="A133" s="1"/>
      <c r="B133" s="36" t="s">
        <v>58</v>
      </c>
      <c r="C133" s="22">
        <f>IF(AND(ISNUMBER(C132),ISNUMBER(C319)),IF(OR(C319&lt;=0,C132&lt;0),"n.m.",C132/C319-1),"n.a.")</f>
        <v>-0.02824568611339362</v>
      </c>
      <c r="D133" s="22">
        <f>IF(AND(ISNUMBER(D132),ISNUMBER(D319)),IF(OR(D319&lt;=0,D132&lt;0),"n.m.",D132/D319-1),"n.a.")</f>
        <v>-0.040485208312007415</v>
      </c>
      <c r="E133" s="22">
        <f>IF(AND(ISNUMBER(E132),ISNUMBER(E319)),IF(OR(E319&lt;=0,E132&lt;0),"n.m.",E132/E319-1),"n.a.")</f>
        <v>-0.020124236357102476</v>
      </c>
      <c r="F133" s="22">
        <f>IF(AND(ISNUMBER(F132),ISNUMBER(F319)),IF(OR(F319&lt;=0,F132&lt;0),"n.m.",F132/F319-1),"n.a.")</f>
        <v>-0.046010064701653475</v>
      </c>
      <c r="G133" s="22">
        <f>IF(AND(ISNUMBER(G132),ISNUMBER(G319)),IF(OR(G319&lt;=0,G132&lt;0),"n.m.",G132/G319-1),"n.a.")</f>
        <v>-0.04646927199875106</v>
      </c>
      <c r="H133" s="39">
        <f>IF(AND(ISNUMBER(H132),ISNUMBER(C132)),IF(OR(C132&lt;=0,H132&lt;0),"n.m.",H132/C132-1),"n.a.")</f>
        <v>-0.031603424585138984</v>
      </c>
      <c r="I133" s="1"/>
      <c r="J133" s="1"/>
    </row>
    <row r="134">
      <c r="A134" s="1"/>
      <c r="B134" s="21" t="s">
        <v>114</v>
      </c>
      <c r="C134" s="10">
        <f>C132-G319</f>
        <v>-295</v>
      </c>
      <c r="D134" s="10">
        <f>D132-C132</f>
        <v>-175</v>
      </c>
      <c r="E134" s="1"/>
      <c r="F134" s="10">
        <f>F132-D132</f>
        <v>-169</v>
      </c>
      <c r="G134" s="10">
        <f>G132-F132</f>
        <v>-254</v>
      </c>
      <c r="H134" s="29">
        <f>H132-G132</f>
        <v>0</v>
      </c>
      <c r="I134" s="1"/>
      <c r="J134" s="1"/>
    </row>
    <row r="135">
      <c r="A135" s="1"/>
      <c r="B135" s="31" t="s">
        <v>238</v>
      </c>
      <c r="C135" s="1"/>
      <c r="D135" s="1"/>
      <c r="E135" s="1"/>
      <c r="F135" s="1"/>
      <c r="G135" s="1"/>
      <c r="H135" s="30"/>
      <c r="I135" s="1"/>
      <c r="J135" s="1"/>
    </row>
    <row r="136">
      <c r="A136" s="1"/>
      <c r="B136" s="21" t="s">
        <v>239</v>
      </c>
      <c r="C136" s="25">
        <f>G321</f>
        <v>4994</v>
      </c>
      <c r="D136" s="25">
        <f>C141</f>
        <v>5018</v>
      </c>
      <c r="E136" s="25">
        <f>E321</f>
        <v>4966</v>
      </c>
      <c r="F136" s="25">
        <f>D141</f>
        <v>5083</v>
      </c>
      <c r="G136" s="25">
        <f>F141</f>
        <v>5095</v>
      </c>
      <c r="H136" s="58">
        <f>G141</f>
        <v>5135</v>
      </c>
      <c r="I136" s="1"/>
      <c r="J136" s="1"/>
    </row>
    <row r="137">
      <c r="A137" s="1"/>
      <c r="B137" s="1" t="s">
        <v>240</v>
      </c>
      <c r="C137" s="6" t="s">
        <v>35</v>
      </c>
      <c r="D137" s="6" t="s">
        <v>35</v>
      </c>
      <c r="E137" s="6" t="s">
        <v>35</v>
      </c>
      <c r="F137" s="6" t="s">
        <v>35</v>
      </c>
      <c r="G137" s="6" t="s">
        <v>35</v>
      </c>
      <c r="H137" s="47" t="s">
        <v>35</v>
      </c>
      <c r="I137" s="1"/>
      <c r="J137" s="2" t="s">
        <v>241</v>
      </c>
    </row>
    <row r="138">
      <c r="A138" s="1"/>
      <c r="B138" s="21" t="s">
        <v>242</v>
      </c>
      <c r="C138" s="25">
        <f>C141-C136</f>
        <v>24</v>
      </c>
      <c r="D138" s="25">
        <f>D141-D136</f>
        <v>65</v>
      </c>
      <c r="E138" s="25">
        <f>E141-E136</f>
        <v>117</v>
      </c>
      <c r="F138" s="25">
        <f>F141-F136</f>
        <v>12</v>
      </c>
      <c r="G138" s="25">
        <f>G141-G136</f>
        <v>40</v>
      </c>
      <c r="H138" s="90">
        <v>35</v>
      </c>
      <c r="I138" s="1"/>
      <c r="J138" s="1"/>
    </row>
    <row r="139">
      <c r="A139" s="1"/>
      <c r="B139" s="20" t="s">
        <v>131</v>
      </c>
      <c r="C139" s="25" t="str">
        <f>IF(ISNUMBER(C320),C138-C320,"n.a.")</f>
        <v>n.a.</v>
      </c>
      <c r="D139" s="25">
        <f>D138-D320</f>
        <v>5</v>
      </c>
      <c r="E139" s="25" t="str">
        <f>IF(ISNUMBER(E320),E138-E320,"n.a.")</f>
        <v>n.a.</v>
      </c>
      <c r="F139" s="25">
        <f>F138-F320</f>
        <v>6</v>
      </c>
      <c r="G139" s="25">
        <f>G138-G320</f>
        <v>18</v>
      </c>
      <c r="H139" s="58">
        <f>H138-C138</f>
        <v>11</v>
      </c>
      <c r="I139" s="1"/>
      <c r="J139" s="1"/>
    </row>
    <row r="140">
      <c r="A140" s="1"/>
      <c r="B140" s="20" t="s">
        <v>114</v>
      </c>
      <c r="C140" s="25">
        <f>C138-G320</f>
        <v>2</v>
      </c>
      <c r="D140" s="25">
        <f>D138-C138</f>
        <v>41</v>
      </c>
      <c r="E140" s="1"/>
      <c r="F140" s="25">
        <f>F138-D138</f>
        <v>-53</v>
      </c>
      <c r="G140" s="25">
        <f>G138-F138</f>
        <v>28</v>
      </c>
      <c r="H140" s="58">
        <f>H138-G138</f>
        <v>-5</v>
      </c>
      <c r="I140" s="1"/>
      <c r="J140" s="1"/>
    </row>
    <row r="141">
      <c r="A141" s="1"/>
      <c r="B141" s="31" t="s">
        <v>243</v>
      </c>
      <c r="C141" s="86">
        <v>5018</v>
      </c>
      <c r="D141" s="86">
        <v>5083</v>
      </c>
      <c r="E141" s="86">
        <v>5083</v>
      </c>
      <c r="F141" s="86">
        <v>5095</v>
      </c>
      <c r="G141" s="86">
        <v>5135</v>
      </c>
      <c r="H141" s="91">
        <f>H136+H138</f>
        <v>5170</v>
      </c>
      <c r="I141" s="1"/>
      <c r="J141" s="2" t="s">
        <v>224</v>
      </c>
    </row>
    <row r="142">
      <c r="A142" s="1"/>
      <c r="B142" s="36" t="s">
        <v>58</v>
      </c>
      <c r="C142" s="22">
        <f>IF(AND(ISNUMBER(C141),ISNUMBER(C321)),IF(OR(C321&lt;=0,C141&lt;0),"n.m.",C141/C321-1),"n.a.")</f>
        <v>0.022829188748471285</v>
      </c>
      <c r="D142" s="22">
        <f>IF(AND(ISNUMBER(D141),ISNUMBER(D321)),IF(OR(D321&lt;=0,D141&lt;0),"n.m.",D141/D321-1),"n.a.")</f>
        <v>0.023560209424083878</v>
      </c>
      <c r="E142" s="22">
        <f>IF(AND(ISNUMBER(E141),ISNUMBER(E321)),IF(OR(E321&lt;=0,E141&lt;0),"n.m.",E141/E321-1),"n.a.")</f>
        <v>0.023560209424083878</v>
      </c>
      <c r="F142" s="22">
        <f>IF(AND(ISNUMBER(F141),ISNUMBER(F321)),IF(OR(F321&lt;=0,F141&lt;0),"n.m.",F141/F321-1),"n.a.")</f>
        <v>0.024738535800482797</v>
      </c>
      <c r="G142" s="22">
        <f>IF(AND(ISNUMBER(G141),ISNUMBER(G321)),IF(OR(G321&lt;=0,G141&lt;0),"n.m.",G141/G321-1),"n.a.")</f>
        <v>0.028233880656788113</v>
      </c>
      <c r="H142" s="39">
        <f>IF(AND(ISNUMBER(H141),ISNUMBER(C141)),IF(OR(C141&lt;=0,H141&lt;0),"n.m.",H141/C141-1),"n.a.")</f>
        <v>0.030290952570745322</v>
      </c>
      <c r="I142" s="1"/>
      <c r="J142" s="1"/>
    </row>
    <row r="143">
      <c r="A143" s="1"/>
      <c r="B143" s="21" t="s">
        <v>114</v>
      </c>
      <c r="C143" s="25">
        <f>C141-G321</f>
        <v>24</v>
      </c>
      <c r="D143" s="25">
        <f>D141-C141</f>
        <v>65</v>
      </c>
      <c r="E143" s="1"/>
      <c r="F143" s="25">
        <f>F141-D141</f>
        <v>12</v>
      </c>
      <c r="G143" s="25">
        <f>G141-F141</f>
        <v>40</v>
      </c>
      <c r="H143" s="58">
        <f>H141-G141</f>
        <v>35</v>
      </c>
      <c r="I143" s="1"/>
      <c r="J143" s="1"/>
    </row>
    <row r="144">
      <c r="A144" s="1"/>
      <c r="B144" s="31" t="s">
        <v>244</v>
      </c>
      <c r="C144" s="1"/>
      <c r="D144" s="1"/>
      <c r="E144" s="1"/>
      <c r="F144" s="1"/>
      <c r="G144" s="1"/>
      <c r="H144" s="30"/>
      <c r="I144" s="1"/>
      <c r="J144" s="1"/>
    </row>
    <row r="145">
      <c r="A145" s="1"/>
      <c r="B145" s="21" t="s">
        <v>245</v>
      </c>
      <c r="C145" s="25">
        <f>G323</f>
        <v>73014</v>
      </c>
      <c r="D145" s="25">
        <f>C151</f>
        <v>74041</v>
      </c>
      <c r="E145" s="25">
        <f>E323</f>
        <v>70813</v>
      </c>
      <c r="F145" s="25">
        <f>D151</f>
        <v>74646</v>
      </c>
      <c r="G145" s="25">
        <f>F151</f>
        <v>76246</v>
      </c>
      <c r="H145" s="58">
        <f>G151</f>
        <v>76706</v>
      </c>
      <c r="I145" s="1"/>
      <c r="J145" s="1"/>
    </row>
    <row r="146">
      <c r="A146" s="1"/>
      <c r="B146" s="1" t="s">
        <v>246</v>
      </c>
      <c r="C146" s="6" t="s">
        <v>35</v>
      </c>
      <c r="D146" s="6" t="s">
        <v>35</v>
      </c>
      <c r="E146" s="6" t="s">
        <v>35</v>
      </c>
      <c r="F146" s="6" t="s">
        <v>35</v>
      </c>
      <c r="G146" s="6" t="s">
        <v>35</v>
      </c>
      <c r="H146" s="47" t="s">
        <v>35</v>
      </c>
      <c r="I146" s="1"/>
      <c r="J146" s="2" t="s">
        <v>247</v>
      </c>
    </row>
    <row r="147">
      <c r="A147" s="1"/>
      <c r="B147" s="1" t="s">
        <v>248</v>
      </c>
      <c r="C147" s="6" t="s">
        <v>35</v>
      </c>
      <c r="D147" s="6" t="s">
        <v>35</v>
      </c>
      <c r="E147" s="6" t="s">
        <v>35</v>
      </c>
      <c r="F147" s="6" t="s">
        <v>35</v>
      </c>
      <c r="G147" s="6" t="s">
        <v>35</v>
      </c>
      <c r="H147" s="47" t="s">
        <v>35</v>
      </c>
      <c r="I147" s="1"/>
      <c r="J147" s="1"/>
    </row>
    <row r="148">
      <c r="A148" s="1"/>
      <c r="B148" s="21" t="s">
        <v>249</v>
      </c>
      <c r="C148" s="25">
        <f>C151-C145</f>
        <v>1027</v>
      </c>
      <c r="D148" s="25">
        <f>D151-D145</f>
        <v>605</v>
      </c>
      <c r="E148" s="25">
        <f>E151-E145</f>
        <v>3833</v>
      </c>
      <c r="F148" s="25">
        <f>F151-F145</f>
        <v>1600</v>
      </c>
      <c r="G148" s="25">
        <f>G151-G145</f>
        <v>460</v>
      </c>
      <c r="H148" s="90">
        <v>500</v>
      </c>
      <c r="I148" s="1"/>
      <c r="J148" s="1"/>
    </row>
    <row r="149">
      <c r="A149" s="1"/>
      <c r="B149" s="20" t="s">
        <v>131</v>
      </c>
      <c r="C149" s="25" t="str">
        <f>IF(ISNUMBER(C322),C148-C322,"n.a.")</f>
        <v>n.a.</v>
      </c>
      <c r="D149" s="25">
        <f>D148-D322</f>
        <v>-145</v>
      </c>
      <c r="E149" s="25" t="str">
        <f>IF(ISNUMBER(E322),E148-E322,"n.a.")</f>
        <v>n.a.</v>
      </c>
      <c r="F149" s="25">
        <f>F148-F322</f>
        <v>-67</v>
      </c>
      <c r="G149" s="25">
        <f>G148-G322</f>
        <v>-74</v>
      </c>
      <c r="H149" s="58">
        <f>H148-C148</f>
        <v>-527</v>
      </c>
      <c r="I149" s="1"/>
      <c r="J149" s="1"/>
    </row>
    <row r="150">
      <c r="A150" s="1"/>
      <c r="B150" s="20" t="s">
        <v>114</v>
      </c>
      <c r="C150" s="25">
        <f>C148-G322</f>
        <v>493</v>
      </c>
      <c r="D150" s="25">
        <f>D148-C148</f>
        <v>-422</v>
      </c>
      <c r="E150" s="1"/>
      <c r="F150" s="25">
        <f>F148-D148</f>
        <v>995</v>
      </c>
      <c r="G150" s="25">
        <f>G148-F148</f>
        <v>-1140</v>
      </c>
      <c r="H150" s="58">
        <f>H148-G148</f>
        <v>40</v>
      </c>
      <c r="I150" s="1"/>
      <c r="J150" s="1"/>
    </row>
    <row r="151">
      <c r="A151" s="1"/>
      <c r="B151" s="31" t="s">
        <v>250</v>
      </c>
      <c r="C151" s="86">
        <v>74041</v>
      </c>
      <c r="D151" s="86">
        <v>74646</v>
      </c>
      <c r="E151" s="86">
        <v>74646</v>
      </c>
      <c r="F151" s="86">
        <v>76246</v>
      </c>
      <c r="G151" s="86">
        <v>76706</v>
      </c>
      <c r="H151" s="91">
        <f>H145+H148</f>
        <v>77206</v>
      </c>
      <c r="I151" s="1"/>
      <c r="J151" s="2" t="s">
        <v>224</v>
      </c>
    </row>
    <row r="152">
      <c r="A152" s="1"/>
      <c r="B152" s="36" t="s">
        <v>58</v>
      </c>
      <c r="C152" s="22">
        <f>IF(AND(ISNUMBER(C151),ISNUMBER(C323)),IF(OR(C323&lt;=0,C151&lt;0),"n.m.",C151/C323-1),"n.a.")</f>
        <v>0.056777471704037685</v>
      </c>
      <c r="D152" s="22">
        <f>IF(AND(ISNUMBER(D151),ISNUMBER(D323)),IF(OR(D323&lt;=0,D151&lt;0),"n.m.",D151/D323-1),"n.a.")</f>
        <v>0.05412847923403885</v>
      </c>
      <c r="E152" s="22">
        <f>IF(AND(ISNUMBER(E151),ISNUMBER(E323)),IF(OR(E323&lt;=0,E151&lt;0),"n.m.",E151/E323-1),"n.a.")</f>
        <v>0.05412847923403885</v>
      </c>
      <c r="F152" s="22">
        <f>IF(AND(ISNUMBER(F151),ISNUMBER(F323)),IF(OR(F323&lt;=0,F151&lt;0),"n.m.",F151/F323-1),"n.a.")</f>
        <v>0.05195916114790289</v>
      </c>
      <c r="G152" s="22">
        <f>IF(AND(ISNUMBER(G151),ISNUMBER(G323)),IF(OR(G323&lt;=0,G151&lt;0),"n.m.",G151/G323-1),"n.a.")</f>
        <v>0.05056564494480509</v>
      </c>
      <c r="H152" s="39">
        <f>IF(AND(ISNUMBER(H151),ISNUMBER(C151)),IF(OR(C151&lt;=0,H151&lt;0),"n.m.",H151/C151-1),"n.a.")</f>
        <v>0.04274658635080564</v>
      </c>
      <c r="I152" s="1"/>
      <c r="J152" s="1"/>
    </row>
    <row r="153">
      <c r="A153" s="1"/>
      <c r="B153" s="21" t="s">
        <v>114</v>
      </c>
      <c r="C153" s="25">
        <f>C151-G323</f>
        <v>1027</v>
      </c>
      <c r="D153" s="25">
        <f>D151-C151</f>
        <v>605</v>
      </c>
      <c r="E153" s="1"/>
      <c r="F153" s="25">
        <f>F151-D151</f>
        <v>1600</v>
      </c>
      <c r="G153" s="25">
        <f>G151-F151</f>
        <v>460</v>
      </c>
      <c r="H153" s="58">
        <f>H151-G151</f>
        <v>500</v>
      </c>
      <c r="I153" s="1"/>
      <c r="J153" s="1"/>
    </row>
    <row r="154">
      <c r="A154" s="1"/>
      <c r="B154" s="21" t="s">
        <v>251</v>
      </c>
      <c r="C154" s="25">
        <f>(C145+C151)/2</f>
        <v>73527.5</v>
      </c>
      <c r="D154" s="25">
        <f>(D145+D151)/2</f>
        <v>74343.5</v>
      </c>
      <c r="E154" s="1"/>
      <c r="F154" s="25">
        <f>(F145+F151)/2</f>
        <v>75446</v>
      </c>
      <c r="G154" s="25">
        <f>(G145+G151)/2</f>
        <v>76476</v>
      </c>
      <c r="H154" s="58">
        <f>(H145+H151)/2</f>
        <v>76956</v>
      </c>
      <c r="I154" s="1"/>
      <c r="J154" s="1"/>
    </row>
    <row r="155">
      <c r="A155" s="1"/>
      <c r="B155" s="51" t="s">
        <v>58</v>
      </c>
      <c r="C155" s="22" t="str">
        <f>IF(AND(ISNUMBER(C154),ISNUMBER(C324)),IF(OR(C324&lt;=0,C154&lt;0),"n.m.",C154/C324-1),"n.a.")</f>
        <v>n.a.</v>
      </c>
      <c r="D155" s="22">
        <f>IF(AND(ISNUMBER(D154),ISNUMBER(D324)),IF(OR(D324&lt;=0,D154&lt;0),"n.m.",D154/D324-1),"n.a.")</f>
        <v>0.055445924075073094</v>
      </c>
      <c r="E155" s="22" t="str">
        <f>IF(AND(ISNUMBER(E154),ISNUMBER(E324)),IF(OR(E324&lt;=0,E154&lt;0),"n.m.",E154/E324-1),"n.a.")</f>
        <v>n.a.</v>
      </c>
      <c r="F155" s="22">
        <f>IF(AND(ISNUMBER(F154),ISNUMBER(F324)),IF(OR(F324&lt;=0,F154&lt;0),"n.m.",F154/F324-1),"n.a.")</f>
        <v>0.05303120180329812</v>
      </c>
      <c r="G155" s="22">
        <f>IF(AND(ISNUMBER(G154),ISNUMBER(G324)),IF(OR(G324&lt;=0,G154&lt;0),"n.m.",G154/G324-1),"n.a.")</f>
        <v>0.05125984576683584</v>
      </c>
      <c r="H155" s="39">
        <f>IF(AND(ISNUMBER(H154),ISNUMBER(C154)),IF(OR(C154&lt;=0,H154&lt;0),"n.m.",H154/C154-1),"n.a.")</f>
        <v>0.046628812349120974</v>
      </c>
      <c r="I155" s="1"/>
      <c r="J155" s="1"/>
    </row>
    <row r="156">
      <c r="A156" s="1"/>
      <c r="B156" s="20" t="s">
        <v>114</v>
      </c>
      <c r="C156" s="25">
        <f>C154-G324</f>
        <v>780.5</v>
      </c>
      <c r="D156" s="25">
        <f>D154-C154</f>
        <v>816</v>
      </c>
      <c r="E156" s="1"/>
      <c r="F156" s="25">
        <f>F154-D154</f>
        <v>1102.5</v>
      </c>
      <c r="G156" s="25">
        <f>G154-F154</f>
        <v>1030</v>
      </c>
      <c r="H156" s="58">
        <f>H154-G154</f>
        <v>480</v>
      </c>
      <c r="I156" s="1"/>
      <c r="J156" s="1"/>
    </row>
    <row r="157">
      <c r="A157" s="1"/>
      <c r="B157" s="21" t="s">
        <v>252</v>
      </c>
      <c r="C157" s="25">
        <f>G326</f>
        <v>59898</v>
      </c>
      <c r="D157" s="25">
        <f>C163</f>
        <v>60924</v>
      </c>
      <c r="E157" s="25">
        <f>E326</f>
        <v>57821</v>
      </c>
      <c r="F157" s="25">
        <f>D163</f>
        <v>61736</v>
      </c>
      <c r="G157" s="25">
        <f>F163</f>
        <v>62960</v>
      </c>
      <c r="H157" s="58">
        <f>G163</f>
        <v>63746</v>
      </c>
      <c r="I157" s="1"/>
      <c r="J157" s="1"/>
    </row>
    <row r="158">
      <c r="A158" s="1"/>
      <c r="B158" s="1" t="s">
        <v>253</v>
      </c>
      <c r="C158" s="6" t="s">
        <v>35</v>
      </c>
      <c r="D158" s="6" t="s">
        <v>35</v>
      </c>
      <c r="E158" s="6" t="s">
        <v>35</v>
      </c>
      <c r="F158" s="6" t="s">
        <v>35</v>
      </c>
      <c r="G158" s="6" t="s">
        <v>35</v>
      </c>
      <c r="H158" s="47" t="s">
        <v>35</v>
      </c>
      <c r="I158" s="1"/>
      <c r="J158" s="2" t="s">
        <v>247</v>
      </c>
    </row>
    <row r="159">
      <c r="A159" s="1"/>
      <c r="B159" s="1" t="s">
        <v>254</v>
      </c>
      <c r="C159" s="6" t="s">
        <v>35</v>
      </c>
      <c r="D159" s="6" t="s">
        <v>35</v>
      </c>
      <c r="E159" s="6" t="s">
        <v>35</v>
      </c>
      <c r="F159" s="6" t="s">
        <v>35</v>
      </c>
      <c r="G159" s="6" t="s">
        <v>35</v>
      </c>
      <c r="H159" s="47" t="s">
        <v>35</v>
      </c>
      <c r="I159" s="1"/>
      <c r="J159" s="1"/>
    </row>
    <row r="160">
      <c r="A160" s="1"/>
      <c r="B160" s="21" t="s">
        <v>255</v>
      </c>
      <c r="C160" s="25">
        <f>C163-C157</f>
        <v>1026</v>
      </c>
      <c r="D160" s="25">
        <f>D163-D157</f>
        <v>812</v>
      </c>
      <c r="E160" s="25">
        <f>E163-E157</f>
        <v>3915</v>
      </c>
      <c r="F160" s="25">
        <f>F163-F157</f>
        <v>1224</v>
      </c>
      <c r="G160" s="25">
        <f>G163-G157</f>
        <v>786</v>
      </c>
      <c r="H160" s="90">
        <v>750</v>
      </c>
      <c r="I160" s="1"/>
      <c r="J160" s="1"/>
    </row>
    <row r="161">
      <c r="A161" s="1"/>
      <c r="B161" s="20" t="s">
        <v>131</v>
      </c>
      <c r="C161" s="25" t="str">
        <f>IF(ISNUMBER(C325),C160-C325,"n.a.")</f>
        <v>n.a.</v>
      </c>
      <c r="D161" s="25">
        <f>D160-D325</f>
        <v>-24</v>
      </c>
      <c r="E161" s="25" t="str">
        <f>IF(ISNUMBER(E325),E160-E325,"n.a.")</f>
        <v>n.a.</v>
      </c>
      <c r="F161" s="25">
        <f>F160-F325</f>
        <v>9</v>
      </c>
      <c r="G161" s="25">
        <f>G160-G325</f>
        <v>-76</v>
      </c>
      <c r="H161" s="58">
        <f>H160-C160</f>
        <v>-276</v>
      </c>
      <c r="I161" s="1"/>
      <c r="J161" s="1"/>
    </row>
    <row r="162">
      <c r="A162" s="1"/>
      <c r="B162" s="20" t="s">
        <v>114</v>
      </c>
      <c r="C162" s="25">
        <f>C160-G325</f>
        <v>164</v>
      </c>
      <c r="D162" s="25">
        <f>D160-C160</f>
        <v>-214</v>
      </c>
      <c r="E162" s="1"/>
      <c r="F162" s="25">
        <f>F160-D160</f>
        <v>412</v>
      </c>
      <c r="G162" s="25">
        <f>G160-F160</f>
        <v>-438</v>
      </c>
      <c r="H162" s="58">
        <f>H160-G160</f>
        <v>-36</v>
      </c>
      <c r="I162" s="1"/>
      <c r="J162" s="1"/>
    </row>
    <row r="163">
      <c r="A163" s="1"/>
      <c r="B163" s="31" t="s">
        <v>256</v>
      </c>
      <c r="C163" s="86">
        <v>60924</v>
      </c>
      <c r="D163" s="86">
        <v>61736</v>
      </c>
      <c r="E163" s="86">
        <v>61736</v>
      </c>
      <c r="F163" s="86">
        <v>62960</v>
      </c>
      <c r="G163" s="86">
        <v>63746</v>
      </c>
      <c r="H163" s="91">
        <f>H157+H160</f>
        <v>64496</v>
      </c>
      <c r="I163" s="1"/>
      <c r="J163" s="2" t="s">
        <v>224</v>
      </c>
    </row>
    <row r="164">
      <c r="A164" s="1"/>
      <c r="B164" s="36" t="s">
        <v>58</v>
      </c>
      <c r="C164" s="22">
        <f>IF(AND(ISNUMBER(C163),ISNUMBER(C326)),IF(OR(C326&lt;=0,C163&lt;0),"n.m.",C163/C326-1),"n.a.")</f>
        <v>0.06912345354040528</v>
      </c>
      <c r="D164" s="22">
        <f>IF(AND(ISNUMBER(D163),ISNUMBER(D326)),IF(OR(D326&lt;=0,D163&lt;0),"n.m.",D163/D326-1),"n.a.")</f>
        <v>0.0677089638712578</v>
      </c>
      <c r="E164" s="22">
        <f>IF(AND(ISNUMBER(E163),ISNUMBER(E326)),IF(OR(E326&lt;=0,E163&lt;0),"n.m.",E163/E326-1),"n.a.")</f>
        <v>0.0677089638712578</v>
      </c>
      <c r="F164" s="22">
        <f>IF(AND(ISNUMBER(F163),ISNUMBER(F326)),IF(OR(F326&lt;=0,F163&lt;0),"n.m.",F163/F326-1),"n.a.")</f>
        <v>0.06646791788061512</v>
      </c>
      <c r="G164" s="22">
        <f>IF(AND(ISNUMBER(G163),ISNUMBER(G326)),IF(OR(G326&lt;=0,G163&lt;0),"n.m.",G163/G326-1),"n.a.")</f>
        <v>0.064242545660957</v>
      </c>
      <c r="H164" s="39">
        <f>IF(AND(ISNUMBER(H163),ISNUMBER(C163)),IF(OR(C163&lt;=0,H163&lt;0),"n.m.",H163/C163-1),"n.a.")</f>
        <v>0.058630424791543456</v>
      </c>
      <c r="I164" s="1"/>
      <c r="J164" s="1"/>
    </row>
    <row r="165">
      <c r="A165" s="1"/>
      <c r="B165" s="21" t="s">
        <v>114</v>
      </c>
      <c r="C165" s="25">
        <f>C163-G326</f>
        <v>1026</v>
      </c>
      <c r="D165" s="25">
        <f>D163-C163</f>
        <v>812</v>
      </c>
      <c r="E165" s="1"/>
      <c r="F165" s="25">
        <f>F163-D163</f>
        <v>1224</v>
      </c>
      <c r="G165" s="25">
        <f>G163-F163</f>
        <v>786</v>
      </c>
      <c r="H165" s="58">
        <f>H163-G163</f>
        <v>750</v>
      </c>
      <c r="I165" s="1"/>
      <c r="J165" s="1"/>
    </row>
    <row r="166">
      <c r="A166" s="1"/>
      <c r="B166" s="21" t="s">
        <v>257</v>
      </c>
      <c r="C166" s="25">
        <f>(C157+C163)/2</f>
        <v>60411</v>
      </c>
      <c r="D166" s="25">
        <f>(D157+D163)/2</f>
        <v>61330</v>
      </c>
      <c r="E166" s="1"/>
      <c r="F166" s="25">
        <f>(F157+F163)/2</f>
        <v>62348</v>
      </c>
      <c r="G166" s="25">
        <f>(G157+G163)/2</f>
        <v>63353</v>
      </c>
      <c r="H166" s="58">
        <f>(H157+H163)/2</f>
        <v>64121</v>
      </c>
      <c r="I166" s="1"/>
      <c r="J166" s="1"/>
    </row>
    <row r="167">
      <c r="A167" s="1"/>
      <c r="B167" s="51" t="s">
        <v>58</v>
      </c>
      <c r="C167" s="22" t="str">
        <f>IF(AND(ISNUMBER(C166),ISNUMBER(C327)),IF(OR(C327&lt;=0,C166&lt;0),"n.m.",C166/C327-1),"n.a.")</f>
        <v>n.a.</v>
      </c>
      <c r="D167" s="22">
        <f>IF(AND(ISNUMBER(D166),ISNUMBER(D327)),IF(OR(D327&lt;=0,D166&lt;0),"n.m.",D166/D327-1),"n.a.")</f>
        <v>0.06841105865547092</v>
      </c>
      <c r="E167" s="22" t="str">
        <f>IF(AND(ISNUMBER(E166),ISNUMBER(E327)),IF(OR(E327&lt;=0,E166&lt;0),"n.m.",E166/E327-1),"n.a.")</f>
        <v>n.a.</v>
      </c>
      <c r="F167" s="22">
        <f>IF(AND(ISNUMBER(F166),ISNUMBER(F327)),IF(OR(F327&lt;=0,F166&lt;0),"n.m.",F166/F327-1),"n.a.")</f>
        <v>0.06708198909778629</v>
      </c>
      <c r="G167" s="22">
        <f>IF(AND(ISNUMBER(G166),ISNUMBER(G327)),IF(OR(G327&lt;=0,G166&lt;0),"n.m.",G166/G327-1),"n.a.")</f>
        <v>0.06534716733650603</v>
      </c>
      <c r="H167" s="39">
        <f>IF(AND(ISNUMBER(H166),ISNUMBER(C166)),IF(OR(C166&lt;=0,H166&lt;0),"n.m.",H166/C166-1),"n.a.")</f>
        <v>0.06141265663538098</v>
      </c>
      <c r="I167" s="1"/>
      <c r="J167" s="1"/>
    </row>
    <row r="168">
      <c r="A168" s="1"/>
      <c r="B168" s="20" t="s">
        <v>114</v>
      </c>
      <c r="C168" s="25">
        <f>C166-G327</f>
        <v>944</v>
      </c>
      <c r="D168" s="25">
        <f>D166-C166</f>
        <v>919</v>
      </c>
      <c r="E168" s="1"/>
      <c r="F168" s="25">
        <f>F166-D166</f>
        <v>1018</v>
      </c>
      <c r="G168" s="25">
        <f>G166-F166</f>
        <v>1005</v>
      </c>
      <c r="H168" s="58">
        <f>H166-G166</f>
        <v>768</v>
      </c>
      <c r="I168" s="1"/>
      <c r="J168" s="1"/>
    </row>
    <row r="169">
      <c r="A169" s="1"/>
      <c r="B169" s="36" t="s">
        <v>258</v>
      </c>
      <c r="C169" s="22">
        <f>C163/C151</f>
        <v>0.8228413986845127</v>
      </c>
      <c r="D169" s="22">
        <f>D163/D151</f>
        <v>0.8270503442917236</v>
      </c>
      <c r="E169" s="22">
        <f>E163/E151</f>
        <v>0.8270503442917236</v>
      </c>
      <c r="F169" s="22">
        <f>F163/F151</f>
        <v>0.8257482359730347</v>
      </c>
      <c r="G169" s="22">
        <f>G163/G151</f>
        <v>0.8310432039214664</v>
      </c>
      <c r="H169" s="39">
        <f>H163/H151</f>
        <v>0.8353754889516359</v>
      </c>
      <c r="I169" s="1"/>
      <c r="J169" s="1"/>
    </row>
    <row r="170">
      <c r="A170" s="1"/>
      <c r="B170" s="20" t="s">
        <v>153</v>
      </c>
      <c r="C170" s="25">
        <f>(C169-C328)*10000</f>
        <v>95.01975593865674</v>
      </c>
      <c r="D170" s="25">
        <f>(D169-D328)*10000</f>
        <v>105.19481314586687</v>
      </c>
      <c r="E170" s="25">
        <f>(E169-E328)*10000</f>
        <v>105.19481314586687</v>
      </c>
      <c r="F170" s="25">
        <f>(F169-F328)*10000</f>
        <v>112.33887187162783</v>
      </c>
      <c r="G170" s="25">
        <f>(G169-G328)*10000</f>
        <v>106.79985908482514</v>
      </c>
      <c r="H170" s="58">
        <f>(H169-C169)*10000</f>
        <v>125.34090267123266</v>
      </c>
      <c r="I170" s="1"/>
      <c r="J170" s="1"/>
    </row>
    <row r="171">
      <c r="A171" s="1"/>
      <c r="B171" s="20" t="s">
        <v>154</v>
      </c>
      <c r="C171" s="25">
        <f>(C169-G328)*10000</f>
        <v>24.78180671528829</v>
      </c>
      <c r="D171" s="25">
        <f>(D169-C169)*10000</f>
        <v>42.08945607210968</v>
      </c>
      <c r="E171" s="1"/>
      <c r="F171" s="25">
        <f>(F169-D169)*10000</f>
        <v>-13.021083186889326</v>
      </c>
      <c r="G171" s="25">
        <f>(G169-F169)*10000</f>
        <v>52.949679484316505</v>
      </c>
      <c r="H171" s="58">
        <f>(H169-G169)*10000</f>
        <v>43.3228503016958</v>
      </c>
      <c r="I171" s="1"/>
      <c r="J171" s="1"/>
    </row>
    <row r="172">
      <c r="A172" s="1"/>
      <c r="B172" s="1" t="s">
        <v>259</v>
      </c>
      <c r="C172" s="3">
        <v>492.3</v>
      </c>
      <c r="D172" s="3">
        <v>512.5</v>
      </c>
      <c r="E172" s="3">
        <v>1940.7</v>
      </c>
      <c r="F172" s="3">
        <v>487.6</v>
      </c>
      <c r="G172" s="3">
        <v>535.8</v>
      </c>
      <c r="H172" s="29">
        <f>C172*(1+H175)</f>
        <v>531.6840000000001</v>
      </c>
      <c r="I172" s="1"/>
      <c r="J172" s="2" t="s">
        <v>224</v>
      </c>
    </row>
    <row r="173">
      <c r="A173" s="1"/>
      <c r="B173" s="36" t="s">
        <v>58</v>
      </c>
      <c r="C173" s="22">
        <f>IF(AND(ISNUMBER(C172),ISNUMBER(C329)),IF(OR(C329&lt;=0,C172&lt;0),"n.m.",C172/C329-1),"n.a.")</f>
        <v>0.08579620644022956</v>
      </c>
      <c r="D173" s="22">
        <f>IF(AND(ISNUMBER(D172),ISNUMBER(D329)),IF(OR(D329&lt;=0,D172&lt;0),"n.m.",D172/D329-1),"n.a.")</f>
        <v>0.07307370184254602</v>
      </c>
      <c r="E173" s="22">
        <f>IF(AND(ISNUMBER(E172),ISNUMBER(E329)),IF(OR(E329&lt;=0,E172&lt;0),"n.m.",E172/E329-1),"n.a.")</f>
        <v>0.07494184114323699</v>
      </c>
      <c r="F173" s="22">
        <f>IF(AND(ISNUMBER(F172),ISNUMBER(F329)),IF(OR(F329&lt;=0,F172&lt;0),"n.m.",F172/F329-1),"n.a.")</f>
        <v>0.08669489636728334</v>
      </c>
      <c r="G173" s="22">
        <f>IF(AND(ISNUMBER(G172),ISNUMBER(G329)),IF(OR(G329&lt;=0,G172&lt;0),"n.m.",G172/G329-1),"n.a.")</f>
        <v>0.0997536945812807</v>
      </c>
      <c r="H173" s="39">
        <f>IF(AND(ISNUMBER(H172),ISNUMBER(C172)),IF(OR(C172&lt;=0,H172&lt;0),"n.m.",H172/C172-1),"n.a.")</f>
        <v>0.08000000000000007</v>
      </c>
      <c r="I173" s="1"/>
      <c r="J173" s="1"/>
    </row>
    <row r="174">
      <c r="A174" s="1"/>
      <c r="B174" s="21" t="s">
        <v>114</v>
      </c>
      <c r="C174" s="10">
        <f>C172-G329</f>
        <v>5.100000000000023</v>
      </c>
      <c r="D174" s="10">
        <f>D172-C172</f>
        <v>20.19999999999999</v>
      </c>
      <c r="E174" s="1"/>
      <c r="F174" s="10">
        <f>F172-D172</f>
        <v>-24.899999999999977</v>
      </c>
      <c r="G174" s="10">
        <f>G172-F172</f>
        <v>48.19999999999993</v>
      </c>
      <c r="H174" s="29">
        <f>H172-G172</f>
        <v>-4.115999999999872</v>
      </c>
      <c r="I174" s="1"/>
      <c r="J174" s="1"/>
    </row>
    <row r="175">
      <c r="A175" s="1"/>
      <c r="B175" s="51" t="s">
        <v>260</v>
      </c>
      <c r="C175" s="22">
        <f>IF(AND(ISNUMBER(C172),ISNUMBER(C329)),IF(OR(C329&lt;=0,C172&lt;0),"n.m.",C172/C329-1),"n.a.")</f>
        <v>0.08579620644022956</v>
      </c>
      <c r="D175" s="22">
        <f>IF(AND(ISNUMBER(D172),ISNUMBER(D329)),IF(OR(D329&lt;=0,D172&lt;0),"n.m.",D172/D329-1),"n.a.")</f>
        <v>0.07307370184254602</v>
      </c>
      <c r="E175" s="22">
        <f>IF(AND(ISNUMBER(E172),ISNUMBER(E329)),IF(OR(E329&lt;=0,E172&lt;0),"n.m.",E172/E329-1),"n.a.")</f>
        <v>0.07494184114323699</v>
      </c>
      <c r="F175" s="22">
        <f>IF(AND(ISNUMBER(F172),ISNUMBER(F329)),IF(OR(F329&lt;=0,F172&lt;0),"n.m.",F172/F329-1),"n.a.")</f>
        <v>0.08669489636728334</v>
      </c>
      <c r="G175" s="22">
        <f>IF(AND(ISNUMBER(G172),ISNUMBER(G329)),IF(OR(G329&lt;=0,G172&lt;0),"n.m.",G172/G329-1),"n.a.")</f>
        <v>0.0997536945812807</v>
      </c>
      <c r="H175" s="72">
        <v>0.08</v>
      </c>
      <c r="I175" s="1"/>
      <c r="J175" s="1"/>
    </row>
    <row r="176">
      <c r="A176" s="1"/>
      <c r="B176" s="1"/>
      <c r="C176" s="1"/>
      <c r="D176" s="1"/>
      <c r="E176" s="1"/>
      <c r="F176" s="1"/>
      <c r="G176" s="1"/>
      <c r="H176" s="30"/>
      <c r="I176" s="1"/>
      <c r="J176" s="1"/>
    </row>
    <row r="177">
      <c r="A177" s="1"/>
      <c r="B177" s="31" t="s">
        <v>261</v>
      </c>
      <c r="C177" s="1"/>
      <c r="D177" s="1"/>
      <c r="E177" s="1"/>
      <c r="F177" s="1"/>
      <c r="G177" s="1"/>
      <c r="H177" s="30"/>
      <c r="I177" s="1"/>
      <c r="J177" s="1"/>
    </row>
    <row r="178">
      <c r="A178" s="1"/>
      <c r="B178" s="36" t="s">
        <v>262</v>
      </c>
      <c r="C178" s="22">
        <f>IF(AND(ISNUMBER(C17),ISNUMBER(G301)),IF(OR(G301&lt;=0,C17&lt;0),"n.m.",C17/G301-1),"n.a.")</f>
        <v>0.008000000000000007</v>
      </c>
      <c r="D178" s="22">
        <f>IF(AND(ISNUMBER(D17),ISNUMBER(C17)),IF(OR(C17&lt;=0,D17&lt;0),"n.m.",D17/C17-1),"n.a.")</f>
        <v>-0.0087301587301587</v>
      </c>
      <c r="E178" s="1"/>
      <c r="F178" s="22">
        <f>IF(AND(ISNUMBER(F17),ISNUMBER(D17)),IF(OR(D17&lt;=0,F17&lt;0),"n.m.",F17/D17-1),"n.a.")</f>
        <v>-0.013610888710968827</v>
      </c>
      <c r="G178" s="22">
        <f>IF(AND(ISNUMBER(G17),ISNUMBER(F17)),IF(OR(F17&lt;=0,G17&lt;0),"n.m.",G17/F17-1),"n.a.")</f>
        <v>0.04301948051948057</v>
      </c>
      <c r="H178" s="72">
        <v>0.005</v>
      </c>
      <c r="I178" s="1"/>
      <c r="J178" s="1"/>
    </row>
    <row r="179">
      <c r="A179" s="1"/>
      <c r="B179" s="1" t="s">
        <v>263</v>
      </c>
      <c r="C179" s="3">
        <v>241772</v>
      </c>
      <c r="D179" s="3">
        <v>241701</v>
      </c>
      <c r="E179" s="3">
        <v>242595</v>
      </c>
      <c r="F179" s="3">
        <v>240429</v>
      </c>
      <c r="G179" s="3">
        <v>238808</v>
      </c>
      <c r="H179" s="29">
        <f>G179*(1+H182)</f>
        <v>237613.96</v>
      </c>
      <c r="I179" s="1"/>
      <c r="J179" s="2" t="s">
        <v>264</v>
      </c>
    </row>
    <row r="180">
      <c r="A180" s="1"/>
      <c r="B180" s="36" t="s">
        <v>58</v>
      </c>
      <c r="C180" s="22">
        <f>IF(AND(ISNUMBER(C179),ISNUMBER(C330)),IF(OR(C330&lt;=0,C179&lt;0),"n.m.",C179/C330-1),"n.a.")</f>
        <v>-0.035154301403538146</v>
      </c>
      <c r="D180" s="22">
        <f>IF(AND(ISNUMBER(D179),ISNUMBER(D330)),IF(OR(D330&lt;=0,D179&lt;0),"n.m.",D179/D330-1),"n.a.")</f>
        <v>-0.023094800234423896</v>
      </c>
      <c r="E180" s="22">
        <f>IF(AND(ISNUMBER(E179),ISNUMBER(E330)),IF(OR(E330&lt;=0,E179&lt;0),"n.m.",E179/E330-1),"n.a.")</f>
        <v>-0.03938750782048139</v>
      </c>
      <c r="F180" s="22">
        <f>IF(AND(ISNUMBER(F179),ISNUMBER(F330)),IF(OR(F330&lt;=0,F179&lt;0),"n.m.",F179/F330-1),"n.a.")</f>
        <v>-0.01577275443954118</v>
      </c>
      <c r="G180" s="22">
        <f>IF(AND(ISNUMBER(G179),ISNUMBER(G330)),IF(OR(G330&lt;=0,G179&lt;0),"n.m.",G179/G330-1),"n.a.")</f>
        <v>-0.015894339933653412</v>
      </c>
      <c r="H180" s="39">
        <f>IF(AND(ISNUMBER(H179),ISNUMBER(C179)),IF(OR(C179&lt;=0,H179&lt;0),"n.m.",H179/C179-1),"n.a.")</f>
        <v>-0.017198186721373854</v>
      </c>
      <c r="I180" s="1"/>
      <c r="J180" s="1"/>
    </row>
    <row r="181">
      <c r="A181" s="1"/>
      <c r="B181" s="21" t="s">
        <v>114</v>
      </c>
      <c r="C181" s="10">
        <f>C179-G330</f>
        <v>-893</v>
      </c>
      <c r="D181" s="10">
        <f>D179-C179</f>
        <v>-71</v>
      </c>
      <c r="E181" s="1"/>
      <c r="F181" s="10">
        <f>F179-D179</f>
        <v>-1272</v>
      </c>
      <c r="G181" s="10">
        <f>G179-F179</f>
        <v>-1621</v>
      </c>
      <c r="H181" s="29">
        <f>H179-G179</f>
        <v>-1194.0400000000081</v>
      </c>
      <c r="I181" s="1"/>
      <c r="J181" s="1"/>
    </row>
    <row r="182">
      <c r="A182" s="1"/>
      <c r="B182" s="51" t="s">
        <v>146</v>
      </c>
      <c r="C182" s="22">
        <f>IF(AND(ISNUMBER(C179),ISNUMBER(G330)),IF(OR(G330&lt;=0,C179&lt;0),"n.m.",C179/G330-1),"n.a.")</f>
        <v>-0.003679970329466542</v>
      </c>
      <c r="D182" s="22">
        <f>IF(AND(ISNUMBER(D179),ISNUMBER(C179)),IF(OR(C179&lt;=0,D179&lt;0),"n.m.",D179/C179-1),"n.a.")</f>
        <v>-0.0002936651059676221</v>
      </c>
      <c r="E182" s="1"/>
      <c r="F182" s="22">
        <f>IF(AND(ISNUMBER(F179),ISNUMBER(D179)),IF(OR(D179&lt;=0,F179&lt;0),"n.m.",F179/D179-1),"n.a.")</f>
        <v>-0.005262700609430682</v>
      </c>
      <c r="G182" s="22">
        <f>IF(AND(ISNUMBER(G179),ISNUMBER(F179)),IF(OR(F179&lt;=0,G179&lt;0),"n.m.",G179/F179-1),"n.a.")</f>
        <v>-0.006742115135861315</v>
      </c>
      <c r="H182" s="72">
        <v>-0.005</v>
      </c>
      <c r="I182" s="1"/>
      <c r="J182" s="1"/>
    </row>
    <row r="183">
      <c r="A183" s="1"/>
      <c r="B183" s="21" t="s">
        <v>265</v>
      </c>
      <c r="C183" s="3">
        <v>8.4</v>
      </c>
      <c r="D183" s="3">
        <v>10.4</v>
      </c>
      <c r="E183" s="3">
        <v>33</v>
      </c>
      <c r="F183" s="3">
        <v>8.7</v>
      </c>
      <c r="G183" s="3">
        <v>10.6</v>
      </c>
      <c r="H183" s="29">
        <f>C183*(1+H189)</f>
        <v>9.240000000000002</v>
      </c>
      <c r="I183" s="1"/>
      <c r="J183" s="2" t="s">
        <v>224</v>
      </c>
    </row>
    <row r="184">
      <c r="A184" s="1"/>
      <c r="B184" s="51" t="s">
        <v>58</v>
      </c>
      <c r="C184" s="22">
        <f>IF(AND(ISNUMBER(C183),ISNUMBER(C331)),IF(OR(C331&lt;=0,C183&lt;0),"n.m.",C183/C331-1),"n.a.")</f>
        <v>0.2923076923076924</v>
      </c>
      <c r="D184" s="22">
        <f>IF(AND(ISNUMBER(D183),ISNUMBER(D331)),IF(OR(D331&lt;=0,D183&lt;0),"n.m.",D183/D331-1),"n.a.")</f>
        <v>0.35064935064935066</v>
      </c>
      <c r="E184" s="22">
        <f>IF(AND(ISNUMBER(E183),ISNUMBER(E331)),IF(OR(E331&lt;=0,E183&lt;0),"n.m.",E183/E331-1),"n.a.")</f>
        <v>0.2941176470588236</v>
      </c>
      <c r="F184" s="22">
        <f>IF(AND(ISNUMBER(F183),ISNUMBER(F331)),IF(OR(F331&lt;=0,F183&lt;0),"n.m.",F183/F331-1),"n.a.")</f>
        <v>0.5818181818181818</v>
      </c>
      <c r="G184" s="22">
        <f>IF(AND(ISNUMBER(G183),ISNUMBER(G331)),IF(OR(G331&lt;=0,G183&lt;0),"n.m.",G183/G331-1),"n.a.")</f>
        <v>0.21839080459770122</v>
      </c>
      <c r="H184" s="39">
        <f>IF(AND(ISNUMBER(H183),ISNUMBER(C183)),IF(OR(C183&lt;=0,H183&lt;0),"n.m.",H183/C183-1),"n.a.")</f>
        <v>0.10000000000000009</v>
      </c>
      <c r="I184" s="1"/>
      <c r="J184" s="1"/>
    </row>
    <row r="185">
      <c r="A185" s="1"/>
      <c r="B185" s="20" t="s">
        <v>114</v>
      </c>
      <c r="C185" s="10">
        <f>C183-G331</f>
        <v>-0.29999999999999893</v>
      </c>
      <c r="D185" s="10">
        <f>D183-C183</f>
        <v>2</v>
      </c>
      <c r="E185" s="1"/>
      <c r="F185" s="10">
        <f>F183-D183</f>
        <v>-1.700000000000001</v>
      </c>
      <c r="G185" s="10">
        <f>G183-F183</f>
        <v>1.9000000000000004</v>
      </c>
      <c r="H185" s="29">
        <f>H183-G183</f>
        <v>-1.3599999999999977</v>
      </c>
      <c r="I185" s="1"/>
      <c r="J185" s="1"/>
    </row>
    <row r="186">
      <c r="A186" s="1"/>
      <c r="B186" s="21" t="s">
        <v>266</v>
      </c>
      <c r="C186" s="3">
        <v>5.5</v>
      </c>
      <c r="D186" s="3">
        <v>5.6</v>
      </c>
      <c r="E186" s="3">
        <v>19.8</v>
      </c>
      <c r="F186" s="3">
        <v>5</v>
      </c>
      <c r="G186" s="3">
        <v>6.6</v>
      </c>
      <c r="H186" s="29">
        <f>C186*(1+H189)</f>
        <v>6.050000000000001</v>
      </c>
      <c r="I186" s="1"/>
      <c r="J186" s="2" t="s">
        <v>224</v>
      </c>
    </row>
    <row r="187">
      <c r="A187" s="1"/>
      <c r="B187" s="51" t="s">
        <v>58</v>
      </c>
      <c r="C187" s="22">
        <f>IF(AND(ISNUMBER(C186),ISNUMBER(C332)),IF(OR(C332&lt;=0,C186&lt;0),"n.m.",C186/C332-1),"n.a.")</f>
        <v>0.12244897959183665</v>
      </c>
      <c r="D187" s="22">
        <f>IF(AND(ISNUMBER(D186),ISNUMBER(D332)),IF(OR(D332&lt;=0,D186&lt;0),"n.m.",D186/D332-1),"n.a.")</f>
        <v>0.2727272727272725</v>
      </c>
      <c r="E187" s="22">
        <f>IF(AND(ISNUMBER(E186),ISNUMBER(E332)),IF(OR(E332&lt;=0,E186&lt;0),"n.m.",E186/E332-1),"n.a.")</f>
        <v>0.2941176470588236</v>
      </c>
      <c r="F187" s="22">
        <f>IF(AND(ISNUMBER(F186),ISNUMBER(F332)),IF(OR(F332&lt;=0,F186&lt;0),"n.m.",F186/F332-1),"n.a.")</f>
        <v>0.28205128205128216</v>
      </c>
      <c r="G187" s="22">
        <f>IF(AND(ISNUMBER(G186),ISNUMBER(G332)),IF(OR(G332&lt;=0,G186&lt;0),"n.m.",G186/G332-1),"n.a.")</f>
        <v>0.375</v>
      </c>
      <c r="H187" s="39">
        <f>IF(AND(ISNUMBER(H186),ISNUMBER(C186)),IF(OR(C186&lt;=0,H186&lt;0),"n.m.",H186/C186-1),"n.a.")</f>
        <v>0.10000000000000009</v>
      </c>
      <c r="I187" s="1"/>
      <c r="J187" s="1"/>
    </row>
    <row r="188">
      <c r="A188" s="1"/>
      <c r="B188" s="20" t="s">
        <v>114</v>
      </c>
      <c r="C188" s="10">
        <f>C186-G332</f>
        <v>0.7000000000000002</v>
      </c>
      <c r="D188" s="10">
        <f>D186-C186</f>
        <v>0.09999999999999964</v>
      </c>
      <c r="E188" s="1"/>
      <c r="F188" s="10">
        <f>F186-D186</f>
        <v>-0.5999999999999996</v>
      </c>
      <c r="G188" s="10">
        <f>G186-F186</f>
        <v>1.5999999999999996</v>
      </c>
      <c r="H188" s="29">
        <f>H186-G186</f>
        <v>-0.5499999999999989</v>
      </c>
      <c r="I188" s="1"/>
      <c r="J188" s="1"/>
    </row>
    <row r="189">
      <c r="A189" s="1"/>
      <c r="B189" s="51" t="s">
        <v>267</v>
      </c>
      <c r="C189" s="22">
        <f>IF(AND(ISNUMBER(C190),ISNUMBER(C333)),IF(OR(C333&lt;=0,C190&lt;0),"n.m.",C190/C333-1),"n.a.")</f>
        <v>0.2192982456140351</v>
      </c>
      <c r="D189" s="22">
        <f>IF(AND(ISNUMBER(D190),ISNUMBER(D333)),IF(OR(D333&lt;=0,D190&lt;0),"n.m.",D190/D333-1),"n.a.")</f>
        <v>0.3223140495867767</v>
      </c>
      <c r="E189" s="22">
        <f>IF(AND(ISNUMBER(E190),ISNUMBER(E333)),IF(OR(E333&lt;=0,E190&lt;0),"n.m.",E190/E333-1),"n.a.")</f>
        <v>0.2941176470588236</v>
      </c>
      <c r="F189" s="22">
        <f>IF(AND(ISNUMBER(F190),ISNUMBER(F333)),IF(OR(F333&lt;=0,F190&lt;0),"n.m.",F190/F333-1),"n.a.")</f>
        <v>0.45744680851063824</v>
      </c>
      <c r="G189" s="22">
        <f>IF(AND(ISNUMBER(G190),ISNUMBER(G333)),IF(OR(G333&lt;=0,G190&lt;0),"n.m.",G190/G333-1),"n.a.")</f>
        <v>0.2740740740740739</v>
      </c>
      <c r="H189" s="72">
        <v>0.1</v>
      </c>
      <c r="I189" s="1"/>
      <c r="J189" s="2" t="s">
        <v>268</v>
      </c>
    </row>
    <row r="190">
      <c r="A190" s="1"/>
      <c r="B190" s="31" t="s">
        <v>269</v>
      </c>
      <c r="C190" s="43">
        <f>C183+C186</f>
        <v>13.9</v>
      </c>
      <c r="D190" s="43">
        <f>D183+D186</f>
        <v>16</v>
      </c>
      <c r="E190" s="43">
        <f>E183+E186</f>
        <v>52.8</v>
      </c>
      <c r="F190" s="43">
        <f>F183+F186</f>
        <v>13.7</v>
      </c>
      <c r="G190" s="43">
        <f>G183+G186</f>
        <v>17.2</v>
      </c>
      <c r="H190" s="45">
        <f>H183+H186</f>
        <v>15.290000000000003</v>
      </c>
      <c r="I190" s="1"/>
      <c r="J190" s="1"/>
    </row>
    <row r="191">
      <c r="A191" s="1"/>
      <c r="B191" s="36" t="s">
        <v>58</v>
      </c>
      <c r="C191" s="22">
        <f>IF(AND(ISNUMBER(C190),ISNUMBER(C333)),IF(OR(C333&lt;=0,C190&lt;0),"n.m.",C190/C333-1),"n.a.")</f>
        <v>0.2192982456140351</v>
      </c>
      <c r="D191" s="22">
        <f>IF(AND(ISNUMBER(D190),ISNUMBER(D333)),IF(OR(D333&lt;=0,D190&lt;0),"n.m.",D190/D333-1),"n.a.")</f>
        <v>0.3223140495867767</v>
      </c>
      <c r="E191" s="22">
        <f>IF(AND(ISNUMBER(E190),ISNUMBER(E333)),IF(OR(E333&lt;=0,E190&lt;0),"n.m.",E190/E333-1),"n.a.")</f>
        <v>0.2941176470588236</v>
      </c>
      <c r="F191" s="22">
        <f>IF(AND(ISNUMBER(F190),ISNUMBER(F333)),IF(OR(F333&lt;=0,F190&lt;0),"n.m.",F190/F333-1),"n.a.")</f>
        <v>0.45744680851063824</v>
      </c>
      <c r="G191" s="22">
        <f>IF(AND(ISNUMBER(G190),ISNUMBER(G333)),IF(OR(G333&lt;=0,G190&lt;0),"n.m.",G190/G333-1),"n.a.")</f>
        <v>0.2740740740740739</v>
      </c>
      <c r="H191" s="39">
        <f>IF(AND(ISNUMBER(H190),ISNUMBER(C190)),IF(OR(C190&lt;=0,H190&lt;0),"n.m.",H190/C190-1),"n.a.")</f>
        <v>0.10000000000000009</v>
      </c>
      <c r="I191" s="1"/>
      <c r="J191" s="1"/>
    </row>
    <row r="192">
      <c r="A192" s="1"/>
      <c r="B192" s="21" t="s">
        <v>114</v>
      </c>
      <c r="C192" s="10">
        <f>C190-G333</f>
        <v>0.40000000000000036</v>
      </c>
      <c r="D192" s="10">
        <f>D190-C190</f>
        <v>2.0999999999999996</v>
      </c>
      <c r="E192" s="1"/>
      <c r="F192" s="10">
        <f>F190-D190</f>
        <v>-2.3000000000000007</v>
      </c>
      <c r="G192" s="10">
        <f>G190-F190</f>
        <v>3.5</v>
      </c>
      <c r="H192" s="29">
        <f>H190-G190</f>
        <v>-1.9099999999999966</v>
      </c>
      <c r="I192" s="1"/>
      <c r="J192" s="1"/>
    </row>
    <row r="193">
      <c r="A193" s="1"/>
      <c r="B193" s="1" t="s">
        <v>270</v>
      </c>
      <c r="C193" s="3">
        <v>663.6</v>
      </c>
      <c r="D193" s="3">
        <v>661.9</v>
      </c>
      <c r="E193" s="3">
        <v>661.9</v>
      </c>
      <c r="F193" s="3">
        <v>656.4</v>
      </c>
      <c r="G193" s="3">
        <v>652.8</v>
      </c>
      <c r="H193" s="29">
        <f>G193</f>
        <v>652.8</v>
      </c>
      <c r="I193" s="1"/>
      <c r="J193" s="2" t="s">
        <v>237</v>
      </c>
    </row>
    <row r="194">
      <c r="A194" s="1"/>
      <c r="B194" s="36" t="s">
        <v>58</v>
      </c>
      <c r="C194" s="22">
        <f>IF(AND(ISNUMBER(C193),ISNUMBER(C334)),IF(OR(C334&lt;=0,C193&lt;0),"n.m.",C193/C334-1),"n.a.")</f>
        <v>0.011431184270690453</v>
      </c>
      <c r="D194" s="22">
        <f>IF(AND(ISNUMBER(D193),ISNUMBER(D334)),IF(OR(D334&lt;=0,D193&lt;0),"n.m.",D193/D334-1),"n.a.")</f>
        <v>0.02145061728395059</v>
      </c>
      <c r="E194" s="22">
        <f>IF(AND(ISNUMBER(E193),ISNUMBER(E334)),IF(OR(E334&lt;=0,E193&lt;0),"n.m.",E193/E334-1),"n.a.")</f>
        <v>0.02145061728395059</v>
      </c>
      <c r="F194" s="22">
        <f>IF(AND(ISNUMBER(F193),ISNUMBER(F334)),IF(OR(F334&lt;=0,F193&lt;0),"n.m.",F193/F334-1),"n.a.")</f>
        <v>-0.007859733978234695</v>
      </c>
      <c r="G194" s="22">
        <f>IF(AND(ISNUMBER(G193),ISNUMBER(G334)),IF(OR(G334&lt;=0,G193&lt;0),"n.m.",G193/G334-1),"n.a.")</f>
        <v>-0.0007653451706719494</v>
      </c>
      <c r="H194" s="39">
        <f>IF(AND(ISNUMBER(H193),ISNUMBER(C193)),IF(OR(C193&lt;=0,H193&lt;0),"n.m.",H193/C193-1),"n.a.")</f>
        <v>-0.01627486437613035</v>
      </c>
      <c r="I194" s="1"/>
      <c r="J194" s="1"/>
    </row>
    <row r="195">
      <c r="A195" s="1"/>
      <c r="B195" s="21" t="s">
        <v>114</v>
      </c>
      <c r="C195" s="10">
        <f>C193-G334</f>
        <v>10.300000000000068</v>
      </c>
      <c r="D195" s="10">
        <f>D193-C193</f>
        <v>-1.7000000000000455</v>
      </c>
      <c r="E195" s="1"/>
      <c r="F195" s="10">
        <f>F193-D193</f>
        <v>-5.5</v>
      </c>
      <c r="G195" s="10">
        <f>G193-F193</f>
        <v>-3.6000000000000227</v>
      </c>
      <c r="H195" s="29">
        <f>H193-G193</f>
        <v>0</v>
      </c>
      <c r="I195" s="1"/>
      <c r="J195" s="1"/>
    </row>
    <row r="196">
      <c r="A196" s="1"/>
      <c r="B196" s="1"/>
      <c r="C196" s="1"/>
      <c r="D196" s="1"/>
      <c r="E196" s="1"/>
      <c r="F196" s="1"/>
      <c r="G196" s="1"/>
      <c r="H196" s="30"/>
      <c r="I196" s="1"/>
      <c r="J196" s="1"/>
    </row>
    <row r="197">
      <c r="A197" s="1"/>
      <c r="B197" s="31" t="s">
        <v>271</v>
      </c>
      <c r="C197" s="1"/>
      <c r="D197" s="1"/>
      <c r="E197" s="1"/>
      <c r="F197" s="1"/>
      <c r="G197" s="1"/>
      <c r="H197" s="30"/>
      <c r="I197" s="1"/>
      <c r="J197" s="1"/>
    </row>
    <row r="198">
      <c r="A198" s="1"/>
      <c r="B198" s="36" t="s">
        <v>272</v>
      </c>
      <c r="C198" s="22">
        <f>IF(AND(ISNUMBER(C199),ISNUMBER(G335)),IF(OR(G335&lt;=0,C199&lt;0),"n.m.",C199/G335-1),"n.a.")</f>
        <v>0.026115580925032633</v>
      </c>
      <c r="D198" s="22">
        <f>IF(AND(ISNUMBER(D199),ISNUMBER(C199)),IF(OR(C199&lt;=0,D199&lt;0),"n.m.",D199/C199-1),"n.a.")</f>
        <v>0.021001484565636552</v>
      </c>
      <c r="E198" s="1"/>
      <c r="F198" s="22">
        <f>IF(AND(ISNUMBER(F199),ISNUMBER(D199)),IF(OR(D199&lt;=0,F199&lt;0),"n.m.",F199/D199-1),"n.a.")</f>
        <v>-0.00076044038690537</v>
      </c>
      <c r="G198" s="22">
        <f>IF(AND(ISNUMBER(G199),ISNUMBER(F199)),IF(OR(F199&lt;=0,G199&lt;0),"n.m.",G199/F199-1),"n.a.")</f>
        <v>0.018180829845329205</v>
      </c>
      <c r="H198" s="72">
        <v>0.018</v>
      </c>
      <c r="I198" s="1"/>
      <c r="J198" s="2" t="s">
        <v>273</v>
      </c>
    </row>
    <row r="199">
      <c r="A199" s="1"/>
      <c r="B199" s="1" t="s">
        <v>274</v>
      </c>
      <c r="C199" s="3">
        <v>234412</v>
      </c>
      <c r="D199" s="3">
        <v>239335</v>
      </c>
      <c r="E199" s="3">
        <v>231720</v>
      </c>
      <c r="F199" s="3">
        <v>239153</v>
      </c>
      <c r="G199" s="3">
        <v>243501</v>
      </c>
      <c r="H199" s="29">
        <f>G199*(1+H198)</f>
        <v>247884.018</v>
      </c>
      <c r="I199" s="1"/>
      <c r="J199" s="2" t="s">
        <v>275</v>
      </c>
    </row>
    <row r="200">
      <c r="A200" s="1"/>
      <c r="B200" s="36" t="s">
        <v>58</v>
      </c>
      <c r="C200" s="22">
        <f>IF(AND(ISNUMBER(C199),ISNUMBER(C335)),IF(OR(C335&lt;=0,C199&lt;0),"n.m.",C199/C335-1),"n.a.")</f>
        <v>0.07861425409636169</v>
      </c>
      <c r="D200" s="22">
        <f>IF(AND(ISNUMBER(D199),ISNUMBER(D335)),IF(OR(D335&lt;=0,D199&lt;0),"n.m.",D199/D335-1),"n.a.")</f>
        <v>0.06720680629439535</v>
      </c>
      <c r="E200" s="22">
        <f>IF(AND(ISNUMBER(E199),ISNUMBER(E335)),IF(OR(E335&lt;=0,E199&lt;0),"n.m.",E199/E335-1),"n.a.")</f>
        <v>0.08210087840141211</v>
      </c>
      <c r="F200" s="22">
        <f>IF(AND(ISNUMBER(F199),ISNUMBER(F335)),IF(OR(F335&lt;=0,F199&lt;0),"n.m.",F199/F335-1),"n.a.")</f>
        <v>0.06530270431594754</v>
      </c>
      <c r="G200" s="22">
        <f>IF(AND(ISNUMBER(G199),ISNUMBER(G335)),IF(OR(G335&lt;=0,G199&lt;0),"n.m.",G199/G335-1),"n.a.")</f>
        <v>0.06590178860649787</v>
      </c>
      <c r="H200" s="39">
        <f>IF(AND(ISNUMBER(H199),ISNUMBER(C199)),IF(OR(C199&lt;=0,H199&lt;0),"n.m.",H199/C199-1),"n.a.")</f>
        <v>0.05747153729331278</v>
      </c>
      <c r="I200" s="1"/>
      <c r="J200" s="1"/>
    </row>
    <row r="201">
      <c r="A201" s="1"/>
      <c r="B201" s="21" t="s">
        <v>114</v>
      </c>
      <c r="C201" s="10">
        <f>C199-G335</f>
        <v>5966</v>
      </c>
      <c r="D201" s="10">
        <f>D199-C199</f>
        <v>4923</v>
      </c>
      <c r="E201" s="1"/>
      <c r="F201" s="10">
        <f>F199-D199</f>
        <v>-182</v>
      </c>
      <c r="G201" s="10">
        <f>G199-F199</f>
        <v>4348</v>
      </c>
      <c r="H201" s="29">
        <f>H199-G199</f>
        <v>4383.018000000011</v>
      </c>
      <c r="I201" s="1"/>
      <c r="J201" s="1"/>
    </row>
    <row r="202">
      <c r="A202" s="1"/>
      <c r="B202" s="1" t="s">
        <v>276</v>
      </c>
      <c r="C202" s="3">
        <v>235491</v>
      </c>
      <c r="D202" s="3">
        <v>247753</v>
      </c>
      <c r="E202" s="3">
        <v>247753</v>
      </c>
      <c r="F202" s="3">
        <v>239065</v>
      </c>
      <c r="G202" s="3">
        <v>249816</v>
      </c>
      <c r="H202" s="29">
        <f>G202*(1+H198)</f>
        <v>254312.688</v>
      </c>
      <c r="I202" s="1"/>
      <c r="J202" s="2" t="s">
        <v>275</v>
      </c>
    </row>
    <row r="203">
      <c r="A203" s="1"/>
      <c r="B203" s="36" t="s">
        <v>58</v>
      </c>
      <c r="C203" s="22">
        <f>IF(AND(ISNUMBER(C202),ISNUMBER(C336)),IF(OR(C336&lt;=0,C202&lt;0),"n.m.",C202/C336-1),"n.a.")</f>
        <v>0.07201678874316597</v>
      </c>
      <c r="D203" s="22">
        <f>IF(AND(ISNUMBER(D202),ISNUMBER(D336)),IF(OR(D336&lt;=0,D202&lt;0),"n.m.",D202/D336-1),"n.a.")</f>
        <v>0.06324458406289701</v>
      </c>
      <c r="E203" s="22">
        <f>IF(AND(ISNUMBER(E202),ISNUMBER(E336)),IF(OR(E336&lt;=0,E202&lt;0),"n.m.",E202/E336-1),"n.a.")</f>
        <v>0.06324458406289701</v>
      </c>
      <c r="F203" s="22">
        <f>IF(AND(ISNUMBER(F202),ISNUMBER(F336)),IF(OR(F336&lt;=0,F202&lt;0),"n.m.",F202/F336-1),"n.a.")</f>
        <v>0.0695607045549107</v>
      </c>
      <c r="G203" s="22">
        <f>IF(AND(ISNUMBER(G202),ISNUMBER(G336)),IF(OR(G336&lt;=0,G202&lt;0),"n.m.",G202/G336-1),"n.a.")</f>
        <v>0.07193704382302579</v>
      </c>
      <c r="H203" s="39">
        <f>IF(AND(ISNUMBER(H202),ISNUMBER(C202)),IF(OR(C202&lt;=0,H202&lt;0),"n.m.",H202/C202-1),"n.a.")</f>
        <v>0.07992529650814673</v>
      </c>
      <c r="I203" s="1"/>
      <c r="J203" s="1"/>
    </row>
    <row r="204">
      <c r="A204" s="1"/>
      <c r="B204" s="21" t="s">
        <v>114</v>
      </c>
      <c r="C204" s="10">
        <f>C202-G336</f>
        <v>2440</v>
      </c>
      <c r="D204" s="10">
        <f>D202-C202</f>
        <v>12262</v>
      </c>
      <c r="E204" s="1"/>
      <c r="F204" s="10">
        <f>F202-D202</f>
        <v>-8688</v>
      </c>
      <c r="G204" s="10">
        <f>G202-F202</f>
        <v>10751</v>
      </c>
      <c r="H204" s="29">
        <f>H202-G202</f>
        <v>4496.687999999995</v>
      </c>
      <c r="I204" s="1"/>
      <c r="J204" s="1"/>
    </row>
    <row r="205">
      <c r="A205" s="1"/>
      <c r="B205" s="1" t="s">
        <v>277</v>
      </c>
      <c r="C205" s="4">
        <v>0.1003</v>
      </c>
      <c r="D205" s="4">
        <v>0.0986</v>
      </c>
      <c r="E205" s="4">
        <v>0.1008</v>
      </c>
      <c r="F205" s="4">
        <v>0.1078</v>
      </c>
      <c r="G205" s="4">
        <v>0.1037</v>
      </c>
      <c r="H205" s="87">
        <v>0.1035</v>
      </c>
      <c r="I205" s="1"/>
      <c r="J205" s="2" t="s">
        <v>278</v>
      </c>
    </row>
    <row r="206">
      <c r="A206" s="1"/>
      <c r="B206" s="21" t="s">
        <v>153</v>
      </c>
      <c r="C206" s="25">
        <f>(C205-C337)*10000</f>
        <v>12.000000000000066</v>
      </c>
      <c r="D206" s="25">
        <f>(D205-D337)*10000</f>
        <v>-61.00000000000022</v>
      </c>
      <c r="E206" s="25">
        <f>(E205-E337)*10000</f>
        <v>5.000000000000004</v>
      </c>
      <c r="F206" s="25">
        <f>(F205-F337)*10000</f>
        <v>40.000000000000036</v>
      </c>
      <c r="G206" s="25">
        <f>(G205-G337)*10000</f>
        <v>31.000000000000057</v>
      </c>
      <c r="H206" s="58">
        <f>(H205-C205)*10000</f>
        <v>31.999999999999947</v>
      </c>
      <c r="I206" s="1"/>
      <c r="J206" s="1"/>
    </row>
    <row r="207">
      <c r="A207" s="1"/>
      <c r="B207" s="21" t="s">
        <v>154</v>
      </c>
      <c r="C207" s="25">
        <f>(C205-G337)*10000</f>
        <v>-2.999999999999947</v>
      </c>
      <c r="D207" s="25">
        <f>(D205-C205)*10000</f>
        <v>-17.00000000000007</v>
      </c>
      <c r="E207" s="1"/>
      <c r="F207" s="25">
        <f>(F205-D205)*10000</f>
        <v>92.00000000000014</v>
      </c>
      <c r="G207" s="25">
        <f>(G205-F205)*10000</f>
        <v>-41.000000000000064</v>
      </c>
      <c r="H207" s="58">
        <f>(H205-G205)*10000</f>
        <v>-2.0000000000000573</v>
      </c>
      <c r="I207" s="1"/>
      <c r="J207" s="1"/>
    </row>
    <row r="208">
      <c r="A208" s="1"/>
      <c r="B208" s="21" t="s">
        <v>279</v>
      </c>
      <c r="C208" s="10">
        <f>C199*C205*C7/365</f>
        <v>5926.192249863015</v>
      </c>
      <c r="D208" s="10">
        <f>D199*D205*D7/365</f>
        <v>5948.097676712328</v>
      </c>
      <c r="E208" s="10">
        <f>E199*E205*E7/365</f>
        <v>23357.376</v>
      </c>
      <c r="F208" s="10">
        <f>F199*F205*F7/365</f>
        <v>6356.883304109589</v>
      </c>
      <c r="G208" s="10">
        <f>G199*G205*G7/365</f>
        <v>6295.468182739726</v>
      </c>
      <c r="H208" s="29">
        <f>H199*H205*H7/365</f>
        <v>6466.716765468494</v>
      </c>
      <c r="I208" s="1"/>
      <c r="J208" s="1"/>
    </row>
    <row r="209">
      <c r="A209" s="1"/>
      <c r="B209" s="51" t="s">
        <v>58</v>
      </c>
      <c r="C209" s="22">
        <f>IF(AND(ISNUMBER(C208),ISNUMBER(C338)),IF(OR(C338&lt;=0,C208&lt;0),"n.m.",C208/C338-1),"n.a.")</f>
        <v>0.09167517341942588</v>
      </c>
      <c r="D209" s="22">
        <f>IF(AND(ISNUMBER(D208),ISNUMBER(D338)),IF(OR(D338&lt;=0,D208&lt;0),"n.m.",D208/D338-1),"n.a.")</f>
        <v>0.005029523406183012</v>
      </c>
      <c r="E209" s="22">
        <f>IF(AND(ISNUMBER(E208),ISNUMBER(E338)),IF(OR(E338&lt;=0,E208&lt;0),"n.m.",E208/E338-1),"n.a.")</f>
        <v>0.087495199829136</v>
      </c>
      <c r="F209" s="22">
        <f>IF(AND(ISNUMBER(F208),ISNUMBER(F338)),IF(OR(F338&lt;=0,F208&lt;0),"n.m.",F208/F338-1),"n.a.")</f>
        <v>0.10635483164989523</v>
      </c>
      <c r="G209" s="22">
        <f>IF(AND(ISNUMBER(G208),ISNUMBER(G338)),IF(OR(G338&lt;=0,G208&lt;0),"n.m.",G208/G338-1),"n.a.")</f>
        <v>0.09874766877230456</v>
      </c>
      <c r="H209" s="39">
        <f>IF(AND(ISNUMBER(H208),ISNUMBER(C208)),IF(OR(C208&lt;=0,H208&lt;0),"n.m.",H208/C208-1),"n.a.")</f>
        <v>0.0912094128599985</v>
      </c>
      <c r="I209" s="1"/>
      <c r="J209" s="1"/>
    </row>
    <row r="210">
      <c r="A210" s="1"/>
      <c r="B210" s="20" t="s">
        <v>114</v>
      </c>
      <c r="C210" s="10">
        <f>C208-G338</f>
        <v>196.51621808219352</v>
      </c>
      <c r="D210" s="10">
        <f>D208-C208</f>
        <v>21.9054268493137</v>
      </c>
      <c r="E210" s="1"/>
      <c r="F210" s="10">
        <f>F208-D208</f>
        <v>408.7856273972602</v>
      </c>
      <c r="G210" s="10">
        <f>G208-F208</f>
        <v>-61.41512136986239</v>
      </c>
      <c r="H210" s="29">
        <f>H208-G208</f>
        <v>171.24858272876736</v>
      </c>
      <c r="I210" s="1"/>
      <c r="J210" s="1"/>
    </row>
    <row r="211">
      <c r="A211" s="1"/>
      <c r="B211" s="21" t="s">
        <v>280</v>
      </c>
      <c r="C211" s="10">
        <f>C24-C208</f>
        <v>1246.8077501369853</v>
      </c>
      <c r="D211" s="10">
        <f>D24-D208</f>
        <v>1328.9023232876716</v>
      </c>
      <c r="E211" s="10">
        <f>E24-E208</f>
        <v>4843.624</v>
      </c>
      <c r="F211" s="10">
        <f>F24-F208</f>
        <v>1402.1166958904114</v>
      </c>
      <c r="G211" s="10">
        <f>G24-G208</f>
        <v>1462.5318172602738</v>
      </c>
      <c r="H211" s="29">
        <f>G211*(1+H214)</f>
        <v>1477.1571354328764</v>
      </c>
      <c r="I211" s="1"/>
      <c r="J211" s="1"/>
    </row>
    <row r="212">
      <c r="A212" s="1"/>
      <c r="B212" s="51" t="s">
        <v>58</v>
      </c>
      <c r="C212" s="22">
        <f>IF(AND(ISNUMBER(C211),ISNUMBER(C339)),IF(OR(C339&lt;=0,C211&lt;0),"n.m.",C211/C339-1),"n.a.")</f>
        <v>0.27554677797639804</v>
      </c>
      <c r="D212" s="22">
        <f>IF(AND(ISNUMBER(D211),ISNUMBER(D339)),IF(OR(D339&lt;=0,D211&lt;0),"n.m.",D211/D339-1),"n.a.")</f>
        <v>0.33871684599726515</v>
      </c>
      <c r="E212" s="22">
        <f>IF(AND(ISNUMBER(E211),ISNUMBER(E339)),IF(OR(E339&lt;=0,E211&lt;0),"n.m.",E211/E339-1),"n.a.")</f>
        <v>0.2142883090131329</v>
      </c>
      <c r="F212" s="22">
        <f>IF(AND(ISNUMBER(F211),ISNUMBER(F339)),IF(OR(F339&lt;=0,F211&lt;0),"n.m.",F211/F339-1),"n.a.")</f>
        <v>0.26749675457140754</v>
      </c>
      <c r="G212" s="22">
        <f>IF(AND(ISNUMBER(G211),ISNUMBER(G339)),IF(OR(G339&lt;=0,G211&lt;0),"n.m.",G211/G339-1),"n.a.")</f>
        <v>0.25074988370214935</v>
      </c>
      <c r="H212" s="39">
        <f>IF(AND(ISNUMBER(H211),ISNUMBER(C211)),IF(OR(C211&lt;=0,H211&lt;0),"n.m.",H211/C211-1),"n.a.")</f>
        <v>0.18475132615319634</v>
      </c>
      <c r="I212" s="1"/>
      <c r="J212" s="1"/>
    </row>
    <row r="213">
      <c r="A213" s="1"/>
      <c r="B213" s="20" t="s">
        <v>114</v>
      </c>
      <c r="C213" s="10">
        <f>C211-G339</f>
        <v>77.48378191780648</v>
      </c>
      <c r="D213" s="10">
        <f>D211-C211</f>
        <v>82.0945731506863</v>
      </c>
      <c r="E213" s="1"/>
      <c r="F213" s="10">
        <f>F211-D211</f>
        <v>73.21437260273979</v>
      </c>
      <c r="G213" s="10">
        <f>G211-F211</f>
        <v>60.41512136986239</v>
      </c>
      <c r="H213" s="29">
        <f>H211-G211</f>
        <v>14.625318172602647</v>
      </c>
      <c r="I213" s="1"/>
      <c r="J213" s="1"/>
    </row>
    <row r="214">
      <c r="A214" s="1"/>
      <c r="B214" s="51" t="s">
        <v>281</v>
      </c>
      <c r="C214" s="22">
        <f>IF(AND(ISNUMBER(C211),ISNUMBER(G339)),IF(OR(G339&lt;=0,C211&lt;0),"n.m.",C211/G339-1),"n.a.")</f>
        <v>0.06626374214821773</v>
      </c>
      <c r="D214" s="22">
        <f>IF(AND(ISNUMBER(D211),ISNUMBER(C211)),IF(OR(C211&lt;=0,D211&lt;0),"n.m.",D211/C211-1),"n.a.")</f>
        <v>0.06584381043642584</v>
      </c>
      <c r="E214" s="1"/>
      <c r="F214" s="22">
        <f>IF(AND(ISNUMBER(F211),ISNUMBER(D211)),IF(OR(D211&lt;=0,F211&lt;0),"n.m.",F211/D211-1),"n.a.")</f>
        <v>0.05509387057252568</v>
      </c>
      <c r="G214" s="22">
        <f>IF(AND(ISNUMBER(G211),ISNUMBER(F211)),IF(OR(F211&lt;=0,G211&lt;0),"n.m.",G211/F211-1),"n.a.")</f>
        <v>0.04308851149618187</v>
      </c>
      <c r="H214" s="72">
        <v>0.01</v>
      </c>
      <c r="I214" s="1"/>
      <c r="J214" s="2" t="s">
        <v>282</v>
      </c>
    </row>
    <row r="215">
      <c r="A215" s="1"/>
      <c r="B215" s="1" t="s">
        <v>283</v>
      </c>
      <c r="C215" s="3">
        <v>344.4</v>
      </c>
      <c r="D215" s="3">
        <v>359.7</v>
      </c>
      <c r="E215" s="3">
        <v>1354.7</v>
      </c>
      <c r="F215" s="3">
        <v>337.6</v>
      </c>
      <c r="G215" s="3">
        <v>373.1</v>
      </c>
      <c r="H215" s="29">
        <f>C215*(1+H175)</f>
        <v>371.952</v>
      </c>
      <c r="I215" s="1"/>
      <c r="J215" s="2" t="s">
        <v>224</v>
      </c>
    </row>
    <row r="216">
      <c r="A216" s="1"/>
      <c r="B216" s="36" t="s">
        <v>58</v>
      </c>
      <c r="C216" s="22">
        <f>IF(AND(ISNUMBER(C215),ISNUMBER(C340)),IF(OR(C340&lt;=0,C215&lt;0),"n.m.",C215/C340-1),"n.a.")</f>
        <v>0.08780795957043575</v>
      </c>
      <c r="D216" s="22">
        <f>IF(AND(ISNUMBER(D215),ISNUMBER(D340)),IF(OR(D340&lt;=0,D215&lt;0),"n.m.",D215/D340-1),"n.a.")</f>
        <v>0.07341092211280209</v>
      </c>
      <c r="E216" s="22">
        <f>IF(AND(ISNUMBER(E215),ISNUMBER(E340)),IF(OR(E340&lt;=0,E215&lt;0),"n.m.",E215/E340-1),"n.a.")</f>
        <v>0.07575637258794576</v>
      </c>
      <c r="F216" s="22">
        <f>IF(AND(ISNUMBER(F215),ISNUMBER(F340)),IF(OR(F340&lt;=0,F215&lt;0),"n.m.",F215/F340-1),"n.a.")</f>
        <v>0.08692852543464258</v>
      </c>
      <c r="G216" s="22">
        <f>IF(AND(ISNUMBER(G215),ISNUMBER(G340)),IF(OR(G340&lt;=0,G215&lt;0),"n.m.",G215/G340-1),"n.a.")</f>
        <v>0.09735294117647064</v>
      </c>
      <c r="H216" s="39">
        <f>IF(AND(ISNUMBER(H215),ISNUMBER(C215)),IF(OR(C215&lt;=0,H215&lt;0),"n.m.",H215/C215-1),"n.a.")</f>
        <v>0.08000000000000007</v>
      </c>
      <c r="I216" s="1"/>
      <c r="J216" s="1"/>
    </row>
    <row r="217">
      <c r="A217" s="1"/>
      <c r="B217" s="21" t="s">
        <v>114</v>
      </c>
      <c r="C217" s="10">
        <f>C215-G340</f>
        <v>4.399999999999977</v>
      </c>
      <c r="D217" s="10">
        <f>D215-C215</f>
        <v>15.300000000000011</v>
      </c>
      <c r="E217" s="1"/>
      <c r="F217" s="10">
        <f>F215-D215</f>
        <v>-22.099999999999966</v>
      </c>
      <c r="G217" s="10">
        <f>G215-F215</f>
        <v>35.5</v>
      </c>
      <c r="H217" s="29">
        <f>H215-G215</f>
        <v>-1.1480000000000246</v>
      </c>
      <c r="I217" s="1"/>
      <c r="J217" s="1"/>
    </row>
    <row r="218">
      <c r="A218" s="1"/>
      <c r="B218" s="1" t="s">
        <v>284</v>
      </c>
      <c r="C218" s="4">
        <v>0.1028</v>
      </c>
      <c r="D218" s="4">
        <v>0.104</v>
      </c>
      <c r="E218" s="4">
        <v>0.1026</v>
      </c>
      <c r="F218" s="4">
        <v>0.1085</v>
      </c>
      <c r="G218" s="4">
        <v>0.1039</v>
      </c>
      <c r="H218" s="62">
        <f>G218</f>
        <v>0.1039</v>
      </c>
      <c r="I218" s="1"/>
      <c r="J218" s="2" t="s">
        <v>237</v>
      </c>
    </row>
    <row r="219">
      <c r="A219" s="1"/>
      <c r="B219" s="21" t="s">
        <v>153</v>
      </c>
      <c r="C219" s="25">
        <f>(C218-C341)*10000</f>
        <v>56.999999999999964</v>
      </c>
      <c r="D219" s="25">
        <f>(D218-D341)*10000</f>
        <v>54.00000000000002</v>
      </c>
      <c r="E219" s="25">
        <f>(E218-E341)*10000</f>
        <v>52.99999999999999</v>
      </c>
      <c r="F219" s="25">
        <f>(F218-F341)*10000</f>
        <v>54.00000000000002</v>
      </c>
      <c r="G219" s="25">
        <f>(G218-G341)*10000</f>
        <v>35.00000000000003</v>
      </c>
      <c r="H219" s="58">
        <f>(H218-C218)*10000</f>
        <v>11.000000000000037</v>
      </c>
      <c r="I219" s="1"/>
      <c r="J219" s="1"/>
    </row>
    <row r="220">
      <c r="A220" s="1"/>
      <c r="B220" s="21" t="s">
        <v>154</v>
      </c>
      <c r="C220" s="25">
        <f>(C218-G341)*10000</f>
        <v>23.999999999999993</v>
      </c>
      <c r="D220" s="25">
        <f>(D218-C218)*10000</f>
        <v>11.999999999999927</v>
      </c>
      <c r="E220" s="1"/>
      <c r="F220" s="25">
        <f>(F218-D218)*10000</f>
        <v>45.00000000000004</v>
      </c>
      <c r="G220" s="25">
        <f>(G218-F218)*10000</f>
        <v>-45.99999999999993</v>
      </c>
      <c r="H220" s="58">
        <f>(H218-G218)*10000</f>
        <v>0</v>
      </c>
      <c r="I220" s="1"/>
      <c r="J220" s="1"/>
    </row>
    <row r="221">
      <c r="A221" s="1"/>
      <c r="B221" s="1" t="s">
        <v>285</v>
      </c>
      <c r="C221" s="3">
        <v>70895</v>
      </c>
      <c r="D221" s="3">
        <v>70693</v>
      </c>
      <c r="E221" s="3">
        <v>71359</v>
      </c>
      <c r="F221" s="3">
        <v>70208</v>
      </c>
      <c r="G221" s="3">
        <v>71456</v>
      </c>
      <c r="H221" s="29">
        <f>G221</f>
        <v>71456</v>
      </c>
      <c r="I221" s="1"/>
      <c r="J221" s="2" t="s">
        <v>286</v>
      </c>
    </row>
    <row r="222">
      <c r="A222" s="1"/>
      <c r="B222" s="36" t="s">
        <v>58</v>
      </c>
      <c r="C222" s="22">
        <f>IF(AND(ISNUMBER(C221),ISNUMBER(C342)),IF(OR(C342&lt;=0,C221&lt;0),"n.m.",C221/C342-1),"n.a.")</f>
        <v>-0.03773328808958265</v>
      </c>
      <c r="D222" s="22">
        <f>IF(AND(ISNUMBER(D221),ISNUMBER(D342)),IF(OR(D342&lt;=0,D221&lt;0),"n.m.",D221/D342-1),"n.a.")</f>
        <v>-0.03586869058821929</v>
      </c>
      <c r="E222" s="22">
        <f>IF(AND(ISNUMBER(E221),ISNUMBER(E342)),IF(OR(E342&lt;=0,E221&lt;0),"n.m.",E221/E342-1),"n.a.")</f>
        <v>-0.04866082736738253</v>
      </c>
      <c r="F222" s="22">
        <f>IF(AND(ISNUMBER(F221),ISNUMBER(F342)),IF(OR(F342&lt;=0,F221&lt;0),"n.m.",F221/F342-1),"n.a.")</f>
        <v>-0.03110595898539925</v>
      </c>
      <c r="G222" s="22">
        <f>IF(AND(ISNUMBER(G221),ISNUMBER(G342)),IF(OR(G342&lt;=0,G221&lt;0),"n.m.",G221/G342-1),"n.a.")</f>
        <v>0.0006441674835457878</v>
      </c>
      <c r="H222" s="39">
        <f>IF(AND(ISNUMBER(H221),ISNUMBER(C221)),IF(OR(C221&lt;=0,H221&lt;0),"n.m.",H221/C221-1),"n.a.")</f>
        <v>0.007913110938712276</v>
      </c>
      <c r="I222" s="1"/>
      <c r="J222" s="1"/>
    </row>
    <row r="223">
      <c r="A223" s="1"/>
      <c r="B223" s="21" t="s">
        <v>114</v>
      </c>
      <c r="C223" s="10">
        <f>C221-G342</f>
        <v>-515</v>
      </c>
      <c r="D223" s="10">
        <f>D221-C221</f>
        <v>-202</v>
      </c>
      <c r="E223" s="1"/>
      <c r="F223" s="10">
        <f>F221-D221</f>
        <v>-485</v>
      </c>
      <c r="G223" s="10">
        <f>G221-F221</f>
        <v>1248</v>
      </c>
      <c r="H223" s="29">
        <f>H221-G221</f>
        <v>0</v>
      </c>
      <c r="I223" s="1"/>
      <c r="J223" s="1"/>
    </row>
    <row r="224">
      <c r="A224" s="1"/>
      <c r="B224" s="1" t="s">
        <v>287</v>
      </c>
      <c r="C224" s="3">
        <v>33351</v>
      </c>
      <c r="D224" s="3">
        <v>32916</v>
      </c>
      <c r="E224" s="3">
        <v>33241</v>
      </c>
      <c r="F224" s="3">
        <v>33038</v>
      </c>
      <c r="G224" s="3">
        <v>33832</v>
      </c>
      <c r="H224" s="29">
        <f>G224</f>
        <v>33832</v>
      </c>
      <c r="I224" s="1"/>
      <c r="J224" s="2" t="s">
        <v>286</v>
      </c>
    </row>
    <row r="225">
      <c r="A225" s="1"/>
      <c r="B225" s="36" t="s">
        <v>58</v>
      </c>
      <c r="C225" s="22">
        <f>IF(AND(ISNUMBER(C224),ISNUMBER(C343)),IF(OR(C343&lt;=0,C224&lt;0),"n.m.",C224/C343-1),"n.a.")</f>
        <v>0.07897120672921387</v>
      </c>
      <c r="D225" s="22">
        <f>IF(AND(ISNUMBER(D224),ISNUMBER(D343)),IF(OR(D343&lt;=0,D224&lt;0),"n.m.",D224/D343-1),"n.a.")</f>
        <v>0.009724224669468429</v>
      </c>
      <c r="E225" s="22">
        <f>IF(AND(ISNUMBER(E224),ISNUMBER(E343)),IF(OR(E343&lt;=0,E224&lt;0),"n.m.",E224/E343-1),"n.a.")</f>
        <v>0.053797869642404184</v>
      </c>
      <c r="F225" s="22">
        <f>IF(AND(ISNUMBER(F224),ISNUMBER(F343)),IF(OR(F343&lt;=0,F224&lt;0),"n.m.",F224/F343-1),"n.a.")</f>
        <v>-0.0036791314837153477</v>
      </c>
      <c r="G225" s="22">
        <f>IF(AND(ISNUMBER(G224),ISNUMBER(G343)),IF(OR(G343&lt;=0,G224&lt;0),"n.m.",G224/G343-1),"n.a.")</f>
        <v>0.008826335877862634</v>
      </c>
      <c r="H225" s="39">
        <f>IF(AND(ISNUMBER(H224),ISNUMBER(C224)),IF(OR(C224&lt;=0,H224&lt;0),"n.m.",H224/C224-1),"n.a.")</f>
        <v>0.014422356151239768</v>
      </c>
      <c r="I225" s="1"/>
      <c r="J225" s="1"/>
    </row>
    <row r="226">
      <c r="A226" s="1"/>
      <c r="B226" s="21" t="s">
        <v>114</v>
      </c>
      <c r="C226" s="10">
        <f>C224-G343</f>
        <v>-185</v>
      </c>
      <c r="D226" s="10">
        <f>D224-C224</f>
        <v>-435</v>
      </c>
      <c r="E226" s="1"/>
      <c r="F226" s="10">
        <f>F224-D224</f>
        <v>122</v>
      </c>
      <c r="G226" s="10">
        <f>G224-F224</f>
        <v>794</v>
      </c>
      <c r="H226" s="29">
        <f>H224-G224</f>
        <v>0</v>
      </c>
      <c r="I226" s="1"/>
      <c r="J226" s="1"/>
    </row>
    <row r="227">
      <c r="A227" s="1"/>
      <c r="B227" s="31" t="s">
        <v>288</v>
      </c>
      <c r="C227" s="43">
        <f>C224+C179+C199+C221</f>
        <v>580430</v>
      </c>
      <c r="D227" s="43">
        <f>D224+D179+D199+D221</f>
        <v>584645</v>
      </c>
      <c r="E227" s="43">
        <f>E224+E179+E199+E221</f>
        <v>578915</v>
      </c>
      <c r="F227" s="43">
        <f>F224+F179+F199+F221</f>
        <v>582828</v>
      </c>
      <c r="G227" s="43">
        <f>G224+G179+G199+G221</f>
        <v>587597</v>
      </c>
      <c r="H227" s="45">
        <f>H224+H179+H199+H221</f>
        <v>590785.978</v>
      </c>
      <c r="I227" s="1"/>
      <c r="J227" s="1"/>
    </row>
    <row r="228">
      <c r="A228" s="1"/>
      <c r="B228" s="36" t="s">
        <v>58</v>
      </c>
      <c r="C228" s="22">
        <f>IF(AND(ISNUMBER(C227),ISNUMBER(C344)),IF(OR(C344&lt;=0,C227&lt;0),"n.m.",C227/C344-1),"n.a.")</f>
        <v>0.013863924973755104</v>
      </c>
      <c r="D228" s="22">
        <f>IF(AND(ISNUMBER(D227),ISNUMBER(D344)),IF(OR(D344&lt;=0,D227&lt;0),"n.m.",D227/D344-1),"n.a.")</f>
        <v>0.012197022160664872</v>
      </c>
      <c r="E228" s="22">
        <f>IF(AND(ISNUMBER(E227),ISNUMBER(E344)),IF(OR(E344&lt;=0,E227&lt;0),"n.m.",E227/E344-1),"n.a.")</f>
        <v>0.009910437971229813</v>
      </c>
      <c r="F228" s="22">
        <f>IF(AND(ISNUMBER(F227),ISNUMBER(F344)),IF(OR(F344&lt;=0,F227&lt;0),"n.m.",F227/F344-1),"n.a.")</f>
        <v>0.014678001451957412</v>
      </c>
      <c r="G228" s="22">
        <f>IF(AND(ISNUMBER(G227),ISNUMBER(G344)),IF(OR(G344&lt;=0,G227&lt;0),"n.m.",G227/G344-1),"n.a.")</f>
        <v>0.02003273981567788</v>
      </c>
      <c r="H228" s="39">
        <f>IF(AND(ISNUMBER(H227),ISNUMBER(C227)),IF(OR(C227&lt;=0,H227&lt;0),"n.m.",H227/C227-1),"n.a.")</f>
        <v>0.017841906862154033</v>
      </c>
      <c r="I228" s="1"/>
      <c r="J228" s="1"/>
    </row>
    <row r="229">
      <c r="A229" s="1"/>
      <c r="B229" s="21" t="s">
        <v>114</v>
      </c>
      <c r="C229" s="10">
        <f>C227-G344</f>
        <v>4373</v>
      </c>
      <c r="D229" s="10">
        <f>D227-C227</f>
        <v>4215</v>
      </c>
      <c r="E229" s="1"/>
      <c r="F229" s="10">
        <f>F227-D227</f>
        <v>-1817</v>
      </c>
      <c r="G229" s="10">
        <f>G227-F227</f>
        <v>4769</v>
      </c>
      <c r="H229" s="29">
        <f>H227-G227</f>
        <v>3188.978000000003</v>
      </c>
      <c r="I229" s="1"/>
      <c r="J229" s="1"/>
    </row>
    <row r="230">
      <c r="A230" s="1"/>
      <c r="B230" s="1" t="s">
        <v>289</v>
      </c>
      <c r="C230" s="3">
        <v>1058025</v>
      </c>
      <c r="D230" s="3">
        <v>1056819</v>
      </c>
      <c r="E230" s="3">
        <v>1057232</v>
      </c>
      <c r="F230" s="3">
        <v>1075951</v>
      </c>
      <c r="G230" s="3">
        <v>1095646</v>
      </c>
      <c r="H230" s="29">
        <f>G230*(1+H110)</f>
        <v>1104411.168</v>
      </c>
      <c r="I230" s="1"/>
      <c r="J230" s="2" t="s">
        <v>275</v>
      </c>
    </row>
    <row r="231">
      <c r="A231" s="1"/>
      <c r="B231" s="36" t="s">
        <v>58</v>
      </c>
      <c r="C231" s="22">
        <f>IF(AND(ISNUMBER(C230),ISNUMBER(C345)),IF(OR(C345&lt;=0,C230&lt;0),"n.m.",C230/C345-1),"n.a.")</f>
        <v>0.004103630916170609</v>
      </c>
      <c r="D231" s="22">
        <f>IF(AND(ISNUMBER(D230),ISNUMBER(D345)),IF(OR(D345&lt;=0,D230&lt;0),"n.m.",D230/D345-1),"n.a.")</f>
        <v>0.005885006795883552</v>
      </c>
      <c r="E231" s="22">
        <f>IF(AND(ISNUMBER(E230),ISNUMBER(E345)),IF(OR(E345&lt;=0,E230&lt;0),"n.m.",E230/E345-1),"n.a.")</f>
        <v>-0.006561644028697189</v>
      </c>
      <c r="F231" s="22">
        <f>IF(AND(ISNUMBER(F230),ISNUMBER(F345)),IF(OR(F345&lt;=0,F230&lt;0),"n.m.",F230/F345-1),"n.a.")</f>
        <v>0.021139305498743877</v>
      </c>
      <c r="G231" s="22">
        <f>IF(AND(ISNUMBER(G230),ISNUMBER(G345)),IF(OR(G345&lt;=0,G230&lt;0),"n.m.",G230/G345-1),"n.a.")</f>
        <v>0.03327445412561558</v>
      </c>
      <c r="H231" s="39">
        <f>IF(AND(ISNUMBER(H230),ISNUMBER(C230)),IF(OR(C230&lt;=0,H230&lt;0),"n.m.",H230/C230-1),"n.a.")</f>
        <v>0.04384222300985341</v>
      </c>
      <c r="I231" s="1"/>
      <c r="J231" s="1"/>
    </row>
    <row r="232">
      <c r="A232" s="1"/>
      <c r="B232" s="21" t="s">
        <v>114</v>
      </c>
      <c r="C232" s="10">
        <f>C230-G345</f>
        <v>-2338</v>
      </c>
      <c r="D232" s="10">
        <f>D230-C230</f>
        <v>-1206</v>
      </c>
      <c r="E232" s="1"/>
      <c r="F232" s="10">
        <f>F230-D230</f>
        <v>19132</v>
      </c>
      <c r="G232" s="10">
        <f>G230-F230</f>
        <v>19695</v>
      </c>
      <c r="H232" s="29">
        <f>H230-G230</f>
        <v>8765.168000000063</v>
      </c>
      <c r="I232" s="1"/>
      <c r="J232" s="1"/>
    </row>
    <row r="233">
      <c r="A233" s="1"/>
      <c r="B233" s="1" t="s">
        <v>290</v>
      </c>
      <c r="C233" s="3">
        <v>12</v>
      </c>
      <c r="D233" s="3">
        <v>10.8</v>
      </c>
      <c r="E233" s="3">
        <v>44.8</v>
      </c>
      <c r="F233" s="3">
        <v>10.4</v>
      </c>
      <c r="G233" s="3">
        <v>12.3</v>
      </c>
      <c r="H233" s="29">
        <f>C233</f>
        <v>12</v>
      </c>
      <c r="I233" s="1"/>
      <c r="J233" s="2" t="s">
        <v>291</v>
      </c>
    </row>
    <row r="234">
      <c r="A234" s="1"/>
      <c r="B234" s="36" t="s">
        <v>58</v>
      </c>
      <c r="C234" s="22">
        <f>IF(AND(ISNUMBER(C233),ISNUMBER(C346)),IF(OR(C346&lt;=0,C233&lt;0),"n.m.",C233/C346-1),"n.a.")</f>
        <v>0.19999999999999996</v>
      </c>
      <c r="D234" s="22">
        <f>IF(AND(ISNUMBER(D233),ISNUMBER(D346)),IF(OR(D346&lt;=0,D233&lt;0),"n.m.",D233/D346-1),"n.a.")</f>
        <v>0.018867924528301883</v>
      </c>
      <c r="E234" s="22">
        <f>IF(AND(ISNUMBER(E233),ISNUMBER(E346)),IF(OR(E346&lt;=0,E233&lt;0),"n.m.",E233/E346-1),"n.a.")</f>
        <v>0.11166253101736978</v>
      </c>
      <c r="F234" s="22">
        <f>IF(AND(ISNUMBER(F233),ISNUMBER(F346)),IF(OR(F346&lt;=0,F233&lt;0),"n.m.",F233/F346-1),"n.a.")</f>
        <v>-0.028037383177569986</v>
      </c>
      <c r="G234" s="22">
        <f>IF(AND(ISNUMBER(G233),ISNUMBER(G346)),IF(OR(G346&lt;=0,G233&lt;0),"n.m.",G233/G346-1),"n.a.")</f>
        <v>0.08849557522123885</v>
      </c>
      <c r="H234" s="39">
        <f>IF(AND(ISNUMBER(H233),ISNUMBER(C233)),IF(OR(C233&lt;=0,H233&lt;0),"n.m.",H233/C233-1),"n.a.")</f>
        <v>0</v>
      </c>
      <c r="I234" s="1"/>
      <c r="J234" s="1"/>
    </row>
    <row r="235">
      <c r="A235" s="1"/>
      <c r="B235" s="21" t="s">
        <v>114</v>
      </c>
      <c r="C235" s="10">
        <f>C233-G346</f>
        <v>0.6999999999999993</v>
      </c>
      <c r="D235" s="10">
        <f>D233-C233</f>
        <v>-1.1999999999999993</v>
      </c>
      <c r="E235" s="1"/>
      <c r="F235" s="10">
        <f>F233-D233</f>
        <v>-0.40000000000000036</v>
      </c>
      <c r="G235" s="10">
        <f>G233-F233</f>
        <v>1.9000000000000004</v>
      </c>
      <c r="H235" s="29">
        <f>H233-G233</f>
        <v>-0.3000000000000007</v>
      </c>
      <c r="I235" s="1"/>
      <c r="J235" s="1"/>
    </row>
    <row r="236">
      <c r="A236" s="1"/>
      <c r="B236" s="1" t="s">
        <v>292</v>
      </c>
      <c r="C236" s="3">
        <v>16986</v>
      </c>
      <c r="D236" s="3">
        <v>18893</v>
      </c>
      <c r="E236" s="3">
        <v>16201</v>
      </c>
      <c r="F236" s="3">
        <v>20398</v>
      </c>
      <c r="G236" s="3">
        <v>21123</v>
      </c>
      <c r="H236" s="29">
        <f>G236*(1+H239)</f>
        <v>21756.690000000002</v>
      </c>
      <c r="I236" s="1"/>
      <c r="J236" s="2" t="s">
        <v>293</v>
      </c>
    </row>
    <row r="237">
      <c r="A237" s="1"/>
      <c r="B237" s="36" t="s">
        <v>58</v>
      </c>
      <c r="C237" s="22">
        <f>IF(AND(ISNUMBER(C236),ISNUMBER(C347)),IF(OR(C347&lt;=0,C236&lt;0),"n.m.",C236/C347-1),"n.a.")</f>
        <v>0.5176912080057183</v>
      </c>
      <c r="D237" s="22">
        <f>IF(AND(ISNUMBER(D236),ISNUMBER(D347)),IF(OR(D347&lt;=0,D236&lt;0),"n.m.",D236/D347-1),"n.a.")</f>
        <v>0.5787582518592798</v>
      </c>
      <c r="E237" s="22">
        <f>IF(AND(ISNUMBER(E236),ISNUMBER(E347)),IF(OR(E347&lt;=0,E236&lt;0),"n.m.",E236/E347-1),"n.a.")</f>
        <v>0.462844243792325</v>
      </c>
      <c r="F237" s="22">
        <f>IF(AND(ISNUMBER(F236),ISNUMBER(F347)),IF(OR(F347&lt;=0,F236&lt;0),"n.m.",F236/F347-1),"n.a.")</f>
        <v>0.49534491606187236</v>
      </c>
      <c r="G237" s="22">
        <f>IF(AND(ISNUMBER(G236),ISNUMBER(G347)),IF(OR(G347&lt;=0,G236&lt;0),"n.m.",G236/G347-1),"n.a.")</f>
        <v>0.3880273360494151</v>
      </c>
      <c r="H237" s="39">
        <f>IF(AND(ISNUMBER(H236),ISNUMBER(C236)),IF(OR(C236&lt;=0,H236&lt;0),"n.m.",H236/C236-1),"n.a.")</f>
        <v>0.28086012009890515</v>
      </c>
      <c r="I237" s="1"/>
      <c r="J237" s="1"/>
    </row>
    <row r="238">
      <c r="A238" s="1"/>
      <c r="B238" s="21" t="s">
        <v>114</v>
      </c>
      <c r="C238" s="10">
        <f>C236-G347</f>
        <v>1768</v>
      </c>
      <c r="D238" s="10">
        <f>D236-C236</f>
        <v>1907</v>
      </c>
      <c r="E238" s="1"/>
      <c r="F238" s="10">
        <f>F236-D236</f>
        <v>1505</v>
      </c>
      <c r="G238" s="10">
        <f>G236-F236</f>
        <v>725</v>
      </c>
      <c r="H238" s="29">
        <f>H236-G236</f>
        <v>633.6900000000023</v>
      </c>
      <c r="I238" s="1"/>
      <c r="J238" s="1"/>
    </row>
    <row r="239">
      <c r="A239" s="1"/>
      <c r="B239" s="51" t="s">
        <v>146</v>
      </c>
      <c r="C239" s="22">
        <f>IF(AND(ISNUMBER(C236),ISNUMBER(G347)),IF(OR(G347&lt;=0,C236&lt;0),"n.m.",C236/G347-1),"n.a.")</f>
        <v>0.1161782100144566</v>
      </c>
      <c r="D239" s="22">
        <f>IF(AND(ISNUMBER(D236),ISNUMBER(C236)),IF(OR(C236&lt;=0,D236&lt;0),"n.m.",D236/C236-1),"n.a.")</f>
        <v>0.11226892735193683</v>
      </c>
      <c r="E239" s="1"/>
      <c r="F239" s="22">
        <f>IF(AND(ISNUMBER(F236),ISNUMBER(D236)),IF(OR(D236&lt;=0,F236&lt;0),"n.m.",F236/D236-1),"n.a.")</f>
        <v>0.07965913301222671</v>
      </c>
      <c r="G239" s="22">
        <f>IF(AND(ISNUMBER(G236),ISNUMBER(F236)),IF(OR(F236&lt;=0,G236&lt;0),"n.m.",G236/F236-1),"n.a.")</f>
        <v>0.03554270026473194</v>
      </c>
      <c r="H239" s="72">
        <v>0.03</v>
      </c>
      <c r="I239" s="1"/>
      <c r="J239" s="1"/>
    </row>
    <row r="240">
      <c r="A240" s="1"/>
      <c r="B240" s="1"/>
      <c r="C240" s="1"/>
      <c r="D240" s="1"/>
      <c r="E240" s="1"/>
      <c r="F240" s="1"/>
      <c r="G240" s="1"/>
      <c r="H240" s="30"/>
      <c r="I240" s="1"/>
      <c r="J240" s="1"/>
    </row>
    <row r="241">
      <c r="A241" s="1"/>
      <c r="B241" s="31" t="s">
        <v>294</v>
      </c>
      <c r="C241" s="1"/>
      <c r="D241" s="1"/>
      <c r="E241" s="1"/>
      <c r="F241" s="1"/>
      <c r="G241" s="1"/>
      <c r="H241" s="30"/>
      <c r="I241" s="1"/>
      <c r="J241" s="1"/>
    </row>
    <row r="242">
      <c r="A242" s="1"/>
      <c r="B242" s="21" t="s">
        <v>295</v>
      </c>
      <c r="C242" s="3">
        <v>85</v>
      </c>
      <c r="D242" s="3">
        <v>72</v>
      </c>
      <c r="E242" s="3">
        <v>356</v>
      </c>
      <c r="F242" s="3">
        <v>85</v>
      </c>
      <c r="G242" s="3">
        <v>87</v>
      </c>
      <c r="H242" s="44">
        <v>85</v>
      </c>
      <c r="I242" s="1"/>
      <c r="J242" s="2" t="s">
        <v>296</v>
      </c>
    </row>
    <row r="243">
      <c r="A243" s="1"/>
      <c r="B243" s="51" t="s">
        <v>58</v>
      </c>
      <c r="C243" s="22">
        <f>IF(AND(ISNUMBER(C242),ISNUMBER(C348)),IF(OR(C348&lt;=0,C242&lt;0),"n.m.",C242/C348-1),"n.a.")</f>
        <v>0.03658536585365857</v>
      </c>
      <c r="D243" s="22">
        <f>IF(AND(ISNUMBER(D242),ISNUMBER(D348)),IF(OR(D348&lt;=0,D242&lt;0),"n.m.",D242/D348-1),"n.a.")</f>
        <v>-0.3142857142857143</v>
      </c>
      <c r="E243" s="22">
        <f>IF(AND(ISNUMBER(E242),ISNUMBER(E348)),IF(OR(E348&lt;=0,E242&lt;0),"n.m.",E242/E348-1),"n.a.")</f>
        <v>-0.1945701357466063</v>
      </c>
      <c r="F243" s="22">
        <f>IF(AND(ISNUMBER(F242),ISNUMBER(F348)),IF(OR(F348&lt;=0,F242&lt;0),"n.m.",F242/F348-1),"n.a.")</f>
        <v>-0.12371134020618557</v>
      </c>
      <c r="G243" s="22">
        <f>IF(AND(ISNUMBER(G242),ISNUMBER(G348)),IF(OR(G348&lt;=0,G242&lt;0),"n.m.",G242/G348-1),"n.a.")</f>
        <v>-0.1470588235294118</v>
      </c>
      <c r="H243" s="39">
        <f>IF(AND(ISNUMBER(H242),ISNUMBER(C242)),IF(OR(C242&lt;=0,H242&lt;0),"n.m.",H242/C242-1),"n.a.")</f>
        <v>0</v>
      </c>
      <c r="I243" s="1"/>
      <c r="J243" s="1"/>
    </row>
    <row r="244">
      <c r="A244" s="1"/>
      <c r="B244" s="20" t="s">
        <v>114</v>
      </c>
      <c r="C244" s="10">
        <f>C242-G348</f>
        <v>-17</v>
      </c>
      <c r="D244" s="10">
        <f>D242-C242</f>
        <v>-13</v>
      </c>
      <c r="E244" s="1"/>
      <c r="F244" s="10">
        <f>F242-D242</f>
        <v>13</v>
      </c>
      <c r="G244" s="10">
        <f>G242-F242</f>
        <v>2</v>
      </c>
      <c r="H244" s="29">
        <f>H242-G242</f>
        <v>-2</v>
      </c>
      <c r="I244" s="1"/>
      <c r="J244" s="1"/>
    </row>
    <row r="245">
      <c r="A245" s="1"/>
      <c r="B245" s="21" t="s">
        <v>297</v>
      </c>
      <c r="C245" s="3">
        <v>-63</v>
      </c>
      <c r="D245" s="3">
        <v>-12</v>
      </c>
      <c r="E245" s="3">
        <v>-122</v>
      </c>
      <c r="F245" s="3">
        <v>-15</v>
      </c>
      <c r="G245" s="3">
        <v>-18</v>
      </c>
      <c r="H245" s="44">
        <v>-15</v>
      </c>
      <c r="I245" s="1"/>
      <c r="J245" s="2" t="s">
        <v>298</v>
      </c>
    </row>
    <row r="246">
      <c r="A246" s="1"/>
      <c r="B246" s="20" t="s">
        <v>131</v>
      </c>
      <c r="C246" s="10">
        <f>C245-C349</f>
        <v>-19</v>
      </c>
      <c r="D246" s="10">
        <f>D245-D349</f>
        <v>3</v>
      </c>
      <c r="E246" s="10">
        <f>E245-E349</f>
        <v>-16</v>
      </c>
      <c r="F246" s="10">
        <f>F245-F349</f>
        <v>11</v>
      </c>
      <c r="G246" s="10">
        <f>G245-G349</f>
        <v>3</v>
      </c>
      <c r="H246" s="29">
        <f>H245-C245</f>
        <v>48</v>
      </c>
      <c r="I246" s="1"/>
      <c r="J246" s="1"/>
    </row>
    <row r="247">
      <c r="A247" s="1"/>
      <c r="B247" s="20" t="s">
        <v>114</v>
      </c>
      <c r="C247" s="10">
        <f>C245-G349</f>
        <v>-42</v>
      </c>
      <c r="D247" s="10">
        <f>D245-C245</f>
        <v>51</v>
      </c>
      <c r="E247" s="1"/>
      <c r="F247" s="10">
        <f>F245-D245</f>
        <v>-3</v>
      </c>
      <c r="G247" s="10">
        <f>G245-F245</f>
        <v>-3</v>
      </c>
      <c r="H247" s="29">
        <f>H245-G245</f>
        <v>3</v>
      </c>
      <c r="I247" s="1"/>
      <c r="J247" s="1"/>
    </row>
    <row r="248" ht="27">
      <c r="A248" s="1"/>
      <c r="B248" s="21" t="s">
        <v>299</v>
      </c>
      <c r="C248" s="4">
        <v>0.0315</v>
      </c>
      <c r="D248" s="4">
        <v>0.031400000000000004</v>
      </c>
      <c r="E248" s="4">
        <v>0.033100000000000004</v>
      </c>
      <c r="F248" s="4">
        <v>0.0347</v>
      </c>
      <c r="G248" s="4">
        <v>0.0334</v>
      </c>
      <c r="H248" s="87">
        <v>0.031</v>
      </c>
      <c r="I248" s="1"/>
      <c r="J248" s="125" t="s">
        <v>300</v>
      </c>
    </row>
    <row r="249">
      <c r="A249" s="1"/>
      <c r="B249" s="20" t="s">
        <v>153</v>
      </c>
      <c r="C249" s="25">
        <f>(C248-C350)*10000</f>
        <v>-9.00000000000005</v>
      </c>
      <c r="D249" s="25">
        <f>(D248-D350)*10000</f>
        <v>-15.999999999999973</v>
      </c>
      <c r="E249" s="25">
        <f>(E248-E350)*10000</f>
        <v>-2.999999999999947</v>
      </c>
      <c r="F249" s="25">
        <f>(F248-F350)*10000</f>
        <v>-10.999999999999968</v>
      </c>
      <c r="G249" s="25">
        <f>(G248-G350)*10000</f>
        <v>-6.000000000000033</v>
      </c>
      <c r="H249" s="58">
        <f>(H248-C248)*10000</f>
        <v>-5.000000000000004</v>
      </c>
      <c r="I249" s="1"/>
      <c r="J249" s="1"/>
    </row>
    <row r="250">
      <c r="A250" s="1"/>
      <c r="B250" s="20" t="s">
        <v>154</v>
      </c>
      <c r="C250" s="25">
        <f>(C248-G350)*10000</f>
        <v>-25.00000000000002</v>
      </c>
      <c r="D250" s="25">
        <f>(D248-C248)*10000</f>
        <v>-0.9999999999999593</v>
      </c>
      <c r="E250" s="1"/>
      <c r="F250" s="25">
        <f>(F248-D248)*10000</f>
        <v>32.99999999999997</v>
      </c>
      <c r="G250" s="25">
        <f>(G248-F248)*10000</f>
        <v>-13.000000000000025</v>
      </c>
      <c r="H250" s="58">
        <f>(H248-G248)*10000</f>
        <v>-23.999999999999993</v>
      </c>
      <c r="I250" s="1"/>
      <c r="J250" s="1"/>
    </row>
    <row r="251">
      <c r="A251" s="1"/>
      <c r="B251" s="21" t="s">
        <v>301</v>
      </c>
      <c r="C251" s="3">
        <v>1860</v>
      </c>
      <c r="D251" s="3">
        <v>1897</v>
      </c>
      <c r="E251" s="3">
        <v>7678</v>
      </c>
      <c r="F251" s="3">
        <v>2044</v>
      </c>
      <c r="G251" s="3">
        <v>2025</v>
      </c>
      <c r="H251" s="29">
        <f>H248*H199*H7/365</f>
        <v>1936.8910118794522</v>
      </c>
      <c r="I251" s="1"/>
      <c r="J251" s="2" t="s">
        <v>298</v>
      </c>
    </row>
    <row r="252">
      <c r="A252" s="1"/>
      <c r="B252" s="51" t="s">
        <v>58</v>
      </c>
      <c r="C252" s="22">
        <f>IF(AND(ISNUMBER(C251),ISNUMBER(C351)),IF(OR(C351&lt;=0,C251&lt;0),"n.m.",C251/C351-1),"n.a.")</f>
        <v>0.05203619909502266</v>
      </c>
      <c r="D252" s="22">
        <f>IF(AND(ISNUMBER(D251),ISNUMBER(D351)),IF(OR(D351&lt;=0,D251&lt;0),"n.m.",D251/D351-1),"n.a.")</f>
        <v>0.018796992481203034</v>
      </c>
      <c r="E252" s="22">
        <f>IF(AND(ISNUMBER(E251),ISNUMBER(E351)),IF(OR(E351&lt;=0,E251&lt;0),"n.m.",E251/E351-1),"n.a.")</f>
        <v>0.07414661443760484</v>
      </c>
      <c r="F252" s="22">
        <f>IF(AND(ISNUMBER(F251),ISNUMBER(F351)),IF(OR(F351&lt;=0,F251&lt;0),"n.m.",F251/F351-1),"n.a.")</f>
        <v>0.030761472516389388</v>
      </c>
      <c r="G252" s="22">
        <f>IF(AND(ISNUMBER(G251),ISNUMBER(G351)),IF(OR(G351&lt;=0,G251&lt;0),"n.m.",G251/G351-1),"n.a.")</f>
        <v>0.04489164086687314</v>
      </c>
      <c r="H252" s="39">
        <f>IF(AND(ISNUMBER(H251),ISNUMBER(C251)),IF(OR(C251&lt;=0,H251&lt;0),"n.m.",H251/C251-1),"n.a.")</f>
        <v>0.04133925369863012</v>
      </c>
      <c r="I252" s="1"/>
      <c r="J252" s="1"/>
    </row>
    <row r="253">
      <c r="A253" s="1"/>
      <c r="B253" s="20" t="s">
        <v>114</v>
      </c>
      <c r="C253" s="10">
        <f>C251-G351</f>
        <v>-78</v>
      </c>
      <c r="D253" s="10">
        <f>D251-C251</f>
        <v>37</v>
      </c>
      <c r="E253" s="1"/>
      <c r="F253" s="10">
        <f>F251-D251</f>
        <v>147</v>
      </c>
      <c r="G253" s="10">
        <f>G251-F251</f>
        <v>-19</v>
      </c>
      <c r="H253" s="29">
        <f>H251-G251</f>
        <v>-88.10898812054779</v>
      </c>
      <c r="I253" s="1"/>
      <c r="J253" s="1"/>
    </row>
    <row r="254">
      <c r="A254" s="1"/>
      <c r="B254" s="21" t="s">
        <v>302</v>
      </c>
      <c r="C254" s="3">
        <v>81</v>
      </c>
      <c r="D254" s="3">
        <v>87</v>
      </c>
      <c r="E254" s="3">
        <v>335</v>
      </c>
      <c r="F254" s="3">
        <v>81</v>
      </c>
      <c r="G254" s="3">
        <v>62</v>
      </c>
      <c r="H254" s="44">
        <v>70</v>
      </c>
      <c r="I254" s="1"/>
      <c r="J254" s="2" t="s">
        <v>298</v>
      </c>
    </row>
    <row r="255">
      <c r="A255" s="1"/>
      <c r="B255" s="51" t="s">
        <v>58</v>
      </c>
      <c r="C255" s="22">
        <f>IF(AND(ISNUMBER(C254),ISNUMBER(C352)),IF(OR(C352&lt;=0,C254&lt;0),"n.m.",C254/C352-1),"n.a.")</f>
        <v>-0.2831858407079646</v>
      </c>
      <c r="D255" s="22">
        <f>IF(AND(ISNUMBER(D254),ISNUMBER(D352)),IF(OR(D352&lt;=0,D254&lt;0),"n.m.",D254/D352-1),"n.a.")</f>
        <v>-0.23684210526315785</v>
      </c>
      <c r="E255" s="22">
        <f>IF(AND(ISNUMBER(E254),ISNUMBER(E352)),IF(OR(E352&lt;=0,E254&lt;0),"n.m.",E254/E352-1),"n.a.")</f>
        <v>-0.24549549549549554</v>
      </c>
      <c r="F255" s="22">
        <f>IF(AND(ISNUMBER(F254),ISNUMBER(F352)),IF(OR(F352&lt;=0,F254&lt;0),"n.m.",F254/F352-1),"n.a.")</f>
        <v>-0.18999999999999995</v>
      </c>
      <c r="G255" s="22">
        <f>IF(AND(ISNUMBER(G254),ISNUMBER(G352)),IF(OR(G352&lt;=0,G254&lt;0),"n.m.",G254/G352-1),"n.a.")</f>
        <v>-0.07462686567164178</v>
      </c>
      <c r="H255" s="39">
        <f>IF(AND(ISNUMBER(H254),ISNUMBER(C254)),IF(OR(C254&lt;=0,H254&lt;0),"n.m.",H254/C254-1),"n.a.")</f>
        <v>-0.13580246913580252</v>
      </c>
      <c r="I255" s="1"/>
      <c r="J255" s="1"/>
    </row>
    <row r="256">
      <c r="A256" s="1"/>
      <c r="B256" s="20" t="s">
        <v>114</v>
      </c>
      <c r="C256" s="10">
        <f>C254-G352</f>
        <v>14</v>
      </c>
      <c r="D256" s="10">
        <f>D254-C254</f>
        <v>6</v>
      </c>
      <c r="E256" s="1"/>
      <c r="F256" s="10">
        <f>F254-D254</f>
        <v>-6</v>
      </c>
      <c r="G256" s="10">
        <f>G254-F254</f>
        <v>-19</v>
      </c>
      <c r="H256" s="29">
        <f>H254-G254</f>
        <v>8</v>
      </c>
      <c r="I256" s="1"/>
      <c r="J256" s="1"/>
    </row>
    <row r="257">
      <c r="A257" s="1"/>
      <c r="B257" s="31" t="s">
        <v>303</v>
      </c>
      <c r="C257" s="43">
        <f>C242+C245+C251+C254</f>
        <v>1963</v>
      </c>
      <c r="D257" s="43">
        <f>D242+D245+D251+D254</f>
        <v>2044</v>
      </c>
      <c r="E257" s="43">
        <f>E242+E245+E251+E254</f>
        <v>8247</v>
      </c>
      <c r="F257" s="43">
        <f>F242+F245+F251+F254</f>
        <v>2195</v>
      </c>
      <c r="G257" s="43">
        <f>G242+G245+G251+G254</f>
        <v>2156</v>
      </c>
      <c r="H257" s="45">
        <f>H242+H245+H251+H254</f>
        <v>2076.891011879452</v>
      </c>
      <c r="I257" s="1"/>
      <c r="J257" s="1"/>
    </row>
    <row r="258">
      <c r="A258" s="1"/>
      <c r="B258" s="36" t="s">
        <v>58</v>
      </c>
      <c r="C258" s="22">
        <f>IF(AND(ISNUMBER(C257),ISNUMBER(C353)),IF(OR(C353&lt;=0,C257&lt;0),"n.m.",C257/C353-1),"n.a.")</f>
        <v>0.022928608650338633</v>
      </c>
      <c r="D258" s="22">
        <f>IF(AND(ISNUMBER(D257),ISNUMBER(D353)),IF(OR(D353&lt;=0,D257&lt;0),"n.m.",D257/D353-1),"n.a.")</f>
        <v>-0.010648596321394033</v>
      </c>
      <c r="E258" s="22">
        <f>IF(AND(ISNUMBER(E257),ISNUMBER(E353)),IF(OR(E353&lt;=0,E257&lt;0),"n.m.",E257/E353-1),"n.a.")</f>
        <v>0.040237134207870895</v>
      </c>
      <c r="F258" s="22">
        <f>IF(AND(ISNUMBER(F257),ISNUMBER(F353)),IF(OR(F353&lt;=0,F257&lt;0),"n.m.",F257/F353-1),"n.a.")</f>
        <v>0.019034354688950872</v>
      </c>
      <c r="G258" s="22">
        <f>IF(AND(ISNUMBER(G257),ISNUMBER(G353)),IF(OR(G353&lt;=0,G257&lt;0),"n.m.",G257/G353-1),"n.a.")</f>
        <v>0.033557046979865834</v>
      </c>
      <c r="H258" s="39">
        <f>IF(AND(ISNUMBER(H257),ISNUMBER(C257)),IF(OR(C257&lt;=0,H257&lt;0),"n.m.",H257/C257-1),"n.a.")</f>
        <v>0.05801885475265012</v>
      </c>
      <c r="I258" s="1"/>
      <c r="J258" s="1"/>
    </row>
    <row r="259">
      <c r="A259" s="1"/>
      <c r="B259" s="21" t="s">
        <v>114</v>
      </c>
      <c r="C259" s="10">
        <f>C257-G353</f>
        <v>-123</v>
      </c>
      <c r="D259" s="10">
        <f>D257-C257</f>
        <v>81</v>
      </c>
      <c r="E259" s="1"/>
      <c r="F259" s="10">
        <f>F257-D257</f>
        <v>151</v>
      </c>
      <c r="G259" s="10">
        <f>G257-F257</f>
        <v>-39</v>
      </c>
      <c r="H259" s="29">
        <f>H257-G257</f>
        <v>-79.10898812054802</v>
      </c>
      <c r="I259" s="1"/>
      <c r="J259" s="1"/>
    </row>
    <row r="260" ht="51">
      <c r="A260" s="1"/>
      <c r="B260" s="1" t="s">
        <v>304</v>
      </c>
      <c r="C260" s="4">
        <v>0.013700000000000002</v>
      </c>
      <c r="D260" s="4">
        <v>0.0141</v>
      </c>
      <c r="E260" s="4">
        <v>0.0145</v>
      </c>
      <c r="F260" s="4">
        <v>0.0156</v>
      </c>
      <c r="G260" s="4">
        <v>0.0151</v>
      </c>
      <c r="H260" s="62">
        <f>H257*365/H7/H227</f>
        <v>0.013947249338082114</v>
      </c>
      <c r="I260" s="1"/>
      <c r="J260" s="125" t="s">
        <v>305</v>
      </c>
    </row>
    <row r="261" ht="27">
      <c r="A261" s="1"/>
      <c r="B261" s="21" t="s">
        <v>153</v>
      </c>
      <c r="C261" s="25">
        <f>(C260-C354)*10000</f>
        <v>2.0000000000000053</v>
      </c>
      <c r="D261" s="25">
        <f>(D260-D354)*10000</f>
        <v>-2.999999999999999</v>
      </c>
      <c r="E261" s="25">
        <f>(E260-E354)*10000</f>
        <v>5.000000000000004</v>
      </c>
      <c r="F261" s="25">
        <f>(F260-F354)*10000</f>
        <v>1.999999999999988</v>
      </c>
      <c r="G261" s="25">
        <f>(G260-G354)*10000</f>
        <v>2.999999999999999</v>
      </c>
      <c r="H261" s="58" t="s">
        <v>34</v>
      </c>
      <c r="I261" s="1"/>
      <c r="J261" s="126" t="s">
        <v>306</v>
      </c>
    </row>
    <row r="262" ht="27">
      <c r="A262" s="1"/>
      <c r="B262" s="21" t="s">
        <v>154</v>
      </c>
      <c r="C262" s="25">
        <f>(C260-G354)*10000</f>
        <v>-10.999999999999986</v>
      </c>
      <c r="D262" s="25">
        <f>(D260-C260)*10000</f>
        <v>3.999999999999976</v>
      </c>
      <c r="E262" s="1"/>
      <c r="F262" s="25">
        <f>(F260-D260)*10000</f>
        <v>14.999999999999996</v>
      </c>
      <c r="G262" s="25">
        <f>(G260-F260)*10000</f>
        <v>-4.999999999999987</v>
      </c>
      <c r="H262" s="58" t="s">
        <v>34</v>
      </c>
      <c r="I262" s="1"/>
      <c r="J262" s="126" t="s">
        <v>307</v>
      </c>
    </row>
    <row r="263">
      <c r="A263" s="1"/>
      <c r="B263" s="1" t="s">
        <v>308</v>
      </c>
      <c r="C263" s="4">
        <v>0.0214</v>
      </c>
      <c r="D263" s="4">
        <v>0.0216</v>
      </c>
      <c r="E263" s="4">
        <v>0.0216</v>
      </c>
      <c r="F263" s="4">
        <v>0.0217</v>
      </c>
      <c r="G263" s="4">
        <v>0.0191</v>
      </c>
      <c r="H263" s="62">
        <f>G263</f>
        <v>0.0191</v>
      </c>
      <c r="I263" s="1"/>
      <c r="J263" s="2" t="s">
        <v>309</v>
      </c>
    </row>
    <row r="264">
      <c r="A264" s="1"/>
      <c r="B264" s="21" t="s">
        <v>153</v>
      </c>
      <c r="C264" s="25">
        <f>(C263-C355)*10000</f>
        <v>-5.999999999999998</v>
      </c>
      <c r="D264" s="25">
        <f>(D263-D355)*10000</f>
        <v>-0.999999999999994</v>
      </c>
      <c r="E264" s="25">
        <f>(E263-E355)*10000</f>
        <v>-0.999999999999994</v>
      </c>
      <c r="F264" s="25">
        <f>(F263-F355)*10000</f>
        <v>-4.000000000000011</v>
      </c>
      <c r="G264" s="25">
        <f>(G263-G355)*10000</f>
        <v>-15.000000000000014</v>
      </c>
      <c r="H264" s="58">
        <f>(H263-C263)*10000</f>
        <v>-23</v>
      </c>
      <c r="I264" s="1"/>
      <c r="J264" s="1"/>
    </row>
    <row r="265">
      <c r="A265" s="1"/>
      <c r="B265" s="21" t="s">
        <v>154</v>
      </c>
      <c r="C265" s="25">
        <f>(C263-G355)*10000</f>
        <v>7.999999999999987</v>
      </c>
      <c r="D265" s="25">
        <f>(D263-C263)*10000</f>
        <v>2.0000000000000226</v>
      </c>
      <c r="E265" s="1"/>
      <c r="F265" s="25">
        <f>(F263-D263)*10000</f>
        <v>0.999999999999994</v>
      </c>
      <c r="G265" s="25">
        <f>(G263-F263)*10000</f>
        <v>-26.000000000000018</v>
      </c>
      <c r="H265" s="58">
        <f>(H263-G263)*10000</f>
        <v>0</v>
      </c>
      <c r="I265" s="1"/>
      <c r="J265" s="1"/>
    </row>
    <row r="266" ht="27">
      <c r="A266" s="1"/>
      <c r="B266" s="1" t="s">
        <v>310</v>
      </c>
      <c r="C266" s="10">
        <f>C269-C257</f>
        <v>575</v>
      </c>
      <c r="D266" s="10">
        <f>D269-D257</f>
        <v>2200</v>
      </c>
      <c r="E266" s="10">
        <f>E269-E257</f>
        <v>3246</v>
      </c>
      <c r="F266" s="10">
        <f>F269-F257</f>
        <v>-145</v>
      </c>
      <c r="G266" s="10">
        <f>G269-G257</f>
        <v>0</v>
      </c>
      <c r="H266" s="44">
        <v>300</v>
      </c>
      <c r="I266" s="1"/>
      <c r="J266" s="125" t="s">
        <v>311</v>
      </c>
    </row>
    <row r="267">
      <c r="A267" s="1"/>
      <c r="B267" s="36" t="s">
        <v>58</v>
      </c>
      <c r="C267" s="22">
        <f>IF(AND(ISNUMBER(C266),ISNUMBER(C356)),IF(OR(C356&lt;=0,C266&lt;0),"n.m.",C266/C356-1),"n.a.")</f>
        <v>-0.343607305936073</v>
      </c>
      <c r="D267" s="22">
        <f>IF(AND(ISNUMBER(D266),ISNUMBER(D356)),IF(OR(D356&lt;=0,D266&lt;0),"n.m.",D266/D356-1),"n.a.")</f>
        <v>2.949730700179533</v>
      </c>
      <c r="E267" s="22">
        <f>IF(AND(ISNUMBER(E266),ISNUMBER(E356)),IF(OR(E356&lt;=0,E266&lt;0),"n.m.",E266/E356-1),"n.a.")</f>
        <v>0.5865102639296187</v>
      </c>
      <c r="F267" s="22" t="str">
        <f>IF(AND(ISNUMBER(F266),ISNUMBER(F356)),IF(OR(F356&lt;=0,F266&lt;0),"n.m.",F266/F356-1),"n.a.")</f>
        <v>n.m.</v>
      </c>
      <c r="G267" s="22" t="str">
        <f>IF(AND(ISNUMBER(G266),ISNUMBER(G356)),IF(OR(G356&lt;=0,G266&lt;0),"n.m.",G266/G356-1),"n.a.")</f>
        <v>n.m.</v>
      </c>
      <c r="H267" s="39">
        <f>IF(AND(ISNUMBER(H266),ISNUMBER(C266)),IF(OR(C266&lt;=0,H266&lt;0),"n.m.",H266/C266-1),"n.a.")</f>
        <v>-0.4782608695652174</v>
      </c>
      <c r="I267" s="1"/>
      <c r="J267" s="1"/>
    </row>
    <row r="268">
      <c r="A268" s="1"/>
      <c r="B268" s="21" t="s">
        <v>114</v>
      </c>
      <c r="C268" s="10">
        <f>C266-G356</f>
        <v>579</v>
      </c>
      <c r="D268" s="10">
        <f>D266-C266</f>
        <v>1625</v>
      </c>
      <c r="E268" s="1"/>
      <c r="F268" s="10">
        <f>F266-D266</f>
        <v>-2345</v>
      </c>
      <c r="G268" s="10">
        <f>G266-F266</f>
        <v>145</v>
      </c>
      <c r="H268" s="29">
        <f>H266-G266</f>
        <v>300</v>
      </c>
      <c r="I268" s="1"/>
      <c r="J268" s="1"/>
    </row>
    <row r="269">
      <c r="A269" s="1"/>
      <c r="B269" s="31" t="s">
        <v>312</v>
      </c>
      <c r="C269" s="33">
        <v>2538</v>
      </c>
      <c r="D269" s="33">
        <v>4244</v>
      </c>
      <c r="E269" s="33">
        <v>11493</v>
      </c>
      <c r="F269" s="33">
        <v>2050</v>
      </c>
      <c r="G269" s="33">
        <v>2156</v>
      </c>
      <c r="H269" s="64">
        <f>H257+H266</f>
        <v>2376.891011879452</v>
      </c>
      <c r="I269" s="1"/>
      <c r="J269" s="2" t="s">
        <v>313</v>
      </c>
    </row>
    <row r="270">
      <c r="A270" s="1"/>
      <c r="B270" s="36" t="s">
        <v>58</v>
      </c>
      <c r="C270" s="22">
        <f>IF(AND(ISNUMBER(C269),ISNUMBER(C357)),IF(OR(C357&lt;=0,C269&lt;0),"n.m.",C269/C357-1),"n.a.")</f>
        <v>-0.0919499105545617</v>
      </c>
      <c r="D270" s="22">
        <f>IF(AND(ISNUMBER(D269),ISNUMBER(D357)),IF(OR(D357&lt;=0,D269&lt;0),"n.m.",D269/D357-1),"n.a.")</f>
        <v>0.6179946626000763</v>
      </c>
      <c r="E270" s="22">
        <f>IF(AND(ISNUMBER(E269),ISNUMBER(E357)),IF(OR(E357&lt;=0,E269&lt;0),"n.m.",E269/E357-1),"n.a.")</f>
        <v>0.15229596952075397</v>
      </c>
      <c r="F270" s="22">
        <f>IF(AND(ISNUMBER(F269),ISNUMBER(F357)),IF(OR(F357&lt;=0,F269&lt;0),"n.m.",F269/F357-1),"n.a.")</f>
        <v>-0.2202358311144922</v>
      </c>
      <c r="G270" s="22">
        <f>IF(AND(ISNUMBER(G269),ISNUMBER(G357)),IF(OR(G357&lt;=0,G269&lt;0),"n.m.",G269/G357-1),"n.a.")</f>
        <v>0.03554274735830942</v>
      </c>
      <c r="H270" s="39">
        <f>IF(AND(ISNUMBER(H269),ISNUMBER(C269)),IF(OR(C269&lt;=0,H269&lt;0),"n.m.",H269/C269-1),"n.a.")</f>
        <v>-0.06347871872362021</v>
      </c>
      <c r="I270" s="1"/>
      <c r="J270" s="1"/>
    </row>
    <row r="271">
      <c r="A271" s="1"/>
      <c r="B271" s="21" t="s">
        <v>114</v>
      </c>
      <c r="C271" s="10">
        <f>C269-G357</f>
        <v>456</v>
      </c>
      <c r="D271" s="10">
        <f>D269-C269</f>
        <v>1706</v>
      </c>
      <c r="E271" s="1"/>
      <c r="F271" s="10">
        <f>F269-D269</f>
        <v>-2194</v>
      </c>
      <c r="G271" s="10">
        <f>G269-F269</f>
        <v>106</v>
      </c>
      <c r="H271" s="29">
        <f>H269-G269</f>
        <v>220.89101187945198</v>
      </c>
      <c r="I271" s="1"/>
      <c r="J271" s="1"/>
    </row>
    <row r="272">
      <c r="A272" s="1"/>
      <c r="B272" s="1"/>
      <c r="C272" s="1"/>
      <c r="D272" s="1"/>
      <c r="E272" s="1"/>
      <c r="F272" s="1"/>
      <c r="G272" s="1"/>
      <c r="H272" s="30"/>
      <c r="I272" s="1"/>
      <c r="J272" s="1"/>
    </row>
    <row r="273">
      <c r="A273" s="1"/>
      <c r="B273" s="31" t="s">
        <v>314</v>
      </c>
      <c r="C273" s="1"/>
      <c r="D273" s="1"/>
      <c r="E273" s="1"/>
      <c r="F273" s="1"/>
      <c r="G273" s="1"/>
      <c r="H273" s="30"/>
      <c r="I273" s="1"/>
      <c r="J273" s="1"/>
    </row>
    <row r="274">
      <c r="A274" s="1"/>
      <c r="B274" s="36" t="s">
        <v>315</v>
      </c>
      <c r="C274" s="22">
        <f>IF(AND(ISNUMBER(C276),ISNUMBER(G359)),IF(OR(G359&lt;=0,C276&lt;0),"n.m.",C276/G359-1),"n.a.")</f>
        <v>0.04443091905051744</v>
      </c>
      <c r="D274" s="22">
        <f>IF(AND(ISNUMBER(D276),ISNUMBER(C276)),IF(OR(C276&lt;=0,D276&lt;0),"n.m.",D276/C276-1),"n.a.")</f>
        <v>-0.0038850038850039015</v>
      </c>
      <c r="E274" s="1"/>
      <c r="F274" s="22">
        <f>IF(AND(ISNUMBER(F276),ISNUMBER(D276)),IF(OR(D276&lt;=0,F276&lt;0),"n.m.",F276/D276-1),"n.a.")</f>
        <v>0.07049531981279245</v>
      </c>
      <c r="G274" s="22">
        <f>IF(AND(ISNUMBER(G276),ISNUMBER(F276)),IF(OR(F276&lt;=0,G276&lt;0),"n.m.",G276/F276-1),"n.a.")</f>
        <v>0.011749703980326043</v>
      </c>
      <c r="H274" s="72">
        <v>0.015</v>
      </c>
      <c r="I274" s="1"/>
      <c r="J274" s="2" t="s">
        <v>316</v>
      </c>
    </row>
    <row r="275">
      <c r="A275" s="1"/>
      <c r="B275" s="1" t="s">
        <v>317</v>
      </c>
      <c r="C275" s="10">
        <f>C31</f>
        <v>19473</v>
      </c>
      <c r="D275" s="10">
        <f>D31</f>
        <v>19396</v>
      </c>
      <c r="E275" s="10">
        <f>E31</f>
        <v>76029</v>
      </c>
      <c r="F275" s="10">
        <f>F31</f>
        <v>19568</v>
      </c>
      <c r="G275" s="10">
        <f>G31</f>
        <v>20272</v>
      </c>
      <c r="H275" s="29">
        <f>H31</f>
        <v>20831.47088675671</v>
      </c>
      <c r="I275" s="1"/>
      <c r="J275" s="1"/>
    </row>
    <row r="276">
      <c r="A276" s="1"/>
      <c r="B276" s="1" t="s">
        <v>318</v>
      </c>
      <c r="C276" s="3">
        <v>10296</v>
      </c>
      <c r="D276" s="3">
        <v>10256</v>
      </c>
      <c r="E276" s="3">
        <v>40267</v>
      </c>
      <c r="F276" s="3">
        <v>10979</v>
      </c>
      <c r="G276" s="3">
        <v>11108</v>
      </c>
      <c r="H276" s="29">
        <f>G276*(1+H274)</f>
        <v>11274.619999999999</v>
      </c>
      <c r="I276" s="1"/>
      <c r="J276" s="2" t="s">
        <v>313</v>
      </c>
    </row>
    <row r="277">
      <c r="A277" s="1"/>
      <c r="B277" s="36" t="s">
        <v>58</v>
      </c>
      <c r="C277" s="22">
        <f>IF(AND(ISNUMBER(C276),ISNUMBER(C359)),IF(OR(C359&lt;=0,C276&lt;0),"n.m.",C276/C359-1),"n.a.")</f>
        <v>0.07406634675568546</v>
      </c>
      <c r="D277" s="22">
        <f>IF(AND(ISNUMBER(D276),ISNUMBER(D359)),IF(OR(D359&lt;=0,D276&lt;0),"n.m.",D276/D359-1),"n.a.")</f>
        <v>0.05427631578947367</v>
      </c>
      <c r="E277" s="22">
        <f>IF(AND(ISNUMBER(E276),ISNUMBER(E359)),IF(OR(E359&lt;=0,E276&lt;0),"n.m.",E276/E359-1),"n.a.")</f>
        <v>0.058654958460405915</v>
      </c>
      <c r="F277" s="22">
        <f>IF(AND(ISNUMBER(F276),ISNUMBER(F359)),IF(OR(F359&lt;=0,F276&lt;0),"n.m.",F276/F359-1),"n.a.")</f>
        <v>0.11382773663386425</v>
      </c>
      <c r="G277" s="22">
        <f>IF(AND(ISNUMBER(G276),ISNUMBER(G359)),IF(OR(G359&lt;=0,G276&lt;0),"n.m.",G276/G359-1),"n.a.")</f>
        <v>0.12680056806654494</v>
      </c>
      <c r="H277" s="39">
        <f>IF(AND(ISNUMBER(H276),ISNUMBER(C276)),IF(OR(C276&lt;=0,H276&lt;0),"n.m.",H276/C276-1),"n.a.")</f>
        <v>0.09504856254856242</v>
      </c>
      <c r="I277" s="1"/>
      <c r="J277" s="1"/>
    </row>
    <row r="278">
      <c r="A278" s="1"/>
      <c r="B278" s="21" t="s">
        <v>114</v>
      </c>
      <c r="C278" s="10">
        <f>C276-G359</f>
        <v>438</v>
      </c>
      <c r="D278" s="10">
        <f>D276-C276</f>
        <v>-40</v>
      </c>
      <c r="E278" s="1"/>
      <c r="F278" s="10">
        <f>F276-D276</f>
        <v>723</v>
      </c>
      <c r="G278" s="10">
        <f>G276-F276</f>
        <v>129</v>
      </c>
      <c r="H278" s="29">
        <f>H276-G276</f>
        <v>166.61999999999898</v>
      </c>
      <c r="I278" s="1"/>
      <c r="J278" s="1"/>
    </row>
    <row r="279">
      <c r="A279" s="1"/>
      <c r="B279" s="31" t="s">
        <v>319</v>
      </c>
      <c r="C279" s="43">
        <f>C275-C276</f>
        <v>9177</v>
      </c>
      <c r="D279" s="43">
        <f>D275-D276</f>
        <v>9140</v>
      </c>
      <c r="E279" s="43">
        <f>E275-E276</f>
        <v>35762</v>
      </c>
      <c r="F279" s="43">
        <f>F275-F276</f>
        <v>8589</v>
      </c>
      <c r="G279" s="43">
        <f>G275-G276</f>
        <v>9164</v>
      </c>
      <c r="H279" s="45">
        <f>H275-H276</f>
        <v>9556.85088675671</v>
      </c>
      <c r="I279" s="1"/>
      <c r="J279" s="1"/>
    </row>
    <row r="280">
      <c r="A280" s="1"/>
      <c r="B280" s="36" t="s">
        <v>58</v>
      </c>
      <c r="C280" s="22">
        <f>IF(AND(ISNUMBER(C279),ISNUMBER(C360)),IF(OR(C360&lt;=0,C279&lt;0),"n.m.",C279/C360-1),"n.a.")</f>
        <v>0.11846435100548436</v>
      </c>
      <c r="D280" s="22">
        <f>IF(AND(ISNUMBER(D279),ISNUMBER(D360)),IF(OR(D360&lt;=0,D279&lt;0),"n.m.",D279/D360-1),"n.a.")</f>
        <v>0.05860551308779249</v>
      </c>
      <c r="E280" s="22">
        <f>IF(AND(ISNUMBER(E279),ISNUMBER(E360)),IF(OR(E360&lt;=0,E279&lt;0),"n.m.",E279/E360-1),"n.a.")</f>
        <v>0.06844731259896619</v>
      </c>
      <c r="F280" s="22">
        <f>IF(AND(ISNUMBER(F279),ISNUMBER(F360)),IF(OR(F360&lt;=0,F279&lt;0),"n.m.",F279/F360-1),"n.a.")</f>
        <v>0.01572847682119205</v>
      </c>
      <c r="G280" s="22">
        <f>IF(AND(ISNUMBER(G279),ISNUMBER(G360)),IF(OR(G360&lt;=0,G279&lt;0),"n.m.",G279/G360-1),"n.a.")</f>
        <v>0.01946823895872729</v>
      </c>
      <c r="H280" s="39">
        <f>IF(AND(ISNUMBER(H279),ISNUMBER(C279)),IF(OR(C279&lt;=0,H279&lt;0),"n.m.",H279/C279-1),"n.a.")</f>
        <v>0.04139161891214016</v>
      </c>
      <c r="I280" s="1"/>
      <c r="J280" s="1"/>
    </row>
    <row r="281">
      <c r="A281" s="1"/>
      <c r="B281" s="1" t="s">
        <v>312</v>
      </c>
      <c r="C281" s="10">
        <f>C269</f>
        <v>2538</v>
      </c>
      <c r="D281" s="10">
        <f>D269</f>
        <v>4244</v>
      </c>
      <c r="E281" s="10">
        <f>E269</f>
        <v>11493</v>
      </c>
      <c r="F281" s="10">
        <f>F269</f>
        <v>2050</v>
      </c>
      <c r="G281" s="10">
        <f>G269</f>
        <v>2156</v>
      </c>
      <c r="H281" s="29">
        <f>H269</f>
        <v>2376.891011879452</v>
      </c>
      <c r="I281" s="1"/>
      <c r="J281" s="1"/>
    </row>
    <row r="282">
      <c r="A282" s="1"/>
      <c r="B282" s="31" t="s">
        <v>320</v>
      </c>
      <c r="C282" s="43">
        <f>C279-C281</f>
        <v>6639</v>
      </c>
      <c r="D282" s="43">
        <f>D279-D281</f>
        <v>4896</v>
      </c>
      <c r="E282" s="43">
        <f>E279-E281</f>
        <v>24269</v>
      </c>
      <c r="F282" s="43">
        <f>F279-F281</f>
        <v>6539</v>
      </c>
      <c r="G282" s="43">
        <f>G279-G281</f>
        <v>7008</v>
      </c>
      <c r="H282" s="45">
        <f>H279-H281</f>
        <v>7179.959874877259</v>
      </c>
      <c r="I282" s="1"/>
      <c r="J282" s="1"/>
    </row>
    <row r="283">
      <c r="A283" s="1"/>
      <c r="B283" s="36" t="s">
        <v>58</v>
      </c>
      <c r="C283" s="22">
        <f>IF(AND(ISNUMBER(C282),ISNUMBER(C362)),IF(OR(C362&lt;=0,C282&lt;0),"n.m.",C282/C362-1),"n.a.")</f>
        <v>0.2271719038817006</v>
      </c>
      <c r="D283" s="22">
        <f>IF(AND(ISNUMBER(D282),ISNUMBER(D362)),IF(OR(D362&lt;=0,D282&lt;0),"n.m.",D282/D362-1),"n.a.")</f>
        <v>-0.18549326235235397</v>
      </c>
      <c r="E283" s="22">
        <f>IF(AND(ISNUMBER(E282),ISNUMBER(E362)),IF(OR(E362&lt;=0,E282&lt;0),"n.m.",E282/E362-1),"n.a.")</f>
        <v>0.03285525811805767</v>
      </c>
      <c r="F283" s="22">
        <f>IF(AND(ISNUMBER(F282),ISNUMBER(F362)),IF(OR(F362&lt;=0,F282&lt;0),"n.m.",F282/F362-1),"n.a.")</f>
        <v>0.12218980607516738</v>
      </c>
      <c r="G283" s="22">
        <f>IF(AND(ISNUMBER(G282),ISNUMBER(G362)),IF(OR(G362&lt;=0,G282&lt;0),"n.m.",G282/G362-1),"n.a.")</f>
        <v>0.01462284638772271</v>
      </c>
      <c r="H283" s="39">
        <f>IF(AND(ISNUMBER(H282),ISNUMBER(C282)),IF(OR(C282&lt;=0,H282&lt;0),"n.m.",H282/C282-1),"n.a.")</f>
        <v>0.08148213207971966</v>
      </c>
      <c r="I283" s="1"/>
      <c r="J283" s="1"/>
    </row>
    <row r="284">
      <c r="A284" s="1"/>
      <c r="B284" s="1" t="s">
        <v>321</v>
      </c>
      <c r="C284" s="3">
        <v>1630</v>
      </c>
      <c r="D284" s="3">
        <v>1254</v>
      </c>
      <c r="E284" s="3">
        <v>6024</v>
      </c>
      <c r="F284" s="3">
        <v>1563</v>
      </c>
      <c r="G284" s="3">
        <v>1697</v>
      </c>
      <c r="H284" s="29">
        <f>H282*H287</f>
        <v>1744.7302495951737</v>
      </c>
      <c r="I284" s="1"/>
      <c r="J284" s="2" t="s">
        <v>195</v>
      </c>
    </row>
    <row r="285">
      <c r="A285" s="1"/>
      <c r="B285" s="21" t="s">
        <v>131</v>
      </c>
      <c r="C285" s="10">
        <f>C284-C363</f>
        <v>266</v>
      </c>
      <c r="D285" s="10">
        <f>D284-D363</f>
        <v>-241</v>
      </c>
      <c r="E285" s="10">
        <f>E284-E363</f>
        <v>130</v>
      </c>
      <c r="F285" s="10">
        <f>F284-F363</f>
        <v>161</v>
      </c>
      <c r="G285" s="10">
        <f>G284-G363</f>
        <v>-41</v>
      </c>
      <c r="H285" s="29">
        <f>H284-C284</f>
        <v>114.73024959517375</v>
      </c>
      <c r="I285" s="1"/>
      <c r="J285" s="1"/>
    </row>
    <row r="286">
      <c r="A286" s="1"/>
      <c r="B286" s="21" t="s">
        <v>114</v>
      </c>
      <c r="C286" s="10">
        <f>C284-G363</f>
        <v>-108</v>
      </c>
      <c r="D286" s="10">
        <f>D284-C284</f>
        <v>-376</v>
      </c>
      <c r="E286" s="1"/>
      <c r="F286" s="10">
        <f>F284-D284</f>
        <v>309</v>
      </c>
      <c r="G286" s="10">
        <f>G284-F284</f>
        <v>134</v>
      </c>
      <c r="H286" s="29">
        <f>H284-G284</f>
        <v>47.730249595173746</v>
      </c>
      <c r="I286" s="1"/>
      <c r="J286" s="1"/>
    </row>
    <row r="287">
      <c r="A287" s="1"/>
      <c r="B287" s="36" t="s">
        <v>322</v>
      </c>
      <c r="C287" s="22">
        <f>C284/C282</f>
        <v>0.24551890344931465</v>
      </c>
      <c r="D287" s="22">
        <f>D284/D282</f>
        <v>0.25612745098039214</v>
      </c>
      <c r="E287" s="22">
        <f>E284/E282</f>
        <v>0.24821789113684123</v>
      </c>
      <c r="F287" s="22">
        <f>F284/F282</f>
        <v>0.239027374216241</v>
      </c>
      <c r="G287" s="22">
        <f>G284/G282</f>
        <v>0.24215182648401826</v>
      </c>
      <c r="H287" s="72">
        <v>0.243</v>
      </c>
      <c r="I287" s="1"/>
      <c r="J287" s="1"/>
    </row>
    <row r="288">
      <c r="A288" s="1"/>
      <c r="B288" s="20" t="s">
        <v>153</v>
      </c>
      <c r="C288" s="25">
        <f>(C287-C364)*10000</f>
        <v>-66.0678971149864</v>
      </c>
      <c r="D288" s="25">
        <f>(D287-D364)*10000</f>
        <v>74.16753924993691</v>
      </c>
      <c r="E288" s="25">
        <f>(E287-E364)*10000</f>
        <v>-26.22641697137551</v>
      </c>
      <c r="F288" s="25">
        <f>(F287-F364)*10000</f>
        <v>-15.767102182878967</v>
      </c>
      <c r="G288" s="25">
        <f>(G287-G364)*10000</f>
        <v>-94.76955910653811</v>
      </c>
      <c r="H288" s="58">
        <f>(H287-C287)*10000</f>
        <v>-25.18903449314658</v>
      </c>
      <c r="I288" s="1"/>
      <c r="J288" s="1"/>
    </row>
    <row r="289">
      <c r="A289" s="1"/>
      <c r="B289" s="20" t="s">
        <v>154</v>
      </c>
      <c r="C289" s="25">
        <f>(C287-G364)*10000</f>
        <v>-61.09878945357416</v>
      </c>
      <c r="D289" s="25">
        <f>(D287-C287)*10000</f>
        <v>106.08547531077484</v>
      </c>
      <c r="E289" s="1"/>
      <c r="F289" s="25">
        <f>(F287-D287)*10000</f>
        <v>-171.00076764151123</v>
      </c>
      <c r="G289" s="25">
        <f>(G287-F287)*10000</f>
        <v>31.244522677772444</v>
      </c>
      <c r="H289" s="58">
        <f>(H287-G287)*10000</f>
        <v>8.481735159817372</v>
      </c>
      <c r="I289" s="1"/>
      <c r="J289" s="1"/>
    </row>
    <row r="290">
      <c r="A290" s="1"/>
      <c r="B290" s="31" t="s">
        <v>323</v>
      </c>
      <c r="C290" s="43">
        <f>C282-C284</f>
        <v>5009</v>
      </c>
      <c r="D290" s="43">
        <f>D282-D284</f>
        <v>3642</v>
      </c>
      <c r="E290" s="43">
        <f>E282-E284</f>
        <v>18245</v>
      </c>
      <c r="F290" s="43">
        <f>F282-F284</f>
        <v>4976</v>
      </c>
      <c r="G290" s="43">
        <f>G282-G284</f>
        <v>5311</v>
      </c>
      <c r="H290" s="45">
        <f>H282-H284</f>
        <v>5435.229625282085</v>
      </c>
      <c r="I290" s="1"/>
      <c r="J290" s="1"/>
    </row>
    <row r="291">
      <c r="A291" s="1"/>
      <c r="B291" s="36" t="s">
        <v>58</v>
      </c>
      <c r="C291" s="22">
        <f>IF(AND(ISNUMBER(C290),ISNUMBER(C365)),IF(OR(C365&lt;=0,C290&lt;0),"n.m.",C290/C365-1),"n.a.")</f>
        <v>0.23801285219970336</v>
      </c>
      <c r="D291" s="22">
        <f>IF(AND(ISNUMBER(D290),ISNUMBER(D365)),IF(OR(D365&lt;=0,D290&lt;0),"n.m.",D290/D365-1),"n.a.")</f>
        <v>-0.19353410097431356</v>
      </c>
      <c r="E291" s="22">
        <f>IF(AND(ISNUMBER(E290),ISNUMBER(E365)),IF(OR(E365&lt;=0,E290&lt;0),"n.m.",E290/E365-1),"n.a.")</f>
        <v>0.03647105606998813</v>
      </c>
      <c r="F291" s="22">
        <f>IF(AND(ISNUMBER(F290),ISNUMBER(F365)),IF(OR(F365&lt;=0,F290&lt;0),"n.m.",F290/F365-1),"n.a.")</f>
        <v>0.12451977401129954</v>
      </c>
      <c r="G291" s="22">
        <f>IF(AND(ISNUMBER(G290),ISNUMBER(G365)),IF(OR(G365&lt;=0,G290&lt;0),"n.m.",G290/G365-1),"n.a.")</f>
        <v>0.02747146449990323</v>
      </c>
      <c r="H291" s="39">
        <f>IF(AND(ISNUMBER(H290),ISNUMBER(C290)),IF(OR(C290&lt;=0,H290&lt;0),"n.m.",H290/C290-1),"n.a.")</f>
        <v>0.08509275809185168</v>
      </c>
      <c r="I291" s="1"/>
      <c r="J291" s="1"/>
    </row>
    <row r="292">
      <c r="A292" s="1"/>
      <c r="B292" s="24" t="s">
        <v>324</v>
      </c>
      <c r="C292" s="22">
        <f>C276/C275</f>
        <v>0.5287320905869666</v>
      </c>
      <c r="D292" s="22">
        <f>D276/D275</f>
        <v>0.5287688183130542</v>
      </c>
      <c r="E292" s="22">
        <f>E276/E275</f>
        <v>0.5296268529113891</v>
      </c>
      <c r="F292" s="22">
        <f>F276/F275</f>
        <v>0.5610690923957482</v>
      </c>
      <c r="G292" s="22">
        <f>G276/G275</f>
        <v>0.547947908445146</v>
      </c>
      <c r="H292" s="39">
        <f>H276/H275</f>
        <v>0.5412301445870377</v>
      </c>
      <c r="I292" s="1"/>
      <c r="J292" s="1"/>
    </row>
    <row r="293">
      <c r="A293" s="1"/>
      <c r="B293" s="21" t="s">
        <v>153</v>
      </c>
      <c r="C293" s="25">
        <f>(C292-C366)*10000</f>
        <v>-100.79668167459866</v>
      </c>
      <c r="D293" s="25">
        <f>(D292-D366)*10000</f>
        <v>-10.209649349579575</v>
      </c>
      <c r="E293" s="25">
        <f>(E292-E366)*10000</f>
        <v>-22.930989814325955</v>
      </c>
      <c r="F293" s="25">
        <f>(F292-F366)*10000</f>
        <v>228.17577078760308</v>
      </c>
      <c r="G293" s="25">
        <f>(G292-G366)*10000</f>
        <v>248.93841484887048</v>
      </c>
      <c r="H293" s="58">
        <f>(H292-C292)*10000</f>
        <v>124.9805400007109</v>
      </c>
      <c r="I293" s="1"/>
      <c r="J293" s="1"/>
    </row>
    <row r="294">
      <c r="A294" s="1"/>
      <c r="B294" s="21" t="s">
        <v>154</v>
      </c>
      <c r="C294" s="25">
        <f>(C292-G366)*10000</f>
        <v>56.780236267076624</v>
      </c>
      <c r="D294" s="25">
        <f>(D292-C292)*10000</f>
        <v>0.36727726087648627</v>
      </c>
      <c r="E294" s="1"/>
      <c r="F294" s="25">
        <f>(F292-D292)*10000</f>
        <v>323.0027408269398</v>
      </c>
      <c r="G294" s="25">
        <f>(G292-F292)*10000</f>
        <v>-131.21183950602244</v>
      </c>
      <c r="H294" s="58">
        <f>(H292-G292)*10000</f>
        <v>-67.17763858108295</v>
      </c>
      <c r="I294" s="1"/>
      <c r="J294" s="1"/>
    </row>
    <row r="295">
      <c r="A295" s="1"/>
      <c r="B295" s="24" t="s">
        <v>325</v>
      </c>
      <c r="C295" s="22">
        <f>C282/C275</f>
        <v>0.34093360036974274</v>
      </c>
      <c r="D295" s="22">
        <f>D282/D275</f>
        <v>0.25242318003712105</v>
      </c>
      <c r="E295" s="22">
        <f>E282/E275</f>
        <v>0.31920714464217603</v>
      </c>
      <c r="F295" s="22">
        <f>F282/F275</f>
        <v>0.3341680294358136</v>
      </c>
      <c r="G295" s="22">
        <f>G282/G275</f>
        <v>0.345698500394633</v>
      </c>
      <c r="H295" s="39">
        <f>H282/H275</f>
        <v>0.34466888650872024</v>
      </c>
      <c r="I295" s="1"/>
      <c r="J295" s="1"/>
    </row>
    <row r="296">
      <c r="A296" s="1"/>
      <c r="B296" s="21" t="s">
        <v>153</v>
      </c>
      <c r="C296" s="25">
        <f>(C295-C367)*10000</f>
        <v>368.47264581984894</v>
      </c>
      <c r="D296" s="25">
        <f>(D295-D367)*10000</f>
        <v>-749.3767390035855</v>
      </c>
      <c r="E296" s="25">
        <f>(E295-E367)*10000</f>
        <v>-93.90055631923022</v>
      </c>
      <c r="F296" s="25">
        <f>(F295-F367)*10000</f>
        <v>159.78764978870407</v>
      </c>
      <c r="G296" s="25">
        <f>(G295-G367)*10000</f>
        <v>-207.7892306798701</v>
      </c>
      <c r="H296" s="58">
        <f>(H295-C295)*10000</f>
        <v>37.35286138977501</v>
      </c>
      <c r="I296" s="1"/>
      <c r="J296" s="1"/>
    </row>
    <row r="297">
      <c r="A297" s="1"/>
      <c r="B297" s="21" t="s">
        <v>154</v>
      </c>
      <c r="C297" s="25">
        <f>(C295-G367)*10000</f>
        <v>-255.43823092877284</v>
      </c>
      <c r="D297" s="25">
        <f>(D295-C295)*10000</f>
        <v>-885.1042033262169</v>
      </c>
      <c r="E297" s="1"/>
      <c r="F297" s="25">
        <f>(F295-D295)*10000</f>
        <v>817.4484939869253</v>
      </c>
      <c r="G297" s="25">
        <f>(G295-F295)*10000</f>
        <v>115.30470958819427</v>
      </c>
      <c r="H297" s="58">
        <f>(H295-G295)*10000</f>
        <v>-10.296138859127723</v>
      </c>
      <c r="I297" s="1"/>
      <c r="J297" s="1"/>
    </row>
    <row r="298">
      <c r="A298" s="1"/>
      <c r="B298" s="1"/>
      <c r="C298" s="1"/>
      <c r="D298" s="1"/>
      <c r="E298" s="1"/>
      <c r="F298" s="1"/>
      <c r="G298" s="1"/>
      <c r="H298" s="30"/>
      <c r="I298" s="1"/>
      <c r="J298" s="1"/>
    </row>
    <row r="299" ht="39">
      <c r="A299" s="1"/>
      <c r="B299" s="113" t="s">
        <v>158</v>
      </c>
      <c r="C299" s="116" t="s">
        <v>159</v>
      </c>
      <c r="D299" s="116" t="s">
        <v>160</v>
      </c>
      <c r="E299" s="116" t="s">
        <v>161</v>
      </c>
      <c r="F299" s="116" t="s">
        <v>162</v>
      </c>
      <c r="G299" s="116" t="s">
        <v>163</v>
      </c>
      <c r="H299" s="117" t="s">
        <v>57</v>
      </c>
      <c r="I299" s="1"/>
      <c r="J299" s="125" t="s">
        <v>164</v>
      </c>
    </row>
    <row r="300">
      <c r="A300" s="1"/>
      <c r="B300" s="21" t="s">
        <v>326</v>
      </c>
      <c r="C300" s="3">
        <v>10090</v>
      </c>
      <c r="D300" s="3">
        <v>10154</v>
      </c>
      <c r="E300" s="3">
        <v>40943</v>
      </c>
      <c r="F300" s="3">
        <v>10254</v>
      </c>
      <c r="G300" s="3">
        <v>10698</v>
      </c>
      <c r="H300" s="29">
        <f>C10</f>
        <v>11040</v>
      </c>
      <c r="I300" s="1"/>
      <c r="J300" s="1"/>
    </row>
    <row r="301">
      <c r="A301" s="1"/>
      <c r="B301" s="21" t="s">
        <v>327</v>
      </c>
      <c r="C301" s="3">
        <v>1295</v>
      </c>
      <c r="D301" s="3">
        <v>1297</v>
      </c>
      <c r="E301" s="3">
        <v>5097</v>
      </c>
      <c r="F301" s="3">
        <v>1207</v>
      </c>
      <c r="G301" s="3">
        <v>1250</v>
      </c>
      <c r="H301" s="29">
        <f>C17</f>
        <v>1260</v>
      </c>
      <c r="I301" s="1"/>
      <c r="J301" s="1"/>
    </row>
    <row r="302">
      <c r="A302" s="1"/>
      <c r="B302" s="21" t="s">
        <v>328</v>
      </c>
      <c r="C302" s="3">
        <v>6406</v>
      </c>
      <c r="D302" s="3">
        <v>6911</v>
      </c>
      <c r="E302" s="3">
        <v>25467</v>
      </c>
      <c r="F302" s="3">
        <v>6852</v>
      </c>
      <c r="G302" s="3">
        <v>6899</v>
      </c>
      <c r="H302" s="29">
        <f>C24</f>
        <v>7173</v>
      </c>
      <c r="I302" s="1"/>
      <c r="J302" s="1"/>
    </row>
    <row r="303">
      <c r="A303" s="1"/>
      <c r="B303" s="21" t="s">
        <v>329</v>
      </c>
      <c r="C303" s="10">
        <f>C300+C301+C302</f>
        <v>17791</v>
      </c>
      <c r="D303" s="10">
        <f>D300+D301+D302</f>
        <v>18362</v>
      </c>
      <c r="E303" s="10">
        <f>E300+E301+E302</f>
        <v>71507</v>
      </c>
      <c r="F303" s="10">
        <f>F300+F301+F302</f>
        <v>18313</v>
      </c>
      <c r="G303" s="10">
        <f>G300+G301+G302</f>
        <v>18847</v>
      </c>
      <c r="H303" s="29">
        <f>C31</f>
        <v>19473</v>
      </c>
      <c r="I303" s="1"/>
      <c r="J303" s="1"/>
    </row>
    <row r="304">
      <c r="A304" s="1"/>
      <c r="B304" s="21" t="s">
        <v>330</v>
      </c>
      <c r="C304" s="3">
        <v>863</v>
      </c>
      <c r="D304" s="3">
        <v>872</v>
      </c>
      <c r="E304" s="3">
        <v>3387</v>
      </c>
      <c r="F304" s="3">
        <v>839</v>
      </c>
      <c r="G304" s="3">
        <v>888</v>
      </c>
      <c r="H304" s="29">
        <f>C41</f>
        <v>969</v>
      </c>
      <c r="I304" s="1"/>
      <c r="J304" s="1"/>
    </row>
    <row r="305">
      <c r="A305" s="1"/>
      <c r="B305" s="21" t="s">
        <v>331</v>
      </c>
      <c r="C305" s="3">
        <v>1022</v>
      </c>
      <c r="D305" s="3">
        <v>1067</v>
      </c>
      <c r="E305" s="3">
        <v>4014</v>
      </c>
      <c r="F305" s="3">
        <v>1093</v>
      </c>
      <c r="G305" s="3">
        <v>1110</v>
      </c>
      <c r="H305" s="29">
        <f>C48</f>
        <v>1189</v>
      </c>
      <c r="I305" s="1"/>
      <c r="J305" s="1"/>
    </row>
    <row r="306">
      <c r="A306" s="1"/>
      <c r="B306" s="21" t="s">
        <v>332</v>
      </c>
      <c r="C306" s="3">
        <v>154</v>
      </c>
      <c r="D306" s="3">
        <v>186</v>
      </c>
      <c r="E306" s="3">
        <v>627</v>
      </c>
      <c r="F306" s="3">
        <v>110</v>
      </c>
      <c r="G306" s="3">
        <v>151</v>
      </c>
      <c r="H306" s="29">
        <f>C56</f>
        <v>173</v>
      </c>
      <c r="I306" s="1"/>
      <c r="J306" s="1"/>
    </row>
    <row r="307">
      <c r="A307" s="1"/>
      <c r="B307" s="21" t="s">
        <v>333</v>
      </c>
      <c r="C307" s="3">
        <v>236</v>
      </c>
      <c r="D307" s="3">
        <v>182</v>
      </c>
      <c r="E307" s="3">
        <v>751</v>
      </c>
      <c r="F307" s="3">
        <v>153</v>
      </c>
      <c r="G307" s="3">
        <v>196</v>
      </c>
      <c r="H307" s="29">
        <f>C63</f>
        <v>199</v>
      </c>
      <c r="I307" s="1"/>
      <c r="J307" s="1"/>
    </row>
    <row r="308">
      <c r="A308" s="1"/>
      <c r="B308" s="21" t="s">
        <v>334</v>
      </c>
      <c r="C308" s="10">
        <f>C306+C307</f>
        <v>390</v>
      </c>
      <c r="D308" s="10">
        <f>D306+D307</f>
        <v>368</v>
      </c>
      <c r="E308" s="10">
        <f>E306+E307</f>
        <v>1378</v>
      </c>
      <c r="F308" s="10">
        <f>F306+F307</f>
        <v>263</v>
      </c>
      <c r="G308" s="10">
        <f>G306+G307</f>
        <v>347</v>
      </c>
      <c r="H308" s="29">
        <f>C70</f>
        <v>372</v>
      </c>
      <c r="I308" s="1"/>
      <c r="J308" s="1"/>
    </row>
    <row r="309">
      <c r="A309" s="1"/>
      <c r="B309" s="21" t="s">
        <v>335</v>
      </c>
      <c r="C309" s="3">
        <v>743</v>
      </c>
      <c r="D309" s="3">
        <v>973</v>
      </c>
      <c r="E309" s="3">
        <v>3139</v>
      </c>
      <c r="F309" s="3">
        <v>653</v>
      </c>
      <c r="G309" s="3">
        <v>687</v>
      </c>
      <c r="H309" s="29">
        <f>C77</f>
        <v>514</v>
      </c>
      <c r="I309" s="1"/>
      <c r="J309" s="1"/>
    </row>
    <row r="310">
      <c r="A310" s="1"/>
      <c r="B310" s="21" t="s">
        <v>336</v>
      </c>
      <c r="C310" s="3">
        <v>1196</v>
      </c>
      <c r="D310" s="3">
        <v>1214</v>
      </c>
      <c r="E310" s="3">
        <v>4731</v>
      </c>
      <c r="F310" s="3">
        <v>1323</v>
      </c>
      <c r="G310" s="3">
        <v>1420</v>
      </c>
      <c r="H310" s="29">
        <f>C85</f>
        <v>1573</v>
      </c>
      <c r="I310" s="1"/>
      <c r="J310" s="1"/>
    </row>
    <row r="311">
      <c r="A311" s="1"/>
      <c r="B311" s="21" t="s">
        <v>337</v>
      </c>
      <c r="C311" s="10">
        <f>C304+C305+C308+C309+C310</f>
        <v>4214</v>
      </c>
      <c r="D311" s="10">
        <f>D304+D305+D308+D309+D310</f>
        <v>4494</v>
      </c>
      <c r="E311" s="10">
        <f>E304+E305+E308+E309+E310</f>
        <v>16649</v>
      </c>
      <c r="F311" s="10">
        <f>F304+F305+F308+F309+F310</f>
        <v>4171</v>
      </c>
      <c r="G311" s="10">
        <f>G304+G305+G308+G309+G310</f>
        <v>4452</v>
      </c>
      <c r="H311" s="29">
        <f>C93</f>
        <v>4617</v>
      </c>
      <c r="I311" s="1"/>
      <c r="J311" s="1"/>
    </row>
    <row r="312">
      <c r="A312" s="1"/>
      <c r="B312" s="21" t="s">
        <v>338</v>
      </c>
      <c r="C312" s="3">
        <v>13577</v>
      </c>
      <c r="D312" s="3">
        <v>13868</v>
      </c>
      <c r="E312" s="3">
        <v>54858</v>
      </c>
      <c r="F312" s="3">
        <v>14142</v>
      </c>
      <c r="G312" s="3">
        <v>14395</v>
      </c>
      <c r="H312" s="29">
        <f>C100</f>
        <v>14856</v>
      </c>
      <c r="I312" s="1"/>
      <c r="J312" s="1"/>
    </row>
    <row r="313">
      <c r="A313" s="1"/>
      <c r="B313" s="21" t="s">
        <v>339</v>
      </c>
      <c r="C313" s="3">
        <v>1037953</v>
      </c>
      <c r="D313" s="3">
        <v>1035184</v>
      </c>
      <c r="E313" s="3">
        <v>1049333</v>
      </c>
      <c r="F313" s="3">
        <v>1038964</v>
      </c>
      <c r="G313" s="3">
        <v>1044158</v>
      </c>
      <c r="H313" s="29">
        <f>C111</f>
        <v>1040402</v>
      </c>
      <c r="I313" s="1"/>
      <c r="J313" s="1"/>
    </row>
    <row r="314">
      <c r="A314" s="1"/>
      <c r="B314" s="21" t="s">
        <v>340</v>
      </c>
      <c r="C314" s="4">
        <v>0.026</v>
      </c>
      <c r="D314" s="4">
        <v>0.0261</v>
      </c>
      <c r="E314" s="4">
        <v>0.0266</v>
      </c>
      <c r="F314" s="4">
        <v>0.0269</v>
      </c>
      <c r="G314" s="4">
        <v>0.0276</v>
      </c>
      <c r="H314" s="62">
        <f>C114</f>
        <v>0.0279</v>
      </c>
      <c r="I314" s="1"/>
      <c r="J314" s="1"/>
    </row>
    <row r="315">
      <c r="A315" s="1"/>
      <c r="B315" s="21" t="s">
        <v>341</v>
      </c>
      <c r="C315" s="10">
        <f>C313*C314*C7/365</f>
        <v>6802.146783561643</v>
      </c>
      <c r="D315" s="10">
        <f>D313*D314*D7/365</f>
        <v>6810.092659726027</v>
      </c>
      <c r="E315" s="10">
        <f>E313*E314*E7/365</f>
        <v>27912.2578</v>
      </c>
      <c r="F315" s="10">
        <f>F313*F314*F7/365</f>
        <v>6891.320120547945</v>
      </c>
      <c r="G315" s="10">
        <f>G313*G314*G7/365</f>
        <v>7184.951322739726</v>
      </c>
      <c r="H315" s="29">
        <f>C117</f>
        <v>7316.448913972603</v>
      </c>
      <c r="I315" s="1"/>
      <c r="J315" s="1"/>
    </row>
    <row r="316">
      <c r="A316" s="1"/>
      <c r="B316" s="21" t="s">
        <v>342</v>
      </c>
      <c r="C316" s="10">
        <f>C300-C315</f>
        <v>3287.853216438357</v>
      </c>
      <c r="D316" s="10">
        <f>D300-D315</f>
        <v>3343.907340273973</v>
      </c>
      <c r="E316" s="10">
        <f>E300-E315</f>
        <v>13030.7422</v>
      </c>
      <c r="F316" s="10">
        <f>F300-F315</f>
        <v>3362.6798794520546</v>
      </c>
      <c r="G316" s="10">
        <f>G300-G315</f>
        <v>3513.0486772602744</v>
      </c>
      <c r="H316" s="29">
        <f>C120</f>
        <v>3723.551086027397</v>
      </c>
      <c r="I316" s="1"/>
      <c r="J316" s="1"/>
    </row>
    <row r="317">
      <c r="A317" s="1"/>
      <c r="B317" s="21" t="s">
        <v>343</v>
      </c>
      <c r="C317" s="3">
        <v>1067931</v>
      </c>
      <c r="D317" s="3">
        <v>1087608</v>
      </c>
      <c r="E317" s="3">
        <v>1087608</v>
      </c>
      <c r="F317" s="3">
        <v>1079833</v>
      </c>
      <c r="G317" s="3">
        <v>1155017</v>
      </c>
      <c r="H317" s="29">
        <f>C125</f>
        <v>1232390</v>
      </c>
      <c r="I317" s="1"/>
      <c r="J317" s="1"/>
    </row>
    <row r="318">
      <c r="A318" s="1"/>
      <c r="B318" s="21" t="s">
        <v>344</v>
      </c>
      <c r="C318" s="73">
        <v>5775</v>
      </c>
      <c r="D318" s="73">
        <v>5755</v>
      </c>
      <c r="E318" s="73">
        <v>5755</v>
      </c>
      <c r="F318" s="73">
        <v>5860</v>
      </c>
      <c r="G318" s="73">
        <v>5948</v>
      </c>
      <c r="H318" s="58">
        <f>C128</f>
        <v>6025</v>
      </c>
      <c r="I318" s="1"/>
      <c r="J318" s="1"/>
    </row>
    <row r="319">
      <c r="A319" s="1"/>
      <c r="B319" s="21" t="s">
        <v>345</v>
      </c>
      <c r="C319" s="3">
        <v>19472</v>
      </c>
      <c r="D319" s="3">
        <v>19538</v>
      </c>
      <c r="E319" s="3">
        <v>19479</v>
      </c>
      <c r="F319" s="3">
        <v>19474</v>
      </c>
      <c r="G319" s="3">
        <v>19217</v>
      </c>
      <c r="H319" s="29">
        <f>C132</f>
        <v>18922</v>
      </c>
      <c r="I319" s="1"/>
      <c r="J319" s="1"/>
    </row>
    <row r="320">
      <c r="A320" s="1"/>
      <c r="B320" s="21" t="s">
        <v>346</v>
      </c>
      <c r="C320" s="1"/>
      <c r="D320" s="25">
        <f>D321-C321</f>
        <v>60</v>
      </c>
      <c r="E320" s="1"/>
      <c r="F320" s="25">
        <f>F321-D321</f>
        <v>6</v>
      </c>
      <c r="G320" s="25">
        <f>G321-F321</f>
        <v>22</v>
      </c>
      <c r="H320" s="58">
        <f>C138</f>
        <v>24</v>
      </c>
      <c r="I320" s="1"/>
      <c r="J320" s="1"/>
    </row>
    <row r="321">
      <c r="A321" s="1"/>
      <c r="B321" s="21" t="s">
        <v>347</v>
      </c>
      <c r="C321" s="73">
        <v>4906</v>
      </c>
      <c r="D321" s="73">
        <v>4966</v>
      </c>
      <c r="E321" s="73">
        <v>4966</v>
      </c>
      <c r="F321" s="73">
        <v>4972</v>
      </c>
      <c r="G321" s="73">
        <v>4994</v>
      </c>
      <c r="H321" s="58">
        <f>C141</f>
        <v>5018</v>
      </c>
      <c r="I321" s="1"/>
      <c r="J321" s="1"/>
    </row>
    <row r="322">
      <c r="A322" s="1"/>
      <c r="B322" s="21" t="s">
        <v>348</v>
      </c>
      <c r="C322" s="1"/>
      <c r="D322" s="25">
        <f>D323-C323</f>
        <v>750</v>
      </c>
      <c r="E322" s="1"/>
      <c r="F322" s="25">
        <f>F323-D323</f>
        <v>1667</v>
      </c>
      <c r="G322" s="25">
        <f>G323-F323</f>
        <v>534</v>
      </c>
      <c r="H322" s="58">
        <f>C148</f>
        <v>1027</v>
      </c>
      <c r="I322" s="1"/>
      <c r="J322" s="1"/>
    </row>
    <row r="323">
      <c r="A323" s="1"/>
      <c r="B323" s="21" t="s">
        <v>349</v>
      </c>
      <c r="C323" s="73">
        <v>70063</v>
      </c>
      <c r="D323" s="73">
        <v>70813</v>
      </c>
      <c r="E323" s="73">
        <v>70813</v>
      </c>
      <c r="F323" s="73">
        <v>72480</v>
      </c>
      <c r="G323" s="73">
        <v>73014</v>
      </c>
      <c r="H323" s="58">
        <f>C151</f>
        <v>74041</v>
      </c>
      <c r="I323" s="1"/>
      <c r="J323" s="1"/>
    </row>
    <row r="324">
      <c r="A324" s="1"/>
      <c r="B324" s="21" t="s">
        <v>350</v>
      </c>
      <c r="C324" s="1"/>
      <c r="D324" s="25">
        <f>(C323+D323)/2</f>
        <v>70438</v>
      </c>
      <c r="E324" s="1"/>
      <c r="F324" s="25">
        <f>(D323+F323)/2</f>
        <v>71646.5</v>
      </c>
      <c r="G324" s="25">
        <f>(F323+G323)/2</f>
        <v>72747</v>
      </c>
      <c r="H324" s="58">
        <f>C154</f>
        <v>73527.5</v>
      </c>
      <c r="I324" s="1"/>
      <c r="J324" s="1"/>
    </row>
    <row r="325">
      <c r="A325" s="1"/>
      <c r="B325" s="21" t="s">
        <v>351</v>
      </c>
      <c r="C325" s="1"/>
      <c r="D325" s="25">
        <f>D326-C326</f>
        <v>836</v>
      </c>
      <c r="E325" s="1"/>
      <c r="F325" s="25">
        <f>F326-D326</f>
        <v>1215</v>
      </c>
      <c r="G325" s="25">
        <f>G326-F326</f>
        <v>862</v>
      </c>
      <c r="H325" s="58">
        <f>C160</f>
        <v>1026</v>
      </c>
      <c r="I325" s="1"/>
      <c r="J325" s="1"/>
    </row>
    <row r="326">
      <c r="A326" s="1"/>
      <c r="B326" s="21" t="s">
        <v>352</v>
      </c>
      <c r="C326" s="73">
        <v>56985</v>
      </c>
      <c r="D326" s="73">
        <v>57821</v>
      </c>
      <c r="E326" s="73">
        <v>57821</v>
      </c>
      <c r="F326" s="73">
        <v>59036</v>
      </c>
      <c r="G326" s="73">
        <v>59898</v>
      </c>
      <c r="H326" s="58">
        <f>C163</f>
        <v>60924</v>
      </c>
      <c r="I326" s="1"/>
      <c r="J326" s="1"/>
    </row>
    <row r="327">
      <c r="A327" s="1"/>
      <c r="B327" s="21" t="s">
        <v>353</v>
      </c>
      <c r="C327" s="1"/>
      <c r="D327" s="25">
        <f>(C326+D326)/2</f>
        <v>57403</v>
      </c>
      <c r="E327" s="1"/>
      <c r="F327" s="25">
        <f>(D326+F326)/2</f>
        <v>58428.5</v>
      </c>
      <c r="G327" s="25">
        <f>(F326+G326)/2</f>
        <v>59467</v>
      </c>
      <c r="H327" s="58">
        <f>C166</f>
        <v>60411</v>
      </c>
      <c r="I327" s="1"/>
      <c r="J327" s="1"/>
    </row>
    <row r="328">
      <c r="A328" s="1"/>
      <c r="B328" s="21" t="s">
        <v>354</v>
      </c>
      <c r="C328" s="12">
        <f>C326/C323</f>
        <v>0.813339423090647</v>
      </c>
      <c r="D328" s="12">
        <f>D326/D323</f>
        <v>0.816530862977137</v>
      </c>
      <c r="E328" s="12">
        <f>E326/E323</f>
        <v>0.816530862977137</v>
      </c>
      <c r="F328" s="12">
        <f>F326/F323</f>
        <v>0.8145143487858719</v>
      </c>
      <c r="G328" s="12">
        <f>G326/G323</f>
        <v>0.8203632180129838</v>
      </c>
      <c r="H328" s="62">
        <f>C169</f>
        <v>0.8228413986845127</v>
      </c>
      <c r="I328" s="1"/>
      <c r="J328" s="1"/>
    </row>
    <row r="329">
      <c r="A329" s="1"/>
      <c r="B329" s="21" t="s">
        <v>355</v>
      </c>
      <c r="C329" s="3">
        <v>453.4</v>
      </c>
      <c r="D329" s="3">
        <v>477.6</v>
      </c>
      <c r="E329" s="3">
        <v>1805.4</v>
      </c>
      <c r="F329" s="3">
        <v>448.7</v>
      </c>
      <c r="G329" s="3">
        <v>487.2</v>
      </c>
      <c r="H329" s="29">
        <f>C172</f>
        <v>492.3</v>
      </c>
      <c r="I329" s="1"/>
      <c r="J329" s="1"/>
    </row>
    <row r="330">
      <c r="A330" s="1"/>
      <c r="B330" s="21" t="s">
        <v>356</v>
      </c>
      <c r="C330" s="3">
        <v>250581</v>
      </c>
      <c r="D330" s="3">
        <v>247415</v>
      </c>
      <c r="E330" s="3">
        <v>252542</v>
      </c>
      <c r="F330" s="3">
        <v>244282</v>
      </c>
      <c r="G330" s="3">
        <v>242665</v>
      </c>
      <c r="H330" s="29">
        <f>C179</f>
        <v>241772</v>
      </c>
      <c r="I330" s="1"/>
      <c r="J330" s="1"/>
    </row>
    <row r="331">
      <c r="A331" s="1"/>
      <c r="B331" s="21" t="s">
        <v>357</v>
      </c>
      <c r="C331" s="3">
        <v>6.5</v>
      </c>
      <c r="D331" s="3">
        <v>7.7</v>
      </c>
      <c r="E331" s="3">
        <v>25.5</v>
      </c>
      <c r="F331" s="3">
        <v>5.5</v>
      </c>
      <c r="G331" s="3">
        <v>8.7</v>
      </c>
      <c r="H331" s="29">
        <f>C183</f>
        <v>8.4</v>
      </c>
      <c r="I331" s="1"/>
      <c r="J331" s="1"/>
    </row>
    <row r="332">
      <c r="A332" s="1"/>
      <c r="B332" s="21" t="s">
        <v>358</v>
      </c>
      <c r="C332" s="3">
        <v>4.9</v>
      </c>
      <c r="D332" s="3">
        <v>4.4</v>
      </c>
      <c r="E332" s="3">
        <v>15.3</v>
      </c>
      <c r="F332" s="3">
        <v>3.9</v>
      </c>
      <c r="G332" s="3">
        <v>4.8</v>
      </c>
      <c r="H332" s="29">
        <f>C186</f>
        <v>5.5</v>
      </c>
      <c r="I332" s="1"/>
      <c r="J332" s="1"/>
    </row>
    <row r="333">
      <c r="A333" s="1"/>
      <c r="B333" s="21" t="s">
        <v>359</v>
      </c>
      <c r="C333" s="10">
        <f>C331+C332</f>
        <v>11.4</v>
      </c>
      <c r="D333" s="10">
        <f>D331+D332</f>
        <v>12.100000000000001</v>
      </c>
      <c r="E333" s="10">
        <f>E331+E332</f>
        <v>40.8</v>
      </c>
      <c r="F333" s="10">
        <f>F331+F332</f>
        <v>9.4</v>
      </c>
      <c r="G333" s="10">
        <f>G331+G332</f>
        <v>13.5</v>
      </c>
      <c r="H333" s="29">
        <f>C190</f>
        <v>13.9</v>
      </c>
      <c r="I333" s="1"/>
      <c r="J333" s="1"/>
    </row>
    <row r="334">
      <c r="A334" s="1"/>
      <c r="B334" s="21" t="s">
        <v>360</v>
      </c>
      <c r="C334" s="3">
        <v>656.1</v>
      </c>
      <c r="D334" s="3">
        <v>648</v>
      </c>
      <c r="E334" s="3">
        <v>648</v>
      </c>
      <c r="F334" s="3">
        <v>661.6</v>
      </c>
      <c r="G334" s="3">
        <v>653.3</v>
      </c>
      <c r="H334" s="29">
        <f>C193</f>
        <v>663.6</v>
      </c>
      <c r="I334" s="1"/>
      <c r="J334" s="1"/>
    </row>
    <row r="335">
      <c r="A335" s="1"/>
      <c r="B335" s="21" t="s">
        <v>361</v>
      </c>
      <c r="C335" s="3">
        <v>217327</v>
      </c>
      <c r="D335" s="3">
        <v>224263</v>
      </c>
      <c r="E335" s="3">
        <v>214139</v>
      </c>
      <c r="F335" s="3">
        <v>224493</v>
      </c>
      <c r="G335" s="3">
        <v>228446</v>
      </c>
      <c r="H335" s="29">
        <f>C199</f>
        <v>234412</v>
      </c>
      <c r="I335" s="1"/>
      <c r="J335" s="1"/>
    </row>
    <row r="336">
      <c r="A336" s="1"/>
      <c r="B336" s="21" t="s">
        <v>362</v>
      </c>
      <c r="C336" s="3">
        <v>219671</v>
      </c>
      <c r="D336" s="3">
        <v>233016</v>
      </c>
      <c r="E336" s="3">
        <v>233016</v>
      </c>
      <c r="F336" s="3">
        <v>223517</v>
      </c>
      <c r="G336" s="3">
        <v>233051</v>
      </c>
      <c r="H336" s="29">
        <f>C202</f>
        <v>235491</v>
      </c>
      <c r="I336" s="1"/>
      <c r="J336" s="1"/>
    </row>
    <row r="337">
      <c r="A337" s="1"/>
      <c r="B337" s="21" t="s">
        <v>363</v>
      </c>
      <c r="C337" s="4">
        <v>0.0991</v>
      </c>
      <c r="D337" s="4">
        <v>0.10470000000000002</v>
      </c>
      <c r="E337" s="4">
        <v>0.1003</v>
      </c>
      <c r="F337" s="4">
        <v>0.1038</v>
      </c>
      <c r="G337" s="4">
        <v>0.1006</v>
      </c>
      <c r="H337" s="62">
        <f>C205</f>
        <v>0.1003</v>
      </c>
      <c r="I337" s="1"/>
      <c r="J337" s="1"/>
    </row>
    <row r="338">
      <c r="A338" s="1"/>
      <c r="B338" s="21" t="s">
        <v>364</v>
      </c>
      <c r="C338" s="10">
        <f>C335*C337*C7/365</f>
        <v>5428.530751780821</v>
      </c>
      <c r="D338" s="10">
        <f>D335*D337*D7/365</f>
        <v>5918.331290958905</v>
      </c>
      <c r="E338" s="10">
        <f>E335*E337*E7/365</f>
        <v>21478.1417</v>
      </c>
      <c r="F338" s="10">
        <f>F335*F337*F7/365</f>
        <v>5745.790701369863</v>
      </c>
      <c r="G338" s="10">
        <f>G335*G337*G7/365</f>
        <v>5729.676031780821</v>
      </c>
      <c r="H338" s="29">
        <f>C208</f>
        <v>5926.192249863015</v>
      </c>
      <c r="I338" s="1"/>
      <c r="J338" s="1"/>
    </row>
    <row r="339">
      <c r="A339" s="1"/>
      <c r="B339" s="21" t="s">
        <v>365</v>
      </c>
      <c r="C339" s="10">
        <f>C302-C338</f>
        <v>977.4692482191786</v>
      </c>
      <c r="D339" s="10">
        <f>D302-D338</f>
        <v>992.6687090410951</v>
      </c>
      <c r="E339" s="10">
        <f>E302-E338</f>
        <v>3988.8583</v>
      </c>
      <c r="F339" s="10">
        <f>F302-F338</f>
        <v>1106.2092986301368</v>
      </c>
      <c r="G339" s="10">
        <f>G302-G338</f>
        <v>1169.3239682191788</v>
      </c>
      <c r="H339" s="29">
        <f>C211</f>
        <v>1246.8077501369853</v>
      </c>
      <c r="I339" s="1"/>
      <c r="J339" s="1"/>
    </row>
    <row r="340">
      <c r="A340" s="1"/>
      <c r="B340" s="21" t="s">
        <v>366</v>
      </c>
      <c r="C340" s="3">
        <v>316.6</v>
      </c>
      <c r="D340" s="3">
        <v>335.1</v>
      </c>
      <c r="E340" s="3">
        <v>1259.3</v>
      </c>
      <c r="F340" s="3">
        <v>310.6</v>
      </c>
      <c r="G340" s="3">
        <v>340</v>
      </c>
      <c r="H340" s="29">
        <f>C215</f>
        <v>344.4</v>
      </c>
      <c r="I340" s="1"/>
      <c r="J340" s="1"/>
    </row>
    <row r="341">
      <c r="A341" s="1"/>
      <c r="B341" s="21" t="s">
        <v>367</v>
      </c>
      <c r="C341" s="4">
        <v>0.0971</v>
      </c>
      <c r="D341" s="4">
        <v>0.0986</v>
      </c>
      <c r="E341" s="4">
        <v>0.0973</v>
      </c>
      <c r="F341" s="4">
        <v>0.1031</v>
      </c>
      <c r="G341" s="4">
        <v>0.1004</v>
      </c>
      <c r="H341" s="62">
        <f>C218</f>
        <v>0.1028</v>
      </c>
      <c r="I341" s="1"/>
      <c r="J341" s="1"/>
    </row>
    <row r="342">
      <c r="A342" s="1"/>
      <c r="B342" s="21" t="s">
        <v>368</v>
      </c>
      <c r="C342" s="3">
        <v>73675</v>
      </c>
      <c r="D342" s="3">
        <v>73323</v>
      </c>
      <c r="E342" s="3">
        <v>75009</v>
      </c>
      <c r="F342" s="3">
        <v>72462</v>
      </c>
      <c r="G342" s="3">
        <v>71410</v>
      </c>
      <c r="H342" s="29">
        <f>C221</f>
        <v>70895</v>
      </c>
      <c r="I342" s="1"/>
      <c r="J342" s="1"/>
    </row>
    <row r="343">
      <c r="A343" s="1"/>
      <c r="B343" s="21" t="s">
        <v>369</v>
      </c>
      <c r="C343" s="3">
        <v>30910</v>
      </c>
      <c r="D343" s="3">
        <v>32599</v>
      </c>
      <c r="E343" s="3">
        <v>31544</v>
      </c>
      <c r="F343" s="3">
        <v>33160</v>
      </c>
      <c r="G343" s="3">
        <v>33536</v>
      </c>
      <c r="H343" s="29">
        <f>C224</f>
        <v>33351</v>
      </c>
      <c r="I343" s="1"/>
      <c r="J343" s="1"/>
    </row>
    <row r="344">
      <c r="A344" s="1"/>
      <c r="B344" s="21" t="s">
        <v>370</v>
      </c>
      <c r="C344" s="10">
        <f>C343+C330+C335+C342</f>
        <v>572493</v>
      </c>
      <c r="D344" s="10">
        <f>D343+D330+D335+D342</f>
        <v>577600</v>
      </c>
      <c r="E344" s="10">
        <f>E343+E330+E335+E342</f>
        <v>573234</v>
      </c>
      <c r="F344" s="10">
        <f>F343+F330+F335+F342</f>
        <v>574397</v>
      </c>
      <c r="G344" s="10">
        <f>G343+G330+G335+G342</f>
        <v>576057</v>
      </c>
      <c r="H344" s="29">
        <f>C227</f>
        <v>580430</v>
      </c>
      <c r="I344" s="1"/>
      <c r="J344" s="1"/>
    </row>
    <row r="345">
      <c r="A345" s="1"/>
      <c r="B345" s="21" t="s">
        <v>371</v>
      </c>
      <c r="C345" s="3">
        <v>1053701</v>
      </c>
      <c r="D345" s="3">
        <v>1050636</v>
      </c>
      <c r="E345" s="3">
        <v>1064215</v>
      </c>
      <c r="F345" s="3">
        <v>1053677</v>
      </c>
      <c r="G345" s="3">
        <v>1060363</v>
      </c>
      <c r="H345" s="29">
        <f>C230</f>
        <v>1058025</v>
      </c>
      <c r="I345" s="1"/>
      <c r="J345" s="1"/>
    </row>
    <row r="346">
      <c r="A346" s="1"/>
      <c r="B346" s="21" t="s">
        <v>372</v>
      </c>
      <c r="C346" s="3">
        <v>10</v>
      </c>
      <c r="D346" s="3">
        <v>10.6</v>
      </c>
      <c r="E346" s="3">
        <v>40.3</v>
      </c>
      <c r="F346" s="3">
        <v>10.7</v>
      </c>
      <c r="G346" s="3">
        <v>11.3</v>
      </c>
      <c r="H346" s="29">
        <f>C233</f>
        <v>12</v>
      </c>
      <c r="I346" s="1"/>
      <c r="J346" s="1"/>
    </row>
    <row r="347">
      <c r="A347" s="1"/>
      <c r="B347" s="21" t="s">
        <v>373</v>
      </c>
      <c r="C347" s="3">
        <v>11192</v>
      </c>
      <c r="D347" s="3">
        <v>11967</v>
      </c>
      <c r="E347" s="3">
        <v>11075</v>
      </c>
      <c r="F347" s="3">
        <v>13641</v>
      </c>
      <c r="G347" s="3">
        <v>15218</v>
      </c>
      <c r="H347" s="29">
        <f>C236</f>
        <v>16986</v>
      </c>
      <c r="I347" s="1"/>
      <c r="J347" s="1"/>
    </row>
    <row r="348">
      <c r="A348" s="1"/>
      <c r="B348" s="21" t="s">
        <v>374</v>
      </c>
      <c r="C348" s="3">
        <v>82</v>
      </c>
      <c r="D348" s="3">
        <v>105</v>
      </c>
      <c r="E348" s="3">
        <v>442</v>
      </c>
      <c r="F348" s="3">
        <v>97</v>
      </c>
      <c r="G348" s="3">
        <v>102</v>
      </c>
      <c r="H348" s="29">
        <f>C242</f>
        <v>85</v>
      </c>
      <c r="I348" s="1"/>
      <c r="J348" s="1"/>
    </row>
    <row r="349">
      <c r="A349" s="1"/>
      <c r="B349" s="21" t="s">
        <v>375</v>
      </c>
      <c r="C349" s="3">
        <v>-44</v>
      </c>
      <c r="D349" s="3">
        <v>-15</v>
      </c>
      <c r="E349" s="3">
        <v>-106</v>
      </c>
      <c r="F349" s="3">
        <v>-26</v>
      </c>
      <c r="G349" s="3">
        <v>-21</v>
      </c>
      <c r="H349" s="29">
        <f>C245</f>
        <v>-63</v>
      </c>
      <c r="I349" s="1"/>
      <c r="J349" s="1"/>
    </row>
    <row r="350">
      <c r="A350" s="1"/>
      <c r="B350" s="21" t="s">
        <v>376</v>
      </c>
      <c r="C350" s="4">
        <v>0.032400000000000005</v>
      </c>
      <c r="D350" s="4">
        <v>0.033</v>
      </c>
      <c r="E350" s="4">
        <v>0.0334</v>
      </c>
      <c r="F350" s="4">
        <v>0.0358</v>
      </c>
      <c r="G350" s="4">
        <v>0.034</v>
      </c>
      <c r="H350" s="62">
        <f>C248</f>
        <v>0.0315</v>
      </c>
      <c r="I350" s="1"/>
      <c r="J350" s="1"/>
    </row>
    <row r="351">
      <c r="A351" s="1"/>
      <c r="B351" s="21" t="s">
        <v>377</v>
      </c>
      <c r="C351" s="3">
        <v>1768</v>
      </c>
      <c r="D351" s="3">
        <v>1862</v>
      </c>
      <c r="E351" s="3">
        <v>7148</v>
      </c>
      <c r="F351" s="3">
        <v>1983</v>
      </c>
      <c r="G351" s="3">
        <v>1938</v>
      </c>
      <c r="H351" s="29">
        <f>C251</f>
        <v>1860</v>
      </c>
      <c r="I351" s="1"/>
      <c r="J351" s="1"/>
    </row>
    <row r="352">
      <c r="A352" s="1"/>
      <c r="B352" s="21" t="s">
        <v>378</v>
      </c>
      <c r="C352" s="3">
        <v>113</v>
      </c>
      <c r="D352" s="3">
        <v>114</v>
      </c>
      <c r="E352" s="3">
        <v>444</v>
      </c>
      <c r="F352" s="3">
        <v>100</v>
      </c>
      <c r="G352" s="3">
        <v>67</v>
      </c>
      <c r="H352" s="29">
        <f>C254</f>
        <v>81</v>
      </c>
      <c r="I352" s="1"/>
      <c r="J352" s="1"/>
    </row>
    <row r="353">
      <c r="A353" s="1"/>
      <c r="B353" s="21" t="s">
        <v>379</v>
      </c>
      <c r="C353" s="10">
        <f>C348+C349+C351+C352</f>
        <v>1919</v>
      </c>
      <c r="D353" s="10">
        <f>D348+D349+D351+D352</f>
        <v>2066</v>
      </c>
      <c r="E353" s="10">
        <f>E348+E349+E351+E352</f>
        <v>7928</v>
      </c>
      <c r="F353" s="10">
        <f>F348+F349+F351+F352</f>
        <v>2154</v>
      </c>
      <c r="G353" s="10">
        <f>G348+G349+G351+G352</f>
        <v>2086</v>
      </c>
      <c r="H353" s="29">
        <f>C257</f>
        <v>1963</v>
      </c>
      <c r="I353" s="1"/>
      <c r="J353" s="1"/>
    </row>
    <row r="354">
      <c r="A354" s="1"/>
      <c r="B354" s="21" t="s">
        <v>380</v>
      </c>
      <c r="C354" s="4">
        <v>0.013500000000000002</v>
      </c>
      <c r="D354" s="4">
        <v>0.0144</v>
      </c>
      <c r="E354" s="4">
        <v>0.014</v>
      </c>
      <c r="F354" s="4">
        <v>0.0154</v>
      </c>
      <c r="G354" s="4">
        <v>0.0148</v>
      </c>
      <c r="H354" s="62">
        <f>C260</f>
        <v>0.013700000000000002</v>
      </c>
      <c r="I354" s="1"/>
      <c r="J354" s="1"/>
    </row>
    <row r="355">
      <c r="A355" s="1"/>
      <c r="B355" s="21" t="s">
        <v>381</v>
      </c>
      <c r="C355" s="4">
        <v>0.022</v>
      </c>
      <c r="D355" s="4">
        <v>0.0217</v>
      </c>
      <c r="E355" s="4">
        <v>0.0217</v>
      </c>
      <c r="F355" s="4">
        <v>0.0221</v>
      </c>
      <c r="G355" s="4">
        <v>0.0206</v>
      </c>
      <c r="H355" s="62">
        <f>C263</f>
        <v>0.0214</v>
      </c>
      <c r="I355" s="1"/>
      <c r="J355" s="1"/>
    </row>
    <row r="356">
      <c r="A356" s="1"/>
      <c r="B356" s="21" t="s">
        <v>382</v>
      </c>
      <c r="C356" s="10">
        <f>C357-C353</f>
        <v>876</v>
      </c>
      <c r="D356" s="10">
        <f>D357-D353</f>
        <v>557</v>
      </c>
      <c r="E356" s="10">
        <f>E357-E353</f>
        <v>2046</v>
      </c>
      <c r="F356" s="10">
        <f>F357-F353</f>
        <v>475</v>
      </c>
      <c r="G356" s="10">
        <f>G357-G353</f>
        <v>-4</v>
      </c>
      <c r="H356" s="29">
        <f>C266</f>
        <v>575</v>
      </c>
      <c r="I356" s="1"/>
      <c r="J356" s="1"/>
    </row>
    <row r="357">
      <c r="A357" s="1"/>
      <c r="B357" s="21" t="s">
        <v>383</v>
      </c>
      <c r="C357" s="3">
        <v>2795</v>
      </c>
      <c r="D357" s="3">
        <v>2623</v>
      </c>
      <c r="E357" s="3">
        <v>9974</v>
      </c>
      <c r="F357" s="3">
        <v>2629</v>
      </c>
      <c r="G357" s="3">
        <v>2082</v>
      </c>
      <c r="H357" s="29">
        <f>C269</f>
        <v>2538</v>
      </c>
      <c r="I357" s="1"/>
      <c r="J357" s="1"/>
    </row>
    <row r="358">
      <c r="A358" s="1"/>
      <c r="B358" s="21" t="s">
        <v>384</v>
      </c>
      <c r="C358" s="10">
        <f>C303</f>
        <v>17791</v>
      </c>
      <c r="D358" s="10">
        <f>D303</f>
        <v>18362</v>
      </c>
      <c r="E358" s="10">
        <f>E303</f>
        <v>71507</v>
      </c>
      <c r="F358" s="10">
        <f>F303</f>
        <v>18313</v>
      </c>
      <c r="G358" s="10">
        <f>G303</f>
        <v>18847</v>
      </c>
      <c r="H358" s="29">
        <f>C275</f>
        <v>19473</v>
      </c>
      <c r="I358" s="1"/>
      <c r="J358" s="1"/>
    </row>
    <row r="359">
      <c r="A359" s="1"/>
      <c r="B359" s="21" t="s">
        <v>385</v>
      </c>
      <c r="C359" s="3">
        <v>9586</v>
      </c>
      <c r="D359" s="3">
        <v>9728</v>
      </c>
      <c r="E359" s="3">
        <v>38036</v>
      </c>
      <c r="F359" s="3">
        <v>9857</v>
      </c>
      <c r="G359" s="3">
        <v>9858</v>
      </c>
      <c r="H359" s="29">
        <f>C276</f>
        <v>10296</v>
      </c>
      <c r="I359" s="1"/>
      <c r="J359" s="1"/>
    </row>
    <row r="360">
      <c r="A360" s="1"/>
      <c r="B360" s="21" t="s">
        <v>386</v>
      </c>
      <c r="C360" s="10">
        <f>C358-C359</f>
        <v>8205</v>
      </c>
      <c r="D360" s="10">
        <f>D358-D359</f>
        <v>8634</v>
      </c>
      <c r="E360" s="10">
        <f>E358-E359</f>
        <v>33471</v>
      </c>
      <c r="F360" s="10">
        <f>F358-F359</f>
        <v>8456</v>
      </c>
      <c r="G360" s="10">
        <f>G358-G359</f>
        <v>8989</v>
      </c>
      <c r="H360" s="29">
        <f>C279</f>
        <v>9177</v>
      </c>
      <c r="I360" s="1"/>
      <c r="J360" s="1"/>
    </row>
    <row r="361">
      <c r="A361" s="1"/>
      <c r="B361" s="21" t="s">
        <v>383</v>
      </c>
      <c r="C361" s="10">
        <f>C357</f>
        <v>2795</v>
      </c>
      <c r="D361" s="10">
        <f>D357</f>
        <v>2623</v>
      </c>
      <c r="E361" s="10">
        <f>E357</f>
        <v>9974</v>
      </c>
      <c r="F361" s="10">
        <f>F357</f>
        <v>2629</v>
      </c>
      <c r="G361" s="10">
        <f>G357</f>
        <v>2082</v>
      </c>
      <c r="H361" s="29">
        <f>C281</f>
        <v>2538</v>
      </c>
      <c r="I361" s="1"/>
      <c r="J361" s="1"/>
    </row>
    <row r="362">
      <c r="A362" s="1"/>
      <c r="B362" s="21" t="s">
        <v>387</v>
      </c>
      <c r="C362" s="10">
        <f>C360-C361</f>
        <v>5410</v>
      </c>
      <c r="D362" s="10">
        <f>D360-D361</f>
        <v>6011</v>
      </c>
      <c r="E362" s="10">
        <f>E360-E361</f>
        <v>23497</v>
      </c>
      <c r="F362" s="10">
        <f>F360-F361</f>
        <v>5827</v>
      </c>
      <c r="G362" s="10">
        <f>G360-G361</f>
        <v>6907</v>
      </c>
      <c r="H362" s="29">
        <f>C282</f>
        <v>6639</v>
      </c>
      <c r="I362" s="1"/>
      <c r="J362" s="1"/>
    </row>
    <row r="363">
      <c r="A363" s="1"/>
      <c r="B363" s="21" t="s">
        <v>388</v>
      </c>
      <c r="C363" s="3">
        <v>1364</v>
      </c>
      <c r="D363" s="3">
        <v>1495</v>
      </c>
      <c r="E363" s="3">
        <v>5894</v>
      </c>
      <c r="F363" s="3">
        <v>1402</v>
      </c>
      <c r="G363" s="3">
        <v>1738</v>
      </c>
      <c r="H363" s="29">
        <f>C284</f>
        <v>1630</v>
      </c>
      <c r="I363" s="1"/>
      <c r="J363" s="1"/>
    </row>
    <row r="364">
      <c r="A364" s="1"/>
      <c r="B364" s="21" t="s">
        <v>389</v>
      </c>
      <c r="C364" s="12">
        <f>C363/C362</f>
        <v>0.2521256931608133</v>
      </c>
      <c r="D364" s="12">
        <f>D363/D362</f>
        <v>0.24871069705539844</v>
      </c>
      <c r="E364" s="12">
        <f>E363/E362</f>
        <v>0.2508405328339788</v>
      </c>
      <c r="F364" s="12">
        <f>F363/F362</f>
        <v>0.2406040844345289</v>
      </c>
      <c r="G364" s="12">
        <f>G363/G362</f>
        <v>0.25162878239467207</v>
      </c>
      <c r="H364" s="62">
        <f>C287</f>
        <v>0.24551890344931465</v>
      </c>
      <c r="I364" s="1"/>
      <c r="J364" s="1"/>
    </row>
    <row r="365">
      <c r="A365" s="1"/>
      <c r="B365" s="21" t="s">
        <v>390</v>
      </c>
      <c r="C365" s="10">
        <f>C362-C363</f>
        <v>4046</v>
      </c>
      <c r="D365" s="10">
        <f>D362-D363</f>
        <v>4516</v>
      </c>
      <c r="E365" s="10">
        <f>E362-E363</f>
        <v>17603</v>
      </c>
      <c r="F365" s="10">
        <f>F362-F363</f>
        <v>4425</v>
      </c>
      <c r="G365" s="10">
        <f>G362-G363</f>
        <v>5169</v>
      </c>
      <c r="H365" s="29">
        <f>C290</f>
        <v>5009</v>
      </c>
      <c r="I365" s="1"/>
      <c r="J365" s="1"/>
    </row>
    <row r="366">
      <c r="A366" s="1"/>
      <c r="B366" s="21" t="s">
        <v>391</v>
      </c>
      <c r="C366" s="12">
        <f>C359/C358</f>
        <v>0.5388117587544264</v>
      </c>
      <c r="D366" s="12">
        <f>D359/D358</f>
        <v>0.5297897832480122</v>
      </c>
      <c r="E366" s="12">
        <f>E359/E358</f>
        <v>0.5319199518928217</v>
      </c>
      <c r="F366" s="12">
        <f>F359/F358</f>
        <v>0.5382515153169879</v>
      </c>
      <c r="G366" s="12">
        <f>G359/G358</f>
        <v>0.5230540669602589</v>
      </c>
      <c r="H366" s="62">
        <f>C292</f>
        <v>0.5287320905869666</v>
      </c>
      <c r="I366" s="1"/>
      <c r="J366" s="1"/>
    </row>
    <row r="367">
      <c r="A367" s="1"/>
      <c r="B367" s="21" t="s">
        <v>392</v>
      </c>
      <c r="C367" s="12">
        <f>C362/C358</f>
        <v>0.30408633578775784</v>
      </c>
      <c r="D367" s="12">
        <f>D362/D358</f>
        <v>0.3273608539374796</v>
      </c>
      <c r="E367" s="12">
        <f>E362/E358</f>
        <v>0.32859720027409905</v>
      </c>
      <c r="F367" s="12">
        <f>F362/F358</f>
        <v>0.3181892644569432</v>
      </c>
      <c r="G367" s="12">
        <f>G362/G358</f>
        <v>0.36647742346262</v>
      </c>
      <c r="H367" s="62">
        <f>C295</f>
        <v>0.34093360036974274</v>
      </c>
      <c r="I367" s="1"/>
      <c r="J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dimension ref="A1:J352"/>
  <sheetViews>
    <sheetView showGridLines="0" workbookViewId="0"/>
  </sheetViews>
  <sheetFormatPr defaultColWidth="8.42578125" defaultRowHeight="15"/>
  <cols>
    <col min="1" max="1" width="2" customWidth="1"/>
    <col min="2" max="2" width="38" customWidth="1"/>
    <col min="3" max="8" width="12" customWidth="1"/>
    <col min="9" max="9" width="2" customWidth="1"/>
    <col min="10" max="10" width="7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</row>
    <row r="2">
      <c r="A2" s="1"/>
      <c r="B2" s="38" t="s">
        <v>0</v>
      </c>
      <c r="C2" s="1"/>
      <c r="D2" s="1"/>
      <c r="E2" s="1"/>
      <c r="F2" s="1"/>
      <c r="G2" s="1"/>
      <c r="H2" s="1"/>
      <c r="I2" s="1"/>
      <c r="J2" s="1"/>
    </row>
    <row r="3">
      <c r="A3" s="1"/>
      <c r="B3" s="31" t="s">
        <v>393</v>
      </c>
      <c r="C3" s="1"/>
      <c r="D3" s="1"/>
      <c r="E3" s="1"/>
      <c r="F3" s="1"/>
      <c r="G3" s="1"/>
      <c r="H3" s="1"/>
      <c r="I3" s="1"/>
      <c r="J3" s="1"/>
    </row>
    <row r="4">
      <c r="A4" s="1"/>
      <c r="B4" s="24" t="s">
        <v>2</v>
      </c>
      <c r="C4" s="1"/>
      <c r="D4" s="1"/>
      <c r="E4" s="1"/>
      <c r="F4" s="1"/>
      <c r="G4" s="1"/>
      <c r="H4" s="1"/>
      <c r="I4" s="1"/>
      <c r="J4" s="1"/>
    </row>
    <row r="5">
      <c r="A5" s="1"/>
      <c r="B5" s="14" t="s">
        <v>89</v>
      </c>
      <c r="C5" s="11" t="s">
        <v>57</v>
      </c>
      <c r="D5" s="11" t="s">
        <v>90</v>
      </c>
      <c r="E5" s="11" t="s">
        <v>91</v>
      </c>
      <c r="F5" s="11" t="s">
        <v>92</v>
      </c>
      <c r="G5" s="11" t="s">
        <v>59</v>
      </c>
      <c r="H5" s="11" t="s">
        <v>56</v>
      </c>
      <c r="I5" s="14"/>
      <c r="J5" s="14" t="s">
        <v>93</v>
      </c>
    </row>
    <row r="6">
      <c r="A6" s="1"/>
      <c r="B6" s="19" t="s">
        <v>94</v>
      </c>
      <c r="C6" s="13">
        <v>45930</v>
      </c>
      <c r="D6" s="13">
        <v>46022</v>
      </c>
      <c r="E6" s="13">
        <v>46022</v>
      </c>
      <c r="F6" s="13">
        <v>46112</v>
      </c>
      <c r="G6" s="13">
        <v>46203</v>
      </c>
      <c r="H6" s="13">
        <v>46295</v>
      </c>
      <c r="I6" s="19"/>
      <c r="J6" s="19"/>
    </row>
    <row r="7">
      <c r="A7" s="1"/>
      <c r="B7" s="28" t="s">
        <v>95</v>
      </c>
      <c r="C7" s="9">
        <v>92</v>
      </c>
      <c r="D7" s="9">
        <v>92</v>
      </c>
      <c r="E7" s="9">
        <v>365</v>
      </c>
      <c r="F7" s="9">
        <v>90</v>
      </c>
      <c r="G7" s="9">
        <v>91</v>
      </c>
      <c r="H7" s="9">
        <v>92</v>
      </c>
      <c r="I7" s="28"/>
      <c r="J7" s="28"/>
    </row>
    <row r="8">
      <c r="A8" s="1"/>
      <c r="B8" s="1"/>
      <c r="C8" s="1"/>
      <c r="D8" s="1"/>
      <c r="E8" s="1"/>
      <c r="F8" s="1"/>
      <c r="G8" s="1"/>
      <c r="H8" s="30"/>
      <c r="I8" s="1"/>
      <c r="J8" s="1"/>
    </row>
    <row r="9">
      <c r="A9" s="1"/>
      <c r="B9" s="31" t="s">
        <v>190</v>
      </c>
      <c r="C9" s="1"/>
      <c r="D9" s="1"/>
      <c r="E9" s="1"/>
      <c r="F9" s="1"/>
      <c r="G9" s="1"/>
      <c r="H9" s="30"/>
      <c r="I9" s="1"/>
      <c r="J9" s="1"/>
    </row>
    <row r="10">
      <c r="A10" s="1"/>
      <c r="B10" s="21" t="s">
        <v>394</v>
      </c>
      <c r="C10" s="3">
        <v>2694</v>
      </c>
      <c r="D10" s="3">
        <v>2552</v>
      </c>
      <c r="E10" s="3">
        <v>10198</v>
      </c>
      <c r="F10" s="3">
        <v>3136</v>
      </c>
      <c r="G10" s="3">
        <v>3902</v>
      </c>
      <c r="H10" s="29">
        <f>H118+H126</f>
        <v>3204.7200000000003</v>
      </c>
      <c r="I10" s="1"/>
      <c r="J10" s="2" t="s">
        <v>395</v>
      </c>
    </row>
    <row r="11">
      <c r="A11" s="1"/>
      <c r="B11" s="51" t="s">
        <v>99</v>
      </c>
      <c r="C11" s="22">
        <f>IF(AND(ISNUMBER(C10),ISNUMBER(C300)),IF(OR(C300&lt;=0,C10&lt;0),"n.m.",C10/C300-1),"n.a.")</f>
        <v>0.14443500424808842</v>
      </c>
      <c r="D11" s="22">
        <f>IF(AND(ISNUMBER(D10),ISNUMBER(D300)),IF(OR(D300&lt;=0,D10&lt;0),"n.m.",D10/D300-1),"n.a.")</f>
        <v>-0.01921598770176791</v>
      </c>
      <c r="E11" s="22">
        <f>IF(AND(ISNUMBER(E10),ISNUMBER(E300)),IF(OR(E300&lt;=0,E10&lt;0),"n.m.",E10/E300-1),"n.a.")</f>
        <v>0.05832295558322964</v>
      </c>
      <c r="F11" s="22">
        <f>IF(AND(ISNUMBER(F10),ISNUMBER(F300)),IF(OR(F300&lt;=0,F10&lt;0),"n.m.",F10/F300-1),"n.a.")</f>
        <v>0.382716049382716</v>
      </c>
      <c r="G11" s="22">
        <f>IF(AND(ISNUMBER(G10),ISNUMBER(G300)),IF(OR(G300&lt;=0,G10&lt;0),"n.m.",G10/G300-1),"n.a.")</f>
        <v>0.45380029806259325</v>
      </c>
      <c r="H11" s="39">
        <f>IF(AND(ISNUMBER(H10),ISNUMBER(C10)),IF(OR(C10&lt;=0,H10&lt;0),"n.m.",H10/C10-1),"n.a.")</f>
        <v>0.18957683741648124</v>
      </c>
      <c r="I11" s="1"/>
      <c r="J11" s="1"/>
    </row>
    <row r="12">
      <c r="A12" s="1"/>
      <c r="B12" s="51" t="s">
        <v>60</v>
      </c>
      <c r="C12" s="22">
        <f>IF(AND(ISNUMBER(C10),ISNUMBER(G300)),IF(OR(G300&lt;=0,C10&lt;0),"n.m.",C10/G300-1),"n.a.")</f>
        <v>0.0037257824143070994</v>
      </c>
      <c r="D12" s="22">
        <f>IF(AND(ISNUMBER(D10),ISNUMBER(C10)),IF(OR(C10&lt;=0,D10&lt;0),"n.m.",D10/C10-1),"n.a.")</f>
        <v>-0.05270972531551599</v>
      </c>
      <c r="E12" s="1"/>
      <c r="F12" s="22">
        <f>IF(AND(ISNUMBER(F10),ISNUMBER(D10)),IF(OR(D10&lt;=0,F10&lt;0),"n.m.",F10/D10-1),"n.a.")</f>
        <v>0.2288401253918495</v>
      </c>
      <c r="G12" s="22">
        <f>IF(AND(ISNUMBER(G10),ISNUMBER(F10)),IF(OR(F10&lt;=0,G10&lt;0),"n.m.",G10/F10-1),"n.a.")</f>
        <v>0.24426020408163263</v>
      </c>
      <c r="H12" s="39">
        <f>IF(AND(ISNUMBER(H10),ISNUMBER(G10)),IF(OR(G10&lt;=0,H10&lt;0),"n.m.",H10/G10-1),"n.a.")</f>
        <v>-0.17869810353664783</v>
      </c>
      <c r="I12" s="1"/>
      <c r="J12" s="1"/>
    </row>
    <row r="13">
      <c r="A13" s="1"/>
      <c r="B13" s="51" t="s">
        <v>396</v>
      </c>
      <c r="C13" s="22">
        <f>IFERROR(C10/C84,"n.a.")</f>
        <v>0.13552671294898883</v>
      </c>
      <c r="D13" s="22">
        <f>IFERROR(D10/D84,"n.a.")</f>
        <v>0.13171612903225807</v>
      </c>
      <c r="E13" s="22">
        <f>IFERROR(E10/E84,"n.a.")</f>
        <v>0.12998699875086037</v>
      </c>
      <c r="F13" s="22">
        <f>IFERROR(F10/F84,"n.a.")</f>
        <v>0.13413747380127464</v>
      </c>
      <c r="G13" s="22">
        <f>IFERROR(G10/G84,"n.a.")</f>
        <v>0.15700317869070132</v>
      </c>
      <c r="H13" s="39">
        <f>IFERROR(H10/H84,"n.a.")</f>
        <v>0.13994013270365688</v>
      </c>
      <c r="I13" s="1"/>
      <c r="J13" s="1"/>
    </row>
    <row r="14">
      <c r="A14" s="1"/>
      <c r="B14" s="51" t="s">
        <v>101</v>
      </c>
      <c r="C14" s="67" t="s">
        <v>35</v>
      </c>
      <c r="D14" s="67" t="s">
        <v>35</v>
      </c>
      <c r="E14" s="67" t="s">
        <v>35</v>
      </c>
      <c r="F14" s="67" t="s">
        <v>35</v>
      </c>
      <c r="G14" s="67" t="s">
        <v>35</v>
      </c>
      <c r="H14" s="68" t="s">
        <v>35</v>
      </c>
      <c r="I14" s="1"/>
      <c r="J14" s="1"/>
    </row>
    <row r="15">
      <c r="A15" s="1"/>
      <c r="B15" s="51" t="s">
        <v>102</v>
      </c>
      <c r="C15" s="67" t="s">
        <v>35</v>
      </c>
      <c r="D15" s="67" t="s">
        <v>35</v>
      </c>
      <c r="E15" s="67" t="s">
        <v>35</v>
      </c>
      <c r="F15" s="67" t="s">
        <v>35</v>
      </c>
      <c r="G15" s="67" t="s">
        <v>35</v>
      </c>
      <c r="H15" s="68" t="s">
        <v>35</v>
      </c>
      <c r="I15" s="1"/>
      <c r="J15" s="1"/>
    </row>
    <row r="16">
      <c r="A16" s="1"/>
      <c r="B16" s="51" t="s">
        <v>103</v>
      </c>
      <c r="C16" s="67" t="s">
        <v>35</v>
      </c>
      <c r="D16" s="67" t="s">
        <v>35</v>
      </c>
      <c r="E16" s="67" t="s">
        <v>35</v>
      </c>
      <c r="F16" s="67" t="s">
        <v>35</v>
      </c>
      <c r="G16" s="67" t="s">
        <v>35</v>
      </c>
      <c r="H16" s="68" t="s">
        <v>35</v>
      </c>
      <c r="I16" s="1"/>
      <c r="J16" s="1"/>
    </row>
    <row r="17">
      <c r="A17" s="1"/>
      <c r="B17" s="21" t="s">
        <v>397</v>
      </c>
      <c r="C17" s="3">
        <v>4917</v>
      </c>
      <c r="D17" s="3">
        <v>5114</v>
      </c>
      <c r="E17" s="3">
        <v>19331</v>
      </c>
      <c r="F17" s="3">
        <v>5123</v>
      </c>
      <c r="G17" s="3">
        <v>5296</v>
      </c>
      <c r="H17" s="29">
        <f>C17*(1+H24)</f>
        <v>5457.870000000001</v>
      </c>
      <c r="I17" s="1"/>
      <c r="J17" s="2" t="s">
        <v>398</v>
      </c>
    </row>
    <row r="18">
      <c r="A18" s="1"/>
      <c r="B18" s="51" t="s">
        <v>99</v>
      </c>
      <c r="C18" s="22">
        <f>IF(AND(ISNUMBER(C17),ISNUMBER(C301)),IF(OR(C301&lt;=0,C17&lt;0),"n.m.",C17/C301-1),"n.a.")</f>
        <v>0.1251716247139587</v>
      </c>
      <c r="D18" s="22">
        <f>IF(AND(ISNUMBER(D17),ISNUMBER(D301)),IF(OR(D301&lt;=0,D17&lt;0),"n.m.",D17/D301-1),"n.a.")</f>
        <v>0.08739102700403989</v>
      </c>
      <c r="E18" s="22">
        <f>IF(AND(ISNUMBER(E17),ISNUMBER(E301)),IF(OR(E301&lt;=0,E17&lt;0),"n.m.",E17/E301-1),"n.a.")</f>
        <v>0.06889687586397564</v>
      </c>
      <c r="F18" s="22">
        <f>IF(AND(ISNUMBER(F17),ISNUMBER(F301)),IF(OR(F301&lt;=0,F17&lt;0),"n.m.",F17/F301-1),"n.a.")</f>
        <v>0.12223439211391018</v>
      </c>
      <c r="G18" s="22">
        <f>IF(AND(ISNUMBER(G17),ISNUMBER(G301)),IF(OR(G301&lt;=0,G17&lt;0),"n.m.",G17/G301-1),"n.a.")</f>
        <v>0.11847940865892292</v>
      </c>
      <c r="H18" s="39">
        <f>IF(AND(ISNUMBER(H17),ISNUMBER(C17)),IF(OR(C17&lt;=0,H17&lt;0),"n.m.",H17/C17-1),"n.a.")</f>
        <v>0.1100000000000001</v>
      </c>
      <c r="I18" s="1"/>
      <c r="J18" s="1"/>
    </row>
    <row r="19">
      <c r="A19" s="1"/>
      <c r="B19" s="51" t="s">
        <v>60</v>
      </c>
      <c r="C19" s="22">
        <f>IF(AND(ISNUMBER(C17),ISNUMBER(G301)),IF(OR(G301&lt;=0,C17&lt;0),"n.m.",C17/G301-1),"n.a.")</f>
        <v>0.038437170010559685</v>
      </c>
      <c r="D19" s="22">
        <f>IF(AND(ISNUMBER(D17),ISNUMBER(C17)),IF(OR(C17&lt;=0,D17&lt;0),"n.m.",D17/C17-1),"n.a.")</f>
        <v>0.04006508033353673</v>
      </c>
      <c r="E19" s="1"/>
      <c r="F19" s="22">
        <f>IF(AND(ISNUMBER(F17),ISNUMBER(D17)),IF(OR(D17&lt;=0,F17&lt;0),"n.m.",F17/D17-1),"n.a.")</f>
        <v>0.0017598748533438346</v>
      </c>
      <c r="G19" s="22">
        <f>IF(AND(ISNUMBER(G17),ISNUMBER(F17)),IF(OR(F17&lt;=0,G17&lt;0),"n.m.",G17/F17-1),"n.a.")</f>
        <v>0.03376927581495215</v>
      </c>
      <c r="H19" s="39">
        <f>IF(AND(ISNUMBER(H17),ISNUMBER(G17)),IF(OR(G17&lt;=0,H17&lt;0),"n.m.",H17/G17-1),"n.a.")</f>
        <v>0.030564577039275065</v>
      </c>
      <c r="I19" s="1"/>
      <c r="J19" s="1"/>
    </row>
    <row r="20">
      <c r="A20" s="1"/>
      <c r="B20" s="51" t="s">
        <v>396</v>
      </c>
      <c r="C20" s="22">
        <f>IFERROR(C17/C84,"n.a.")</f>
        <v>0.24735888922426805</v>
      </c>
      <c r="D20" s="22">
        <f>IFERROR(D17/D84,"n.a.")</f>
        <v>0.2639483870967742</v>
      </c>
      <c r="E20" s="22">
        <f>IFERROR(E17/E84,"n.a.")</f>
        <v>0.2463991638412318</v>
      </c>
      <c r="F20" s="22">
        <f>IFERROR(F17/F84,"n.a.")</f>
        <v>0.2191282775140083</v>
      </c>
      <c r="G20" s="22">
        <f>IFERROR(G17/G84,"n.a.")</f>
        <v>0.2130929867621615</v>
      </c>
      <c r="H20" s="39">
        <f>IFERROR(H17/H84,"n.a.")</f>
        <v>0.23832816972444015</v>
      </c>
      <c r="I20" s="1"/>
      <c r="J20" s="1"/>
    </row>
    <row r="21">
      <c r="A21" s="1"/>
      <c r="B21" s="51" t="s">
        <v>101</v>
      </c>
      <c r="C21" s="67" t="s">
        <v>35</v>
      </c>
      <c r="D21" s="67" t="s">
        <v>35</v>
      </c>
      <c r="E21" s="67" t="s">
        <v>35</v>
      </c>
      <c r="F21" s="67" t="s">
        <v>35</v>
      </c>
      <c r="G21" s="67" t="s">
        <v>35</v>
      </c>
      <c r="H21" s="68" t="s">
        <v>35</v>
      </c>
      <c r="I21" s="1"/>
      <c r="J21" s="1"/>
    </row>
    <row r="22">
      <c r="A22" s="1"/>
      <c r="B22" s="51" t="s">
        <v>102</v>
      </c>
      <c r="C22" s="67" t="s">
        <v>35</v>
      </c>
      <c r="D22" s="67" t="s">
        <v>35</v>
      </c>
      <c r="E22" s="67" t="s">
        <v>35</v>
      </c>
      <c r="F22" s="67" t="s">
        <v>35</v>
      </c>
      <c r="G22" s="67" t="s">
        <v>35</v>
      </c>
      <c r="H22" s="68" t="s">
        <v>35</v>
      </c>
      <c r="I22" s="1"/>
      <c r="J22" s="1"/>
    </row>
    <row r="23">
      <c r="A23" s="1"/>
      <c r="B23" s="51" t="s">
        <v>103</v>
      </c>
      <c r="C23" s="67" t="s">
        <v>35</v>
      </c>
      <c r="D23" s="67" t="s">
        <v>35</v>
      </c>
      <c r="E23" s="67" t="s">
        <v>35</v>
      </c>
      <c r="F23" s="67" t="s">
        <v>35</v>
      </c>
      <c r="G23" s="67" t="s">
        <v>35</v>
      </c>
      <c r="H23" s="68" t="s">
        <v>35</v>
      </c>
      <c r="I23" s="1"/>
      <c r="J23" s="1"/>
    </row>
    <row r="24">
      <c r="A24" s="1"/>
      <c r="B24" s="51" t="s">
        <v>399</v>
      </c>
      <c r="C24" s="22">
        <f>IF(AND(ISNUMBER(C17),ISNUMBER(C301)),IF(OR(C301&lt;=0,C17&lt;0),"n.m.",C17/C301-1),"n.a.")</f>
        <v>0.1251716247139587</v>
      </c>
      <c r="D24" s="22">
        <f>IF(AND(ISNUMBER(D17),ISNUMBER(D301)),IF(OR(D301&lt;=0,D17&lt;0),"n.m.",D17/D301-1),"n.a.")</f>
        <v>0.08739102700403989</v>
      </c>
      <c r="E24" s="22">
        <f>IF(AND(ISNUMBER(E17),ISNUMBER(E301)),IF(OR(E301&lt;=0,E17&lt;0),"n.m.",E17/E301-1),"n.a.")</f>
        <v>0.06889687586397564</v>
      </c>
      <c r="F24" s="22">
        <f>IF(AND(ISNUMBER(F17),ISNUMBER(F301)),IF(OR(F301&lt;=0,F17&lt;0),"n.m.",F17/F301-1),"n.a.")</f>
        <v>0.12223439211391018</v>
      </c>
      <c r="G24" s="22">
        <f>IF(AND(ISNUMBER(G17),ISNUMBER(G301)),IF(OR(G301&lt;=0,G17&lt;0),"n.m.",G17/G301-1),"n.a.")</f>
        <v>0.11847940865892292</v>
      </c>
      <c r="H24" s="72">
        <v>0.11</v>
      </c>
      <c r="I24" s="1"/>
      <c r="J24" s="2" t="s">
        <v>400</v>
      </c>
    </row>
    <row r="25">
      <c r="A25" s="1"/>
      <c r="B25" s="21" t="s">
        <v>401</v>
      </c>
      <c r="C25" s="3">
        <v>1872</v>
      </c>
      <c r="D25" s="3">
        <v>1985</v>
      </c>
      <c r="E25" s="3">
        <v>7601</v>
      </c>
      <c r="F25" s="3">
        <v>2166</v>
      </c>
      <c r="G25" s="3">
        <v>1964</v>
      </c>
      <c r="H25" s="29">
        <f>G25*(1+H32)</f>
        <v>2003.28</v>
      </c>
      <c r="I25" s="1"/>
      <c r="J25" s="2" t="s">
        <v>398</v>
      </c>
    </row>
    <row r="26">
      <c r="A26" s="1"/>
      <c r="B26" s="51" t="s">
        <v>99</v>
      </c>
      <c r="C26" s="22">
        <f>IF(AND(ISNUMBER(C25),ISNUMBER(C302)),IF(OR(C302&lt;=0,C25&lt;0),"n.m.",C25/C302-1),"n.a.")</f>
        <v>-0.011615628299894376</v>
      </c>
      <c r="D26" s="22">
        <f>IF(AND(ISNUMBER(D25),ISNUMBER(D302)),IF(OR(D302&lt;=0,D25&lt;0),"n.m.",D25/D302-1),"n.a.")</f>
        <v>0.03601252609603334</v>
      </c>
      <c r="E26" s="22">
        <f>IF(AND(ISNUMBER(E25),ISNUMBER(E302)),IF(OR(E302&lt;=0,E25&lt;0),"n.m.",E25/E302-1),"n.a.")</f>
        <v>0.017536813922356176</v>
      </c>
      <c r="F26" s="22">
        <f>IF(AND(ISNUMBER(F25),ISNUMBER(F302)),IF(OR(F302&lt;=0,F25&lt;0),"n.m.",F25/F302-1),"n.a.")</f>
        <v>0.13107049608355092</v>
      </c>
      <c r="G26" s="22">
        <f>IF(AND(ISNUMBER(G25),ISNUMBER(G302)),IF(OR(G302&lt;=0,G25&lt;0),"n.m.",G25/G302-1),"n.a.")</f>
        <v>0.07381082558775276</v>
      </c>
      <c r="H26" s="39">
        <f>IF(AND(ISNUMBER(H25),ISNUMBER(C25)),IF(OR(C25&lt;=0,H25&lt;0),"n.m.",H25/C25-1),"n.a.")</f>
        <v>0.07012820512820506</v>
      </c>
      <c r="I26" s="1"/>
      <c r="J26" s="1"/>
    </row>
    <row r="27">
      <c r="A27" s="1"/>
      <c r="B27" s="51" t="s">
        <v>60</v>
      </c>
      <c r="C27" s="22">
        <f>IF(AND(ISNUMBER(C25),ISNUMBER(G302)),IF(OR(G302&lt;=0,C25&lt;0),"n.m.",C25/G302-1),"n.a.")</f>
        <v>0.023510114816839733</v>
      </c>
      <c r="D27" s="22">
        <f>IF(AND(ISNUMBER(D25),ISNUMBER(C25)),IF(OR(C25&lt;=0,D25&lt;0),"n.m.",D25/C25-1),"n.a.")</f>
        <v>0.06036324786324787</v>
      </c>
      <c r="E27" s="1"/>
      <c r="F27" s="22">
        <f>IF(AND(ISNUMBER(F25),ISNUMBER(D25)),IF(OR(D25&lt;=0,F25&lt;0),"n.m.",F25/D25-1),"n.a.")</f>
        <v>0.09118387909319892</v>
      </c>
      <c r="G27" s="22">
        <f>IF(AND(ISNUMBER(G25),ISNUMBER(F25)),IF(OR(F25&lt;=0,G25&lt;0),"n.m.",G25/F25-1),"n.a.")</f>
        <v>-0.09325946445060018</v>
      </c>
      <c r="H27" s="39">
        <f>IF(AND(ISNUMBER(H25),ISNUMBER(G25)),IF(OR(G25&lt;=0,H25&lt;0),"n.m.",H25/G25-1),"n.a.")</f>
        <v>0.020000000000000018</v>
      </c>
      <c r="I27" s="1"/>
      <c r="J27" s="1"/>
    </row>
    <row r="28">
      <c r="A28" s="1"/>
      <c r="B28" s="51" t="s">
        <v>396</v>
      </c>
      <c r="C28" s="22">
        <f>IFERROR(C25/C84,"n.a.")</f>
        <v>0.09417446423181407</v>
      </c>
      <c r="D28" s="22">
        <f>IFERROR(D25/D84,"n.a.")</f>
        <v>0.10245161290322581</v>
      </c>
      <c r="E28" s="22">
        <f>IFERROR(E25/E84,"n.a.")</f>
        <v>0.09688479873556478</v>
      </c>
      <c r="F28" s="22">
        <f>IFERROR(F25/F84,"n.a.")</f>
        <v>0.09264724752983447</v>
      </c>
      <c r="G28" s="22">
        <f>IFERROR(G25/G84,"n.a.")</f>
        <v>0.07902466503037862</v>
      </c>
      <c r="H28" s="39">
        <f>IFERROR(H25/H84,"n.a.")</f>
        <v>0.0874769930111154</v>
      </c>
      <c r="I28" s="1"/>
      <c r="J28" s="1"/>
    </row>
    <row r="29">
      <c r="A29" s="1"/>
      <c r="B29" s="51" t="s">
        <v>101</v>
      </c>
      <c r="C29" s="67" t="s">
        <v>35</v>
      </c>
      <c r="D29" s="67" t="s">
        <v>35</v>
      </c>
      <c r="E29" s="67" t="s">
        <v>35</v>
      </c>
      <c r="F29" s="67" t="s">
        <v>35</v>
      </c>
      <c r="G29" s="67" t="s">
        <v>35</v>
      </c>
      <c r="H29" s="68" t="s">
        <v>35</v>
      </c>
      <c r="I29" s="1"/>
      <c r="J29" s="1"/>
    </row>
    <row r="30">
      <c r="A30" s="1"/>
      <c r="B30" s="51" t="s">
        <v>102</v>
      </c>
      <c r="C30" s="67" t="s">
        <v>35</v>
      </c>
      <c r="D30" s="67" t="s">
        <v>35</v>
      </c>
      <c r="E30" s="67" t="s">
        <v>35</v>
      </c>
      <c r="F30" s="67" t="s">
        <v>35</v>
      </c>
      <c r="G30" s="67" t="s">
        <v>35</v>
      </c>
      <c r="H30" s="68" t="s">
        <v>35</v>
      </c>
      <c r="I30" s="1"/>
      <c r="J30" s="1"/>
    </row>
    <row r="31">
      <c r="A31" s="1"/>
      <c r="B31" s="51" t="s">
        <v>103</v>
      </c>
      <c r="C31" s="67" t="s">
        <v>35</v>
      </c>
      <c r="D31" s="67" t="s">
        <v>35</v>
      </c>
      <c r="E31" s="67" t="s">
        <v>35</v>
      </c>
      <c r="F31" s="67" t="s">
        <v>35</v>
      </c>
      <c r="G31" s="67" t="s">
        <v>35</v>
      </c>
      <c r="H31" s="68" t="s">
        <v>35</v>
      </c>
      <c r="I31" s="1"/>
      <c r="J31" s="1"/>
    </row>
    <row r="32">
      <c r="A32" s="1"/>
      <c r="B32" s="51" t="s">
        <v>402</v>
      </c>
      <c r="C32" s="22">
        <f>IF(AND(ISNUMBER(C25),ISNUMBER(G302)),IF(OR(G302&lt;=0,C25&lt;0),"n.m.",C25/G302-1),"n.a.")</f>
        <v>0.023510114816839733</v>
      </c>
      <c r="D32" s="22">
        <f>IF(AND(ISNUMBER(D25),ISNUMBER(C25)),IF(OR(C25&lt;=0,D25&lt;0),"n.m.",D25/C25-1),"n.a.")</f>
        <v>0.06036324786324787</v>
      </c>
      <c r="E32" s="1"/>
      <c r="F32" s="22">
        <f>IF(AND(ISNUMBER(F25),ISNUMBER(D25)),IF(OR(D25&lt;=0,F25&lt;0),"n.m.",F25/D25-1),"n.a.")</f>
        <v>0.09118387909319892</v>
      </c>
      <c r="G32" s="22">
        <f>IF(AND(ISNUMBER(G25),ISNUMBER(F25)),IF(OR(F25&lt;=0,G25&lt;0),"n.m.",G25/F25-1),"n.a.")</f>
        <v>-0.09325946445060018</v>
      </c>
      <c r="H32" s="72">
        <v>0.02</v>
      </c>
      <c r="I32" s="1"/>
      <c r="J32" s="1"/>
    </row>
    <row r="33">
      <c r="A33" s="1"/>
      <c r="B33" s="21" t="s">
        <v>403</v>
      </c>
      <c r="C33" s="3">
        <v>0</v>
      </c>
      <c r="D33" s="3">
        <v>0</v>
      </c>
      <c r="E33" s="3">
        <v>6</v>
      </c>
      <c r="F33" s="3">
        <v>0</v>
      </c>
      <c r="G33" s="3">
        <v>0</v>
      </c>
      <c r="H33" s="44">
        <v>0</v>
      </c>
      <c r="I33" s="1"/>
      <c r="J33" s="2" t="s">
        <v>398</v>
      </c>
    </row>
    <row r="34">
      <c r="A34" s="1"/>
      <c r="B34" s="20" t="s">
        <v>131</v>
      </c>
      <c r="C34" s="10">
        <f>C33-C303</f>
        <v>-28</v>
      </c>
      <c r="D34" s="10">
        <f>D33-D303</f>
        <v>-47</v>
      </c>
      <c r="E34" s="10">
        <f>E33-E303</f>
        <v>-70</v>
      </c>
      <c r="F34" s="10">
        <f>F33-F303</f>
        <v>-6</v>
      </c>
      <c r="G34" s="10">
        <f>G33-G303</f>
        <v>0</v>
      </c>
      <c r="H34" s="29">
        <f>H33-C33</f>
        <v>0</v>
      </c>
      <c r="I34" s="1"/>
      <c r="J34" s="1"/>
    </row>
    <row r="35">
      <c r="A35" s="1"/>
      <c r="B35" s="20" t="s">
        <v>114</v>
      </c>
      <c r="C35" s="10">
        <f>C33-G303</f>
        <v>0</v>
      </c>
      <c r="D35" s="10">
        <f>D33-C33</f>
        <v>0</v>
      </c>
      <c r="E35" s="1"/>
      <c r="F35" s="10">
        <f>F33-D33</f>
        <v>0</v>
      </c>
      <c r="G35" s="10">
        <f>G33-F33</f>
        <v>0</v>
      </c>
      <c r="H35" s="29">
        <f>H33-G33</f>
        <v>0</v>
      </c>
      <c r="I35" s="1"/>
      <c r="J35" s="1"/>
    </row>
    <row r="36">
      <c r="A36" s="1"/>
      <c r="B36" s="31" t="s">
        <v>404</v>
      </c>
      <c r="C36" s="43">
        <f>C10+C17+C25+C33</f>
        <v>9483</v>
      </c>
      <c r="D36" s="43">
        <f>D10+D17+D25+D33</f>
        <v>9651</v>
      </c>
      <c r="E36" s="43">
        <f>E10+E17+E25+E33</f>
        <v>37136</v>
      </c>
      <c r="F36" s="43">
        <f>F10+F17+F25+F33</f>
        <v>10425</v>
      </c>
      <c r="G36" s="43">
        <f>G10+G17+G25+G33</f>
        <v>11162</v>
      </c>
      <c r="H36" s="45">
        <f>H10+H17+H25+H33</f>
        <v>10665.87</v>
      </c>
      <c r="I36" s="1"/>
      <c r="J36" s="1"/>
    </row>
    <row r="37">
      <c r="A37" s="1"/>
      <c r="B37" s="36" t="s">
        <v>99</v>
      </c>
      <c r="C37" s="22">
        <f>IF(AND(ISNUMBER(C36),ISNUMBER(C304)),IF(OR(C304&lt;=0,C36&lt;0),"n.m.",C36/C304-1),"n.a.")</f>
        <v>0.09680777238029137</v>
      </c>
      <c r="D37" s="22">
        <f>IF(AND(ISNUMBER(D36),ISNUMBER(D304)),IF(OR(D304&lt;=0,D36&lt;0),"n.m.",D36/D304-1),"n.a.")</f>
        <v>0.04132498921018568</v>
      </c>
      <c r="E37" s="22">
        <f>IF(AND(ISNUMBER(E36),ISNUMBER(E304)),IF(OR(E304&lt;=0,E36&lt;0),"n.m.",E36/E304-1),"n.a.")</f>
        <v>0.05299571837695294</v>
      </c>
      <c r="F37" s="22">
        <f>IF(AND(ISNUMBER(F36),ISNUMBER(F304)),IF(OR(F304&lt;=0,F36&lt;0),"n.m.",F36/F304-1),"n.a.")</f>
        <v>0.19088416723783408</v>
      </c>
      <c r="G37" s="22">
        <f>IF(AND(ISNUMBER(G36),ISNUMBER(G304)),IF(OR(G304&lt;=0,G36&lt;0),"n.m.",G36/G304-1),"n.a.")</f>
        <v>0.20696366782006925</v>
      </c>
      <c r="H37" s="39">
        <f>IF(AND(ISNUMBER(H36),ISNUMBER(C36)),IF(OR(C36&lt;=0,H36&lt;0),"n.m.",H36/C36-1),"n.a.")</f>
        <v>0.12473584308763064</v>
      </c>
      <c r="I37" s="1"/>
      <c r="J37" s="1"/>
    </row>
    <row r="38">
      <c r="A38" s="1"/>
      <c r="B38" s="36" t="s">
        <v>60</v>
      </c>
      <c r="C38" s="22">
        <f>IF(AND(ISNUMBER(C36),ISNUMBER(G304)),IF(OR(G304&lt;=0,C36&lt;0),"n.m.",C36/G304-1),"n.a.")</f>
        <v>0.025410899653979246</v>
      </c>
      <c r="D38" s="22">
        <f>IF(AND(ISNUMBER(D36),ISNUMBER(C36)),IF(OR(C36&lt;=0,D36&lt;0),"n.m.",D36/C36-1),"n.a.")</f>
        <v>0.017715912685858815</v>
      </c>
      <c r="E38" s="1"/>
      <c r="F38" s="22">
        <f>IF(AND(ISNUMBER(F36),ISNUMBER(D36)),IF(OR(D36&lt;=0,F36&lt;0),"n.m.",F36/D36-1),"n.a.")</f>
        <v>0.08019894311470321</v>
      </c>
      <c r="G38" s="22">
        <f>IF(AND(ISNUMBER(G36),ISNUMBER(F36)),IF(OR(F36&lt;=0,G36&lt;0),"n.m.",G36/F36-1),"n.a.")</f>
        <v>0.07069544364508396</v>
      </c>
      <c r="H38" s="39">
        <f>IF(AND(ISNUMBER(H36),ISNUMBER(G36)),IF(OR(G36&lt;=0,H36&lt;0),"n.m.",H36/G36-1),"n.a.")</f>
        <v>-0.044448127575703156</v>
      </c>
      <c r="I38" s="1"/>
      <c r="J38" s="1"/>
    </row>
    <row r="39">
      <c r="A39" s="1"/>
      <c r="B39" s="36" t="s">
        <v>396</v>
      </c>
      <c r="C39" s="22">
        <f>IFERROR(C36/C84,"n.a.")</f>
        <v>0.4770600664050709</v>
      </c>
      <c r="D39" s="22">
        <f>IFERROR(D36/D84,"n.a.")</f>
        <v>0.49811612903225805</v>
      </c>
      <c r="E39" s="22">
        <f>IFERROR(E36/E84,"n.a.")</f>
        <v>0.47334743926377243</v>
      </c>
      <c r="F39" s="22">
        <f>IFERROR(F36/F84,"n.a.")</f>
        <v>0.4459129988451174</v>
      </c>
      <c r="G39" s="22">
        <f>IFERROR(G36/G84,"n.a.")</f>
        <v>0.4491208304832415</v>
      </c>
      <c r="H39" s="39">
        <f>IFERROR(H36/H84,"n.a.")</f>
        <v>0.46574529543921245</v>
      </c>
      <c r="I39" s="1"/>
      <c r="J39" s="1"/>
    </row>
    <row r="40">
      <c r="A40" s="1"/>
      <c r="B40" s="36" t="s">
        <v>101</v>
      </c>
      <c r="C40" s="67" t="s">
        <v>35</v>
      </c>
      <c r="D40" s="67" t="s">
        <v>35</v>
      </c>
      <c r="E40" s="67" t="s">
        <v>35</v>
      </c>
      <c r="F40" s="67" t="s">
        <v>35</v>
      </c>
      <c r="G40" s="67" t="s">
        <v>35</v>
      </c>
      <c r="H40" s="68" t="s">
        <v>35</v>
      </c>
      <c r="I40" s="1"/>
      <c r="J40" s="1"/>
    </row>
    <row r="41">
      <c r="A41" s="1"/>
      <c r="B41" s="36" t="s">
        <v>102</v>
      </c>
      <c r="C41" s="67" t="s">
        <v>35</v>
      </c>
      <c r="D41" s="67" t="s">
        <v>35</v>
      </c>
      <c r="E41" s="67" t="s">
        <v>35</v>
      </c>
      <c r="F41" s="67" t="s">
        <v>35</v>
      </c>
      <c r="G41" s="67" t="s">
        <v>35</v>
      </c>
      <c r="H41" s="68" t="s">
        <v>35</v>
      </c>
      <c r="I41" s="1"/>
      <c r="J41" s="1"/>
    </row>
    <row r="42">
      <c r="A42" s="1"/>
      <c r="B42" s="36" t="s">
        <v>103</v>
      </c>
      <c r="C42" s="67" t="s">
        <v>35</v>
      </c>
      <c r="D42" s="67" t="s">
        <v>35</v>
      </c>
      <c r="E42" s="67" t="s">
        <v>35</v>
      </c>
      <c r="F42" s="67" t="s">
        <v>35</v>
      </c>
      <c r="G42" s="67" t="s">
        <v>35</v>
      </c>
      <c r="H42" s="68" t="s">
        <v>35</v>
      </c>
      <c r="I42" s="1"/>
      <c r="J42" s="1"/>
    </row>
    <row r="43">
      <c r="A43" s="1"/>
      <c r="B43" s="21" t="s">
        <v>405</v>
      </c>
      <c r="C43" s="3">
        <v>5613</v>
      </c>
      <c r="D43" s="3">
        <v>5380</v>
      </c>
      <c r="E43" s="3">
        <v>22532</v>
      </c>
      <c r="F43" s="3">
        <v>7078</v>
      </c>
      <c r="G43" s="3">
        <v>6053</v>
      </c>
      <c r="H43" s="29">
        <f>C43*(1+H50)</f>
        <v>6118.17</v>
      </c>
      <c r="I43" s="1"/>
      <c r="J43" s="2" t="s">
        <v>398</v>
      </c>
    </row>
    <row r="44">
      <c r="A44" s="1"/>
      <c r="B44" s="51" t="s">
        <v>99</v>
      </c>
      <c r="C44" s="22">
        <f>IF(AND(ISNUMBER(C43),ISNUMBER(C305)),IF(OR(C305&lt;=0,C43&lt;0),"n.m.",C43/C305-1),"n.a.")</f>
        <v>0.20683723930337572</v>
      </c>
      <c r="D44" s="22">
        <f>IF(AND(ISNUMBER(D43),ISNUMBER(D305)),IF(OR(D305&lt;=0,D43&lt;0),"n.m.",D43/D305-1),"n.a.")</f>
        <v>0.07471034758290052</v>
      </c>
      <c r="E44" s="22">
        <f>IF(AND(ISNUMBER(E43),ISNUMBER(E305)),IF(OR(E305&lt;=0,E43&lt;0),"n.m.",E43/E305-1),"n.a.")</f>
        <v>0.1228944483205423</v>
      </c>
      <c r="F44" s="22">
        <f>IF(AND(ISNUMBER(F43),ISNUMBER(F305)),IF(OR(F305&lt;=0,F43&lt;0),"n.m.",F43/F305-1),"n.a.")</f>
        <v>0.2101213882714994</v>
      </c>
      <c r="G44" s="22">
        <f>IF(AND(ISNUMBER(G43),ISNUMBER(G305)),IF(OR(G305&lt;=0,G43&lt;0),"n.m.",G43/G305-1),"n.a.")</f>
        <v>0.06379613356766267</v>
      </c>
      <c r="H44" s="39">
        <f>IF(AND(ISNUMBER(H43),ISNUMBER(C43)),IF(OR(C43&lt;=0,H43&lt;0),"n.m.",H43/C43-1),"n.a.")</f>
        <v>0.09000000000000008</v>
      </c>
      <c r="I44" s="1"/>
      <c r="J44" s="1"/>
    </row>
    <row r="45">
      <c r="A45" s="1"/>
      <c r="B45" s="51" t="s">
        <v>60</v>
      </c>
      <c r="C45" s="22">
        <f>IF(AND(ISNUMBER(C43),ISNUMBER(G305)),IF(OR(G305&lt;=0,C43&lt;0),"n.m.",C43/G305-1),"n.a.")</f>
        <v>-0.013532513181019334</v>
      </c>
      <c r="D45" s="22">
        <f>IF(AND(ISNUMBER(D43),ISNUMBER(C43)),IF(OR(C43&lt;=0,D43&lt;0),"n.m.",D43/C43-1),"n.a.")</f>
        <v>-0.041510778549795124</v>
      </c>
      <c r="E45" s="1"/>
      <c r="F45" s="22">
        <f>IF(AND(ISNUMBER(F43),ISNUMBER(D43)),IF(OR(D43&lt;=0,F43&lt;0),"n.m.",F43/D43-1),"n.a.")</f>
        <v>0.31561338289962815</v>
      </c>
      <c r="G45" s="22">
        <f>IF(AND(ISNUMBER(G43),ISNUMBER(F43)),IF(OR(F43&lt;=0,G43&lt;0),"n.m.",G43/F43-1),"n.a.")</f>
        <v>-0.14481491946877645</v>
      </c>
      <c r="H45" s="39">
        <f>IF(AND(ISNUMBER(H43),ISNUMBER(G43)),IF(OR(G43&lt;=0,H43&lt;0),"n.m.",H43/G43-1),"n.a.")</f>
        <v>0.01076656203535431</v>
      </c>
      <c r="I45" s="1"/>
      <c r="J45" s="1"/>
    </row>
    <row r="46">
      <c r="A46" s="1"/>
      <c r="B46" s="51" t="s">
        <v>396</v>
      </c>
      <c r="C46" s="22">
        <f>IFERROR(C43/C84,"n.a.")</f>
        <v>0.2823724720796861</v>
      </c>
      <c r="D46" s="22">
        <f>IFERROR(D43/D84,"n.a.")</f>
        <v>0.2776774193548387</v>
      </c>
      <c r="E46" s="22">
        <f>IFERROR(E43/E84,"n.a.")</f>
        <v>0.28720014275881406</v>
      </c>
      <c r="F46" s="22">
        <f>IFERROR(F43/F84,"n.a.")</f>
        <v>0.3027503314940759</v>
      </c>
      <c r="G46" s="22">
        <f>IFERROR(G43/G84,"n.a.")</f>
        <v>0.24355208626725144</v>
      </c>
      <c r="H46" s="39">
        <f>IFERROR(H43/H84,"n.a.")</f>
        <v>0.2671614124489916</v>
      </c>
      <c r="I46" s="1"/>
      <c r="J46" s="1"/>
    </row>
    <row r="47">
      <c r="A47" s="1"/>
      <c r="B47" s="51" t="s">
        <v>101</v>
      </c>
      <c r="C47" s="67" t="s">
        <v>35</v>
      </c>
      <c r="D47" s="67" t="s">
        <v>35</v>
      </c>
      <c r="E47" s="67" t="s">
        <v>35</v>
      </c>
      <c r="F47" s="67" t="s">
        <v>35</v>
      </c>
      <c r="G47" s="67" t="s">
        <v>35</v>
      </c>
      <c r="H47" s="68" t="s">
        <v>35</v>
      </c>
      <c r="I47" s="1"/>
      <c r="J47" s="1"/>
    </row>
    <row r="48">
      <c r="A48" s="1"/>
      <c r="B48" s="51" t="s">
        <v>102</v>
      </c>
      <c r="C48" s="67" t="s">
        <v>35</v>
      </c>
      <c r="D48" s="67" t="s">
        <v>35</v>
      </c>
      <c r="E48" s="67" t="s">
        <v>35</v>
      </c>
      <c r="F48" s="67" t="s">
        <v>35</v>
      </c>
      <c r="G48" s="67" t="s">
        <v>35</v>
      </c>
      <c r="H48" s="68" t="s">
        <v>35</v>
      </c>
      <c r="I48" s="1"/>
      <c r="J48" s="1"/>
    </row>
    <row r="49">
      <c r="A49" s="1"/>
      <c r="B49" s="51" t="s">
        <v>103</v>
      </c>
      <c r="C49" s="67" t="s">
        <v>35</v>
      </c>
      <c r="D49" s="67" t="s">
        <v>35</v>
      </c>
      <c r="E49" s="67" t="s">
        <v>35</v>
      </c>
      <c r="F49" s="67" t="s">
        <v>35</v>
      </c>
      <c r="G49" s="67" t="s">
        <v>35</v>
      </c>
      <c r="H49" s="68" t="s">
        <v>35</v>
      </c>
      <c r="I49" s="1"/>
      <c r="J49" s="1"/>
    </row>
    <row r="50" ht="27">
      <c r="A50" s="1"/>
      <c r="B50" s="51" t="s">
        <v>406</v>
      </c>
      <c r="C50" s="22">
        <f>IF(AND(ISNUMBER(C43),ISNUMBER(C305)),IF(OR(C305&lt;=0,C43&lt;0),"n.m.",C43/C305-1),"n.a.")</f>
        <v>0.20683723930337572</v>
      </c>
      <c r="D50" s="22">
        <f>IF(AND(ISNUMBER(D43),ISNUMBER(D305)),IF(OR(D305&lt;=0,D43&lt;0),"n.m.",D43/D305-1),"n.a.")</f>
        <v>0.07471034758290052</v>
      </c>
      <c r="E50" s="22">
        <f>IF(AND(ISNUMBER(E43),ISNUMBER(E305)),IF(OR(E305&lt;=0,E43&lt;0),"n.m.",E43/E305-1),"n.a.")</f>
        <v>0.1228944483205423</v>
      </c>
      <c r="F50" s="22">
        <f>IF(AND(ISNUMBER(F43),ISNUMBER(F305)),IF(OR(F305&lt;=0,F43&lt;0),"n.m.",F43/F305-1),"n.a.")</f>
        <v>0.2101213882714994</v>
      </c>
      <c r="G50" s="22">
        <f>IF(AND(ISNUMBER(G43),ISNUMBER(G305)),IF(OR(G305&lt;=0,G43&lt;0),"n.m.",G43/G305-1),"n.a.")</f>
        <v>0.06379613356766267</v>
      </c>
      <c r="H50" s="72">
        <v>0.09</v>
      </c>
      <c r="I50" s="1"/>
      <c r="J50" s="125" t="s">
        <v>407</v>
      </c>
    </row>
    <row r="51">
      <c r="A51" s="1"/>
      <c r="B51" s="21" t="s">
        <v>408</v>
      </c>
      <c r="C51" s="3">
        <v>3331</v>
      </c>
      <c r="D51" s="3">
        <v>2859</v>
      </c>
      <c r="E51" s="3">
        <v>13250</v>
      </c>
      <c r="F51" s="3">
        <v>4481</v>
      </c>
      <c r="G51" s="3">
        <v>6025</v>
      </c>
      <c r="H51" s="29">
        <f>C51*(1+H58)</f>
        <v>4530.16</v>
      </c>
      <c r="I51" s="1"/>
      <c r="J51" s="2" t="s">
        <v>398</v>
      </c>
    </row>
    <row r="52">
      <c r="A52" s="1"/>
      <c r="B52" s="51" t="s">
        <v>99</v>
      </c>
      <c r="C52" s="22">
        <f>IF(AND(ISNUMBER(C51),ISNUMBER(C306)),IF(OR(C306&lt;=0,C51&lt;0),"n.m.",C51/C306-1),"n.a.")</f>
        <v>0.33186725309876053</v>
      </c>
      <c r="D52" s="22">
        <f>IF(AND(ISNUMBER(D51),ISNUMBER(D306)),IF(OR(D306&lt;=0,D51&lt;0),"n.m.",D51/D306-1),"n.a.")</f>
        <v>0.39941262848751835</v>
      </c>
      <c r="E52" s="22">
        <f>IF(AND(ISNUMBER(E51),ISNUMBER(E306)),IF(OR(E306&lt;=0,E51&lt;0),"n.m.",E51/E306-1),"n.a.")</f>
        <v>0.3328638969922544</v>
      </c>
      <c r="F52" s="22">
        <f>IF(AND(ISNUMBER(F51),ISNUMBER(F306)),IF(OR(F306&lt;=0,F51&lt;0),"n.m.",F51/F306-1),"n.a.")</f>
        <v>0.17488201363398015</v>
      </c>
      <c r="G52" s="22">
        <f>IF(AND(ISNUMBER(G51),ISNUMBER(G306)),IF(OR(G306&lt;=0,G51&lt;0),"n.m.",G51/G306-1),"n.a.")</f>
        <v>0.8561306223043745</v>
      </c>
      <c r="H52" s="39">
        <f>IF(AND(ISNUMBER(H51),ISNUMBER(C51)),IF(OR(C51&lt;=0,H51&lt;0),"n.m.",H51/C51-1),"n.a.")</f>
        <v>0.3599999999999999</v>
      </c>
      <c r="I52" s="1"/>
      <c r="J52" s="1"/>
    </row>
    <row r="53">
      <c r="A53" s="1"/>
      <c r="B53" s="51" t="s">
        <v>60</v>
      </c>
      <c r="C53" s="22">
        <f>IF(AND(ISNUMBER(C51),ISNUMBER(G306)),IF(OR(G306&lt;=0,C51&lt;0),"n.m.",C51/G306-1),"n.a.")</f>
        <v>0.026186075169439382</v>
      </c>
      <c r="D53" s="22">
        <f>IF(AND(ISNUMBER(D51),ISNUMBER(C51)),IF(OR(C51&lt;=0,D51&lt;0),"n.m.",D51/C51-1),"n.a.")</f>
        <v>-0.14169918943260285</v>
      </c>
      <c r="E53" s="1"/>
      <c r="F53" s="22">
        <f>IF(AND(ISNUMBER(F51),ISNUMBER(D51)),IF(OR(D51&lt;=0,F51&lt;0),"n.m.",F51/D51-1),"n.a.")</f>
        <v>0.5673312346974466</v>
      </c>
      <c r="G53" s="22">
        <f>IF(AND(ISNUMBER(G51),ISNUMBER(F51)),IF(OR(F51&lt;=0,G51&lt;0),"n.m.",G51/F51-1),"n.a.")</f>
        <v>0.3445659451015399</v>
      </c>
      <c r="H53" s="39">
        <f>IF(AND(ISNUMBER(H51),ISNUMBER(G51)),IF(OR(G51&lt;=0,H51&lt;0),"n.m.",H51/G51-1),"n.a.")</f>
        <v>-0.24810622406639005</v>
      </c>
      <c r="I53" s="1"/>
      <c r="J53" s="1"/>
    </row>
    <row r="54">
      <c r="A54" s="1"/>
      <c r="B54" s="51" t="s">
        <v>396</v>
      </c>
      <c r="C54" s="22">
        <f>IFERROR(C51/C84,"n.a.")</f>
        <v>0.16757219036120333</v>
      </c>
      <c r="D54" s="22">
        <f>IFERROR(D51/D84,"n.a.")</f>
        <v>0.14756129032258064</v>
      </c>
      <c r="E54" s="22">
        <f>IFERROR(E51/E84,"n.a.")</f>
        <v>0.16888877558824278</v>
      </c>
      <c r="F54" s="22">
        <f>IFERROR(F51/F84,"n.a.")</f>
        <v>0.1916677360023953</v>
      </c>
      <c r="G54" s="22">
        <f>IFERROR(G51/G84,"n.a.")</f>
        <v>0.24242546171488352</v>
      </c>
      <c r="H54" s="39">
        <f>IFERROR(H51/H84,"n.a.")</f>
        <v>0.1978179658655977</v>
      </c>
      <c r="I54" s="1"/>
      <c r="J54" s="1"/>
    </row>
    <row r="55">
      <c r="A55" s="1"/>
      <c r="B55" s="51" t="s">
        <v>101</v>
      </c>
      <c r="C55" s="67" t="s">
        <v>35</v>
      </c>
      <c r="D55" s="67" t="s">
        <v>35</v>
      </c>
      <c r="E55" s="67" t="s">
        <v>35</v>
      </c>
      <c r="F55" s="67" t="s">
        <v>35</v>
      </c>
      <c r="G55" s="67" t="s">
        <v>35</v>
      </c>
      <c r="H55" s="68" t="s">
        <v>35</v>
      </c>
      <c r="I55" s="1"/>
      <c r="J55" s="1"/>
    </row>
    <row r="56">
      <c r="A56" s="1"/>
      <c r="B56" s="51" t="s">
        <v>102</v>
      </c>
      <c r="C56" s="67" t="s">
        <v>35</v>
      </c>
      <c r="D56" s="67" t="s">
        <v>35</v>
      </c>
      <c r="E56" s="67" t="s">
        <v>35</v>
      </c>
      <c r="F56" s="67" t="s">
        <v>35</v>
      </c>
      <c r="G56" s="67" t="s">
        <v>35</v>
      </c>
      <c r="H56" s="68" t="s">
        <v>35</v>
      </c>
      <c r="I56" s="1"/>
      <c r="J56" s="1"/>
    </row>
    <row r="57">
      <c r="A57" s="1"/>
      <c r="B57" s="51" t="s">
        <v>103</v>
      </c>
      <c r="C57" s="67" t="s">
        <v>35</v>
      </c>
      <c r="D57" s="67" t="s">
        <v>35</v>
      </c>
      <c r="E57" s="67" t="s">
        <v>35</v>
      </c>
      <c r="F57" s="67" t="s">
        <v>35</v>
      </c>
      <c r="G57" s="67" t="s">
        <v>35</v>
      </c>
      <c r="H57" s="68" t="s">
        <v>35</v>
      </c>
      <c r="I57" s="1"/>
      <c r="J57" s="1"/>
    </row>
    <row r="58" ht="27">
      <c r="A58" s="1"/>
      <c r="B58" s="51" t="s">
        <v>409</v>
      </c>
      <c r="C58" s="22">
        <f>IF(AND(ISNUMBER(C51),ISNUMBER(C306)),IF(OR(C306&lt;=0,C51&lt;0),"n.m.",C51/C306-1),"n.a.")</f>
        <v>0.33186725309876053</v>
      </c>
      <c r="D58" s="22">
        <f>IF(AND(ISNUMBER(D51),ISNUMBER(D306)),IF(OR(D306&lt;=0,D51&lt;0),"n.m.",D51/D306-1),"n.a.")</f>
        <v>0.39941262848751835</v>
      </c>
      <c r="E58" s="22">
        <f>IF(AND(ISNUMBER(E51),ISNUMBER(E306)),IF(OR(E306&lt;=0,E51&lt;0),"n.m.",E51/E306-1),"n.a.")</f>
        <v>0.3328638969922544</v>
      </c>
      <c r="F58" s="22">
        <f>IF(AND(ISNUMBER(F51),ISNUMBER(F306)),IF(OR(F306&lt;=0,F51&lt;0),"n.m.",F51/F306-1),"n.a.")</f>
        <v>0.17488201363398015</v>
      </c>
      <c r="G58" s="22">
        <f>IF(AND(ISNUMBER(G51),ISNUMBER(G306)),IF(OR(G306&lt;=0,G51&lt;0),"n.m.",G51/G306-1),"n.a.")</f>
        <v>0.8561306223043745</v>
      </c>
      <c r="H58" s="72">
        <v>0.36</v>
      </c>
      <c r="I58" s="1"/>
      <c r="J58" s="125" t="s">
        <v>410</v>
      </c>
    </row>
    <row r="59" ht="27">
      <c r="A59" s="1"/>
      <c r="B59" s="76" t="s">
        <v>411</v>
      </c>
      <c r="C59" s="43">
        <f>C43+C51</f>
        <v>8944</v>
      </c>
      <c r="D59" s="43">
        <f>D43+D51</f>
        <v>8239</v>
      </c>
      <c r="E59" s="43">
        <f>E43+E51</f>
        <v>35782</v>
      </c>
      <c r="F59" s="43">
        <f>F43+F51</f>
        <v>11559</v>
      </c>
      <c r="G59" s="43">
        <f>G43+G51</f>
        <v>12078</v>
      </c>
      <c r="H59" s="45">
        <f>H43+H51</f>
        <v>10648.33</v>
      </c>
      <c r="I59" s="1"/>
      <c r="J59" s="125" t="s">
        <v>412</v>
      </c>
    </row>
    <row r="60">
      <c r="A60" s="1"/>
      <c r="B60" s="51" t="s">
        <v>99</v>
      </c>
      <c r="C60" s="22">
        <f>IF(AND(ISNUMBER(C59),ISNUMBER(C307)),IF(OR(C307&lt;=0,C59&lt;0),"n.m.",C59/C307-1),"n.a.")</f>
        <v>0.2505592841163311</v>
      </c>
      <c r="D60" s="22">
        <f>IF(AND(ISNUMBER(D59),ISNUMBER(D307)),IF(OR(D307&lt;=0,D59&lt;0),"n.m.",D59/D307-1),"n.a.")</f>
        <v>0.16881827209533262</v>
      </c>
      <c r="E60" s="22">
        <f>IF(AND(ISNUMBER(E59),ISNUMBER(E307)),IF(OR(E307&lt;=0,E59&lt;0),"n.m.",E59/E307-1),"n.a.")</f>
        <v>0.192455093811444</v>
      </c>
      <c r="F60" s="22">
        <f>IF(AND(ISNUMBER(F59),ISNUMBER(F307)),IF(OR(F307&lt;=0,F59&lt;0),"n.m.",F59/F307-1),"n.a.")</f>
        <v>0.1962123564110525</v>
      </c>
      <c r="G60" s="22">
        <f>IF(AND(ISNUMBER(G59),ISNUMBER(G307)),IF(OR(G307&lt;=0,G59&lt;0),"n.m.",G59/G307-1),"n.a.")</f>
        <v>0.35161145926589077</v>
      </c>
      <c r="H60" s="39">
        <f>IF(AND(ISNUMBER(H59),ISNUMBER(C59)),IF(OR(C59&lt;=0,H59&lt;0),"n.m.",H59/C59-1),"n.a.")</f>
        <v>0.19055567978533094</v>
      </c>
      <c r="I60" s="1"/>
      <c r="J60" s="1"/>
    </row>
    <row r="61">
      <c r="A61" s="1"/>
      <c r="B61" s="51" t="s">
        <v>60</v>
      </c>
      <c r="C61" s="22">
        <f>IF(AND(ISNUMBER(C59),ISNUMBER(G307)),IF(OR(G307&lt;=0,C59&lt;0),"n.m.",C59/G307-1),"n.a.")</f>
        <v>0.0008952551477170445</v>
      </c>
      <c r="D61" s="22">
        <f>IF(AND(ISNUMBER(D59),ISNUMBER(C59)),IF(OR(C59&lt;=0,D59&lt;0),"n.m.",D59/C59-1),"n.a.")</f>
        <v>-0.07882379248658322</v>
      </c>
      <c r="E61" s="1"/>
      <c r="F61" s="22">
        <f>IF(AND(ISNUMBER(F59),ISNUMBER(D59)),IF(OR(D59&lt;=0,F59&lt;0),"n.m.",F59/D59-1),"n.a.")</f>
        <v>0.4029615244568516</v>
      </c>
      <c r="G61" s="22">
        <f>IF(AND(ISNUMBER(G59),ISNUMBER(F59)),IF(OR(F59&lt;=0,G59&lt;0),"n.m.",G59/F59-1),"n.a.")</f>
        <v>0.044900077861406595</v>
      </c>
      <c r="H61" s="39">
        <f>IF(AND(ISNUMBER(H59),ISNUMBER(G59)),IF(OR(G59&lt;=0,H59&lt;0),"n.m.",H59/G59-1),"n.a.")</f>
        <v>-0.11836976320582882</v>
      </c>
      <c r="I61" s="1"/>
      <c r="J61" s="1"/>
    </row>
    <row r="62">
      <c r="A62" s="1"/>
      <c r="B62" s="51" t="s">
        <v>396</v>
      </c>
      <c r="C62" s="22">
        <f>IFERROR(C59/C84,"n.a.")</f>
        <v>0.44994466244088943</v>
      </c>
      <c r="D62" s="22">
        <f>IFERROR(D59/D84,"n.a.")</f>
        <v>0.42523870967741934</v>
      </c>
      <c r="E62" s="22">
        <f>IFERROR(E59/E84,"n.a.")</f>
        <v>0.4560889183470569</v>
      </c>
      <c r="F62" s="22">
        <f>IFERROR(F59/F84,"n.a.")</f>
        <v>0.4944180674964712</v>
      </c>
      <c r="G62" s="22">
        <f>IFERROR(G59/G84,"n.a.")</f>
        <v>0.48597754798213494</v>
      </c>
      <c r="H62" s="39">
        <f>IFERROR(H59/H84,"n.a.")</f>
        <v>0.4649793783145893</v>
      </c>
      <c r="I62" s="1"/>
      <c r="J62" s="1"/>
    </row>
    <row r="63">
      <c r="A63" s="1"/>
      <c r="B63" s="51" t="s">
        <v>101</v>
      </c>
      <c r="C63" s="67" t="s">
        <v>35</v>
      </c>
      <c r="D63" s="67" t="s">
        <v>35</v>
      </c>
      <c r="E63" s="67" t="s">
        <v>35</v>
      </c>
      <c r="F63" s="67" t="s">
        <v>35</v>
      </c>
      <c r="G63" s="67" t="s">
        <v>35</v>
      </c>
      <c r="H63" s="68" t="s">
        <v>35</v>
      </c>
      <c r="I63" s="1"/>
      <c r="J63" s="1"/>
    </row>
    <row r="64">
      <c r="A64" s="1"/>
      <c r="B64" s="51" t="s">
        <v>102</v>
      </c>
      <c r="C64" s="67" t="s">
        <v>35</v>
      </c>
      <c r="D64" s="67" t="s">
        <v>35</v>
      </c>
      <c r="E64" s="67" t="s">
        <v>35</v>
      </c>
      <c r="F64" s="67" t="s">
        <v>35</v>
      </c>
      <c r="G64" s="67" t="s">
        <v>35</v>
      </c>
      <c r="H64" s="68" t="s">
        <v>35</v>
      </c>
      <c r="I64" s="1"/>
      <c r="J64" s="1"/>
    </row>
    <row r="65">
      <c r="A65" s="1"/>
      <c r="B65" s="51" t="s">
        <v>103</v>
      </c>
      <c r="C65" s="67" t="s">
        <v>35</v>
      </c>
      <c r="D65" s="67" t="s">
        <v>35</v>
      </c>
      <c r="E65" s="67" t="s">
        <v>35</v>
      </c>
      <c r="F65" s="67" t="s">
        <v>35</v>
      </c>
      <c r="G65" s="67" t="s">
        <v>35</v>
      </c>
      <c r="H65" s="68" t="s">
        <v>35</v>
      </c>
      <c r="I65" s="1"/>
      <c r="J65" s="1"/>
    </row>
    <row r="66">
      <c r="A66" s="1"/>
      <c r="B66" s="21" t="s">
        <v>413</v>
      </c>
      <c r="C66" s="3">
        <v>1423</v>
      </c>
      <c r="D66" s="3">
        <v>1489</v>
      </c>
      <c r="E66" s="3">
        <v>5599</v>
      </c>
      <c r="F66" s="3">
        <v>1499</v>
      </c>
      <c r="G66" s="3">
        <v>1657</v>
      </c>
      <c r="H66" s="29">
        <f>C66*(1+H73)</f>
        <v>1636.4499999999998</v>
      </c>
      <c r="I66" s="1"/>
      <c r="J66" s="2" t="s">
        <v>398</v>
      </c>
    </row>
    <row r="67">
      <c r="A67" s="1"/>
      <c r="B67" s="51" t="s">
        <v>99</v>
      </c>
      <c r="C67" s="22">
        <f>IF(AND(ISNUMBER(C66),ISNUMBER(C308)),IF(OR(C308&lt;=0,C66&lt;0),"n.m.",C66/C308-1),"n.a.")</f>
        <v>0.07315233785822017</v>
      </c>
      <c r="D67" s="22">
        <f>IF(AND(ISNUMBER(D66),ISNUMBER(D308)),IF(OR(D308&lt;=0,D66&lt;0),"n.m.",D66/D308-1),"n.a.")</f>
        <v>0.13318112633181123</v>
      </c>
      <c r="E67" s="22">
        <f>IF(AND(ISNUMBER(E66),ISNUMBER(E308)),IF(OR(E308&lt;=0,E66&lt;0),"n.m.",E66/E308-1),"n.a.")</f>
        <v>0.10129819040125887</v>
      </c>
      <c r="F67" s="22">
        <f>IF(AND(ISNUMBER(F66),ISNUMBER(F308)),IF(OR(F308&lt;=0,F66&lt;0),"n.m.",F66/F308-1),"n.a.")</f>
        <v>0.18124507486209618</v>
      </c>
      <c r="G67" s="22">
        <f>IF(AND(ISNUMBER(G66),ISNUMBER(G308)),IF(OR(G308&lt;=0,G66&lt;0),"n.m.",G66/G308-1),"n.a.")</f>
        <v>0.16854724964739076</v>
      </c>
      <c r="H67" s="39">
        <f>IF(AND(ISNUMBER(H66),ISNUMBER(C66)),IF(OR(C66&lt;=0,H66&lt;0),"n.m.",H66/C66-1),"n.a.")</f>
        <v>0.1499999999999999</v>
      </c>
      <c r="I67" s="1"/>
      <c r="J67" s="1"/>
    </row>
    <row r="68">
      <c r="A68" s="1"/>
      <c r="B68" s="51" t="s">
        <v>60</v>
      </c>
      <c r="C68" s="22">
        <f>IF(AND(ISNUMBER(C66),ISNUMBER(G308)),IF(OR(G308&lt;=0,C66&lt;0),"n.m.",C66/G308-1),"n.a.")</f>
        <v>0.0035260930888576514</v>
      </c>
      <c r="D68" s="22">
        <f>IF(AND(ISNUMBER(D66),ISNUMBER(C66)),IF(OR(C66&lt;=0,D66&lt;0),"n.m.",D66/C66-1),"n.a.")</f>
        <v>0.046380885453267684</v>
      </c>
      <c r="E68" s="1"/>
      <c r="F68" s="22">
        <f>IF(AND(ISNUMBER(F66),ISNUMBER(D66)),IF(OR(D66&lt;=0,F66&lt;0),"n.m.",F66/D66-1),"n.a.")</f>
        <v>0.00671591672263272</v>
      </c>
      <c r="G68" s="22">
        <f>IF(AND(ISNUMBER(G66),ISNUMBER(F66)),IF(OR(F66&lt;=0,G66&lt;0),"n.m.",G66/F66-1),"n.a.")</f>
        <v>0.10540360240160096</v>
      </c>
      <c r="H68" s="39">
        <f>IF(AND(ISNUMBER(H66),ISNUMBER(G66)),IF(OR(G66&lt;=0,H66&lt;0),"n.m.",H66/G66-1),"n.a.")</f>
        <v>-0.012401931200965666</v>
      </c>
      <c r="I68" s="1"/>
      <c r="J68" s="1"/>
    </row>
    <row r="69">
      <c r="A69" s="1"/>
      <c r="B69" s="51" t="s">
        <v>396</v>
      </c>
      <c r="C69" s="22">
        <f>IFERROR(C66/C84,"n.a.")</f>
        <v>0.07158667874031592</v>
      </c>
      <c r="D69" s="22">
        <f>IFERROR(D66/D84,"n.a.")</f>
        <v>0.07685161290322581</v>
      </c>
      <c r="E69" s="22">
        <f>IFERROR(E66/E84,"n.a.")</f>
        <v>0.07136666071838274</v>
      </c>
      <c r="F69" s="22">
        <f>IFERROR(F66/F84,"n.a.")</f>
        <v>0.06411737028957612</v>
      </c>
      <c r="G69" s="22">
        <f>IFERROR(G66/G84,"n.a.")</f>
        <v>0.06667203154548747</v>
      </c>
      <c r="H69" s="39">
        <f>IFERROR(H66/H84,"n.a.")</f>
        <v>0.07145867038708507</v>
      </c>
      <c r="I69" s="1"/>
      <c r="J69" s="1"/>
    </row>
    <row r="70">
      <c r="A70" s="1"/>
      <c r="B70" s="51" t="s">
        <v>101</v>
      </c>
      <c r="C70" s="67" t="s">
        <v>35</v>
      </c>
      <c r="D70" s="67" t="s">
        <v>35</v>
      </c>
      <c r="E70" s="67" t="s">
        <v>35</v>
      </c>
      <c r="F70" s="67" t="s">
        <v>35</v>
      </c>
      <c r="G70" s="67" t="s">
        <v>35</v>
      </c>
      <c r="H70" s="68" t="s">
        <v>35</v>
      </c>
      <c r="I70" s="1"/>
      <c r="J70" s="1"/>
    </row>
    <row r="71">
      <c r="A71" s="1"/>
      <c r="B71" s="51" t="s">
        <v>102</v>
      </c>
      <c r="C71" s="67" t="s">
        <v>35</v>
      </c>
      <c r="D71" s="67" t="s">
        <v>35</v>
      </c>
      <c r="E71" s="67" t="s">
        <v>35</v>
      </c>
      <c r="F71" s="67" t="s">
        <v>35</v>
      </c>
      <c r="G71" s="67" t="s">
        <v>35</v>
      </c>
      <c r="H71" s="68" t="s">
        <v>35</v>
      </c>
      <c r="I71" s="1"/>
      <c r="J71" s="1"/>
    </row>
    <row r="72">
      <c r="A72" s="1"/>
      <c r="B72" s="51" t="s">
        <v>103</v>
      </c>
      <c r="C72" s="67" t="s">
        <v>35</v>
      </c>
      <c r="D72" s="67" t="s">
        <v>35</v>
      </c>
      <c r="E72" s="67" t="s">
        <v>35</v>
      </c>
      <c r="F72" s="67" t="s">
        <v>35</v>
      </c>
      <c r="G72" s="67" t="s">
        <v>35</v>
      </c>
      <c r="H72" s="68" t="s">
        <v>35</v>
      </c>
      <c r="I72" s="1"/>
      <c r="J72" s="1"/>
    </row>
    <row r="73">
      <c r="A73" s="1"/>
      <c r="B73" s="51" t="s">
        <v>414</v>
      </c>
      <c r="C73" s="22">
        <f>IF(AND(ISNUMBER(C66),ISNUMBER(C308)),IF(OR(C308&lt;=0,C66&lt;0),"n.m.",C66/C308-1),"n.a.")</f>
        <v>0.07315233785822017</v>
      </c>
      <c r="D73" s="22">
        <f>IF(AND(ISNUMBER(D66),ISNUMBER(D308)),IF(OR(D308&lt;=0,D66&lt;0),"n.m.",D66/D308-1),"n.a.")</f>
        <v>0.13318112633181123</v>
      </c>
      <c r="E73" s="22">
        <f>IF(AND(ISNUMBER(E66),ISNUMBER(E308)),IF(OR(E308&lt;=0,E66&lt;0),"n.m.",E66/E308-1),"n.a.")</f>
        <v>0.10129819040125887</v>
      </c>
      <c r="F73" s="22">
        <f>IF(AND(ISNUMBER(F66),ISNUMBER(F308)),IF(OR(F308&lt;=0,F66&lt;0),"n.m.",F66/F308-1),"n.a.")</f>
        <v>0.18124507486209618</v>
      </c>
      <c r="G73" s="22">
        <f>IF(AND(ISNUMBER(G66),ISNUMBER(G308)),IF(OR(G308&lt;=0,G66&lt;0),"n.m.",G66/G308-1),"n.a.")</f>
        <v>0.16854724964739076</v>
      </c>
      <c r="H73" s="72">
        <v>0.15</v>
      </c>
      <c r="I73" s="1"/>
      <c r="J73" s="2" t="s">
        <v>415</v>
      </c>
    </row>
    <row r="74">
      <c r="A74" s="1"/>
      <c r="B74" s="21" t="s">
        <v>416</v>
      </c>
      <c r="C74" s="3">
        <v>28</v>
      </c>
      <c r="D74" s="3">
        <v>-4</v>
      </c>
      <c r="E74" s="3">
        <v>-63</v>
      </c>
      <c r="F74" s="3">
        <v>-104</v>
      </c>
      <c r="G74" s="3">
        <v>-44</v>
      </c>
      <c r="H74" s="44">
        <v>-50</v>
      </c>
      <c r="I74" s="1"/>
      <c r="J74" s="2" t="s">
        <v>417</v>
      </c>
    </row>
    <row r="75">
      <c r="A75" s="1"/>
      <c r="B75" s="20" t="s">
        <v>131</v>
      </c>
      <c r="C75" s="10">
        <f>C74-C309</f>
        <v>137</v>
      </c>
      <c r="D75" s="10">
        <f>D74-D309</f>
        <v>29</v>
      </c>
      <c r="E75" s="10">
        <f>E74-E309</f>
        <v>181</v>
      </c>
      <c r="F75" s="10">
        <f>F74-F309</f>
        <v>-84</v>
      </c>
      <c r="G75" s="10">
        <f>G74-G309</f>
        <v>23</v>
      </c>
      <c r="H75" s="29">
        <f>H74-C74</f>
        <v>-78</v>
      </c>
      <c r="I75" s="1"/>
      <c r="J75" s="1"/>
    </row>
    <row r="76">
      <c r="A76" s="1"/>
      <c r="B76" s="20" t="s">
        <v>114</v>
      </c>
      <c r="C76" s="10">
        <f>C74-G309</f>
        <v>95</v>
      </c>
      <c r="D76" s="10">
        <f>D74-C74</f>
        <v>-32</v>
      </c>
      <c r="E76" s="1"/>
      <c r="F76" s="10">
        <f>F74-D74</f>
        <v>-100</v>
      </c>
      <c r="G76" s="10">
        <f>G74-F74</f>
        <v>60</v>
      </c>
      <c r="H76" s="29">
        <f>H74-G74</f>
        <v>-6</v>
      </c>
      <c r="I76" s="1"/>
      <c r="J76" s="1"/>
    </row>
    <row r="77">
      <c r="A77" s="1"/>
      <c r="B77" s="31" t="s">
        <v>418</v>
      </c>
      <c r="C77" s="43">
        <f>C59+C66+C74</f>
        <v>10395</v>
      </c>
      <c r="D77" s="43">
        <f>D59+D66+D74</f>
        <v>9724</v>
      </c>
      <c r="E77" s="43">
        <f>E59+E66+E74</f>
        <v>41318</v>
      </c>
      <c r="F77" s="43">
        <f>F59+F66+F74</f>
        <v>12954</v>
      </c>
      <c r="G77" s="43">
        <f>G59+G66+G74</f>
        <v>13691</v>
      </c>
      <c r="H77" s="45">
        <f>H59+H66+H74</f>
        <v>12234.779999999999</v>
      </c>
      <c r="I77" s="1"/>
      <c r="J77" s="1"/>
    </row>
    <row r="78">
      <c r="A78" s="1"/>
      <c r="B78" s="36" t="s">
        <v>99</v>
      </c>
      <c r="C78" s="22">
        <f>IF(AND(ISNUMBER(C77),ISNUMBER(C310)),IF(OR(C310&lt;=0,C77&lt;0),"n.m.",C77/C310-1),"n.a.")</f>
        <v>0.2420838809893655</v>
      </c>
      <c r="D78" s="22">
        <f>IF(AND(ISNUMBER(D77),ISNUMBER(D310)),IF(OR(D310&lt;=0,D77&lt;0),"n.m.",D77/D310-1),"n.a.")</f>
        <v>0.1673469387755102</v>
      </c>
      <c r="E78" s="22">
        <f>IF(AND(ISNUMBER(E77),ISNUMBER(E310)),IF(OR(E310&lt;=0,E77&lt;0),"n.m.",E77/E310-1),"n.a.")</f>
        <v>0.18569747754469534</v>
      </c>
      <c r="F78" s="22">
        <f>IF(AND(ISNUMBER(F77),ISNUMBER(F310)),IF(OR(F310&lt;=0,F77&lt;0),"n.m.",F77/F310-1),"n.a.")</f>
        <v>0.18713343108504388</v>
      </c>
      <c r="G78" s="22">
        <f>IF(AND(ISNUMBER(G77),ISNUMBER(G310)),IF(OR(G310&lt;=0,G77&lt;0),"n.m.",G77/G310-1),"n.a.")</f>
        <v>0.3309030815592495</v>
      </c>
      <c r="H78" s="39">
        <f>IF(AND(ISNUMBER(H77),ISNUMBER(C77)),IF(OR(C77&lt;=0,H77&lt;0),"n.m.",H77/C77-1),"n.a.")</f>
        <v>0.1769870129870128</v>
      </c>
      <c r="I78" s="1"/>
      <c r="J78" s="1"/>
    </row>
    <row r="79">
      <c r="A79" s="1"/>
      <c r="B79" s="36" t="s">
        <v>60</v>
      </c>
      <c r="C79" s="22">
        <f>IF(AND(ISNUMBER(C77),ISNUMBER(G310)),IF(OR(G310&lt;=0,C77&lt;0),"n.m.",C77/G310-1),"n.a.")</f>
        <v>0.01049868766404205</v>
      </c>
      <c r="D79" s="22">
        <f>IF(AND(ISNUMBER(D77),ISNUMBER(C77)),IF(OR(C77&lt;=0,D77&lt;0),"n.m.",D77/C77-1),"n.a.")</f>
        <v>-0.06455026455026458</v>
      </c>
      <c r="E79" s="1"/>
      <c r="F79" s="22">
        <f>IF(AND(ISNUMBER(F77),ISNUMBER(D77)),IF(OR(D77&lt;=0,F77&lt;0),"n.m.",F77/D77-1),"n.a.")</f>
        <v>0.3321678321678321</v>
      </c>
      <c r="G79" s="22">
        <f>IF(AND(ISNUMBER(G77),ISNUMBER(F77)),IF(OR(F77&lt;=0,G77&lt;0),"n.m.",G77/F77-1),"n.a.")</f>
        <v>0.056893623591168785</v>
      </c>
      <c r="H79" s="39">
        <f>IF(AND(ISNUMBER(H77),ISNUMBER(G77)),IF(OR(G77&lt;=0,H77&lt;0),"n.m.",H77/G77-1),"n.a.")</f>
        <v>-0.10636330436052888</v>
      </c>
      <c r="I79" s="1"/>
      <c r="J79" s="1"/>
    </row>
    <row r="80">
      <c r="A80" s="1"/>
      <c r="B80" s="36" t="s">
        <v>396</v>
      </c>
      <c r="C80" s="22">
        <f>IFERROR(C77/C84,"n.a.")</f>
        <v>0.5229399335949291</v>
      </c>
      <c r="D80" s="22">
        <f>IFERROR(D77/D84,"n.a.")</f>
        <v>0.5018838709677419</v>
      </c>
      <c r="E80" s="22">
        <f>IFERROR(E77/E84,"n.a.")</f>
        <v>0.5266525607362276</v>
      </c>
      <c r="F80" s="22">
        <f>IFERROR(F77/F84,"n.a.")</f>
        <v>0.5540870011548826</v>
      </c>
      <c r="G80" s="22">
        <f>IFERROR(G77/G84,"n.a.")</f>
        <v>0.5508791695167585</v>
      </c>
      <c r="H80" s="39">
        <f>IFERROR(H77/H84,"n.a.")</f>
        <v>0.5342547045607875</v>
      </c>
      <c r="I80" s="1"/>
      <c r="J80" s="1"/>
    </row>
    <row r="81">
      <c r="A81" s="1"/>
      <c r="B81" s="36" t="s">
        <v>101</v>
      </c>
      <c r="C81" s="67" t="s">
        <v>35</v>
      </c>
      <c r="D81" s="67" t="s">
        <v>35</v>
      </c>
      <c r="E81" s="67" t="s">
        <v>35</v>
      </c>
      <c r="F81" s="67" t="s">
        <v>35</v>
      </c>
      <c r="G81" s="67" t="s">
        <v>35</v>
      </c>
      <c r="H81" s="68" t="s">
        <v>35</v>
      </c>
      <c r="I81" s="1"/>
      <c r="J81" s="1"/>
    </row>
    <row r="82">
      <c r="A82" s="1"/>
      <c r="B82" s="36" t="s">
        <v>102</v>
      </c>
      <c r="C82" s="67" t="s">
        <v>35</v>
      </c>
      <c r="D82" s="67" t="s">
        <v>35</v>
      </c>
      <c r="E82" s="67" t="s">
        <v>35</v>
      </c>
      <c r="F82" s="67" t="s">
        <v>35</v>
      </c>
      <c r="G82" s="67" t="s">
        <v>35</v>
      </c>
      <c r="H82" s="68" t="s">
        <v>35</v>
      </c>
      <c r="I82" s="1"/>
      <c r="J82" s="1"/>
    </row>
    <row r="83">
      <c r="A83" s="1"/>
      <c r="B83" s="36" t="s">
        <v>103</v>
      </c>
      <c r="C83" s="67" t="s">
        <v>35</v>
      </c>
      <c r="D83" s="67" t="s">
        <v>35</v>
      </c>
      <c r="E83" s="67" t="s">
        <v>35</v>
      </c>
      <c r="F83" s="67" t="s">
        <v>35</v>
      </c>
      <c r="G83" s="67" t="s">
        <v>35</v>
      </c>
      <c r="H83" s="68" t="s">
        <v>35</v>
      </c>
      <c r="I83" s="1"/>
      <c r="J83" s="1"/>
    </row>
    <row r="84">
      <c r="A84" s="1"/>
      <c r="B84" s="31" t="s">
        <v>419</v>
      </c>
      <c r="C84" s="43">
        <f>C36+C77</f>
        <v>19878</v>
      </c>
      <c r="D84" s="43">
        <f>D36+D77</f>
        <v>19375</v>
      </c>
      <c r="E84" s="43">
        <f>E36+E77</f>
        <v>78454</v>
      </c>
      <c r="F84" s="43">
        <f>F36+F77</f>
        <v>23379</v>
      </c>
      <c r="G84" s="43">
        <f>G36+G77</f>
        <v>24853</v>
      </c>
      <c r="H84" s="45">
        <f>H36+H77</f>
        <v>22900.65</v>
      </c>
      <c r="I84" s="1"/>
      <c r="J84" s="1"/>
    </row>
    <row r="85">
      <c r="A85" s="1"/>
      <c r="B85" s="36" t="s">
        <v>99</v>
      </c>
      <c r="C85" s="22">
        <f>IF(AND(ISNUMBER(C84),ISNUMBER(C311)),IF(OR(C311&lt;=0,C84&lt;0),"n.m.",C84/C311-1),"n.a.")</f>
        <v>0.16826329709080223</v>
      </c>
      <c r="D85" s="22">
        <f>IF(AND(ISNUMBER(D84),ISNUMBER(D311)),IF(OR(D311&lt;=0,D84&lt;0),"n.m.",D84/D311-1),"n.a.")</f>
        <v>0.10097738379361298</v>
      </c>
      <c r="E85" s="22">
        <f>IF(AND(ISNUMBER(E84),ISNUMBER(E311)),IF(OR(E311&lt;=0,E84&lt;0),"n.m.",E84/E311-1),"n.a.")</f>
        <v>0.11894913997204548</v>
      </c>
      <c r="F85" s="22">
        <f>IF(AND(ISNUMBER(F84),ISNUMBER(F311)),IF(OR(F311&lt;=0,F84&lt;0),"n.m.",F84/F311-1),"n.a.")</f>
        <v>0.18880301027153457</v>
      </c>
      <c r="G85" s="22">
        <f>IF(AND(ISNUMBER(G84),ISNUMBER(G311)),IF(OR(G311&lt;=0,G84&lt;0),"n.m.",G84/G311-1),"n.a.")</f>
        <v>0.27222933196826204</v>
      </c>
      <c r="H85" s="39">
        <f>IF(AND(ISNUMBER(H84),ISNUMBER(C84)),IF(OR(C84&lt;=0,H84&lt;0),"n.m.",H84/C84-1),"n.a.")</f>
        <v>0.15206006640507108</v>
      </c>
      <c r="I85" s="1"/>
      <c r="J85" s="1"/>
    </row>
    <row r="86">
      <c r="A86" s="1"/>
      <c r="B86" s="36" t="s">
        <v>60</v>
      </c>
      <c r="C86" s="22">
        <f>IF(AND(ISNUMBER(C84),ISNUMBER(G311)),IF(OR(G311&lt;=0,C84&lt;0),"n.m.",C84/G311-1),"n.a.")</f>
        <v>0.017558228820066635</v>
      </c>
      <c r="D86" s="22">
        <f>IF(AND(ISNUMBER(D84),ISNUMBER(C84)),IF(OR(C84&lt;=0,D84&lt;0),"n.m.",D84/C84-1),"n.a.")</f>
        <v>-0.02530435657510821</v>
      </c>
      <c r="E86" s="1"/>
      <c r="F86" s="22">
        <f>IF(AND(ISNUMBER(F84),ISNUMBER(D84)),IF(OR(D84&lt;=0,F84&lt;0),"n.m.",F84/D84-1),"n.a.")</f>
        <v>0.20665806451612911</v>
      </c>
      <c r="G86" s="22">
        <f>IF(AND(ISNUMBER(G84),ISNUMBER(F84)),IF(OR(F84&lt;=0,G84&lt;0),"n.m.",G84/F84-1),"n.a.")</f>
        <v>0.06304803456093078</v>
      </c>
      <c r="H86" s="39">
        <f>IF(AND(ISNUMBER(H84),ISNUMBER(G84)),IF(OR(G84&lt;=0,H84&lt;0),"n.m.",H84/G84-1),"n.a.")</f>
        <v>-0.07855590874341123</v>
      </c>
      <c r="I86" s="1"/>
      <c r="J86" s="1"/>
    </row>
    <row r="87">
      <c r="A87" s="1"/>
      <c r="B87" s="36" t="s">
        <v>199</v>
      </c>
      <c r="C87" s="42">
        <f>IFERROR(C84/'Revenue summary'!C38,"n.a.")</f>
        <v>0.4218590831918506</v>
      </c>
      <c r="D87" s="42">
        <f>IFERROR(D84/'Revenue summary'!D38,"n.a.")</f>
        <v>0.4142878525455984</v>
      </c>
      <c r="E87" s="42">
        <f>IFERROR(E84/'Revenue summary'!E38,"n.a.")</f>
        <v>0.4227480183855028</v>
      </c>
      <c r="F87" s="42">
        <f>IFERROR(F84/'Revenue summary'!F38,"n.a.")</f>
        <v>0.462620706031344</v>
      </c>
      <c r="G87" s="42">
        <f>IFERROR(G84/'Revenue summary'!G38,"n.a.")</f>
        <v>0.4283375271448761</v>
      </c>
      <c r="H87" s="56">
        <f>IFERROR(H84/'Revenue summary'!H38,"n.a.")</f>
        <v>0.4428075297509797</v>
      </c>
      <c r="I87" s="1"/>
      <c r="J87" s="1"/>
    </row>
    <row r="88">
      <c r="A88" s="1"/>
      <c r="B88" s="36" t="s">
        <v>101</v>
      </c>
      <c r="C88" s="67" t="s">
        <v>35</v>
      </c>
      <c r="D88" s="67" t="s">
        <v>35</v>
      </c>
      <c r="E88" s="67" t="s">
        <v>35</v>
      </c>
      <c r="F88" s="67" t="s">
        <v>35</v>
      </c>
      <c r="G88" s="67" t="s">
        <v>35</v>
      </c>
      <c r="H88" s="68" t="s">
        <v>35</v>
      </c>
      <c r="I88" s="1"/>
      <c r="J88" s="1"/>
    </row>
    <row r="89">
      <c r="A89" s="1"/>
      <c r="B89" s="36" t="s">
        <v>102</v>
      </c>
      <c r="C89" s="67" t="s">
        <v>35</v>
      </c>
      <c r="D89" s="67" t="s">
        <v>35</v>
      </c>
      <c r="E89" s="67" t="s">
        <v>35</v>
      </c>
      <c r="F89" s="67" t="s">
        <v>35</v>
      </c>
      <c r="G89" s="67" t="s">
        <v>35</v>
      </c>
      <c r="H89" s="68" t="s">
        <v>35</v>
      </c>
      <c r="I89" s="1"/>
      <c r="J89" s="1"/>
    </row>
    <row r="90">
      <c r="A90" s="1"/>
      <c r="B90" s="36" t="s">
        <v>103</v>
      </c>
      <c r="C90" s="67" t="s">
        <v>35</v>
      </c>
      <c r="D90" s="67" t="s">
        <v>35</v>
      </c>
      <c r="E90" s="67" t="s">
        <v>35</v>
      </c>
      <c r="F90" s="67" t="s">
        <v>35</v>
      </c>
      <c r="G90" s="67" t="s">
        <v>35</v>
      </c>
      <c r="H90" s="68" t="s">
        <v>35</v>
      </c>
      <c r="I90" s="1"/>
      <c r="J90" s="1"/>
    </row>
    <row r="91">
      <c r="A91" s="1"/>
      <c r="B91" s="24" t="s">
        <v>200</v>
      </c>
      <c r="C91" s="34">
        <f>C84-C227</f>
        <v>0</v>
      </c>
      <c r="D91" s="34">
        <f>D84-D227</f>
        <v>0</v>
      </c>
      <c r="E91" s="34">
        <f>E84-E227</f>
        <v>0</v>
      </c>
      <c r="F91" s="34">
        <f>F84-F227</f>
        <v>0</v>
      </c>
      <c r="G91" s="34">
        <f>G84-G227</f>
        <v>0</v>
      </c>
      <c r="H91" s="48">
        <f>H84-H227</f>
        <v>0</v>
      </c>
      <c r="I91" s="1"/>
      <c r="J91" s="2" t="s">
        <v>118</v>
      </c>
    </row>
    <row r="92">
      <c r="A92" s="1"/>
      <c r="B92" s="1"/>
      <c r="C92" s="1"/>
      <c r="D92" s="1"/>
      <c r="E92" s="1"/>
      <c r="F92" s="1"/>
      <c r="G92" s="1"/>
      <c r="H92" s="30"/>
      <c r="I92" s="1"/>
      <c r="J92" s="1"/>
    </row>
    <row r="93">
      <c r="A93" s="1"/>
      <c r="B93" s="31" t="s">
        <v>420</v>
      </c>
      <c r="C93" s="1"/>
      <c r="D93" s="1"/>
      <c r="E93" s="1"/>
      <c r="F93" s="1"/>
      <c r="G93" s="1"/>
      <c r="H93" s="30"/>
      <c r="I93" s="1"/>
      <c r="J93" s="1"/>
    </row>
    <row r="94">
      <c r="A94" s="1"/>
      <c r="B94" s="21" t="s">
        <v>421</v>
      </c>
      <c r="C94" s="3">
        <v>926</v>
      </c>
      <c r="D94" s="3">
        <v>1033</v>
      </c>
      <c r="E94" s="3">
        <v>3497</v>
      </c>
      <c r="F94" s="3">
        <v>1266</v>
      </c>
      <c r="G94" s="3">
        <v>1012</v>
      </c>
      <c r="H94" s="29">
        <f>C94*(1+H101)</f>
        <v>1129.72</v>
      </c>
      <c r="I94" s="1"/>
      <c r="J94" s="2" t="s">
        <v>422</v>
      </c>
    </row>
    <row r="95">
      <c r="A95" s="1"/>
      <c r="B95" s="51" t="s">
        <v>99</v>
      </c>
      <c r="C95" s="22">
        <f>IF(AND(ISNUMBER(C94),ISNUMBER(C312)),IF(OR(C312&lt;=0,C94&lt;0),"n.m.",C94/C312-1),"n.a.")</f>
        <v>0.09327036599763883</v>
      </c>
      <c r="D95" s="22">
        <f>IF(AND(ISNUMBER(D94),ISNUMBER(D312)),IF(OR(D312&lt;=0,D94&lt;0),"n.m.",D94/D312-1),"n.a.")</f>
        <v>-0.025471698113207597</v>
      </c>
      <c r="E95" s="22">
        <f>IF(AND(ISNUMBER(E94),ISNUMBER(E312)),IF(OR(E312&lt;=0,E94&lt;0),"n.m.",E94/E312-1),"n.a.")</f>
        <v>0.06291793313069904</v>
      </c>
      <c r="F95" s="22">
        <f>IF(AND(ISNUMBER(F94),ISNUMBER(F312)),IF(OR(F312&lt;=0,F94&lt;0),"n.m.",F94/F312-1),"n.a.")</f>
        <v>0.8242074927953891</v>
      </c>
      <c r="G95" s="22">
        <f>IF(AND(ISNUMBER(G94),ISNUMBER(G312)),IF(OR(G312&lt;=0,G94&lt;0),"n.m.",G94/G312-1),"n.a.")</f>
        <v>0.19905213270142186</v>
      </c>
      <c r="H95" s="39">
        <f>IF(AND(ISNUMBER(H94),ISNUMBER(C94)),IF(OR(C94&lt;=0,H94&lt;0),"n.m.",H94/C94-1),"n.a.")</f>
        <v>0.21999999999999997</v>
      </c>
      <c r="I95" s="1"/>
      <c r="J95" s="1"/>
    </row>
    <row r="96">
      <c r="A96" s="1"/>
      <c r="B96" s="51" t="s">
        <v>60</v>
      </c>
      <c r="C96" s="22">
        <f>IF(AND(ISNUMBER(C94),ISNUMBER(G312)),IF(OR(G312&lt;=0,C94&lt;0),"n.m.",C94/G312-1),"n.a.")</f>
        <v>0.09715639810426535</v>
      </c>
      <c r="D96" s="22">
        <f>IF(AND(ISNUMBER(D94),ISNUMBER(C94)),IF(OR(C94&lt;=0,D94&lt;0),"n.m.",D94/C94-1),"n.a.")</f>
        <v>0.1155507559395248</v>
      </c>
      <c r="E96" s="1"/>
      <c r="F96" s="22">
        <f>IF(AND(ISNUMBER(F94),ISNUMBER(D94)),IF(OR(D94&lt;=0,F94&lt;0),"n.m.",F94/D94-1),"n.a.")</f>
        <v>0.2255566311713455</v>
      </c>
      <c r="G96" s="22">
        <f>IF(AND(ISNUMBER(G94),ISNUMBER(F94)),IF(OR(F94&lt;=0,G94&lt;0),"n.m.",G94/F94-1),"n.a.")</f>
        <v>-0.20063191153238547</v>
      </c>
      <c r="H96" s="39">
        <f>IF(AND(ISNUMBER(H94),ISNUMBER(G94)),IF(OR(G94&lt;=0,H94&lt;0),"n.m.",H94/G94-1),"n.a.")</f>
        <v>0.11632411067193682</v>
      </c>
      <c r="I96" s="1"/>
      <c r="J96" s="1"/>
    </row>
    <row r="97">
      <c r="A97" s="1"/>
      <c r="B97" s="51" t="s">
        <v>423</v>
      </c>
      <c r="C97" s="22">
        <f>IFERROR(C94/C118,"n.a.")</f>
        <v>0.35249333840883135</v>
      </c>
      <c r="D97" s="22">
        <f>IFERROR(D94/D118,"n.a.")</f>
        <v>0.44013634426927994</v>
      </c>
      <c r="E97" s="22">
        <f>IFERROR(E94/E118,"n.a.")</f>
        <v>0.35921931176168465</v>
      </c>
      <c r="F97" s="22">
        <f>IFERROR(F94/F118,"n.a.")</f>
        <v>0.43912591050988553</v>
      </c>
      <c r="G97" s="22">
        <f>IFERROR(G94/G118,"n.a.")</f>
        <v>0.30881904180653036</v>
      </c>
      <c r="H97" s="39">
        <f>IFERROR(H94/H118,"n.a.")</f>
        <v>0.369827676513723</v>
      </c>
      <c r="I97" s="1"/>
      <c r="J97" s="1"/>
    </row>
    <row r="98">
      <c r="A98" s="1"/>
      <c r="B98" s="51" t="s">
        <v>101</v>
      </c>
      <c r="C98" s="67" t="s">
        <v>35</v>
      </c>
      <c r="D98" s="67" t="s">
        <v>35</v>
      </c>
      <c r="E98" s="67" t="s">
        <v>35</v>
      </c>
      <c r="F98" s="67" t="s">
        <v>35</v>
      </c>
      <c r="G98" s="67" t="s">
        <v>35</v>
      </c>
      <c r="H98" s="68" t="s">
        <v>35</v>
      </c>
      <c r="I98" s="1"/>
      <c r="J98" s="1"/>
    </row>
    <row r="99">
      <c r="A99" s="1"/>
      <c r="B99" s="51" t="s">
        <v>102</v>
      </c>
      <c r="C99" s="67" t="s">
        <v>35</v>
      </c>
      <c r="D99" s="67" t="s">
        <v>35</v>
      </c>
      <c r="E99" s="67" t="s">
        <v>35</v>
      </c>
      <c r="F99" s="67" t="s">
        <v>35</v>
      </c>
      <c r="G99" s="67" t="s">
        <v>35</v>
      </c>
      <c r="H99" s="68" t="s">
        <v>35</v>
      </c>
      <c r="I99" s="1"/>
      <c r="J99" s="1"/>
    </row>
    <row r="100">
      <c r="A100" s="1"/>
      <c r="B100" s="51" t="s">
        <v>103</v>
      </c>
      <c r="C100" s="67" t="s">
        <v>35</v>
      </c>
      <c r="D100" s="67" t="s">
        <v>35</v>
      </c>
      <c r="E100" s="67" t="s">
        <v>35</v>
      </c>
      <c r="F100" s="67" t="s">
        <v>35</v>
      </c>
      <c r="G100" s="67" t="s">
        <v>35</v>
      </c>
      <c r="H100" s="68" t="s">
        <v>35</v>
      </c>
      <c r="I100" s="1"/>
      <c r="J100" s="1"/>
    </row>
    <row r="101" ht="27">
      <c r="A101" s="1"/>
      <c r="B101" s="51" t="s">
        <v>424</v>
      </c>
      <c r="C101" s="22">
        <f>IF(AND(ISNUMBER(C94),ISNUMBER(C312)),IF(OR(C312&lt;=0,C94&lt;0),"n.m.",C94/C312-1),"n.a.")</f>
        <v>0.09327036599763883</v>
      </c>
      <c r="D101" s="22">
        <f>IF(AND(ISNUMBER(D94),ISNUMBER(D312)),IF(OR(D312&lt;=0,D94&lt;0),"n.m.",D94/D312-1),"n.a.")</f>
        <v>-0.025471698113207597</v>
      </c>
      <c r="E101" s="22">
        <f>IF(AND(ISNUMBER(E94),ISNUMBER(E312)),IF(OR(E312&lt;=0,E94&lt;0),"n.m.",E94/E312-1),"n.a.")</f>
        <v>0.06291793313069904</v>
      </c>
      <c r="F101" s="22">
        <f>IF(AND(ISNUMBER(F94),ISNUMBER(F312)),IF(OR(F312&lt;=0,F94&lt;0),"n.m.",F94/F312-1),"n.a.")</f>
        <v>0.8242074927953891</v>
      </c>
      <c r="G101" s="22">
        <f>IF(AND(ISNUMBER(G94),ISNUMBER(G312)),IF(OR(G312&lt;=0,G94&lt;0),"n.m.",G94/G312-1),"n.a.")</f>
        <v>0.19905213270142186</v>
      </c>
      <c r="H101" s="72">
        <v>0.22</v>
      </c>
      <c r="I101" s="1"/>
      <c r="J101" s="125" t="s">
        <v>425</v>
      </c>
    </row>
    <row r="102">
      <c r="A102" s="1"/>
      <c r="B102" s="21" t="s">
        <v>426</v>
      </c>
      <c r="C102" s="3">
        <v>527</v>
      </c>
      <c r="D102" s="3">
        <v>416</v>
      </c>
      <c r="E102" s="3">
        <v>1732</v>
      </c>
      <c r="F102" s="3">
        <v>472</v>
      </c>
      <c r="G102" s="3">
        <v>829</v>
      </c>
      <c r="H102" s="29">
        <f>C102*(1+H109)</f>
        <v>621.86</v>
      </c>
      <c r="I102" s="1"/>
      <c r="J102" s="2" t="s">
        <v>422</v>
      </c>
    </row>
    <row r="103">
      <c r="A103" s="1"/>
      <c r="B103" s="51" t="s">
        <v>99</v>
      </c>
      <c r="C103" s="22">
        <f>IF(AND(ISNUMBER(C102),ISNUMBER(C313)),IF(OR(C313&lt;=0,C102&lt;0),"n.m.",C102/C313-1),"n.a.")</f>
        <v>0.5319767441860466</v>
      </c>
      <c r="D103" s="22">
        <f>IF(AND(ISNUMBER(D102),ISNUMBER(D313)),IF(OR(D313&lt;=0,D102&lt;0),"n.m.",D102/D313-1),"n.a.")</f>
        <v>-0.16465863453815266</v>
      </c>
      <c r="E103" s="22">
        <f>IF(AND(ISNUMBER(E102),ISNUMBER(E313)),IF(OR(E313&lt;=0,E102&lt;0),"n.m.",E102/E313-1),"n.a.")</f>
        <v>0.023640661938534313</v>
      </c>
      <c r="F103" s="22">
        <f>IF(AND(ISNUMBER(F102),ISNUMBER(F313)),IF(OR(F313&lt;=0,F102&lt;0),"n.m.",F102/F313-1),"n.a.")</f>
        <v>0.45679012345679015</v>
      </c>
      <c r="G103" s="22">
        <f>IF(AND(ISNUMBER(G102),ISNUMBER(G313)),IF(OR(G313&lt;=0,G102&lt;0),"n.m.",G102/G313-1),"n.a.")</f>
        <v>0.7827956989247311</v>
      </c>
      <c r="H103" s="39">
        <f>IF(AND(ISNUMBER(H102),ISNUMBER(C102)),IF(OR(C102&lt;=0,H102&lt;0),"n.m.",H102/C102-1),"n.a.")</f>
        <v>0.17999999999999994</v>
      </c>
      <c r="I103" s="1"/>
      <c r="J103" s="1"/>
    </row>
    <row r="104">
      <c r="A104" s="1"/>
      <c r="B104" s="51" t="s">
        <v>60</v>
      </c>
      <c r="C104" s="22">
        <f>IF(AND(ISNUMBER(C102),ISNUMBER(G313)),IF(OR(G313&lt;=0,C102&lt;0),"n.m.",C102/G313-1),"n.a.")</f>
        <v>0.1333333333333333</v>
      </c>
      <c r="D104" s="22">
        <f>IF(AND(ISNUMBER(D102),ISNUMBER(C102)),IF(OR(C102&lt;=0,D102&lt;0),"n.m.",D102/C102-1),"n.a.")</f>
        <v>-0.21062618595825422</v>
      </c>
      <c r="E104" s="1"/>
      <c r="F104" s="22">
        <f>IF(AND(ISNUMBER(F102),ISNUMBER(D102)),IF(OR(D102&lt;=0,F102&lt;0),"n.m.",F102/D102-1),"n.a.")</f>
        <v>0.13461538461538458</v>
      </c>
      <c r="G104" s="22">
        <f>IF(AND(ISNUMBER(G102),ISNUMBER(F102)),IF(OR(F102&lt;=0,G102&lt;0),"n.m.",G102/F102-1),"n.a.")</f>
        <v>0.7563559322033899</v>
      </c>
      <c r="H104" s="39">
        <f>IF(AND(ISNUMBER(H102),ISNUMBER(G102)),IF(OR(G102&lt;=0,H102&lt;0),"n.m.",H102/G102-1),"n.a.")</f>
        <v>-0.24986731001206275</v>
      </c>
      <c r="I104" s="1"/>
      <c r="J104" s="1"/>
    </row>
    <row r="105">
      <c r="A105" s="1"/>
      <c r="B105" s="51" t="s">
        <v>423</v>
      </c>
      <c r="C105" s="22">
        <f>IFERROR(C102/C118,"n.a.")</f>
        <v>0.20060905976398935</v>
      </c>
      <c r="D105" s="22">
        <f>IFERROR(D102/D118,"n.a.")</f>
        <v>0.17724755006391138</v>
      </c>
      <c r="E105" s="22">
        <f>IFERROR(E102/E118,"n.a.")</f>
        <v>0.17791474062660503</v>
      </c>
      <c r="F105" s="22">
        <f>IFERROR(F102/F118,"n.a.")</f>
        <v>0.16371834894207424</v>
      </c>
      <c r="G105" s="22">
        <f>IFERROR(G102/G118,"n.a.")</f>
        <v>0.25297528227036925</v>
      </c>
      <c r="H105" s="39">
        <f>IFERROR(H102/H118,"n.a.")</f>
        <v>0.20357348627697464</v>
      </c>
      <c r="I105" s="1"/>
      <c r="J105" s="1"/>
    </row>
    <row r="106">
      <c r="A106" s="1"/>
      <c r="B106" s="51" t="s">
        <v>101</v>
      </c>
      <c r="C106" s="67" t="s">
        <v>35</v>
      </c>
      <c r="D106" s="67" t="s">
        <v>35</v>
      </c>
      <c r="E106" s="67" t="s">
        <v>35</v>
      </c>
      <c r="F106" s="67" t="s">
        <v>35</v>
      </c>
      <c r="G106" s="67" t="s">
        <v>35</v>
      </c>
      <c r="H106" s="68" t="s">
        <v>35</v>
      </c>
      <c r="I106" s="1"/>
      <c r="J106" s="1"/>
    </row>
    <row r="107">
      <c r="A107" s="1"/>
      <c r="B107" s="51" t="s">
        <v>102</v>
      </c>
      <c r="C107" s="67" t="s">
        <v>35</v>
      </c>
      <c r="D107" s="67" t="s">
        <v>35</v>
      </c>
      <c r="E107" s="67" t="s">
        <v>35</v>
      </c>
      <c r="F107" s="67" t="s">
        <v>35</v>
      </c>
      <c r="G107" s="67" t="s">
        <v>35</v>
      </c>
      <c r="H107" s="68" t="s">
        <v>35</v>
      </c>
      <c r="I107" s="1"/>
      <c r="J107" s="1"/>
    </row>
    <row r="108">
      <c r="A108" s="1"/>
      <c r="B108" s="51" t="s">
        <v>103</v>
      </c>
      <c r="C108" s="67" t="s">
        <v>35</v>
      </c>
      <c r="D108" s="67" t="s">
        <v>35</v>
      </c>
      <c r="E108" s="67" t="s">
        <v>35</v>
      </c>
      <c r="F108" s="67" t="s">
        <v>35</v>
      </c>
      <c r="G108" s="67" t="s">
        <v>35</v>
      </c>
      <c r="H108" s="68" t="s">
        <v>35</v>
      </c>
      <c r="I108" s="1"/>
      <c r="J108" s="1"/>
    </row>
    <row r="109">
      <c r="A109" s="1"/>
      <c r="B109" s="51" t="s">
        <v>427</v>
      </c>
      <c r="C109" s="22">
        <f>IF(AND(ISNUMBER(C102),ISNUMBER(C313)),IF(OR(C313&lt;=0,C102&lt;0),"n.m.",C102/C313-1),"n.a.")</f>
        <v>0.5319767441860466</v>
      </c>
      <c r="D109" s="22">
        <f>IF(AND(ISNUMBER(D102),ISNUMBER(D313)),IF(OR(D313&lt;=0,D102&lt;0),"n.m.",D102/D313-1),"n.a.")</f>
        <v>-0.16465863453815266</v>
      </c>
      <c r="E109" s="22">
        <f>IF(AND(ISNUMBER(E102),ISNUMBER(E313)),IF(OR(E313&lt;=0,E102&lt;0),"n.m.",E102/E313-1),"n.a.")</f>
        <v>0.023640661938534313</v>
      </c>
      <c r="F109" s="22">
        <f>IF(AND(ISNUMBER(F102),ISNUMBER(F313)),IF(OR(F313&lt;=0,F102&lt;0),"n.m.",F102/F313-1),"n.a.")</f>
        <v>0.45679012345679015</v>
      </c>
      <c r="G109" s="22">
        <f>IF(AND(ISNUMBER(G102),ISNUMBER(G313)),IF(OR(G313&lt;=0,G102&lt;0),"n.m.",G102/G313-1),"n.a.")</f>
        <v>0.7827956989247311</v>
      </c>
      <c r="H109" s="72">
        <v>0.18</v>
      </c>
      <c r="I109" s="1"/>
      <c r="J109" s="2" t="s">
        <v>428</v>
      </c>
    </row>
    <row r="110">
      <c r="A110" s="1"/>
      <c r="B110" s="21" t="s">
        <v>429</v>
      </c>
      <c r="C110" s="3">
        <v>1174</v>
      </c>
      <c r="D110" s="3">
        <v>898</v>
      </c>
      <c r="E110" s="3">
        <v>4506</v>
      </c>
      <c r="F110" s="3">
        <v>1145</v>
      </c>
      <c r="G110" s="3">
        <v>1436</v>
      </c>
      <c r="H110" s="29">
        <f>C110*(1+H117)</f>
        <v>1303.14</v>
      </c>
      <c r="I110" s="1"/>
      <c r="J110" s="2" t="s">
        <v>422</v>
      </c>
    </row>
    <row r="111">
      <c r="A111" s="1"/>
      <c r="B111" s="51" t="s">
        <v>99</v>
      </c>
      <c r="C111" s="22">
        <f>IF(AND(ISNUMBER(C110),ISNUMBER(C314)),IF(OR(C314&lt;=0,C110&lt;0),"n.m.",C110/C314-1),"n.a.")</f>
        <v>0.09107806691449816</v>
      </c>
      <c r="D111" s="22">
        <f>IF(AND(ISNUMBER(D110),ISNUMBER(D314)),IF(OR(D314&lt;=0,D110&lt;0),"n.m.",D110/D314-1),"n.a.")</f>
        <v>-0.02497285559174811</v>
      </c>
      <c r="E111" s="22">
        <f>IF(AND(ISNUMBER(E110),ISNUMBER(E314)),IF(OR(E314&lt;=0,E110&lt;0),"n.m.",E110/E314-1),"n.a.")</f>
        <v>0.08998548621190139</v>
      </c>
      <c r="F111" s="22">
        <f>IF(AND(ISNUMBER(F110),ISNUMBER(F314)),IF(OR(F314&lt;=0,F110&lt;0),"n.m.",F110/F314-1),"n.a.")</f>
        <v>-0.06910569105691056</v>
      </c>
      <c r="G111" s="22">
        <f>IF(AND(ISNUMBER(G110),ISNUMBER(G314)),IF(OR(G314&lt;=0,G110&lt;0),"n.m.",G110/G314-1),"n.a.")</f>
        <v>0.19269102990033216</v>
      </c>
      <c r="H111" s="39">
        <f>IF(AND(ISNUMBER(H110),ISNUMBER(C110)),IF(OR(C110&lt;=0,H110&lt;0),"n.m.",H110/C110-1),"n.a.")</f>
        <v>0.1100000000000001</v>
      </c>
      <c r="I111" s="1"/>
      <c r="J111" s="1"/>
    </row>
    <row r="112">
      <c r="A112" s="1"/>
      <c r="B112" s="51" t="s">
        <v>60</v>
      </c>
      <c r="C112" s="22">
        <f>IF(AND(ISNUMBER(C110),ISNUMBER(G314)),IF(OR(G314&lt;=0,C110&lt;0),"n.m.",C110/G314-1),"n.a.")</f>
        <v>-0.02491694352159468</v>
      </c>
      <c r="D112" s="22">
        <f>IF(AND(ISNUMBER(D110),ISNUMBER(C110)),IF(OR(C110&lt;=0,D110&lt;0),"n.m.",D110/C110-1),"n.a.")</f>
        <v>-0.2350936967632027</v>
      </c>
      <c r="E112" s="1"/>
      <c r="F112" s="22">
        <f>IF(AND(ISNUMBER(F110),ISNUMBER(D110)),IF(OR(D110&lt;=0,F110&lt;0),"n.m.",F110/D110-1),"n.a.")</f>
        <v>0.2750556792873051</v>
      </c>
      <c r="G112" s="22">
        <f>IF(AND(ISNUMBER(G110),ISNUMBER(F110)),IF(OR(F110&lt;=0,G110&lt;0),"n.m.",G110/F110-1),"n.a.")</f>
        <v>0.2541484716157205</v>
      </c>
      <c r="H112" s="39">
        <f>IF(AND(ISNUMBER(H110),ISNUMBER(G110)),IF(OR(G110&lt;=0,H110&lt;0),"n.m.",H110/G110-1),"n.a.")</f>
        <v>-0.09252089136490249</v>
      </c>
      <c r="I112" s="1"/>
      <c r="J112" s="1"/>
    </row>
    <row r="113">
      <c r="A113" s="1"/>
      <c r="B113" s="51" t="s">
        <v>423</v>
      </c>
      <c r="C113" s="22">
        <f>IFERROR(C110/C118,"n.a.")</f>
        <v>0.4468976018271793</v>
      </c>
      <c r="D113" s="22">
        <f>IFERROR(D110/D118,"n.a.")</f>
        <v>0.3826161056668087</v>
      </c>
      <c r="E113" s="22">
        <f>IFERROR(E110/E118,"n.a.")</f>
        <v>0.46286594761171035</v>
      </c>
      <c r="F113" s="22">
        <f>IFERROR(F110/F118,"n.a.")</f>
        <v>0.39715574054804026</v>
      </c>
      <c r="G113" s="22">
        <f>IFERROR(G110/G118,"n.a.")</f>
        <v>0.4382056759231004</v>
      </c>
      <c r="H113" s="39">
        <f>IFERROR(H110/H118,"n.a.")</f>
        <v>0.4265988372093023</v>
      </c>
      <c r="I113" s="1"/>
      <c r="J113" s="1"/>
    </row>
    <row r="114">
      <c r="A114" s="1"/>
      <c r="B114" s="51" t="s">
        <v>101</v>
      </c>
      <c r="C114" s="67" t="s">
        <v>35</v>
      </c>
      <c r="D114" s="67" t="s">
        <v>35</v>
      </c>
      <c r="E114" s="67" t="s">
        <v>35</v>
      </c>
      <c r="F114" s="67" t="s">
        <v>35</v>
      </c>
      <c r="G114" s="67" t="s">
        <v>35</v>
      </c>
      <c r="H114" s="68" t="s">
        <v>35</v>
      </c>
      <c r="I114" s="1"/>
      <c r="J114" s="1"/>
    </row>
    <row r="115">
      <c r="A115" s="1"/>
      <c r="B115" s="51" t="s">
        <v>102</v>
      </c>
      <c r="C115" s="67" t="s">
        <v>35</v>
      </c>
      <c r="D115" s="67" t="s">
        <v>35</v>
      </c>
      <c r="E115" s="67" t="s">
        <v>35</v>
      </c>
      <c r="F115" s="67" t="s">
        <v>35</v>
      </c>
      <c r="G115" s="67" t="s">
        <v>35</v>
      </c>
      <c r="H115" s="68" t="s">
        <v>35</v>
      </c>
      <c r="I115" s="1"/>
      <c r="J115" s="1"/>
    </row>
    <row r="116">
      <c r="A116" s="1"/>
      <c r="B116" s="51" t="s">
        <v>103</v>
      </c>
      <c r="C116" s="67" t="s">
        <v>35</v>
      </c>
      <c r="D116" s="67" t="s">
        <v>35</v>
      </c>
      <c r="E116" s="67" t="s">
        <v>35</v>
      </c>
      <c r="F116" s="67" t="s">
        <v>35</v>
      </c>
      <c r="G116" s="67" t="s">
        <v>35</v>
      </c>
      <c r="H116" s="68" t="s">
        <v>35</v>
      </c>
      <c r="I116" s="1"/>
      <c r="J116" s="1"/>
    </row>
    <row r="117" ht="27">
      <c r="A117" s="1"/>
      <c r="B117" s="51" t="s">
        <v>430</v>
      </c>
      <c r="C117" s="22">
        <f>IF(AND(ISNUMBER(C110),ISNUMBER(C314)),IF(OR(C314&lt;=0,C110&lt;0),"n.m.",C110/C314-1),"n.a.")</f>
        <v>0.09107806691449816</v>
      </c>
      <c r="D117" s="22">
        <f>IF(AND(ISNUMBER(D110),ISNUMBER(D314)),IF(OR(D314&lt;=0,D110&lt;0),"n.m.",D110/D314-1),"n.a.")</f>
        <v>-0.02497285559174811</v>
      </c>
      <c r="E117" s="22">
        <f>IF(AND(ISNUMBER(E110),ISNUMBER(E314)),IF(OR(E314&lt;=0,E110&lt;0),"n.m.",E110/E314-1),"n.a.")</f>
        <v>0.08998548621190139</v>
      </c>
      <c r="F117" s="22">
        <f>IF(AND(ISNUMBER(F110),ISNUMBER(F314)),IF(OR(F314&lt;=0,F110&lt;0),"n.m.",F110/F314-1),"n.a.")</f>
        <v>-0.06910569105691056</v>
      </c>
      <c r="G117" s="22">
        <f>IF(AND(ISNUMBER(G110),ISNUMBER(G314)),IF(OR(G314&lt;=0,G110&lt;0),"n.m.",G110/G314-1),"n.a.")</f>
        <v>0.19269102990033216</v>
      </c>
      <c r="H117" s="72">
        <v>0.11</v>
      </c>
      <c r="I117" s="1"/>
      <c r="J117" s="125" t="s">
        <v>431</v>
      </c>
    </row>
    <row r="118">
      <c r="A118" s="1"/>
      <c r="B118" s="31" t="s">
        <v>432</v>
      </c>
      <c r="C118" s="43">
        <f>C94+C102+C110</f>
        <v>2627</v>
      </c>
      <c r="D118" s="43">
        <f>D94+D102+D110</f>
        <v>2347</v>
      </c>
      <c r="E118" s="43">
        <f>E94+E102+E110</f>
        <v>9735</v>
      </c>
      <c r="F118" s="43">
        <f>F94+F102+F110</f>
        <v>2883</v>
      </c>
      <c r="G118" s="43">
        <f>G94+G102+G110</f>
        <v>3277</v>
      </c>
      <c r="H118" s="45">
        <f>H94+H102+H110</f>
        <v>3054.7200000000003</v>
      </c>
      <c r="I118" s="1"/>
      <c r="J118" s="2" t="s">
        <v>433</v>
      </c>
    </row>
    <row r="119">
      <c r="A119" s="1"/>
      <c r="B119" s="36" t="s">
        <v>99</v>
      </c>
      <c r="C119" s="22">
        <f>IF(AND(ISNUMBER(C118),ISNUMBER(C315)),IF(OR(C315&lt;=0,C118&lt;0),"n.m.",C118/C315-1),"n.a.")</f>
        <v>0.1588001764446405</v>
      </c>
      <c r="D119" s="22">
        <f>IF(AND(ISNUMBER(D118),ISNUMBER(D315)),IF(OR(D315&lt;=0,D118&lt;0),"n.m.",D118/D315-1),"n.a.")</f>
        <v>-0.05324727712787414</v>
      </c>
      <c r="E119" s="22">
        <f>IF(AND(ISNUMBER(E118),ISNUMBER(E315)),IF(OR(E315&lt;=0,E118&lt;0),"n.m.",E118/E315-1),"n.a.")</f>
        <v>0.06790258885476086</v>
      </c>
      <c r="F119" s="22">
        <f>IF(AND(ISNUMBER(F118),ISNUMBER(F315)),IF(OR(F315&lt;=0,F118&lt;0),"n.m.",F118/F315-1),"n.a.")</f>
        <v>0.282473309608541</v>
      </c>
      <c r="G119" s="22">
        <f>IF(AND(ISNUMBER(G118),ISNUMBER(G315)),IF(OR(G315&lt;=0,G118&lt;0),"n.m.",G118/G315-1),"n.a.")</f>
        <v>0.3040191006764823</v>
      </c>
      <c r="H119" s="39">
        <f>IF(AND(ISNUMBER(H118),ISNUMBER(C118)),IF(OR(C118&lt;=0,H118&lt;0),"n.m.",H118/C118-1),"n.a.")</f>
        <v>0.16281690140845084</v>
      </c>
      <c r="I119" s="1"/>
      <c r="J119" s="1"/>
    </row>
    <row r="120">
      <c r="A120" s="1"/>
      <c r="B120" s="36" t="s">
        <v>60</v>
      </c>
      <c r="C120" s="22">
        <f>IF(AND(ISNUMBER(C118),ISNUMBER(G315)),IF(OR(G315&lt;=0,C118&lt;0),"n.m.",C118/G315-1),"n.a.")</f>
        <v>0.04536410664544377</v>
      </c>
      <c r="D120" s="22">
        <f>IF(AND(ISNUMBER(D118),ISNUMBER(C118)),IF(OR(C118&lt;=0,D118&lt;0),"n.m.",D118/C118-1),"n.a.")</f>
        <v>-0.10658545869813474</v>
      </c>
      <c r="E120" s="1"/>
      <c r="F120" s="22">
        <f>IF(AND(ISNUMBER(F118),ISNUMBER(D118)),IF(OR(D118&lt;=0,F118&lt;0),"n.m.",F118/D118-1),"n.a.")</f>
        <v>0.22837665104388583</v>
      </c>
      <c r="G120" s="22">
        <f>IF(AND(ISNUMBER(G118),ISNUMBER(F118)),IF(OR(F118&lt;=0,G118&lt;0),"n.m.",G118/F118-1),"n.a.")</f>
        <v>0.13666319805757898</v>
      </c>
      <c r="H120" s="39">
        <f>IF(AND(ISNUMBER(H118),ISNUMBER(G118)),IF(OR(G118&lt;=0,H118&lt;0),"n.m.",H118/G118-1),"n.a.")</f>
        <v>-0.0678303326212999</v>
      </c>
      <c r="I120" s="1"/>
      <c r="J120" s="1"/>
    </row>
    <row r="121">
      <c r="A121" s="1"/>
      <c r="B121" s="36" t="s">
        <v>396</v>
      </c>
      <c r="C121" s="22">
        <f>IFERROR(C118/C84,"n.a.")</f>
        <v>0.13215615253043567</v>
      </c>
      <c r="D121" s="22">
        <f>IFERROR(D118/D84,"n.a.")</f>
        <v>0.12113548387096774</v>
      </c>
      <c r="E121" s="22">
        <f>IFERROR(E118/E84,"n.a.")</f>
        <v>0.12408545134728631</v>
      </c>
      <c r="F121" s="22">
        <f>IFERROR(F118/F84,"n.a.")</f>
        <v>0.12331579622738355</v>
      </c>
      <c r="G121" s="22">
        <f>IFERROR(G118/G84,"n.a.")</f>
        <v>0.13185530921820304</v>
      </c>
      <c r="H121" s="39">
        <f>IFERROR(H118/H84,"n.a.")</f>
        <v>0.1333901002809964</v>
      </c>
      <c r="I121" s="1"/>
      <c r="J121" s="1"/>
    </row>
    <row r="122">
      <c r="A122" s="1"/>
      <c r="B122" s="36" t="s">
        <v>101</v>
      </c>
      <c r="C122" s="67" t="s">
        <v>35</v>
      </c>
      <c r="D122" s="67" t="s">
        <v>35</v>
      </c>
      <c r="E122" s="67" t="s">
        <v>35</v>
      </c>
      <c r="F122" s="67" t="s">
        <v>35</v>
      </c>
      <c r="G122" s="67" t="s">
        <v>35</v>
      </c>
      <c r="H122" s="68" t="s">
        <v>35</v>
      </c>
      <c r="I122" s="1"/>
      <c r="J122" s="1"/>
    </row>
    <row r="123">
      <c r="A123" s="1"/>
      <c r="B123" s="36" t="s">
        <v>102</v>
      </c>
      <c r="C123" s="67" t="s">
        <v>35</v>
      </c>
      <c r="D123" s="67" t="s">
        <v>35</v>
      </c>
      <c r="E123" s="67" t="s">
        <v>35</v>
      </c>
      <c r="F123" s="67" t="s">
        <v>35</v>
      </c>
      <c r="G123" s="67" t="s">
        <v>35</v>
      </c>
      <c r="H123" s="68" t="s">
        <v>35</v>
      </c>
      <c r="I123" s="1"/>
      <c r="J123" s="1"/>
    </row>
    <row r="124">
      <c r="A124" s="1"/>
      <c r="B124" s="36" t="s">
        <v>103</v>
      </c>
      <c r="C124" s="67" t="s">
        <v>35</v>
      </c>
      <c r="D124" s="67" t="s">
        <v>35</v>
      </c>
      <c r="E124" s="67" t="s">
        <v>35</v>
      </c>
      <c r="F124" s="67" t="s">
        <v>35</v>
      </c>
      <c r="G124" s="67" t="s">
        <v>35</v>
      </c>
      <c r="H124" s="68" t="s">
        <v>35</v>
      </c>
      <c r="I124" s="1"/>
      <c r="J124" s="1"/>
    </row>
    <row r="125">
      <c r="A125" s="1"/>
      <c r="B125" s="21" t="s">
        <v>434</v>
      </c>
      <c r="C125" s="3">
        <v>0</v>
      </c>
      <c r="D125" s="3">
        <v>0</v>
      </c>
      <c r="E125" s="3">
        <v>0</v>
      </c>
      <c r="F125" s="3">
        <v>0</v>
      </c>
      <c r="G125" s="3">
        <v>263</v>
      </c>
      <c r="H125" s="44">
        <v>0</v>
      </c>
      <c r="I125" s="1"/>
      <c r="J125" s="2" t="s">
        <v>435</v>
      </c>
    </row>
    <row r="126" ht="27">
      <c r="A126" s="1"/>
      <c r="B126" s="21" t="s">
        <v>436</v>
      </c>
      <c r="C126" s="10">
        <f>C10-C118</f>
        <v>67</v>
      </c>
      <c r="D126" s="10">
        <f>D10-D118</f>
        <v>205</v>
      </c>
      <c r="E126" s="10">
        <f>E10-E118</f>
        <v>463</v>
      </c>
      <c r="F126" s="10">
        <f>F10-F118</f>
        <v>253</v>
      </c>
      <c r="G126" s="10">
        <f>G10-G118</f>
        <v>625</v>
      </c>
      <c r="H126" s="44">
        <v>150</v>
      </c>
      <c r="I126" s="1"/>
      <c r="J126" s="125" t="s">
        <v>437</v>
      </c>
    </row>
    <row r="127">
      <c r="A127" s="1"/>
      <c r="B127" s="51" t="s">
        <v>58</v>
      </c>
      <c r="C127" s="22">
        <f>IF(AND(ISNUMBER(C126),ISNUMBER(C316)),IF(OR(C316&lt;=0,C126&lt;0),"n.m.",C126/C316-1),"n.a.")</f>
        <v>-0.22988505747126442</v>
      </c>
      <c r="D127" s="22">
        <f>IF(AND(ISNUMBER(D126),ISNUMBER(D316)),IF(OR(D316&lt;=0,D126&lt;0),"n.m.",D126/D316-1),"n.a.")</f>
        <v>0.6666666666666667</v>
      </c>
      <c r="E127" s="22">
        <f>IF(AND(ISNUMBER(E126),ISNUMBER(E316)),IF(OR(E316&lt;=0,E126&lt;0),"n.m.",E126/E316-1),"n.a.")</f>
        <v>-0.10961538461538467</v>
      </c>
      <c r="F127" s="22">
        <f>IF(AND(ISNUMBER(F126),ISNUMBER(F316)),IF(OR(F316&lt;=0,F126&lt;0),"n.m.",F126/F316-1),"n.a.")</f>
        <v>11.65</v>
      </c>
      <c r="G127" s="22">
        <f>IF(AND(ISNUMBER(G126),ISNUMBER(G316)),IF(OR(G316&lt;=0,G126&lt;0),"n.m.",G126/G316-1),"n.a.")</f>
        <v>2.654970760233918</v>
      </c>
      <c r="H127" s="39">
        <f>IF(AND(ISNUMBER(H126),ISNUMBER(C126)),IF(OR(C126&lt;=0,H126&lt;0),"n.m.",H126/C126-1),"n.a.")</f>
        <v>1.2388059701492535</v>
      </c>
      <c r="I127" s="1"/>
      <c r="J127" s="1"/>
    </row>
    <row r="128">
      <c r="A128" s="1"/>
      <c r="B128" s="20" t="s">
        <v>114</v>
      </c>
      <c r="C128" s="10">
        <f>C126-G316</f>
        <v>-104</v>
      </c>
      <c r="D128" s="10">
        <f>D126-C126</f>
        <v>138</v>
      </c>
      <c r="E128" s="1"/>
      <c r="F128" s="10">
        <f>F126-D126</f>
        <v>48</v>
      </c>
      <c r="G128" s="10">
        <f>G126-F126</f>
        <v>372</v>
      </c>
      <c r="H128" s="29">
        <f>H126-G126</f>
        <v>-475</v>
      </c>
      <c r="I128" s="1"/>
      <c r="J128" s="1"/>
    </row>
    <row r="129">
      <c r="A129" s="1"/>
      <c r="B129" s="1"/>
      <c r="C129" s="1"/>
      <c r="D129" s="1"/>
      <c r="E129" s="1"/>
      <c r="F129" s="1"/>
      <c r="G129" s="1"/>
      <c r="H129" s="30"/>
      <c r="I129" s="1"/>
      <c r="J129" s="1"/>
    </row>
    <row r="130">
      <c r="A130" s="1"/>
      <c r="B130" s="31" t="s">
        <v>438</v>
      </c>
      <c r="C130" s="1"/>
      <c r="D130" s="1"/>
      <c r="E130" s="1"/>
      <c r="F130" s="1"/>
      <c r="G130" s="1"/>
      <c r="H130" s="30"/>
      <c r="I130" s="1"/>
      <c r="J130" s="1"/>
    </row>
    <row r="131">
      <c r="A131" s="1"/>
      <c r="B131" s="21" t="s">
        <v>439</v>
      </c>
      <c r="C131" s="3">
        <v>6544</v>
      </c>
      <c r="D131" s="3">
        <v>6493</v>
      </c>
      <c r="E131" s="3">
        <v>25285</v>
      </c>
      <c r="F131" s="3">
        <v>7265</v>
      </c>
      <c r="G131" s="3">
        <v>7797</v>
      </c>
      <c r="H131" s="29">
        <f>H36-H154</f>
        <v>7242.500000000001</v>
      </c>
      <c r="I131" s="1"/>
      <c r="J131" s="2" t="s">
        <v>440</v>
      </c>
    </row>
    <row r="132">
      <c r="A132" s="1"/>
      <c r="B132" s="51" t="s">
        <v>99</v>
      </c>
      <c r="C132" s="22">
        <f>IF(AND(ISNUMBER(C131),ISNUMBER(C317)),IF(OR(C317&lt;=0,C131&lt;0),"n.m.",C131/C317-1),"n.a.")</f>
        <v>0.1370981754995655</v>
      </c>
      <c r="D132" s="22">
        <f>IF(AND(ISNUMBER(D131),ISNUMBER(D317)),IF(OR(D317&lt;=0,D131&lt;0),"n.m.",D131/D317-1),"n.a.")</f>
        <v>0.019469304443397784</v>
      </c>
      <c r="E132" s="22">
        <f>IF(AND(ISNUMBER(E131),ISNUMBER(E317)),IF(OR(E317&lt;=0,E131&lt;0),"n.m.",E131/E317-1),"n.a.")</f>
        <v>0.06328847771236323</v>
      </c>
      <c r="F132" s="22">
        <f>IF(AND(ISNUMBER(F131),ISNUMBER(F317)),IF(OR(F317&lt;=0,F131&lt;0),"n.m.",F131/F317-1),"n.a.")</f>
        <v>0.22533310844999166</v>
      </c>
      <c r="G132" s="22">
        <f>IF(AND(ISNUMBER(G131),ISNUMBER(G317)),IF(OR(G317&lt;=0,G131&lt;0),"n.m.",G131/G317-1),"n.a.")</f>
        <v>0.23389776863427758</v>
      </c>
      <c r="H132" s="39">
        <f>IF(AND(ISNUMBER(H131),ISNUMBER(C131)),IF(OR(C131&lt;=0,H131&lt;0),"n.m.",H131/C131-1),"n.a.")</f>
        <v>0.10673899755501237</v>
      </c>
      <c r="I132" s="1"/>
      <c r="J132" s="1"/>
    </row>
    <row r="133">
      <c r="A133" s="1"/>
      <c r="B133" s="51" t="s">
        <v>60</v>
      </c>
      <c r="C133" s="22">
        <f>IF(AND(ISNUMBER(C131),ISNUMBER(G317)),IF(OR(G317&lt;=0,C131&lt;0),"n.m.",C131/G317-1),"n.a.")</f>
        <v>0.0356068998259218</v>
      </c>
      <c r="D133" s="22">
        <f>IF(AND(ISNUMBER(D131),ISNUMBER(C131)),IF(OR(C131&lt;=0,D131&lt;0),"n.m.",D131/C131-1),"n.a.")</f>
        <v>-0.007793398533007312</v>
      </c>
      <c r="E133" s="1"/>
      <c r="F133" s="22">
        <f>IF(AND(ISNUMBER(F131),ISNUMBER(D131)),IF(OR(D131&lt;=0,F131&lt;0),"n.m.",F131/D131-1),"n.a.")</f>
        <v>0.11889727398737104</v>
      </c>
      <c r="G133" s="22">
        <f>IF(AND(ISNUMBER(G131),ISNUMBER(F131)),IF(OR(F131&lt;=0,G131&lt;0),"n.m.",G131/F131-1),"n.a.")</f>
        <v>0.07322780454232625</v>
      </c>
      <c r="H133" s="39">
        <f>IF(AND(ISNUMBER(H131),ISNUMBER(G131)),IF(OR(G131&lt;=0,H131&lt;0),"n.m.",H131/G131-1),"n.a.")</f>
        <v>-0.07111709631909702</v>
      </c>
      <c r="I133" s="1"/>
      <c r="J133" s="1"/>
    </row>
    <row r="134">
      <c r="A134" s="1"/>
      <c r="B134" s="51" t="s">
        <v>441</v>
      </c>
      <c r="C134" s="22">
        <f>IFERROR(C131/C36,"n.a.")</f>
        <v>0.6900769798586945</v>
      </c>
      <c r="D134" s="22">
        <f>IFERROR(D131/D36,"n.a.")</f>
        <v>0.6727800227955653</v>
      </c>
      <c r="E134" s="22">
        <f>IFERROR(E131/E36,"n.a.")</f>
        <v>0.6808757001292546</v>
      </c>
      <c r="F134" s="22">
        <f>IFERROR(F131/F36,"n.a.")</f>
        <v>0.6968824940047962</v>
      </c>
      <c r="G134" s="22">
        <f>IFERROR(G131/G36,"n.a.")</f>
        <v>0.6985307292599893</v>
      </c>
      <c r="H134" s="39">
        <f>IFERROR(H131/H36,"n.a.")</f>
        <v>0.6790350904333168</v>
      </c>
      <c r="I134" s="1"/>
      <c r="J134" s="1"/>
    </row>
    <row r="135">
      <c r="A135" s="1"/>
      <c r="B135" s="51" t="s">
        <v>101</v>
      </c>
      <c r="C135" s="67" t="s">
        <v>35</v>
      </c>
      <c r="D135" s="67" t="s">
        <v>35</v>
      </c>
      <c r="E135" s="67" t="s">
        <v>35</v>
      </c>
      <c r="F135" s="67" t="s">
        <v>35</v>
      </c>
      <c r="G135" s="67" t="s">
        <v>35</v>
      </c>
      <c r="H135" s="68" t="s">
        <v>35</v>
      </c>
      <c r="I135" s="1"/>
      <c r="J135" s="1"/>
    </row>
    <row r="136">
      <c r="A136" s="1"/>
      <c r="B136" s="51" t="s">
        <v>102</v>
      </c>
      <c r="C136" s="67" t="s">
        <v>35</v>
      </c>
      <c r="D136" s="67" t="s">
        <v>35</v>
      </c>
      <c r="E136" s="67" t="s">
        <v>35</v>
      </c>
      <c r="F136" s="67" t="s">
        <v>35</v>
      </c>
      <c r="G136" s="67" t="s">
        <v>35</v>
      </c>
      <c r="H136" s="68" t="s">
        <v>35</v>
      </c>
      <c r="I136" s="1"/>
      <c r="J136" s="1"/>
    </row>
    <row r="137">
      <c r="A137" s="1"/>
      <c r="B137" s="51" t="s">
        <v>103</v>
      </c>
      <c r="C137" s="67" t="s">
        <v>35</v>
      </c>
      <c r="D137" s="67" t="s">
        <v>35</v>
      </c>
      <c r="E137" s="67" t="s">
        <v>35</v>
      </c>
      <c r="F137" s="67" t="s">
        <v>35</v>
      </c>
      <c r="G137" s="67" t="s">
        <v>35</v>
      </c>
      <c r="H137" s="68" t="s">
        <v>35</v>
      </c>
      <c r="I137" s="1"/>
      <c r="J137" s="1"/>
    </row>
    <row r="138">
      <c r="A138" s="1"/>
      <c r="B138" s="20" t="s">
        <v>442</v>
      </c>
      <c r="C138" s="3">
        <v>2038</v>
      </c>
      <c r="D138" s="3">
        <v>2245</v>
      </c>
      <c r="E138" s="3">
        <v>8306</v>
      </c>
      <c r="F138" s="3">
        <v>2280</v>
      </c>
      <c r="G138" s="3">
        <v>2472</v>
      </c>
      <c r="H138" s="29">
        <f>G138*(1+H145)</f>
        <v>2521.44</v>
      </c>
      <c r="I138" s="1"/>
      <c r="J138" s="2" t="s">
        <v>443</v>
      </c>
    </row>
    <row r="139">
      <c r="A139" s="1"/>
      <c r="B139" s="74" t="s">
        <v>99</v>
      </c>
      <c r="C139" s="22">
        <f>IF(AND(ISNUMBER(C138),ISNUMBER(C318)),IF(OR(C318&lt;=0,C138&lt;0),"n.m.",C138/C318-1),"n.a.")</f>
        <v>0.055411703780424704</v>
      </c>
      <c r="D139" s="22">
        <f>IF(AND(ISNUMBER(D138),ISNUMBER(D318)),IF(OR(D318&lt;=0,D138&lt;0),"n.m.",D138/D318-1),"n.a.")</f>
        <v>0.14249363867684472</v>
      </c>
      <c r="E139" s="22">
        <f>IF(AND(ISNUMBER(E138),ISNUMBER(E318)),IF(OR(E318&lt;=0,E138&lt;0),"n.m.",E138/E318-1),"n.a.")</f>
        <v>0.07049877561541429</v>
      </c>
      <c r="F139" s="22">
        <f>IF(AND(ISNUMBER(F138),ISNUMBER(F318)),IF(OR(F318&lt;=0,F138&lt;0),"n.m.",F138/F318-1),"n.a.")</f>
        <v>0.16564417177914104</v>
      </c>
      <c r="G139" s="22">
        <f>IF(AND(ISNUMBER(G138),ISNUMBER(G318)),IF(OR(G318&lt;=0,G138&lt;0),"n.m.",G138/G318-1),"n.a.")</f>
        <v>0.19593613933236576</v>
      </c>
      <c r="H139" s="39">
        <f>IF(AND(ISNUMBER(H138),ISNUMBER(C138)),IF(OR(C138&lt;=0,H138&lt;0),"n.m.",H138/C138-1),"n.a.")</f>
        <v>0.23721295387634944</v>
      </c>
      <c r="I139" s="1"/>
      <c r="J139" s="1"/>
    </row>
    <row r="140">
      <c r="A140" s="1"/>
      <c r="B140" s="74" t="s">
        <v>60</v>
      </c>
      <c r="C140" s="22">
        <f>IF(AND(ISNUMBER(C138),ISNUMBER(G318)),IF(OR(G318&lt;=0,C138&lt;0),"n.m.",C138/G318-1),"n.a.")</f>
        <v>-0.014029995162070596</v>
      </c>
      <c r="D140" s="22">
        <f>IF(AND(ISNUMBER(D138),ISNUMBER(C138)),IF(OR(C138&lt;=0,D138&lt;0),"n.m.",D138/C138-1),"n.a.")</f>
        <v>0.1015701668302258</v>
      </c>
      <c r="E140" s="1"/>
      <c r="F140" s="22">
        <f>IF(AND(ISNUMBER(F138),ISNUMBER(D138)),IF(OR(D138&lt;=0,F138&lt;0),"n.m.",F138/D138-1),"n.a.")</f>
        <v>0.015590200445434244</v>
      </c>
      <c r="G140" s="22">
        <f>IF(AND(ISNUMBER(G138),ISNUMBER(F138)),IF(OR(F138&lt;=0,G138&lt;0),"n.m.",G138/F138-1),"n.a.")</f>
        <v>0.08421052631578951</v>
      </c>
      <c r="H140" s="39">
        <f>IF(AND(ISNUMBER(H138),ISNUMBER(G138)),IF(OR(G138&lt;=0,H138&lt;0),"n.m.",H138/G138-1),"n.a.")</f>
        <v>0.020000000000000018</v>
      </c>
      <c r="I140" s="1"/>
      <c r="J140" s="1"/>
    </row>
    <row r="141">
      <c r="A141" s="1"/>
      <c r="B141" s="74" t="s">
        <v>441</v>
      </c>
      <c r="C141" s="22">
        <f>IFERROR(C138/C36,"n.a.")</f>
        <v>0.21491089317726458</v>
      </c>
      <c r="D141" s="22">
        <f>IFERROR(D138/D36,"n.a.")</f>
        <v>0.23261838151486894</v>
      </c>
      <c r="E141" s="22">
        <f>IFERROR(E138/E36,"n.a.")</f>
        <v>0.2236643688065489</v>
      </c>
      <c r="F141" s="22">
        <f>IFERROR(F138/F36,"n.a.")</f>
        <v>0.218705035971223</v>
      </c>
      <c r="G141" s="22">
        <f>IFERROR(G138/G36,"n.a.")</f>
        <v>0.22146568715283999</v>
      </c>
      <c r="H141" s="39">
        <f>IFERROR(H138/H36,"n.a.")</f>
        <v>0.23640265632339413</v>
      </c>
      <c r="I141" s="1"/>
      <c r="J141" s="1"/>
    </row>
    <row r="142">
      <c r="A142" s="1"/>
      <c r="B142" s="74" t="s">
        <v>101</v>
      </c>
      <c r="C142" s="67" t="s">
        <v>35</v>
      </c>
      <c r="D142" s="67" t="s">
        <v>35</v>
      </c>
      <c r="E142" s="67" t="s">
        <v>35</v>
      </c>
      <c r="F142" s="67" t="s">
        <v>35</v>
      </c>
      <c r="G142" s="67" t="s">
        <v>35</v>
      </c>
      <c r="H142" s="68" t="s">
        <v>35</v>
      </c>
      <c r="I142" s="1"/>
      <c r="J142" s="1"/>
    </row>
    <row r="143">
      <c r="A143" s="1"/>
      <c r="B143" s="74" t="s">
        <v>102</v>
      </c>
      <c r="C143" s="67" t="s">
        <v>35</v>
      </c>
      <c r="D143" s="67" t="s">
        <v>35</v>
      </c>
      <c r="E143" s="67" t="s">
        <v>35</v>
      </c>
      <c r="F143" s="67" t="s">
        <v>35</v>
      </c>
      <c r="G143" s="67" t="s">
        <v>35</v>
      </c>
      <c r="H143" s="68" t="s">
        <v>35</v>
      </c>
      <c r="I143" s="1"/>
      <c r="J143" s="1"/>
    </row>
    <row r="144">
      <c r="A144" s="1"/>
      <c r="B144" s="74" t="s">
        <v>103</v>
      </c>
      <c r="C144" s="67" t="s">
        <v>35</v>
      </c>
      <c r="D144" s="67" t="s">
        <v>35</v>
      </c>
      <c r="E144" s="67" t="s">
        <v>35</v>
      </c>
      <c r="F144" s="67" t="s">
        <v>35</v>
      </c>
      <c r="G144" s="67" t="s">
        <v>35</v>
      </c>
      <c r="H144" s="68" t="s">
        <v>35</v>
      </c>
      <c r="I144" s="1"/>
      <c r="J144" s="1"/>
    </row>
    <row r="145">
      <c r="A145" s="1"/>
      <c r="B145" s="89" t="s">
        <v>146</v>
      </c>
      <c r="C145" s="22">
        <f>IF(AND(ISNUMBER(C138),ISNUMBER(G318)),IF(OR(G318&lt;=0,C138&lt;0),"n.m.",C138/G318-1),"n.a.")</f>
        <v>-0.014029995162070596</v>
      </c>
      <c r="D145" s="22">
        <f>IF(AND(ISNUMBER(D138),ISNUMBER(C138)),IF(OR(C138&lt;=0,D138&lt;0),"n.m.",D138/C138-1),"n.a.")</f>
        <v>0.1015701668302258</v>
      </c>
      <c r="E145" s="1"/>
      <c r="F145" s="22">
        <f>IF(AND(ISNUMBER(F138),ISNUMBER(D138)),IF(OR(D138&lt;=0,F138&lt;0),"n.m.",F138/D138-1),"n.a.")</f>
        <v>0.015590200445434244</v>
      </c>
      <c r="G145" s="22">
        <f>IF(AND(ISNUMBER(G138),ISNUMBER(F138)),IF(OR(F138&lt;=0,G138&lt;0),"n.m.",G138/F138-1),"n.a.")</f>
        <v>0.08421052631578951</v>
      </c>
      <c r="H145" s="72">
        <v>0.02</v>
      </c>
      <c r="I145" s="1"/>
      <c r="J145" s="1"/>
    </row>
    <row r="146">
      <c r="A146" s="1"/>
      <c r="B146" s="20" t="s">
        <v>444</v>
      </c>
      <c r="C146" s="3">
        <v>901</v>
      </c>
      <c r="D146" s="3">
        <v>913</v>
      </c>
      <c r="E146" s="3">
        <v>3545</v>
      </c>
      <c r="F146" s="3">
        <v>880</v>
      </c>
      <c r="G146" s="3">
        <v>893</v>
      </c>
      <c r="H146" s="29">
        <f>G146*(1+H153)</f>
        <v>901.9300000000001</v>
      </c>
      <c r="I146" s="1"/>
      <c r="J146" s="2" t="s">
        <v>445</v>
      </c>
    </row>
    <row r="147">
      <c r="A147" s="1"/>
      <c r="B147" s="74" t="s">
        <v>99</v>
      </c>
      <c r="C147" s="22">
        <f>IF(AND(ISNUMBER(C146),ISNUMBER(C319)),IF(OR(C319&lt;=0,C146&lt;0),"n.m.",C146/C319-1),"n.a.")</f>
        <v>-0.06145833333333328</v>
      </c>
      <c r="D147" s="22">
        <f>IF(AND(ISNUMBER(D146),ISNUMBER(D319)),IF(OR(D319&lt;=0,D146&lt;0),"n.m.",D146/D319-1),"n.a.")</f>
        <v>-0.0224839400428265</v>
      </c>
      <c r="E147" s="22">
        <f>IF(AND(ISNUMBER(E146),ISNUMBER(E319)),IF(OR(E319&lt;=0,E146&lt;0),"n.m.",E146/E319-1),"n.a.")</f>
        <v>-0.04908798283261806</v>
      </c>
      <c r="F147" s="22">
        <f>IF(AND(ISNUMBER(F146),ISNUMBER(F319)),IF(OR(F319&lt;=0,F146&lt;0),"n.m.",F146/F319-1),"n.a.")</f>
        <v>0.012658227848101333</v>
      </c>
      <c r="G147" s="22">
        <f>IF(AND(ISNUMBER(G146),ISNUMBER(G319)),IF(OR(G319&lt;=0,G146&lt;0),"n.m.",G146/G319-1),"n.a.")</f>
        <v>0.03596287703016232</v>
      </c>
      <c r="H147" s="39">
        <f>IF(AND(ISNUMBER(H146),ISNUMBER(C146)),IF(OR(C146&lt;=0,H146&lt;0),"n.m.",H146/C146-1),"n.a.")</f>
        <v>0.001032186459489548</v>
      </c>
      <c r="I147" s="1"/>
      <c r="J147" s="1"/>
    </row>
    <row r="148">
      <c r="A148" s="1"/>
      <c r="B148" s="74" t="s">
        <v>60</v>
      </c>
      <c r="C148" s="22">
        <f>IF(AND(ISNUMBER(C146),ISNUMBER(G319)),IF(OR(G319&lt;=0,C146&lt;0),"n.m.",C146/G319-1),"n.a.")</f>
        <v>0.04524361948955913</v>
      </c>
      <c r="D148" s="22">
        <f>IF(AND(ISNUMBER(D146),ISNUMBER(C146)),IF(OR(C146&lt;=0,D146&lt;0),"n.m.",D146/C146-1),"n.a.")</f>
        <v>0.013318534961154205</v>
      </c>
      <c r="E148" s="1"/>
      <c r="F148" s="22">
        <f>IF(AND(ISNUMBER(F146),ISNUMBER(D146)),IF(OR(D146&lt;=0,F146&lt;0),"n.m.",F146/D146-1),"n.a.")</f>
        <v>-0.03614457831325302</v>
      </c>
      <c r="G148" s="22">
        <f>IF(AND(ISNUMBER(G146),ISNUMBER(F146)),IF(OR(F146&lt;=0,G146&lt;0),"n.m.",G146/F146-1),"n.a.")</f>
        <v>0.014772727272727382</v>
      </c>
      <c r="H148" s="39">
        <f>IF(AND(ISNUMBER(H146),ISNUMBER(G146)),IF(OR(G146&lt;=0,H146&lt;0),"n.m.",H146/G146-1),"n.a.")</f>
        <v>0.010000000000000009</v>
      </c>
      <c r="I148" s="1"/>
      <c r="J148" s="1"/>
    </row>
    <row r="149">
      <c r="A149" s="1"/>
      <c r="B149" s="74" t="s">
        <v>441</v>
      </c>
      <c r="C149" s="22">
        <f>IFERROR(C146/C36,"n.a.")</f>
        <v>0.09501212696404092</v>
      </c>
      <c r="D149" s="22">
        <f>IFERROR(D146/D36,"n.a.")</f>
        <v>0.09460159568956585</v>
      </c>
      <c r="E149" s="22">
        <f>IFERROR(E146/E36,"n.a.")</f>
        <v>0.09545993106419647</v>
      </c>
      <c r="F149" s="22">
        <f>IFERROR(F146/F36,"n.a.")</f>
        <v>0.08441247002398082</v>
      </c>
      <c r="G149" s="22">
        <f>IFERROR(G146/G36,"n.a.")</f>
        <v>0.08000358358717076</v>
      </c>
      <c r="H149" s="39">
        <f>IFERROR(H146/H36,"n.a.")</f>
        <v>0.0845622532432891</v>
      </c>
      <c r="I149" s="1"/>
      <c r="J149" s="1"/>
    </row>
    <row r="150">
      <c r="A150" s="1"/>
      <c r="B150" s="74" t="s">
        <v>101</v>
      </c>
      <c r="C150" s="67" t="s">
        <v>35</v>
      </c>
      <c r="D150" s="67" t="s">
        <v>35</v>
      </c>
      <c r="E150" s="67" t="s">
        <v>35</v>
      </c>
      <c r="F150" s="67" t="s">
        <v>35</v>
      </c>
      <c r="G150" s="67" t="s">
        <v>35</v>
      </c>
      <c r="H150" s="68" t="s">
        <v>35</v>
      </c>
      <c r="I150" s="1"/>
      <c r="J150" s="1"/>
    </row>
    <row r="151">
      <c r="A151" s="1"/>
      <c r="B151" s="74" t="s">
        <v>102</v>
      </c>
      <c r="C151" s="67" t="s">
        <v>35</v>
      </c>
      <c r="D151" s="67" t="s">
        <v>35</v>
      </c>
      <c r="E151" s="67" t="s">
        <v>35</v>
      </c>
      <c r="F151" s="67" t="s">
        <v>35</v>
      </c>
      <c r="G151" s="67" t="s">
        <v>35</v>
      </c>
      <c r="H151" s="68" t="s">
        <v>35</v>
      </c>
      <c r="I151" s="1"/>
      <c r="J151" s="1"/>
    </row>
    <row r="152">
      <c r="A152" s="1"/>
      <c r="B152" s="74" t="s">
        <v>103</v>
      </c>
      <c r="C152" s="67" t="s">
        <v>35</v>
      </c>
      <c r="D152" s="67" t="s">
        <v>35</v>
      </c>
      <c r="E152" s="67" t="s">
        <v>35</v>
      </c>
      <c r="F152" s="67" t="s">
        <v>35</v>
      </c>
      <c r="G152" s="67" t="s">
        <v>35</v>
      </c>
      <c r="H152" s="68" t="s">
        <v>35</v>
      </c>
      <c r="I152" s="1"/>
      <c r="J152" s="1"/>
    </row>
    <row r="153">
      <c r="A153" s="1"/>
      <c r="B153" s="89" t="s">
        <v>146</v>
      </c>
      <c r="C153" s="22">
        <f>IF(AND(ISNUMBER(C146),ISNUMBER(G319)),IF(OR(G319&lt;=0,C146&lt;0),"n.m.",C146/G319-1),"n.a.")</f>
        <v>0.04524361948955913</v>
      </c>
      <c r="D153" s="22">
        <f>IF(AND(ISNUMBER(D146),ISNUMBER(C146)),IF(OR(C146&lt;=0,D146&lt;0),"n.m.",D146/C146-1),"n.a.")</f>
        <v>0.013318534961154205</v>
      </c>
      <c r="E153" s="1"/>
      <c r="F153" s="22">
        <f>IF(AND(ISNUMBER(F146),ISNUMBER(D146)),IF(OR(D146&lt;=0,F146&lt;0),"n.m.",F146/D146-1),"n.a.")</f>
        <v>-0.03614457831325302</v>
      </c>
      <c r="G153" s="22">
        <f>IF(AND(ISNUMBER(G146),ISNUMBER(F146)),IF(OR(F146&lt;=0,G146&lt;0),"n.m.",G146/F146-1),"n.a.")</f>
        <v>0.014772727272727382</v>
      </c>
      <c r="H153" s="72">
        <v>0.01</v>
      </c>
      <c r="I153" s="1"/>
      <c r="J153" s="1"/>
    </row>
    <row r="154">
      <c r="A154" s="1"/>
      <c r="B154" s="76" t="s">
        <v>446</v>
      </c>
      <c r="C154" s="43">
        <f>C138+C146</f>
        <v>2939</v>
      </c>
      <c r="D154" s="43">
        <f>D138+D146</f>
        <v>3158</v>
      </c>
      <c r="E154" s="43">
        <f>E138+E146</f>
        <v>11851</v>
      </c>
      <c r="F154" s="43">
        <f>F138+F146</f>
        <v>3160</v>
      </c>
      <c r="G154" s="43">
        <f>G138+G146</f>
        <v>3365</v>
      </c>
      <c r="H154" s="45">
        <f>H138+H146</f>
        <v>3423.37</v>
      </c>
      <c r="I154" s="1"/>
      <c r="J154" s="1"/>
    </row>
    <row r="155">
      <c r="A155" s="1"/>
      <c r="B155" s="51" t="s">
        <v>99</v>
      </c>
      <c r="C155" s="22">
        <f>IF(AND(ISNUMBER(C154),ISNUMBER(C320)),IF(OR(C320&lt;=0,C154&lt;0),"n.m.",C154/C320-1),"n.a.")</f>
        <v>0.016603251470079572</v>
      </c>
      <c r="D155" s="22">
        <f>IF(AND(ISNUMBER(D154),ISNUMBER(D320)),IF(OR(D320&lt;=0,D154&lt;0),"n.m.",D154/D320-1),"n.a.")</f>
        <v>0.08934115212142113</v>
      </c>
      <c r="E155" s="22">
        <f>IF(AND(ISNUMBER(E154),ISNUMBER(E320)),IF(OR(E320&lt;=0,E154&lt;0),"n.m.",E154/E320-1),"n.a.")</f>
        <v>0.03168799512492382</v>
      </c>
      <c r="F155" s="22">
        <f>IF(AND(ISNUMBER(F154),ISNUMBER(F320)),IF(OR(F320&lt;=0,F154&lt;0),"n.m.",F154/F320-1),"n.a.")</f>
        <v>0.11858407079646027</v>
      </c>
      <c r="G155" s="22">
        <f>IF(AND(ISNUMBER(G154),ISNUMBER(G320)),IF(OR(G320&lt;=0,G154&lt;0),"n.m.",G154/G320-1),"n.a.")</f>
        <v>0.14885626493683857</v>
      </c>
      <c r="H155" s="39">
        <f>IF(AND(ISNUMBER(H154),ISNUMBER(C154)),IF(OR(C154&lt;=0,H154&lt;0),"n.m.",H154/C154-1),"n.a.")</f>
        <v>0.1648077577407281</v>
      </c>
      <c r="I155" s="1"/>
      <c r="J155" s="1"/>
    </row>
    <row r="156">
      <c r="A156" s="1"/>
      <c r="B156" s="51" t="s">
        <v>60</v>
      </c>
      <c r="C156" s="22">
        <f>IF(AND(ISNUMBER(C154),ISNUMBER(G320)),IF(OR(G320&lt;=0,C154&lt;0),"n.m.",C154/G320-1),"n.a.")</f>
        <v>0.0034141345168998694</v>
      </c>
      <c r="D156" s="22">
        <f>IF(AND(ISNUMBER(D154),ISNUMBER(C154)),IF(OR(C154&lt;=0,D154&lt;0),"n.m.",D154/C154-1),"n.a.")</f>
        <v>0.07451514120449132</v>
      </c>
      <c r="E156" s="1"/>
      <c r="F156" s="22">
        <f>IF(AND(ISNUMBER(F154),ISNUMBER(D154)),IF(OR(D154&lt;=0,F154&lt;0),"n.m.",F154/D154-1),"n.a.")</f>
        <v>0.0006333122229258414</v>
      </c>
      <c r="G156" s="22">
        <f>IF(AND(ISNUMBER(G154),ISNUMBER(F154)),IF(OR(F154&lt;=0,G154&lt;0),"n.m.",G154/F154-1),"n.a.")</f>
        <v>0.06487341772151889</v>
      </c>
      <c r="H156" s="39">
        <f>IF(AND(ISNUMBER(H154),ISNUMBER(G154)),IF(OR(G154&lt;=0,H154&lt;0),"n.m.",H154/G154-1),"n.a.")</f>
        <v>0.017346210995542233</v>
      </c>
      <c r="I156" s="1"/>
      <c r="J156" s="1"/>
    </row>
    <row r="157">
      <c r="A157" s="1"/>
      <c r="B157" s="51" t="s">
        <v>441</v>
      </c>
      <c r="C157" s="22">
        <f>IFERROR(C154/C36,"n.a.")</f>
        <v>0.3099230201413055</v>
      </c>
      <c r="D157" s="22">
        <f>IFERROR(D154/D36,"n.a.")</f>
        <v>0.3272199772044348</v>
      </c>
      <c r="E157" s="22">
        <f>IFERROR(E154/E36,"n.a.")</f>
        <v>0.31912429987074536</v>
      </c>
      <c r="F157" s="22">
        <f>IFERROR(F154/F36,"n.a.")</f>
        <v>0.3031175059952038</v>
      </c>
      <c r="G157" s="22">
        <f>IFERROR(G154/G36,"n.a.")</f>
        <v>0.30146927074001073</v>
      </c>
      <c r="H157" s="39">
        <f>IFERROR(H154/H36,"n.a.")</f>
        <v>0.3209649095666832</v>
      </c>
      <c r="I157" s="1"/>
      <c r="J157" s="1"/>
    </row>
    <row r="158">
      <c r="A158" s="1"/>
      <c r="B158" s="51" t="s">
        <v>101</v>
      </c>
      <c r="C158" s="67" t="s">
        <v>35</v>
      </c>
      <c r="D158" s="67" t="s">
        <v>35</v>
      </c>
      <c r="E158" s="67" t="s">
        <v>35</v>
      </c>
      <c r="F158" s="67" t="s">
        <v>35</v>
      </c>
      <c r="G158" s="67" t="s">
        <v>35</v>
      </c>
      <c r="H158" s="68" t="s">
        <v>35</v>
      </c>
      <c r="I158" s="1"/>
      <c r="J158" s="1"/>
    </row>
    <row r="159">
      <c r="A159" s="1"/>
      <c r="B159" s="51" t="s">
        <v>102</v>
      </c>
      <c r="C159" s="67" t="s">
        <v>35</v>
      </c>
      <c r="D159" s="67" t="s">
        <v>35</v>
      </c>
      <c r="E159" s="67" t="s">
        <v>35</v>
      </c>
      <c r="F159" s="67" t="s">
        <v>35</v>
      </c>
      <c r="G159" s="67" t="s">
        <v>35</v>
      </c>
      <c r="H159" s="68" t="s">
        <v>35</v>
      </c>
      <c r="I159" s="1"/>
      <c r="J159" s="1"/>
    </row>
    <row r="160">
      <c r="A160" s="1"/>
      <c r="B160" s="51" t="s">
        <v>103</v>
      </c>
      <c r="C160" s="67" t="s">
        <v>35</v>
      </c>
      <c r="D160" s="67" t="s">
        <v>35</v>
      </c>
      <c r="E160" s="67" t="s">
        <v>35</v>
      </c>
      <c r="F160" s="67" t="s">
        <v>35</v>
      </c>
      <c r="G160" s="67" t="s">
        <v>35</v>
      </c>
      <c r="H160" s="68" t="s">
        <v>35</v>
      </c>
      <c r="I160" s="1"/>
      <c r="J160" s="1"/>
    </row>
    <row r="161">
      <c r="A161" s="1"/>
      <c r="B161" s="31" t="s">
        <v>447</v>
      </c>
      <c r="C161" s="43">
        <f>C131+C154</f>
        <v>9483</v>
      </c>
      <c r="D161" s="43">
        <f>D131+D154</f>
        <v>9651</v>
      </c>
      <c r="E161" s="43">
        <f>E131+E154</f>
        <v>37136</v>
      </c>
      <c r="F161" s="43">
        <f>F131+F154</f>
        <v>10425</v>
      </c>
      <c r="G161" s="43">
        <f>G131+G154</f>
        <v>11162</v>
      </c>
      <c r="H161" s="45">
        <f>H131+H154</f>
        <v>10665.87</v>
      </c>
      <c r="I161" s="1"/>
      <c r="J161" s="1"/>
    </row>
    <row r="162">
      <c r="A162" s="1"/>
      <c r="B162" s="24" t="s">
        <v>448</v>
      </c>
      <c r="C162" s="34">
        <f>C161-C36</f>
        <v>0</v>
      </c>
      <c r="D162" s="34">
        <f>D161-D36</f>
        <v>0</v>
      </c>
      <c r="E162" s="34">
        <f>E161-E36</f>
        <v>0</v>
      </c>
      <c r="F162" s="34">
        <f>F161-F36</f>
        <v>0</v>
      </c>
      <c r="G162" s="34">
        <f>G161-G36</f>
        <v>0</v>
      </c>
      <c r="H162" s="48">
        <f>H161-H36</f>
        <v>0</v>
      </c>
      <c r="I162" s="1"/>
      <c r="J162" s="2" t="s">
        <v>118</v>
      </c>
    </row>
    <row r="163">
      <c r="A163" s="1"/>
      <c r="B163" s="1"/>
      <c r="C163" s="1"/>
      <c r="D163" s="1"/>
      <c r="E163" s="1"/>
      <c r="F163" s="1"/>
      <c r="G163" s="1"/>
      <c r="H163" s="30"/>
      <c r="I163" s="1"/>
      <c r="J163" s="1"/>
    </row>
    <row r="164">
      <c r="A164" s="1"/>
      <c r="B164" s="31" t="s">
        <v>201</v>
      </c>
      <c r="C164" s="1"/>
      <c r="D164" s="1"/>
      <c r="E164" s="1"/>
      <c r="F164" s="1"/>
      <c r="G164" s="1"/>
      <c r="H164" s="30"/>
      <c r="I164" s="1"/>
      <c r="J164" s="1"/>
    </row>
    <row r="165">
      <c r="A165" s="1"/>
      <c r="B165" s="21" t="s">
        <v>449</v>
      </c>
      <c r="C165" s="10">
        <f>C118</f>
        <v>2627</v>
      </c>
      <c r="D165" s="10">
        <f>D118</f>
        <v>2347</v>
      </c>
      <c r="E165" s="10">
        <f>E118</f>
        <v>9735</v>
      </c>
      <c r="F165" s="10">
        <f>F118</f>
        <v>2883</v>
      </c>
      <c r="G165" s="10">
        <f>G118</f>
        <v>3277</v>
      </c>
      <c r="H165" s="29">
        <f>H118</f>
        <v>3054.7200000000003</v>
      </c>
      <c r="I165" s="1"/>
      <c r="J165" s="1"/>
    </row>
    <row r="166">
      <c r="A166" s="1"/>
      <c r="B166" s="51" t="s">
        <v>99</v>
      </c>
      <c r="C166" s="22">
        <f>IF(AND(ISNUMBER(C165),ISNUMBER(C321)),IF(OR(C321&lt;=0,C165&lt;0),"n.m.",C165/C321-1),"n.a.")</f>
        <v>0.1588001764446405</v>
      </c>
      <c r="D166" s="22">
        <f>IF(AND(ISNUMBER(D165),ISNUMBER(D321)),IF(OR(D321&lt;=0,D165&lt;0),"n.m.",D165/D321-1),"n.a.")</f>
        <v>-0.05324727712787414</v>
      </c>
      <c r="E166" s="22">
        <f>IF(AND(ISNUMBER(E165),ISNUMBER(E321)),IF(OR(E321&lt;=0,E165&lt;0),"n.m.",E165/E321-1),"n.a.")</f>
        <v>0.06790258885476086</v>
      </c>
      <c r="F166" s="22">
        <f>IF(AND(ISNUMBER(F165),ISNUMBER(F321)),IF(OR(F321&lt;=0,F165&lt;0),"n.m.",F165/F321-1),"n.a.")</f>
        <v>0.282473309608541</v>
      </c>
      <c r="G166" s="22">
        <f>IF(AND(ISNUMBER(G165),ISNUMBER(G321)),IF(OR(G321&lt;=0,G165&lt;0),"n.m.",G165/G321-1),"n.a.")</f>
        <v>0.3040191006764823</v>
      </c>
      <c r="H166" s="39">
        <f>IF(AND(ISNUMBER(H165),ISNUMBER(C165)),IF(OR(C165&lt;=0,H165&lt;0),"n.m.",H165/C165-1),"n.a.")</f>
        <v>0.16281690140845084</v>
      </c>
      <c r="I166" s="1"/>
      <c r="J166" s="1"/>
    </row>
    <row r="167">
      <c r="A167" s="1"/>
      <c r="B167" s="51" t="s">
        <v>60</v>
      </c>
      <c r="C167" s="22">
        <f>IF(AND(ISNUMBER(C165),ISNUMBER(G321)),IF(OR(G321&lt;=0,C165&lt;0),"n.m.",C165/G321-1),"n.a.")</f>
        <v>0.04536410664544377</v>
      </c>
      <c r="D167" s="22">
        <f>IF(AND(ISNUMBER(D165),ISNUMBER(C165)),IF(OR(C165&lt;=0,D165&lt;0),"n.m.",D165/C165-1),"n.a.")</f>
        <v>-0.10658545869813474</v>
      </c>
      <c r="E167" s="1"/>
      <c r="F167" s="22">
        <f>IF(AND(ISNUMBER(F165),ISNUMBER(D165)),IF(OR(D165&lt;=0,F165&lt;0),"n.m.",F165/D165-1),"n.a.")</f>
        <v>0.22837665104388583</v>
      </c>
      <c r="G167" s="22">
        <f>IF(AND(ISNUMBER(G165),ISNUMBER(F165)),IF(OR(F165&lt;=0,G165&lt;0),"n.m.",G165/F165-1),"n.a.")</f>
        <v>0.13666319805757898</v>
      </c>
      <c r="H167" s="39">
        <f>IF(AND(ISNUMBER(H165),ISNUMBER(G165)),IF(OR(G165&lt;=0,H165&lt;0),"n.m.",H165/G165-1),"n.a.")</f>
        <v>-0.0678303326212999</v>
      </c>
      <c r="I167" s="1"/>
      <c r="J167" s="1"/>
    </row>
    <row r="168">
      <c r="A168" s="1"/>
      <c r="B168" s="51" t="s">
        <v>396</v>
      </c>
      <c r="C168" s="22">
        <f>IFERROR(C165/C84,"n.a.")</f>
        <v>0.13215615253043567</v>
      </c>
      <c r="D168" s="22">
        <f>IFERROR(D165/D84,"n.a.")</f>
        <v>0.12113548387096774</v>
      </c>
      <c r="E168" s="22">
        <f>IFERROR(E165/E84,"n.a.")</f>
        <v>0.12408545134728631</v>
      </c>
      <c r="F168" s="22">
        <f>IFERROR(F165/F84,"n.a.")</f>
        <v>0.12331579622738355</v>
      </c>
      <c r="G168" s="22">
        <f>IFERROR(G165/G84,"n.a.")</f>
        <v>0.13185530921820304</v>
      </c>
      <c r="H168" s="39">
        <f>IFERROR(H165/H84,"n.a.")</f>
        <v>0.1333901002809964</v>
      </c>
      <c r="I168" s="1"/>
      <c r="J168" s="1"/>
    </row>
    <row r="169">
      <c r="A169" s="1"/>
      <c r="B169" s="51" t="s">
        <v>101</v>
      </c>
      <c r="C169" s="67" t="s">
        <v>35</v>
      </c>
      <c r="D169" s="67" t="s">
        <v>35</v>
      </c>
      <c r="E169" s="67" t="s">
        <v>35</v>
      </c>
      <c r="F169" s="67" t="s">
        <v>35</v>
      </c>
      <c r="G169" s="67" t="s">
        <v>35</v>
      </c>
      <c r="H169" s="68" t="s">
        <v>35</v>
      </c>
      <c r="I169" s="1"/>
      <c r="J169" s="1"/>
    </row>
    <row r="170">
      <c r="A170" s="1"/>
      <c r="B170" s="51" t="s">
        <v>102</v>
      </c>
      <c r="C170" s="67" t="s">
        <v>35</v>
      </c>
      <c r="D170" s="67" t="s">
        <v>35</v>
      </c>
      <c r="E170" s="67" t="s">
        <v>35</v>
      </c>
      <c r="F170" s="67" t="s">
        <v>35</v>
      </c>
      <c r="G170" s="67" t="s">
        <v>35</v>
      </c>
      <c r="H170" s="68" t="s">
        <v>35</v>
      </c>
      <c r="I170" s="1"/>
      <c r="J170" s="1"/>
    </row>
    <row r="171">
      <c r="A171" s="1"/>
      <c r="B171" s="51" t="s">
        <v>103</v>
      </c>
      <c r="C171" s="67" t="s">
        <v>35</v>
      </c>
      <c r="D171" s="67" t="s">
        <v>35</v>
      </c>
      <c r="E171" s="67" t="s">
        <v>35</v>
      </c>
      <c r="F171" s="67" t="s">
        <v>35</v>
      </c>
      <c r="G171" s="67" t="s">
        <v>35</v>
      </c>
      <c r="H171" s="68" t="s">
        <v>35</v>
      </c>
      <c r="I171" s="1"/>
      <c r="J171" s="1"/>
    </row>
    <row r="172">
      <c r="A172" s="1"/>
      <c r="B172" s="21" t="s">
        <v>450</v>
      </c>
      <c r="C172" s="3">
        <v>7090</v>
      </c>
      <c r="D172" s="3">
        <v>5419</v>
      </c>
      <c r="E172" s="3">
        <v>27226</v>
      </c>
      <c r="F172" s="3">
        <v>7897</v>
      </c>
      <c r="G172" s="3">
        <v>8768</v>
      </c>
      <c r="H172" s="29">
        <f>H84-H165-H179-H187-H194-H202-H220</f>
        <v>6678.49</v>
      </c>
      <c r="I172" s="1"/>
      <c r="J172" s="2" t="s">
        <v>451</v>
      </c>
    </row>
    <row r="173">
      <c r="A173" s="1"/>
      <c r="B173" s="51" t="s">
        <v>99</v>
      </c>
      <c r="C173" s="22">
        <f>IF(AND(ISNUMBER(C172),ISNUMBER(C322)),IF(OR(C322&lt;=0,C172&lt;0),"n.m.",C172/C322-1),"n.a.")</f>
        <v>0.20189862688591287</v>
      </c>
      <c r="D173" s="22">
        <f>IF(AND(ISNUMBER(D172),ISNUMBER(D322)),IF(OR(D322&lt;=0,D172&lt;0),"n.m.",D172/D322-1),"n.a.")</f>
        <v>0.05060100814269086</v>
      </c>
      <c r="E173" s="22">
        <f>IF(AND(ISNUMBER(E172),ISNUMBER(E322)),IF(OR(E322&lt;=0,E172&lt;0),"n.m.",E172/E322-1),"n.a.")</f>
        <v>0.11664342547781148</v>
      </c>
      <c r="F173" s="22">
        <f>IF(AND(ISNUMBER(F172),ISNUMBER(F322)),IF(OR(F322&lt;=0,F172&lt;0),"n.m.",F172/F322-1),"n.a.")</f>
        <v>0.0379863301787593</v>
      </c>
      <c r="G173" s="22">
        <f>IF(AND(ISNUMBER(G172),ISNUMBER(G322)),IF(OR(G322&lt;=0,G172&lt;0),"n.m.",G172/G322-1),"n.a.")</f>
        <v>0.23336615557743712</v>
      </c>
      <c r="H173" s="39">
        <f>IF(AND(ISNUMBER(H172),ISNUMBER(C172)),IF(OR(C172&lt;=0,H172&lt;0),"n.m.",H172/C172-1),"n.a.")</f>
        <v>-0.05804090267983075</v>
      </c>
      <c r="I173" s="1"/>
      <c r="J173" s="1"/>
    </row>
    <row r="174">
      <c r="A174" s="1"/>
      <c r="B174" s="51" t="s">
        <v>60</v>
      </c>
      <c r="C174" s="22">
        <f>IF(AND(ISNUMBER(C172),ISNUMBER(G322)),IF(OR(G322&lt;=0,C172&lt;0),"n.m.",C172/G322-1),"n.a.")</f>
        <v>-0.002672668448445603</v>
      </c>
      <c r="D174" s="22">
        <f>IF(AND(ISNUMBER(D172),ISNUMBER(C172)),IF(OR(C172&lt;=0,D172&lt;0),"n.m.",D172/C172-1),"n.a.")</f>
        <v>-0.2356840620592383</v>
      </c>
      <c r="E174" s="1"/>
      <c r="F174" s="22">
        <f>IF(AND(ISNUMBER(F172),ISNUMBER(D172)),IF(OR(D172&lt;=0,F172&lt;0),"n.m.",F172/D172-1),"n.a.")</f>
        <v>0.45727994094851443</v>
      </c>
      <c r="G174" s="22">
        <f>IF(AND(ISNUMBER(G172),ISNUMBER(F172)),IF(OR(F172&lt;=0,G172&lt;0),"n.m.",G172/F172-1),"n.a.")</f>
        <v>0.1102950487526908</v>
      </c>
      <c r="H174" s="39">
        <f>IF(AND(ISNUMBER(H172),ISNUMBER(G172)),IF(OR(G172&lt;=0,H172&lt;0),"n.m.",H172/G172-1),"n.a.")</f>
        <v>-0.23831090328467153</v>
      </c>
      <c r="I174" s="1"/>
      <c r="J174" s="1"/>
    </row>
    <row r="175">
      <c r="A175" s="1"/>
      <c r="B175" s="51" t="s">
        <v>396</v>
      </c>
      <c r="C175" s="22">
        <f>IFERROR(C172/C84,"n.a.")</f>
        <v>0.356675721903612</v>
      </c>
      <c r="D175" s="22">
        <f>IFERROR(D172/D84,"n.a.")</f>
        <v>0.27969032258064513</v>
      </c>
      <c r="E175" s="22">
        <f>IFERROR(E172/E84,"n.a.")</f>
        <v>0.3470313814464527</v>
      </c>
      <c r="F175" s="22">
        <f>IFERROR(F172/F84,"n.a.")</f>
        <v>0.33778176996449805</v>
      </c>
      <c r="G175" s="22">
        <f>IFERROR(G172/G84,"n.a.")</f>
        <v>0.352794431255784</v>
      </c>
      <c r="H175" s="39">
        <f>IFERROR(H172/H84,"n.a.")</f>
        <v>0.29162884022942576</v>
      </c>
      <c r="I175" s="1"/>
      <c r="J175" s="1"/>
    </row>
    <row r="176">
      <c r="A176" s="1"/>
      <c r="B176" s="51" t="s">
        <v>101</v>
      </c>
      <c r="C176" s="67" t="s">
        <v>35</v>
      </c>
      <c r="D176" s="67" t="s">
        <v>35</v>
      </c>
      <c r="E176" s="67" t="s">
        <v>35</v>
      </c>
      <c r="F176" s="67" t="s">
        <v>35</v>
      </c>
      <c r="G176" s="67" t="s">
        <v>35</v>
      </c>
      <c r="H176" s="68" t="s">
        <v>35</v>
      </c>
      <c r="I176" s="1"/>
      <c r="J176" s="1"/>
    </row>
    <row r="177">
      <c r="A177" s="1"/>
      <c r="B177" s="51" t="s">
        <v>102</v>
      </c>
      <c r="C177" s="67" t="s">
        <v>35</v>
      </c>
      <c r="D177" s="67" t="s">
        <v>35</v>
      </c>
      <c r="E177" s="67" t="s">
        <v>35</v>
      </c>
      <c r="F177" s="67" t="s">
        <v>35</v>
      </c>
      <c r="G177" s="67" t="s">
        <v>35</v>
      </c>
      <c r="H177" s="68" t="s">
        <v>35</v>
      </c>
      <c r="I177" s="1"/>
      <c r="J177" s="1"/>
    </row>
    <row r="178">
      <c r="A178" s="1"/>
      <c r="B178" s="51" t="s">
        <v>103</v>
      </c>
      <c r="C178" s="67" t="s">
        <v>35</v>
      </c>
      <c r="D178" s="67" t="s">
        <v>35</v>
      </c>
      <c r="E178" s="67" t="s">
        <v>35</v>
      </c>
      <c r="F178" s="67" t="s">
        <v>35</v>
      </c>
      <c r="G178" s="67" t="s">
        <v>35</v>
      </c>
      <c r="H178" s="68" t="s">
        <v>35</v>
      </c>
      <c r="I178" s="1"/>
      <c r="J178" s="1"/>
    </row>
    <row r="179">
      <c r="A179" s="1"/>
      <c r="B179" s="21" t="s">
        <v>202</v>
      </c>
      <c r="C179" s="3">
        <v>1315</v>
      </c>
      <c r="D179" s="3">
        <v>1336</v>
      </c>
      <c r="E179" s="3">
        <v>5177</v>
      </c>
      <c r="F179" s="3">
        <v>1394</v>
      </c>
      <c r="G179" s="3">
        <v>1487</v>
      </c>
      <c r="H179" s="29">
        <f>G179*(1+H186)</f>
        <v>1516.74</v>
      </c>
      <c r="I179" s="1"/>
      <c r="J179" s="2" t="s">
        <v>443</v>
      </c>
    </row>
    <row r="180">
      <c r="A180" s="1"/>
      <c r="B180" s="51" t="s">
        <v>99</v>
      </c>
      <c r="C180" s="22">
        <f>IF(AND(ISNUMBER(C179),ISNUMBER(C323)),IF(OR(C323&lt;=0,C179&lt;0),"n.m.",C179/C323-1),"n.a.")</f>
        <v>0.31895687061183553</v>
      </c>
      <c r="D180" s="22">
        <f>IF(AND(ISNUMBER(D179),ISNUMBER(D323)),IF(OR(D323&lt;=0,D179&lt;0),"n.m.",D179/D323-1),"n.a.")</f>
        <v>0.30980392156862746</v>
      </c>
      <c r="E180" s="22">
        <f>IF(AND(ISNUMBER(E179),ISNUMBER(E323)),IF(OR(E323&lt;=0,E179&lt;0),"n.m.",E179/E323-1),"n.a.")</f>
        <v>0.32268778742973936</v>
      </c>
      <c r="F180" s="22">
        <f>IF(AND(ISNUMBER(F179),ISNUMBER(F323)),IF(OR(F323&lt;=0,F179&lt;0),"n.m.",F179/F323-1),"n.a.")</f>
        <v>0.1333333333333333</v>
      </c>
      <c r="G180" s="22">
        <f>IF(AND(ISNUMBER(G179),ISNUMBER(G323)),IF(OR(G323&lt;=0,G179&lt;0),"n.m.",G179/G323-1),"n.a.")</f>
        <v>0.1473765432098766</v>
      </c>
      <c r="H180" s="39">
        <f>IF(AND(ISNUMBER(H179),ISNUMBER(C179)),IF(OR(C179&lt;=0,H179&lt;0),"n.m.",H179/C179-1),"n.a.")</f>
        <v>0.1534144486692015</v>
      </c>
      <c r="I180" s="1"/>
      <c r="J180" s="1"/>
    </row>
    <row r="181">
      <c r="A181" s="1"/>
      <c r="B181" s="51" t="s">
        <v>60</v>
      </c>
      <c r="C181" s="22">
        <f>IF(AND(ISNUMBER(C179),ISNUMBER(G323)),IF(OR(G323&lt;=0,C179&lt;0),"n.m.",C179/G323-1),"n.a.")</f>
        <v>0.014660493827160392</v>
      </c>
      <c r="D181" s="22">
        <f>IF(AND(ISNUMBER(D179),ISNUMBER(C179)),IF(OR(C179&lt;=0,D179&lt;0),"n.m.",D179/C179-1),"n.a.")</f>
        <v>0.0159695817490495</v>
      </c>
      <c r="E181" s="1"/>
      <c r="F181" s="22">
        <f>IF(AND(ISNUMBER(F179),ISNUMBER(D179)),IF(OR(D179&lt;=0,F179&lt;0),"n.m.",F179/D179-1),"n.a.")</f>
        <v>0.04341317365269459</v>
      </c>
      <c r="G181" s="22">
        <f>IF(AND(ISNUMBER(G179),ISNUMBER(F179)),IF(OR(F179&lt;=0,G179&lt;0),"n.m.",G179/F179-1),"n.a.")</f>
        <v>0.06671449067431845</v>
      </c>
      <c r="H181" s="39">
        <f>IF(AND(ISNUMBER(H179),ISNUMBER(G179)),IF(OR(G179&lt;=0,H179&lt;0),"n.m.",H179/G179-1),"n.a.")</f>
        <v>0.020000000000000018</v>
      </c>
      <c r="I181" s="1"/>
      <c r="J181" s="1"/>
    </row>
    <row r="182">
      <c r="A182" s="1"/>
      <c r="B182" s="51" t="s">
        <v>396</v>
      </c>
      <c r="C182" s="22">
        <f>IFERROR(C179/C84,"n.a.")</f>
        <v>0.06615353657309589</v>
      </c>
      <c r="D182" s="22">
        <f>IFERROR(D179/D84,"n.a.")</f>
        <v>0.06895483870967742</v>
      </c>
      <c r="E182" s="22">
        <f>IFERROR(E179/E84,"n.a.")</f>
        <v>0.06598771254493078</v>
      </c>
      <c r="F182" s="22">
        <f>IFERROR(F179/F84,"n.a.")</f>
        <v>0.05962616022926558</v>
      </c>
      <c r="G182" s="22">
        <f>IFERROR(G179/G84,"n.a.")</f>
        <v>0.05983181104896793</v>
      </c>
      <c r="H182" s="39">
        <f>IFERROR(H179/H84,"n.a.")</f>
        <v>0.06623130784497383</v>
      </c>
      <c r="I182" s="1"/>
      <c r="J182" s="1"/>
    </row>
    <row r="183">
      <c r="A183" s="1"/>
      <c r="B183" s="51" t="s">
        <v>101</v>
      </c>
      <c r="C183" s="67" t="s">
        <v>35</v>
      </c>
      <c r="D183" s="67" t="s">
        <v>35</v>
      </c>
      <c r="E183" s="67" t="s">
        <v>35</v>
      </c>
      <c r="F183" s="67" t="s">
        <v>35</v>
      </c>
      <c r="G183" s="67" t="s">
        <v>35</v>
      </c>
      <c r="H183" s="68" t="s">
        <v>35</v>
      </c>
      <c r="I183" s="1"/>
      <c r="J183" s="1"/>
    </row>
    <row r="184">
      <c r="A184" s="1"/>
      <c r="B184" s="51" t="s">
        <v>102</v>
      </c>
      <c r="C184" s="67" t="s">
        <v>35</v>
      </c>
      <c r="D184" s="67" t="s">
        <v>35</v>
      </c>
      <c r="E184" s="67" t="s">
        <v>35</v>
      </c>
      <c r="F184" s="67" t="s">
        <v>35</v>
      </c>
      <c r="G184" s="67" t="s">
        <v>35</v>
      </c>
      <c r="H184" s="68" t="s">
        <v>35</v>
      </c>
      <c r="I184" s="1"/>
      <c r="J184" s="1"/>
    </row>
    <row r="185">
      <c r="A185" s="1"/>
      <c r="B185" s="51" t="s">
        <v>103</v>
      </c>
      <c r="C185" s="67" t="s">
        <v>35</v>
      </c>
      <c r="D185" s="67" t="s">
        <v>35</v>
      </c>
      <c r="E185" s="67" t="s">
        <v>35</v>
      </c>
      <c r="F185" s="67" t="s">
        <v>35</v>
      </c>
      <c r="G185" s="67" t="s">
        <v>35</v>
      </c>
      <c r="H185" s="68" t="s">
        <v>35</v>
      </c>
      <c r="I185" s="1"/>
      <c r="J185" s="1"/>
    </row>
    <row r="186">
      <c r="A186" s="1"/>
      <c r="B186" s="74" t="s">
        <v>146</v>
      </c>
      <c r="C186" s="22">
        <f>IF(AND(ISNUMBER(C179),ISNUMBER(G323)),IF(OR(G323&lt;=0,C179&lt;0),"n.m.",C179/G323-1),"n.a.")</f>
        <v>0.014660493827160392</v>
      </c>
      <c r="D186" s="22">
        <f>IF(AND(ISNUMBER(D179),ISNUMBER(C179)),IF(OR(C179&lt;=0,D179&lt;0),"n.m.",D179/C179-1),"n.a.")</f>
        <v>0.0159695817490495</v>
      </c>
      <c r="E186" s="1"/>
      <c r="F186" s="22">
        <f>IF(AND(ISNUMBER(F179),ISNUMBER(D179)),IF(OR(D179&lt;=0,F179&lt;0),"n.m.",F179/D179-1),"n.a.")</f>
        <v>0.04341317365269459</v>
      </c>
      <c r="G186" s="22">
        <f>IF(AND(ISNUMBER(G179),ISNUMBER(F179)),IF(OR(F179&lt;=0,G179&lt;0),"n.m.",G179/F179-1),"n.a.")</f>
        <v>0.06671449067431845</v>
      </c>
      <c r="H186" s="72">
        <v>0.02</v>
      </c>
      <c r="I186" s="1"/>
      <c r="J186" s="1"/>
    </row>
    <row r="187">
      <c r="A187" s="1"/>
      <c r="B187" s="21" t="s">
        <v>452</v>
      </c>
      <c r="C187" s="3">
        <v>1493</v>
      </c>
      <c r="D187" s="3">
        <v>1562</v>
      </c>
      <c r="E187" s="3">
        <v>5985</v>
      </c>
      <c r="F187" s="3">
        <v>1714</v>
      </c>
      <c r="G187" s="3">
        <v>1748</v>
      </c>
      <c r="H187" s="29">
        <f>G187</f>
        <v>1748</v>
      </c>
      <c r="I187" s="1"/>
      <c r="J187" s="2" t="s">
        <v>453</v>
      </c>
    </row>
    <row r="188">
      <c r="A188" s="1"/>
      <c r="B188" s="51" t="s">
        <v>99</v>
      </c>
      <c r="C188" s="22">
        <f>IF(AND(ISNUMBER(C187),ISNUMBER(C324)),IF(OR(C324&lt;=0,C187&lt;0),"n.m.",C187/C324-1),"n.a.")</f>
        <v>0.10674573758339512</v>
      </c>
      <c r="D188" s="22">
        <f>IF(AND(ISNUMBER(D187),ISNUMBER(D324)),IF(OR(D324&lt;=0,D187&lt;0),"n.m.",D187/D324-1),"n.a.")</f>
        <v>0.18333333333333335</v>
      </c>
      <c r="E188" s="22">
        <f>IF(AND(ISNUMBER(E187),ISNUMBER(E324)),IF(OR(E324&lt;=0,E187&lt;0),"n.m.",E187/E324-1),"n.a.")</f>
        <v>0.13395225464190985</v>
      </c>
      <c r="F188" s="22">
        <f>IF(AND(ISNUMBER(F187),ISNUMBER(F324)),IF(OR(F324&lt;=0,F187&lt;0),"n.m.",F187/F324-1),"n.a.")</f>
        <v>0.1927627000695895</v>
      </c>
      <c r="G188" s="22">
        <f>IF(AND(ISNUMBER(G187),ISNUMBER(G324)),IF(OR(G324&lt;=0,G187&lt;0),"n.m.",G187/G324-1),"n.a.")</f>
        <v>0.1707970529135967</v>
      </c>
      <c r="H188" s="39">
        <f>IF(AND(ISNUMBER(H187),ISNUMBER(C187)),IF(OR(C187&lt;=0,H187&lt;0),"n.m.",H187/C187-1),"n.a.")</f>
        <v>0.1707970529135967</v>
      </c>
      <c r="I188" s="1"/>
      <c r="J188" s="1"/>
    </row>
    <row r="189">
      <c r="A189" s="1"/>
      <c r="B189" s="51" t="s">
        <v>60</v>
      </c>
      <c r="C189" s="22">
        <f>IF(AND(ISNUMBER(C187),ISNUMBER(G324)),IF(OR(G324&lt;=0,C187&lt;0),"n.m.",C187/G324-1),"n.a.")</f>
        <v>0</v>
      </c>
      <c r="D189" s="22">
        <f>IF(AND(ISNUMBER(D187),ISNUMBER(C187)),IF(OR(C187&lt;=0,D187&lt;0),"n.m.",D187/C187-1),"n.a.")</f>
        <v>0.04621567314132613</v>
      </c>
      <c r="E189" s="1"/>
      <c r="F189" s="22">
        <f>IF(AND(ISNUMBER(F187),ISNUMBER(D187)),IF(OR(D187&lt;=0,F187&lt;0),"n.m.",F187/D187-1),"n.a.")</f>
        <v>0.09731113956466064</v>
      </c>
      <c r="G189" s="22">
        <f>IF(AND(ISNUMBER(G187),ISNUMBER(F187)),IF(OR(F187&lt;=0,G187&lt;0),"n.m.",G187/F187-1),"n.a.")</f>
        <v>0.019836639439906545</v>
      </c>
      <c r="H189" s="39">
        <f>IF(AND(ISNUMBER(H187),ISNUMBER(G187)),IF(OR(G187&lt;=0,H187&lt;0),"n.m.",H187/G187-1),"n.a.")</f>
        <v>0</v>
      </c>
      <c r="I189" s="1"/>
      <c r="J189" s="1"/>
    </row>
    <row r="190">
      <c r="A190" s="1"/>
      <c r="B190" s="51" t="s">
        <v>396</v>
      </c>
      <c r="C190" s="22">
        <f>IFERROR(C187/C84,"n.a.")</f>
        <v>0.07510815977462522</v>
      </c>
      <c r="D190" s="22">
        <f>IFERROR(D187/D84,"n.a.")</f>
        <v>0.08061935483870968</v>
      </c>
      <c r="E190" s="22">
        <f>IFERROR(E187/E84,"n.a.")</f>
        <v>0.07628674127514212</v>
      </c>
      <c r="F190" s="22">
        <f>IFERROR(F187/F84,"n.a.")</f>
        <v>0.07331365755592625</v>
      </c>
      <c r="G190" s="22">
        <f>IFERROR(G187/G84,"n.a.")</f>
        <v>0.07033356134068322</v>
      </c>
      <c r="H190" s="39">
        <f>IFERROR(H187/H84,"n.a.")</f>
        <v>0.0763297111654036</v>
      </c>
      <c r="I190" s="1"/>
      <c r="J190" s="1"/>
    </row>
    <row r="191">
      <c r="A191" s="1"/>
      <c r="B191" s="51" t="s">
        <v>101</v>
      </c>
      <c r="C191" s="67" t="s">
        <v>35</v>
      </c>
      <c r="D191" s="67" t="s">
        <v>35</v>
      </c>
      <c r="E191" s="67" t="s">
        <v>35</v>
      </c>
      <c r="F191" s="67" t="s">
        <v>35</v>
      </c>
      <c r="G191" s="67" t="s">
        <v>35</v>
      </c>
      <c r="H191" s="68" t="s">
        <v>35</v>
      </c>
      <c r="I191" s="1"/>
      <c r="J191" s="1"/>
    </row>
    <row r="192">
      <c r="A192" s="1"/>
      <c r="B192" s="51" t="s">
        <v>102</v>
      </c>
      <c r="C192" s="67" t="s">
        <v>35</v>
      </c>
      <c r="D192" s="67" t="s">
        <v>35</v>
      </c>
      <c r="E192" s="67" t="s">
        <v>35</v>
      </c>
      <c r="F192" s="67" t="s">
        <v>35</v>
      </c>
      <c r="G192" s="67" t="s">
        <v>35</v>
      </c>
      <c r="H192" s="68" t="s">
        <v>35</v>
      </c>
      <c r="I192" s="1"/>
      <c r="J192" s="1"/>
    </row>
    <row r="193">
      <c r="A193" s="1"/>
      <c r="B193" s="51" t="s">
        <v>103</v>
      </c>
      <c r="C193" s="67" t="s">
        <v>35</v>
      </c>
      <c r="D193" s="67" t="s">
        <v>35</v>
      </c>
      <c r="E193" s="67" t="s">
        <v>35</v>
      </c>
      <c r="F193" s="67" t="s">
        <v>35</v>
      </c>
      <c r="G193" s="67" t="s">
        <v>35</v>
      </c>
      <c r="H193" s="68" t="s">
        <v>35</v>
      </c>
      <c r="I193" s="1"/>
      <c r="J193" s="1"/>
    </row>
    <row r="194">
      <c r="A194" s="1"/>
      <c r="B194" s="21" t="s">
        <v>210</v>
      </c>
      <c r="C194" s="3">
        <v>613</v>
      </c>
      <c r="D194" s="3">
        <v>627</v>
      </c>
      <c r="E194" s="3">
        <v>2436</v>
      </c>
      <c r="F194" s="3">
        <v>585</v>
      </c>
      <c r="G194" s="3">
        <v>649</v>
      </c>
      <c r="H194" s="29">
        <f>C194*(1+H201)</f>
        <v>631.39</v>
      </c>
      <c r="I194" s="1"/>
      <c r="J194" s="2" t="s">
        <v>454</v>
      </c>
    </row>
    <row r="195">
      <c r="A195" s="1"/>
      <c r="B195" s="51" t="s">
        <v>99</v>
      </c>
      <c r="C195" s="22">
        <f>IF(AND(ISNUMBER(C194),ISNUMBER(C325)),IF(OR(C325&lt;=0,C194&lt;0),"n.m.",C194/C325-1),"n.a.")</f>
        <v>0.04074702886247872</v>
      </c>
      <c r="D195" s="22">
        <f>IF(AND(ISNUMBER(D194),ISNUMBER(D325)),IF(OR(D325&lt;=0,D194&lt;0),"n.m.",D194/D325-1),"n.a.")</f>
        <v>0.01620745542949753</v>
      </c>
      <c r="E195" s="22">
        <f>IF(AND(ISNUMBER(E194),ISNUMBER(E325)),IF(OR(E325&lt;=0,E194&lt;0),"n.m.",E194/E325-1),"n.a.")</f>
        <v>0.05454545454545445</v>
      </c>
      <c r="F195" s="22">
        <f>IF(AND(ISNUMBER(F194),ISNUMBER(F325)),IF(OR(F325&lt;=0,F194&lt;0),"n.m.",F194/F325-1),"n.a.")</f>
        <v>0.061705989110707904</v>
      </c>
      <c r="G195" s="22">
        <f>IF(AND(ISNUMBER(G194),ISNUMBER(G325)),IF(OR(G325&lt;=0,G194&lt;0),"n.m.",G194/G325-1),"n.a.")</f>
        <v>0.006201550387596955</v>
      </c>
      <c r="H195" s="39">
        <f>IF(AND(ISNUMBER(H194),ISNUMBER(C194)),IF(OR(C194&lt;=0,H194&lt;0),"n.m.",H194/C194-1),"n.a.")</f>
        <v>0.030000000000000027</v>
      </c>
      <c r="I195" s="1"/>
      <c r="J195" s="1"/>
    </row>
    <row r="196">
      <c r="A196" s="1"/>
      <c r="B196" s="51" t="s">
        <v>60</v>
      </c>
      <c r="C196" s="22">
        <f>IF(AND(ISNUMBER(C194),ISNUMBER(G325)),IF(OR(G325&lt;=0,C194&lt;0),"n.m.",C194/G325-1),"n.a.")</f>
        <v>-0.04961240310077519</v>
      </c>
      <c r="D196" s="22">
        <f>IF(AND(ISNUMBER(D194),ISNUMBER(C194)),IF(OR(C194&lt;=0,D194&lt;0),"n.m.",D194/C194-1),"n.a.")</f>
        <v>0.022838499184339334</v>
      </c>
      <c r="E196" s="1"/>
      <c r="F196" s="22">
        <f>IF(AND(ISNUMBER(F194),ISNUMBER(D194)),IF(OR(D194&lt;=0,F194&lt;0),"n.m.",F194/D194-1),"n.a.")</f>
        <v>-0.06698564593301437</v>
      </c>
      <c r="G196" s="22">
        <f>IF(AND(ISNUMBER(G194),ISNUMBER(F194)),IF(OR(F194&lt;=0,G194&lt;0),"n.m.",G194/F194-1),"n.a.")</f>
        <v>0.10940170940170946</v>
      </c>
      <c r="H196" s="39">
        <f>IF(AND(ISNUMBER(H194),ISNUMBER(G194)),IF(OR(G194&lt;=0,H194&lt;0),"n.m.",H194/G194-1),"n.a.")</f>
        <v>-0.027134052388289698</v>
      </c>
      <c r="I196" s="1"/>
      <c r="J196" s="1"/>
    </row>
    <row r="197">
      <c r="A197" s="1"/>
      <c r="B197" s="51" t="s">
        <v>396</v>
      </c>
      <c r="C197" s="22">
        <f>IFERROR(C194/C84,"n.a.")</f>
        <v>0.03083811248616561</v>
      </c>
      <c r="D197" s="22">
        <f>IFERROR(D194/D84,"n.a.")</f>
        <v>0.032361290322580644</v>
      </c>
      <c r="E197" s="22">
        <f>IFERROR(E194/E84,"n.a.")</f>
        <v>0.031050042062864863</v>
      </c>
      <c r="F197" s="22">
        <f>IFERROR(F194/F84,"n.a.")</f>
        <v>0.025022456050301553</v>
      </c>
      <c r="G197" s="22">
        <f>IFERROR(G194/G84,"n.a.")</f>
        <v>0.026113547660242223</v>
      </c>
      <c r="H197" s="39">
        <f>IFERROR(H194/H84,"n.a.")</f>
        <v>0.02757083314229072</v>
      </c>
      <c r="I197" s="1"/>
      <c r="J197" s="1"/>
    </row>
    <row r="198">
      <c r="A198" s="1"/>
      <c r="B198" s="51" t="s">
        <v>101</v>
      </c>
      <c r="C198" s="67" t="s">
        <v>35</v>
      </c>
      <c r="D198" s="67" t="s">
        <v>35</v>
      </c>
      <c r="E198" s="67" t="s">
        <v>35</v>
      </c>
      <c r="F198" s="67" t="s">
        <v>35</v>
      </c>
      <c r="G198" s="67" t="s">
        <v>35</v>
      </c>
      <c r="H198" s="68" t="s">
        <v>35</v>
      </c>
      <c r="I198" s="1"/>
      <c r="J198" s="1"/>
    </row>
    <row r="199">
      <c r="A199" s="1"/>
      <c r="B199" s="51" t="s">
        <v>102</v>
      </c>
      <c r="C199" s="67" t="s">
        <v>35</v>
      </c>
      <c r="D199" s="67" t="s">
        <v>35</v>
      </c>
      <c r="E199" s="67" t="s">
        <v>35</v>
      </c>
      <c r="F199" s="67" t="s">
        <v>35</v>
      </c>
      <c r="G199" s="67" t="s">
        <v>35</v>
      </c>
      <c r="H199" s="68" t="s">
        <v>35</v>
      </c>
      <c r="I199" s="1"/>
      <c r="J199" s="1"/>
    </row>
    <row r="200">
      <c r="A200" s="1"/>
      <c r="B200" s="51" t="s">
        <v>103</v>
      </c>
      <c r="C200" s="67" t="s">
        <v>35</v>
      </c>
      <c r="D200" s="67" t="s">
        <v>35</v>
      </c>
      <c r="E200" s="67" t="s">
        <v>35</v>
      </c>
      <c r="F200" s="67" t="s">
        <v>35</v>
      </c>
      <c r="G200" s="67" t="s">
        <v>35</v>
      </c>
      <c r="H200" s="68" t="s">
        <v>35</v>
      </c>
      <c r="I200" s="1"/>
      <c r="J200" s="1"/>
    </row>
    <row r="201">
      <c r="A201" s="1"/>
      <c r="B201" s="74" t="s">
        <v>455</v>
      </c>
      <c r="C201" s="22">
        <f>IF(AND(ISNUMBER(C194),ISNUMBER(C325)),IF(OR(C325&lt;=0,C194&lt;0),"n.m.",C194/C325-1),"n.a.")</f>
        <v>0.04074702886247872</v>
      </c>
      <c r="D201" s="22">
        <f>IF(AND(ISNUMBER(D194),ISNUMBER(D325)),IF(OR(D325&lt;=0,D194&lt;0),"n.m.",D194/D325-1),"n.a.")</f>
        <v>0.01620745542949753</v>
      </c>
      <c r="E201" s="22">
        <f>IF(AND(ISNUMBER(E194),ISNUMBER(E325)),IF(OR(E325&lt;=0,E194&lt;0),"n.m.",E194/E325-1),"n.a.")</f>
        <v>0.05454545454545445</v>
      </c>
      <c r="F201" s="22">
        <f>IF(AND(ISNUMBER(F194),ISNUMBER(F325)),IF(OR(F325&lt;=0,F194&lt;0),"n.m.",F194/F325-1),"n.a.")</f>
        <v>0.061705989110707904</v>
      </c>
      <c r="G201" s="22">
        <f>IF(AND(ISNUMBER(G194),ISNUMBER(G325)),IF(OR(G325&lt;=0,G194&lt;0),"n.m.",G194/G325-1),"n.a.")</f>
        <v>0.006201550387596955</v>
      </c>
      <c r="H201" s="72">
        <v>0.03</v>
      </c>
      <c r="I201" s="1"/>
      <c r="J201" s="1"/>
    </row>
    <row r="202">
      <c r="A202" s="1"/>
      <c r="B202" s="21" t="s">
        <v>456</v>
      </c>
      <c r="C202" s="3">
        <v>660</v>
      </c>
      <c r="D202" s="3">
        <v>1063</v>
      </c>
      <c r="E202" s="3">
        <v>3207</v>
      </c>
      <c r="F202" s="3">
        <v>917</v>
      </c>
      <c r="G202" s="3">
        <v>1025</v>
      </c>
      <c r="H202" s="44">
        <v>800</v>
      </c>
      <c r="I202" s="1"/>
      <c r="J202" s="2" t="s">
        <v>457</v>
      </c>
    </row>
    <row r="203">
      <c r="A203" s="1"/>
      <c r="B203" s="51" t="s">
        <v>99</v>
      </c>
      <c r="C203" s="22">
        <f>IF(AND(ISNUMBER(C202),ISNUMBER(C326)),IF(OR(C326&lt;=0,C202&lt;0),"n.m.",C202/C326-1),"n.a.")</f>
        <v>0.26679462571976975</v>
      </c>
      <c r="D203" s="22">
        <f>IF(AND(ISNUMBER(D202),ISNUMBER(D326)),IF(OR(D326&lt;=0,D202&lt;0),"n.m.",D202/D326-1),"n.a.")</f>
        <v>-0.06095406360424027</v>
      </c>
      <c r="E203" s="22">
        <f>IF(AND(ISNUMBER(E202),ISNUMBER(E326)),IF(OR(E326&lt;=0,E202&lt;0),"n.m.",E202/E326-1),"n.a.")</f>
        <v>-0.014140793114048589</v>
      </c>
      <c r="F203" s="22">
        <f>IF(AND(ISNUMBER(F202),ISNUMBER(F326)),IF(OR(F326&lt;=0,F202&lt;0),"n.m.",F202/F326-1),"n.a.")</f>
        <v>0.22593582887700525</v>
      </c>
      <c r="G203" s="22">
        <f>IF(AND(ISNUMBER(G202),ISNUMBER(G326)),IF(OR(G326&lt;=0,G202&lt;0),"n.m.",G202/G326-1),"n.a.")</f>
        <v>0.392663043478261</v>
      </c>
      <c r="H203" s="39">
        <f>IF(AND(ISNUMBER(H202),ISNUMBER(C202)),IF(OR(C202&lt;=0,H202&lt;0),"n.m.",H202/C202-1),"n.a.")</f>
        <v>0.21212121212121215</v>
      </c>
      <c r="I203" s="1"/>
      <c r="J203" s="1"/>
    </row>
    <row r="204">
      <c r="A204" s="1"/>
      <c r="B204" s="51" t="s">
        <v>60</v>
      </c>
      <c r="C204" s="22">
        <f>IF(AND(ISNUMBER(C202),ISNUMBER(G326)),IF(OR(G326&lt;=0,C202&lt;0),"n.m.",C202/G326-1),"n.a.")</f>
        <v>-0.1032608695652174</v>
      </c>
      <c r="D204" s="22">
        <f>IF(AND(ISNUMBER(D202),ISNUMBER(C202)),IF(OR(C202&lt;=0,D202&lt;0),"n.m.",D202/C202-1),"n.a.")</f>
        <v>0.6106060606060606</v>
      </c>
      <c r="E204" s="1"/>
      <c r="F204" s="22">
        <f>IF(AND(ISNUMBER(F202),ISNUMBER(D202)),IF(OR(D202&lt;=0,F202&lt;0),"n.m.",F202/D202-1),"n.a.")</f>
        <v>-0.13734713076199434</v>
      </c>
      <c r="G204" s="22">
        <f>IF(AND(ISNUMBER(G202),ISNUMBER(F202)),IF(OR(F202&lt;=0,G202&lt;0),"n.m.",G202/F202-1),"n.a.")</f>
        <v>0.11777535441657583</v>
      </c>
      <c r="H204" s="39">
        <f>IF(AND(ISNUMBER(H202),ISNUMBER(G202)),IF(OR(G202&lt;=0,H202&lt;0),"n.m.",H202/G202-1),"n.a.")</f>
        <v>-0.2195121951219512</v>
      </c>
      <c r="I204" s="1"/>
      <c r="J204" s="1"/>
    </row>
    <row r="205">
      <c r="A205" s="1"/>
      <c r="B205" s="51" t="s">
        <v>396</v>
      </c>
      <c r="C205" s="22">
        <f>IFERROR(C202/C84,"n.a.")</f>
        <v>0.033202535466344704</v>
      </c>
      <c r="D205" s="22">
        <f>IFERROR(D202/D84,"n.a.")</f>
        <v>0.05486451612903226</v>
      </c>
      <c r="E205" s="22">
        <f>IFERROR(E202/E84,"n.a.")</f>
        <v>0.04087745685369771</v>
      </c>
      <c r="F205" s="22">
        <f>IFERROR(F202/F84,"n.a.")</f>
        <v>0.039223234526712</v>
      </c>
      <c r="G205" s="22">
        <f>IFERROR(G202/G84,"n.a.")</f>
        <v>0.04124250593489719</v>
      </c>
      <c r="H205" s="39">
        <f>IFERROR(H202/H84,"n.a.")</f>
        <v>0.03493350625418929</v>
      </c>
      <c r="I205" s="1"/>
      <c r="J205" s="1"/>
    </row>
    <row r="206">
      <c r="A206" s="1"/>
      <c r="B206" s="51" t="s">
        <v>101</v>
      </c>
      <c r="C206" s="67" t="s">
        <v>35</v>
      </c>
      <c r="D206" s="67" t="s">
        <v>35</v>
      </c>
      <c r="E206" s="67" t="s">
        <v>35</v>
      </c>
      <c r="F206" s="67" t="s">
        <v>35</v>
      </c>
      <c r="G206" s="67" t="s">
        <v>35</v>
      </c>
      <c r="H206" s="68" t="s">
        <v>35</v>
      </c>
      <c r="I206" s="1"/>
      <c r="J206" s="1"/>
    </row>
    <row r="207">
      <c r="A207" s="1"/>
      <c r="B207" s="51" t="s">
        <v>102</v>
      </c>
      <c r="C207" s="67" t="s">
        <v>35</v>
      </c>
      <c r="D207" s="67" t="s">
        <v>35</v>
      </c>
      <c r="E207" s="67" t="s">
        <v>35</v>
      </c>
      <c r="F207" s="67" t="s">
        <v>35</v>
      </c>
      <c r="G207" s="67" t="s">
        <v>35</v>
      </c>
      <c r="H207" s="68" t="s">
        <v>35</v>
      </c>
      <c r="I207" s="1"/>
      <c r="J207" s="1"/>
    </row>
    <row r="208">
      <c r="A208" s="1"/>
      <c r="B208" s="51" t="s">
        <v>103</v>
      </c>
      <c r="C208" s="67" t="s">
        <v>35</v>
      </c>
      <c r="D208" s="67" t="s">
        <v>35</v>
      </c>
      <c r="E208" s="67" t="s">
        <v>35</v>
      </c>
      <c r="F208" s="67" t="s">
        <v>35</v>
      </c>
      <c r="G208" s="67" t="s">
        <v>35</v>
      </c>
      <c r="H208" s="68" t="s">
        <v>35</v>
      </c>
      <c r="I208" s="1"/>
      <c r="J208" s="1"/>
    </row>
    <row r="209">
      <c r="A209" s="1"/>
      <c r="B209" s="31" t="s">
        <v>216</v>
      </c>
      <c r="C209" s="43">
        <f>C165+C172+C179+C187+C194+C202</f>
        <v>13798</v>
      </c>
      <c r="D209" s="43">
        <f>D165+D172+D179+D187+D194+D202</f>
        <v>12354</v>
      </c>
      <c r="E209" s="43">
        <f>E165+E172+E179+E187+E194+E202</f>
        <v>53766</v>
      </c>
      <c r="F209" s="43">
        <f>F165+F172+F179+F187+F194+F202</f>
        <v>15390</v>
      </c>
      <c r="G209" s="43">
        <f>G165+G172+G179+G187+G194+G202</f>
        <v>16954</v>
      </c>
      <c r="H209" s="45">
        <f>H165+H172+H179+H187+H194+H202</f>
        <v>14429.339999999998</v>
      </c>
      <c r="I209" s="1"/>
      <c r="J209" s="1"/>
    </row>
    <row r="210">
      <c r="A210" s="1"/>
      <c r="B210" s="36" t="s">
        <v>99</v>
      </c>
      <c r="C210" s="22">
        <f>IF(AND(ISNUMBER(C209),ISNUMBER(C327)),IF(OR(C327&lt;=0,C209&lt;0),"n.m.",C209/C327-1),"n.a.")</f>
        <v>0.18723111340560994</v>
      </c>
      <c r="D210" s="22">
        <f>IF(AND(ISNUMBER(D209),ISNUMBER(D327)),IF(OR(D327&lt;=0,D209&lt;0),"n.m.",D209/D327-1),"n.a.")</f>
        <v>0.05355619989766325</v>
      </c>
      <c r="E210" s="22">
        <f>IF(AND(ISNUMBER(E209),ISNUMBER(E327)),IF(OR(E327&lt;=0,E209&lt;0),"n.m.",E209/E327-1),"n.a.")</f>
        <v>0.11425196360848022</v>
      </c>
      <c r="F210" s="22">
        <f>IF(AND(ISNUMBER(F209),ISNUMBER(F327)),IF(OR(F327&lt;=0,F209&lt;0),"n.m.",F209/F327-1),"n.a.")</f>
        <v>0.11344233830125883</v>
      </c>
      <c r="G210" s="22">
        <f>IF(AND(ISNUMBER(G209),ISNUMBER(G327)),IF(OR(G327&lt;=0,G209&lt;0),"n.m.",G209/G327-1),"n.a.")</f>
        <v>0.2292633410672853</v>
      </c>
      <c r="H210" s="39">
        <f>IF(AND(ISNUMBER(H209),ISNUMBER(C209)),IF(OR(C209&lt;=0,H209&lt;0),"n.m.",H209/C209-1),"n.a.")</f>
        <v>0.04575590665313811</v>
      </c>
      <c r="I210" s="1"/>
      <c r="J210" s="1"/>
    </row>
    <row r="211">
      <c r="A211" s="1"/>
      <c r="B211" s="36" t="s">
        <v>60</v>
      </c>
      <c r="C211" s="22">
        <f>IF(AND(ISNUMBER(C209),ISNUMBER(G327)),IF(OR(G327&lt;=0,C209&lt;0),"n.m.",C209/G327-1),"n.a.")</f>
        <v>0.0004350348027841733</v>
      </c>
      <c r="D211" s="22">
        <f>IF(AND(ISNUMBER(D209),ISNUMBER(C209)),IF(OR(C209&lt;=0,D209&lt;0),"n.m.",D209/C209-1),"n.a.")</f>
        <v>-0.10465284823887522</v>
      </c>
      <c r="E211" s="1"/>
      <c r="F211" s="22">
        <f>IF(AND(ISNUMBER(F209),ISNUMBER(D209)),IF(OR(D209&lt;=0,F209&lt;0),"n.m.",F209/D209-1),"n.a.")</f>
        <v>0.24575036425449248</v>
      </c>
      <c r="G211" s="22">
        <f>IF(AND(ISNUMBER(G209),ISNUMBER(F209)),IF(OR(F209&lt;=0,G209&lt;0),"n.m.",G209/F209-1),"n.a.")</f>
        <v>0.10162443144899291</v>
      </c>
      <c r="H211" s="39">
        <f>IF(AND(ISNUMBER(H209),ISNUMBER(G209)),IF(OR(G209&lt;=0,H209&lt;0),"n.m.",H209/G209-1),"n.a.")</f>
        <v>-0.14891235106759482</v>
      </c>
      <c r="I211" s="1"/>
      <c r="J211" s="1"/>
    </row>
    <row r="212">
      <c r="A212" s="1"/>
      <c r="B212" s="36" t="s">
        <v>396</v>
      </c>
      <c r="C212" s="22">
        <f>IFERROR(C209/C84,"n.a.")</f>
        <v>0.694134218734279</v>
      </c>
      <c r="D212" s="22">
        <f>IFERROR(D209/D84,"n.a.")</f>
        <v>0.6376258064516129</v>
      </c>
      <c r="E212" s="22">
        <f>IFERROR(E209/E84,"n.a.")</f>
        <v>0.6853187855303745</v>
      </c>
      <c r="F212" s="22">
        <f>IFERROR(F209/F84,"n.a.")</f>
        <v>0.658283074554087</v>
      </c>
      <c r="G212" s="22">
        <f>IFERROR(G209/G84,"n.a.")</f>
        <v>0.6821711664587776</v>
      </c>
      <c r="H212" s="39">
        <f>IFERROR(H209/H84,"n.a.")</f>
        <v>0.6300842989172796</v>
      </c>
      <c r="I212" s="1"/>
      <c r="J212" s="1"/>
    </row>
    <row r="213">
      <c r="A213" s="1"/>
      <c r="B213" s="36" t="s">
        <v>101</v>
      </c>
      <c r="C213" s="67" t="s">
        <v>35</v>
      </c>
      <c r="D213" s="67" t="s">
        <v>35</v>
      </c>
      <c r="E213" s="67" t="s">
        <v>35</v>
      </c>
      <c r="F213" s="67" t="s">
        <v>35</v>
      </c>
      <c r="G213" s="67" t="s">
        <v>35</v>
      </c>
      <c r="H213" s="68" t="s">
        <v>35</v>
      </c>
      <c r="I213" s="1"/>
      <c r="J213" s="1"/>
    </row>
    <row r="214">
      <c r="A214" s="1"/>
      <c r="B214" s="36" t="s">
        <v>102</v>
      </c>
      <c r="C214" s="67" t="s">
        <v>35</v>
      </c>
      <c r="D214" s="67" t="s">
        <v>35</v>
      </c>
      <c r="E214" s="67" t="s">
        <v>35</v>
      </c>
      <c r="F214" s="67" t="s">
        <v>35</v>
      </c>
      <c r="G214" s="67" t="s">
        <v>35</v>
      </c>
      <c r="H214" s="68" t="s">
        <v>35</v>
      </c>
      <c r="I214" s="1"/>
      <c r="J214" s="1"/>
    </row>
    <row r="215">
      <c r="A215" s="1"/>
      <c r="B215" s="36" t="s">
        <v>103</v>
      </c>
      <c r="C215" s="67" t="s">
        <v>35</v>
      </c>
      <c r="D215" s="67" t="s">
        <v>35</v>
      </c>
      <c r="E215" s="67" t="s">
        <v>35</v>
      </c>
      <c r="F215" s="67" t="s">
        <v>35</v>
      </c>
      <c r="G215" s="67" t="s">
        <v>35</v>
      </c>
      <c r="H215" s="68" t="s">
        <v>35</v>
      </c>
      <c r="I215" s="1"/>
      <c r="J215" s="1"/>
    </row>
    <row r="216">
      <c r="A216" s="1"/>
      <c r="B216" s="21" t="s">
        <v>458</v>
      </c>
      <c r="C216" s="23">
        <f>C220-'Revenue summary'!C61</f>
        <v>5400</v>
      </c>
      <c r="D216" s="23">
        <f>D220-'Revenue summary'!D61</f>
        <v>5770</v>
      </c>
      <c r="E216" s="23">
        <f>E220-'Revenue summary'!E61</f>
        <v>21411</v>
      </c>
      <c r="F216" s="23">
        <f>F220-'Revenue summary'!F61</f>
        <v>5790</v>
      </c>
      <c r="G216" s="23">
        <f>G220-'Revenue summary'!G61</f>
        <v>5954</v>
      </c>
      <c r="H216" s="29">
        <f>G216*(1+H219)</f>
        <v>6043.3099999999995</v>
      </c>
      <c r="I216" s="1"/>
      <c r="J216" s="2" t="s">
        <v>459</v>
      </c>
    </row>
    <row r="217">
      <c r="A217" s="1"/>
      <c r="B217" s="51" t="s">
        <v>58</v>
      </c>
      <c r="C217" s="22">
        <f>IF(AND(ISNUMBER(C216),ISNUMBER(C328)),IF(OR(C328&lt;=0,C216&lt;0),"n.m.",C216/C328-1),"n.a.")</f>
        <v>0.015992474129821188</v>
      </c>
      <c r="D217" s="22">
        <f>IF(AND(ISNUMBER(D216),ISNUMBER(D328)),IF(OR(D328&lt;=0,D216&lt;0),"n.m.",D216/D328-1),"n.a.")</f>
        <v>0.06555863342566948</v>
      </c>
      <c r="E217" s="22">
        <f>IF(AND(ISNUMBER(E216),ISNUMBER(E328)),IF(OR(E328&lt;=0,E216&lt;0),"n.m.",E216/E328-1),"n.a.")</f>
        <v>0.009000942507068732</v>
      </c>
      <c r="F217" s="22">
        <f>IF(AND(ISNUMBER(F216),ISNUMBER(F328)),IF(OR(F328&lt;=0,F216&lt;0),"n.m.",F216/F328-1),"n.a.")</f>
        <v>0.14449495947815771</v>
      </c>
      <c r="G217" s="22">
        <f>IF(AND(ISNUMBER(G216),ISNUMBER(G328)),IF(OR(G328&lt;=0,G216&lt;0),"n.m.",G216/G328-1),"n.a.")</f>
        <v>0.14897722886916243</v>
      </c>
      <c r="H217" s="39">
        <f>IF(AND(ISNUMBER(H216),ISNUMBER(C216)),IF(OR(C216&lt;=0,H216&lt;0),"n.m.",H216/C216-1),"n.a.")</f>
        <v>0.11913148148148145</v>
      </c>
      <c r="I217" s="1"/>
      <c r="J217" s="1"/>
    </row>
    <row r="218">
      <c r="A218" s="1"/>
      <c r="B218" s="20" t="s">
        <v>114</v>
      </c>
      <c r="C218" s="10">
        <f>C216-G328</f>
        <v>218</v>
      </c>
      <c r="D218" s="10">
        <f>D216-C216</f>
        <v>370</v>
      </c>
      <c r="E218" s="1"/>
      <c r="F218" s="10">
        <f>F216-D216</f>
        <v>20</v>
      </c>
      <c r="G218" s="10">
        <f>G216-F216</f>
        <v>164</v>
      </c>
      <c r="H218" s="29">
        <f>H216-G216</f>
        <v>89.30999999999949</v>
      </c>
      <c r="I218" s="1"/>
      <c r="J218" s="1"/>
    </row>
    <row r="219">
      <c r="A219" s="1"/>
      <c r="B219" s="74" t="s">
        <v>146</v>
      </c>
      <c r="C219" s="22">
        <f>IF(AND(ISNUMBER(C216),ISNUMBER(G328)),IF(OR(G328&lt;=0,C216&lt;0),"n.m.",C216/G328-1),"n.a.")</f>
        <v>0.042068699343882576</v>
      </c>
      <c r="D219" s="22">
        <f>IF(AND(ISNUMBER(D216),ISNUMBER(C216)),IF(OR(C216&lt;=0,D216&lt;0),"n.m.",D216/C216-1),"n.a.")</f>
        <v>0.06851851851851842</v>
      </c>
      <c r="E219" s="1"/>
      <c r="F219" s="22">
        <f>IF(AND(ISNUMBER(F216),ISNUMBER(D216)),IF(OR(D216&lt;=0,F216&lt;0),"n.m.",F216/D216-1),"n.a.")</f>
        <v>0.0034662045060658286</v>
      </c>
      <c r="G219" s="22">
        <f>IF(AND(ISNUMBER(G216),ISNUMBER(F216)),IF(OR(F216&lt;=0,G216&lt;0),"n.m.",G216/F216-1),"n.a.")</f>
        <v>0.02832469775474955</v>
      </c>
      <c r="H219" s="72">
        <v>0.015</v>
      </c>
      <c r="I219" s="1"/>
      <c r="J219" s="1"/>
    </row>
    <row r="220">
      <c r="A220" s="1"/>
      <c r="B220" s="31" t="s">
        <v>217</v>
      </c>
      <c r="C220" s="33">
        <v>6080</v>
      </c>
      <c r="D220" s="33">
        <v>7021</v>
      </c>
      <c r="E220" s="33">
        <v>24688</v>
      </c>
      <c r="F220" s="33">
        <v>7989</v>
      </c>
      <c r="G220" s="33">
        <v>7899</v>
      </c>
      <c r="H220" s="79">
        <f>'Revenue summary'!H61+H216</f>
        <v>8471.31</v>
      </c>
      <c r="I220" s="1"/>
      <c r="J220" s="2" t="s">
        <v>398</v>
      </c>
    </row>
    <row r="221">
      <c r="A221" s="1"/>
      <c r="B221" s="36" t="s">
        <v>99</v>
      </c>
      <c r="C221" s="22">
        <f>IF(AND(ISNUMBER(C220),ISNUMBER(C329)),IF(OR(C329&lt;=0,C220&lt;0),"n.m.",C220/C329-1),"n.a.")</f>
        <v>0.127387353977378</v>
      </c>
      <c r="D221" s="22">
        <f>IF(AND(ISNUMBER(D220),ISNUMBER(D329)),IF(OR(D329&lt;=0,D220&lt;0),"n.m.",D220/D329-1),"n.a.")</f>
        <v>0.19567438692098094</v>
      </c>
      <c r="E221" s="22">
        <f>IF(AND(ISNUMBER(E220),ISNUMBER(E329)),IF(OR(E329&lt;=0,E220&lt;0),"n.m.",E220/E329-1),"n.a.")</f>
        <v>0.12931704862540605</v>
      </c>
      <c r="F221" s="22">
        <f>IF(AND(ISNUMBER(F220),ISNUMBER(F329)),IF(OR(F329&lt;=0,F220&lt;0),"n.m.",F220/F329-1),"n.a.")</f>
        <v>0.36704312114989723</v>
      </c>
      <c r="G221" s="22">
        <f>IF(AND(ISNUMBER(G220),ISNUMBER(G329)),IF(OR(G329&lt;=0,G220&lt;0),"n.m.",G220/G329-1),"n.a.")</f>
        <v>0.37541354692669326</v>
      </c>
      <c r="H221" s="39">
        <f>IF(AND(ISNUMBER(H220),ISNUMBER(C220)),IF(OR(C220&lt;=0,H220&lt;0),"n.m.",H220/C220-1),"n.a.")</f>
        <v>0.39330756578947357</v>
      </c>
      <c r="I221" s="1"/>
      <c r="J221" s="1"/>
    </row>
    <row r="222">
      <c r="A222" s="1"/>
      <c r="B222" s="36" t="s">
        <v>60</v>
      </c>
      <c r="C222" s="22">
        <f>IF(AND(ISNUMBER(C220),ISNUMBER(G329)),IF(OR(G329&lt;=0,C220&lt;0),"n.m.",C220/G329-1),"n.a.")</f>
        <v>0.058680132335016566</v>
      </c>
      <c r="D222" s="22">
        <f>IF(AND(ISNUMBER(D220),ISNUMBER(C220)),IF(OR(C220&lt;=0,D220&lt;0),"n.m.",D220/C220-1),"n.a.")</f>
        <v>0.15476973684210527</v>
      </c>
      <c r="E222" s="1"/>
      <c r="F222" s="22">
        <f>IF(AND(ISNUMBER(F220),ISNUMBER(D220)),IF(OR(D220&lt;=0,F220&lt;0),"n.m.",F220/D220-1),"n.a.")</f>
        <v>0.13787209799173916</v>
      </c>
      <c r="G222" s="22">
        <f>IF(AND(ISNUMBER(G220),ISNUMBER(F220)),IF(OR(F220&lt;=0,G220&lt;0),"n.m.",G220/F220-1),"n.a.")</f>
        <v>-0.011265490048817162</v>
      </c>
      <c r="H222" s="39">
        <f>IF(AND(ISNUMBER(H220),ISNUMBER(G220)),IF(OR(G220&lt;=0,H220&lt;0),"n.m.",H220/G220-1),"n.a.")</f>
        <v>0.07245347512343336</v>
      </c>
      <c r="I222" s="1"/>
      <c r="J222" s="1"/>
    </row>
    <row r="223">
      <c r="A223" s="1"/>
      <c r="B223" s="36" t="s">
        <v>396</v>
      </c>
      <c r="C223" s="22">
        <f>IFERROR(C220/C84,"n.a.")</f>
        <v>0.3058657812657209</v>
      </c>
      <c r="D223" s="22">
        <f>IFERROR(D220/D84,"n.a.")</f>
        <v>0.36237419354838707</v>
      </c>
      <c r="E223" s="22">
        <f>IFERROR(E220/E84,"n.a.")</f>
        <v>0.3146812144696255</v>
      </c>
      <c r="F223" s="22">
        <f>IFERROR(F220/F84,"n.a.")</f>
        <v>0.341716925445913</v>
      </c>
      <c r="G223" s="22">
        <f>IFERROR(G220/G84,"n.a.")</f>
        <v>0.3178288335412224</v>
      </c>
      <c r="H223" s="39">
        <f>IFERROR(H220/H84,"n.a.")</f>
        <v>0.3699157010827203</v>
      </c>
      <c r="I223" s="1"/>
      <c r="J223" s="1"/>
    </row>
    <row r="224">
      <c r="A224" s="1"/>
      <c r="B224" s="36" t="s">
        <v>101</v>
      </c>
      <c r="C224" s="67" t="s">
        <v>35</v>
      </c>
      <c r="D224" s="67" t="s">
        <v>35</v>
      </c>
      <c r="E224" s="67" t="s">
        <v>35</v>
      </c>
      <c r="F224" s="67" t="s">
        <v>35</v>
      </c>
      <c r="G224" s="67" t="s">
        <v>35</v>
      </c>
      <c r="H224" s="68" t="s">
        <v>35</v>
      </c>
      <c r="I224" s="1"/>
      <c r="J224" s="1"/>
    </row>
    <row r="225">
      <c r="A225" s="1"/>
      <c r="B225" s="36" t="s">
        <v>102</v>
      </c>
      <c r="C225" s="67" t="s">
        <v>35</v>
      </c>
      <c r="D225" s="67" t="s">
        <v>35</v>
      </c>
      <c r="E225" s="67" t="s">
        <v>35</v>
      </c>
      <c r="F225" s="67" t="s">
        <v>35</v>
      </c>
      <c r="G225" s="67" t="s">
        <v>35</v>
      </c>
      <c r="H225" s="68" t="s">
        <v>35</v>
      </c>
      <c r="I225" s="1"/>
      <c r="J225" s="1"/>
    </row>
    <row r="226">
      <c r="A226" s="1"/>
      <c r="B226" s="36" t="s">
        <v>103</v>
      </c>
      <c r="C226" s="67" t="s">
        <v>35</v>
      </c>
      <c r="D226" s="67" t="s">
        <v>35</v>
      </c>
      <c r="E226" s="67" t="s">
        <v>35</v>
      </c>
      <c r="F226" s="67" t="s">
        <v>35</v>
      </c>
      <c r="G226" s="67" t="s">
        <v>35</v>
      </c>
      <c r="H226" s="68" t="s">
        <v>35</v>
      </c>
      <c r="I226" s="1"/>
      <c r="J226" s="1"/>
    </row>
    <row r="227">
      <c r="A227" s="1"/>
      <c r="B227" s="31" t="s">
        <v>460</v>
      </c>
      <c r="C227" s="43">
        <f>C209+C220</f>
        <v>19878</v>
      </c>
      <c r="D227" s="43">
        <f>D209+D220</f>
        <v>19375</v>
      </c>
      <c r="E227" s="43">
        <f>E209+E220</f>
        <v>78454</v>
      </c>
      <c r="F227" s="43">
        <f>F209+F220</f>
        <v>23379</v>
      </c>
      <c r="G227" s="43">
        <f>G209+G220</f>
        <v>24853</v>
      </c>
      <c r="H227" s="45">
        <f>H209+H220</f>
        <v>22900.649999999998</v>
      </c>
      <c r="I227" s="1"/>
      <c r="J227" s="1"/>
    </row>
    <row r="228">
      <c r="A228" s="1"/>
      <c r="B228" s="1"/>
      <c r="C228" s="1"/>
      <c r="D228" s="1"/>
      <c r="E228" s="1"/>
      <c r="F228" s="1"/>
      <c r="G228" s="1"/>
      <c r="H228" s="30"/>
      <c r="I228" s="1"/>
      <c r="J228" s="1"/>
    </row>
    <row r="229">
      <c r="A229" s="1"/>
      <c r="B229" s="31" t="s">
        <v>461</v>
      </c>
      <c r="C229" s="1"/>
      <c r="D229" s="1"/>
      <c r="E229" s="1"/>
      <c r="F229" s="1"/>
      <c r="G229" s="1"/>
      <c r="H229" s="30"/>
      <c r="I229" s="1"/>
      <c r="J229" s="1"/>
    </row>
    <row r="230">
      <c r="A230" s="1"/>
      <c r="B230" s="1" t="s">
        <v>462</v>
      </c>
      <c r="C230" s="3">
        <v>1111143</v>
      </c>
      <c r="D230" s="3">
        <v>1153559</v>
      </c>
      <c r="E230" s="3">
        <v>1097581</v>
      </c>
      <c r="F230" s="3">
        <v>1167128</v>
      </c>
      <c r="G230" s="3">
        <v>1205156</v>
      </c>
      <c r="H230" s="29">
        <f>G230*(1+H233)</f>
        <v>1229259.12</v>
      </c>
      <c r="I230" s="1"/>
      <c r="J230" s="2" t="s">
        <v>463</v>
      </c>
    </row>
    <row r="231">
      <c r="A231" s="1"/>
      <c r="B231" s="36" t="s">
        <v>58</v>
      </c>
      <c r="C231" s="22">
        <f>IF(AND(ISNUMBER(C230),ISNUMBER(C330)),IF(OR(C330&lt;=0,C230&lt;0),"n.m.",C230/C330-1),"n.a.")</f>
        <v>0.1502217851504879</v>
      </c>
      <c r="D231" s="22">
        <f>IF(AND(ISNUMBER(D230),ISNUMBER(D330)),IF(OR(D330&lt;=0,D230&lt;0),"n.m.",D230/D330-1),"n.a.")</f>
        <v>0.14029283317879782</v>
      </c>
      <c r="E231" s="22">
        <f>IF(AND(ISNUMBER(E230),ISNUMBER(E330)),IF(OR(E330&lt;=0,E230&lt;0),"n.m.",E230/E330-1),"n.a.")</f>
        <v>0.1413565906788985</v>
      </c>
      <c r="F231" s="22">
        <f>IF(AND(ISNUMBER(F230),ISNUMBER(F330)),IF(OR(F330&lt;=0,F230&lt;0),"n.m.",F230/F330-1),"n.a.")</f>
        <v>0.12833363302919043</v>
      </c>
      <c r="G231" s="22">
        <f>IF(AND(ISNUMBER(G230),ISNUMBER(G330)),IF(OR(G330&lt;=0,G230&lt;0),"n.m.",G230/G330-1),"n.a.")</f>
        <v>0.10586989496054722</v>
      </c>
      <c r="H231" s="39">
        <f>IF(AND(ISNUMBER(H230),ISNUMBER(C230)),IF(OR(C230&lt;=0,H230&lt;0),"n.m.",H230/C230-1),"n.a.")</f>
        <v>0.10630145714817996</v>
      </c>
      <c r="I231" s="1"/>
      <c r="J231" s="1"/>
    </row>
    <row r="232">
      <c r="A232" s="1"/>
      <c r="B232" s="21" t="s">
        <v>114</v>
      </c>
      <c r="C232" s="10">
        <f>C230-G330</f>
        <v>21362</v>
      </c>
      <c r="D232" s="10">
        <f>D230-C230</f>
        <v>42416</v>
      </c>
      <c r="E232" s="1"/>
      <c r="F232" s="10">
        <f>F230-D230</f>
        <v>13569</v>
      </c>
      <c r="G232" s="10">
        <f>G230-F230</f>
        <v>38028</v>
      </c>
      <c r="H232" s="29">
        <f>H230-G230</f>
        <v>24103.12000000011</v>
      </c>
      <c r="I232" s="1"/>
      <c r="J232" s="1"/>
    </row>
    <row r="233">
      <c r="A233" s="1"/>
      <c r="B233" s="51" t="s">
        <v>146</v>
      </c>
      <c r="C233" s="22">
        <f>IF(AND(ISNUMBER(C230),ISNUMBER(G330)),IF(OR(G330&lt;=0,C230&lt;0),"n.m.",C230/G330-1),"n.a.")</f>
        <v>0.01960210354190428</v>
      </c>
      <c r="D233" s="22">
        <f>IF(AND(ISNUMBER(D230),ISNUMBER(C230)),IF(OR(C230&lt;=0,D230&lt;0),"n.m.",D230/C230-1),"n.a.")</f>
        <v>0.03817330442616296</v>
      </c>
      <c r="E233" s="1"/>
      <c r="F233" s="22">
        <f>IF(AND(ISNUMBER(F230),ISNUMBER(D230)),IF(OR(D230&lt;=0,F230&lt;0),"n.m.",F230/D230-1),"n.a.")</f>
        <v>0.011762727350746793</v>
      </c>
      <c r="G233" s="22">
        <f>IF(AND(ISNUMBER(G230),ISNUMBER(F230)),IF(OR(F230&lt;=0,G230&lt;0),"n.m.",G230/F230-1),"n.a.")</f>
        <v>0.03258254450240239</v>
      </c>
      <c r="H233" s="72">
        <v>0.02</v>
      </c>
      <c r="I233" s="1"/>
      <c r="J233" s="1"/>
    </row>
    <row r="234">
      <c r="A234" s="1"/>
      <c r="B234" s="1" t="s">
        <v>464</v>
      </c>
      <c r="C234" s="3">
        <v>1194410</v>
      </c>
      <c r="D234" s="3">
        <v>1226155</v>
      </c>
      <c r="E234" s="3">
        <v>1174581</v>
      </c>
      <c r="F234" s="3">
        <v>1234295</v>
      </c>
      <c r="G234" s="3">
        <v>1282143</v>
      </c>
      <c r="H234" s="29">
        <f>G234*(1+H237)</f>
        <v>1307785.86</v>
      </c>
      <c r="I234" s="1"/>
      <c r="J234" s="2" t="s">
        <v>465</v>
      </c>
    </row>
    <row r="235">
      <c r="A235" s="1"/>
      <c r="B235" s="36" t="s">
        <v>58</v>
      </c>
      <c r="C235" s="22">
        <f>IF(AND(ISNUMBER(C234),ISNUMBER(C331)),IF(OR(C331&lt;=0,C234&lt;0),"n.m.",C234/C331-1),"n.a.")</f>
        <v>0.12214182235659088</v>
      </c>
      <c r="D235" s="22">
        <f>IF(AND(ISNUMBER(D234),ISNUMBER(D331)),IF(OR(D331&lt;=0,D234&lt;0),"n.m.",D234/D331-1),"n.a.")</f>
        <v>0.12652615350975105</v>
      </c>
      <c r="E235" s="22">
        <f>IF(AND(ISNUMBER(E234),ISNUMBER(E331)),IF(OR(E331&lt;=0,E234&lt;0),"n.m.",E234/E331-1),"n.a.")</f>
        <v>0.10654194866074795</v>
      </c>
      <c r="F235" s="22">
        <f>IF(AND(ISNUMBER(F234),ISNUMBER(F331)),IF(OR(F331&lt;=0,F234&lt;0),"n.m.",F234/F331-1),"n.a.")</f>
        <v>0.11583969017084361</v>
      </c>
      <c r="G235" s="22">
        <f>IF(AND(ISNUMBER(G234),ISNUMBER(G331)),IF(OR(G331&lt;=0,G234&lt;0),"n.m.",G234/G331-1),"n.a.")</f>
        <v>0.09578971388720103</v>
      </c>
      <c r="H235" s="39">
        <f>IF(AND(ISNUMBER(H234),ISNUMBER(C234)),IF(OR(C234&lt;=0,H234&lt;0),"n.m.",H234/C234-1),"n.a.")</f>
        <v>0.09492206193853048</v>
      </c>
      <c r="I235" s="1"/>
      <c r="J235" s="1"/>
    </row>
    <row r="236">
      <c r="A236" s="1"/>
      <c r="B236" s="21" t="s">
        <v>114</v>
      </c>
      <c r="C236" s="10">
        <f>C234-G331</f>
        <v>24347</v>
      </c>
      <c r="D236" s="10">
        <f>D234-C234</f>
        <v>31745</v>
      </c>
      <c r="E236" s="1"/>
      <c r="F236" s="10">
        <f>F234-D234</f>
        <v>8140</v>
      </c>
      <c r="G236" s="10">
        <f>G234-F234</f>
        <v>47848</v>
      </c>
      <c r="H236" s="29">
        <f>H234-G234</f>
        <v>25642.860000000102</v>
      </c>
      <c r="I236" s="1"/>
      <c r="J236" s="1"/>
    </row>
    <row r="237">
      <c r="A237" s="1"/>
      <c r="B237" s="51" t="s">
        <v>146</v>
      </c>
      <c r="C237" s="22">
        <f>IF(AND(ISNUMBER(C234),ISNUMBER(G331)),IF(OR(G331&lt;=0,C234&lt;0),"n.m.",C234/G331-1),"n.a.")</f>
        <v>0.02080828126348755</v>
      </c>
      <c r="D237" s="22">
        <f>IF(AND(ISNUMBER(D234),ISNUMBER(C234)),IF(OR(C234&lt;=0,D234&lt;0),"n.m.",D234/C234-1),"n.a.")</f>
        <v>0.026577975736974846</v>
      </c>
      <c r="E237" s="1"/>
      <c r="F237" s="22">
        <f>IF(AND(ISNUMBER(F234),ISNUMBER(D234)),IF(OR(D234&lt;=0,F234&lt;0),"n.m.",F234/D234-1),"n.a.")</f>
        <v>0.006638638671293551</v>
      </c>
      <c r="G237" s="22">
        <f>IF(AND(ISNUMBER(G234),ISNUMBER(F234)),IF(OR(F234&lt;=0,G234&lt;0),"n.m.",G234/F234-1),"n.a.")</f>
        <v>0.03876544910252422</v>
      </c>
      <c r="H237" s="72">
        <v>0.02</v>
      </c>
      <c r="I237" s="1"/>
      <c r="J237" s="1"/>
    </row>
    <row r="238">
      <c r="A238" s="1"/>
      <c r="B238" s="1" t="s">
        <v>466</v>
      </c>
      <c r="C238" s="3">
        <v>353635</v>
      </c>
      <c r="D238" s="3">
        <v>360707</v>
      </c>
      <c r="E238" s="3">
        <v>349999</v>
      </c>
      <c r="F238" s="3">
        <v>374017</v>
      </c>
      <c r="G238" s="3">
        <v>391073</v>
      </c>
      <c r="H238" s="29">
        <f>G238*(1+H241)</f>
        <v>398894.46</v>
      </c>
      <c r="I238" s="1"/>
      <c r="J238" s="2" t="s">
        <v>465</v>
      </c>
    </row>
    <row r="239">
      <c r="A239" s="1"/>
      <c r="B239" s="36" t="s">
        <v>58</v>
      </c>
      <c r="C239" s="22">
        <f>IF(AND(ISNUMBER(C238),ISNUMBER(C332)),IF(OR(C332&lt;=0,C238&lt;0),"n.m.",C238/C332-1),"n.a.")</f>
        <v>0.01493843813678497</v>
      </c>
      <c r="D239" s="22">
        <f>IF(AND(ISNUMBER(D238),ISNUMBER(D332)),IF(OR(D332&lt;=0,D238&lt;0),"n.m.",D238/D332-1),"n.a.")</f>
        <v>0.045597242714731756</v>
      </c>
      <c r="E239" s="22">
        <f>IF(AND(ISNUMBER(E238),ISNUMBER(E332)),IF(OR(E332&lt;=0,E238&lt;0),"n.m.",E238/E332-1),"n.a.")</f>
        <v>0.0034921627038169145</v>
      </c>
      <c r="F239" s="22">
        <f>IF(AND(ISNUMBER(F238),ISNUMBER(F332)),IF(OR(F332&lt;=0,F238&lt;0),"n.m.",F238/F332-1),"n.a.")</f>
        <v>0.10022150511697414</v>
      </c>
      <c r="G239" s="22">
        <f>IF(AND(ISNUMBER(G238),ISNUMBER(G332)),IF(OR(G332&lt;=0,G238&lt;0),"n.m.",G238/G332-1),"n.a.")</f>
        <v>0.13210108846688273</v>
      </c>
      <c r="H239" s="39">
        <f>IF(AND(ISNUMBER(H238),ISNUMBER(C238)),IF(OR(C238&lt;=0,H238&lt;0),"n.m.",H238/C238-1),"n.a.")</f>
        <v>0.12798354235299114</v>
      </c>
      <c r="I239" s="1"/>
      <c r="J239" s="1"/>
    </row>
    <row r="240">
      <c r="A240" s="1"/>
      <c r="B240" s="21" t="s">
        <v>114</v>
      </c>
      <c r="C240" s="10">
        <f>C238-G332</f>
        <v>8195</v>
      </c>
      <c r="D240" s="10">
        <f>D238-C238</f>
        <v>7072</v>
      </c>
      <c r="E240" s="1"/>
      <c r="F240" s="10">
        <f>F238-D238</f>
        <v>13310</v>
      </c>
      <c r="G240" s="10">
        <f>G238-F238</f>
        <v>17056</v>
      </c>
      <c r="H240" s="29">
        <f>H238-G238</f>
        <v>7821.460000000021</v>
      </c>
      <c r="I240" s="1"/>
      <c r="J240" s="1"/>
    </row>
    <row r="241">
      <c r="A241" s="1"/>
      <c r="B241" s="51" t="s">
        <v>146</v>
      </c>
      <c r="C241" s="22">
        <f>IF(AND(ISNUMBER(C238),ISNUMBER(G332)),IF(OR(G332&lt;=0,C238&lt;0),"n.m.",C238/G332-1),"n.a.")</f>
        <v>0.023723367299675724</v>
      </c>
      <c r="D241" s="22">
        <f>IF(AND(ISNUMBER(D238),ISNUMBER(C238)),IF(OR(C238&lt;=0,D238&lt;0),"n.m.",D238/C238-1),"n.a.")</f>
        <v>0.019998020557919993</v>
      </c>
      <c r="E241" s="1"/>
      <c r="F241" s="22">
        <f>IF(AND(ISNUMBER(F238),ISNUMBER(D238)),IF(OR(D238&lt;=0,F238&lt;0),"n.m.",F238/D238-1),"n.a.")</f>
        <v>0.03689975520297639</v>
      </c>
      <c r="G241" s="22">
        <f>IF(AND(ISNUMBER(G238),ISNUMBER(F238)),IF(OR(F238&lt;=0,G238&lt;0),"n.m.",G238/F238-1),"n.a.")</f>
        <v>0.04560220524735503</v>
      </c>
      <c r="H241" s="72">
        <v>0.02</v>
      </c>
      <c r="I241" s="1"/>
      <c r="J241" s="1"/>
    </row>
    <row r="242">
      <c r="A242" s="1"/>
      <c r="B242" s="1" t="s">
        <v>467</v>
      </c>
      <c r="C242" s="3">
        <v>528135</v>
      </c>
      <c r="D242" s="3">
        <v>546219</v>
      </c>
      <c r="E242" s="3">
        <v>517260</v>
      </c>
      <c r="F242" s="3">
        <v>558751</v>
      </c>
      <c r="G242" s="3">
        <v>573945</v>
      </c>
      <c r="H242" s="29">
        <f>G242*(1+H245)</f>
        <v>585423.9</v>
      </c>
      <c r="I242" s="1"/>
      <c r="J242" s="2" t="s">
        <v>465</v>
      </c>
    </row>
    <row r="243">
      <c r="A243" s="1"/>
      <c r="B243" s="36" t="s">
        <v>58</v>
      </c>
      <c r="C243" s="22">
        <f>IF(AND(ISNUMBER(C242),ISNUMBER(C333)),IF(OR(C333&lt;=0,C242&lt;0),"n.m.",C242/C333-1),"n.a.")</f>
        <v>0.10893091110663167</v>
      </c>
      <c r="D243" s="22">
        <f>IF(AND(ISNUMBER(D242),ISNUMBER(D333)),IF(OR(D333&lt;=0,D242&lt;0),"n.m.",D242/D333-1),"n.a.")</f>
        <v>0.13249197621476383</v>
      </c>
      <c r="E243" s="22">
        <f>IF(AND(ISNUMBER(E242),ISNUMBER(E333)),IF(OR(E333&lt;=0,E242&lt;0),"n.m.",E242/E333-1),"n.a.")</f>
        <v>0.08799266342185752</v>
      </c>
      <c r="F243" s="22">
        <f>IF(AND(ISNUMBER(F242),ISNUMBER(F333)),IF(OR(F333&lt;=0,F242&lt;0),"n.m.",F242/F333-1),"n.a.")</f>
        <v>0.15850376526008492</v>
      </c>
      <c r="G243" s="22">
        <f>IF(AND(ISNUMBER(G242),ISNUMBER(G333)),IF(OR(G333&lt;=0,G242&lt;0),"n.m.",G242/G333-1),"n.a.")</f>
        <v>0.12194611796810562</v>
      </c>
      <c r="H243" s="39">
        <f>IF(AND(ISNUMBER(H242),ISNUMBER(C242)),IF(OR(C242&lt;=0,H242&lt;0),"n.m.",H242/C242-1),"n.a.")</f>
        <v>0.10847396972365031</v>
      </c>
      <c r="I243" s="1"/>
      <c r="J243" s="1"/>
    </row>
    <row r="244">
      <c r="A244" s="1"/>
      <c r="B244" s="21" t="s">
        <v>114</v>
      </c>
      <c r="C244" s="10">
        <f>C242-G333</f>
        <v>16573</v>
      </c>
      <c r="D244" s="10">
        <f>D242-C242</f>
        <v>18084</v>
      </c>
      <c r="E244" s="1"/>
      <c r="F244" s="10">
        <f>F242-D242</f>
        <v>12532</v>
      </c>
      <c r="G244" s="10">
        <f>G242-F242</f>
        <v>15194</v>
      </c>
      <c r="H244" s="29">
        <f>H242-G242</f>
        <v>11478.900000000023</v>
      </c>
      <c r="I244" s="1"/>
      <c r="J244" s="1"/>
    </row>
    <row r="245">
      <c r="A245" s="1"/>
      <c r="B245" s="51" t="s">
        <v>146</v>
      </c>
      <c r="C245" s="22">
        <f>IF(AND(ISNUMBER(C242),ISNUMBER(G333)),IF(OR(G333&lt;=0,C242&lt;0),"n.m.",C242/G333-1),"n.a.")</f>
        <v>0.03239685512215518</v>
      </c>
      <c r="D245" s="22">
        <f>IF(AND(ISNUMBER(D242),ISNUMBER(C242)),IF(OR(C242&lt;=0,D242&lt;0),"n.m.",D242/C242-1),"n.a.")</f>
        <v>0.03424124513618687</v>
      </c>
      <c r="E245" s="1"/>
      <c r="F245" s="22">
        <f>IF(AND(ISNUMBER(F242),ISNUMBER(D242)),IF(OR(D242&lt;=0,F242&lt;0),"n.m.",F242/D242-1),"n.a.")</f>
        <v>0.022943178468709524</v>
      </c>
      <c r="G245" s="22">
        <f>IF(AND(ISNUMBER(G242),ISNUMBER(F242)),IF(OR(F242&lt;=0,G242&lt;0),"n.m.",G242/F242-1),"n.a.")</f>
        <v>0.027192792496120832</v>
      </c>
      <c r="H245" s="72">
        <v>0.02</v>
      </c>
      <c r="I245" s="1"/>
      <c r="J245" s="1"/>
    </row>
    <row r="246">
      <c r="A246" s="1"/>
      <c r="B246" s="1" t="s">
        <v>468</v>
      </c>
      <c r="C246" s="3">
        <v>583680</v>
      </c>
      <c r="D246" s="3">
        <v>612634</v>
      </c>
      <c r="E246" s="3">
        <v>571985</v>
      </c>
      <c r="F246" s="3">
        <v>632339</v>
      </c>
      <c r="G246" s="3">
        <v>646350</v>
      </c>
      <c r="H246" s="29">
        <f>G246*(1+H249)</f>
        <v>659277</v>
      </c>
      <c r="I246" s="1"/>
      <c r="J246" s="2" t="s">
        <v>465</v>
      </c>
    </row>
    <row r="247">
      <c r="A247" s="1"/>
      <c r="B247" s="36" t="s">
        <v>58</v>
      </c>
      <c r="C247" s="22">
        <f>IF(AND(ISNUMBER(C246),ISNUMBER(C334)),IF(OR(C334&lt;=0,C246&lt;0),"n.m.",C246/C334-1),"n.a.")</f>
        <v>0.12004052778225538</v>
      </c>
      <c r="D247" s="22">
        <f>IF(AND(ISNUMBER(D246),ISNUMBER(D334)),IF(OR(D334&lt;=0,D246&lt;0),"n.m.",D246/D334-1),"n.a.")</f>
        <v>0.16576945838304602</v>
      </c>
      <c r="E247" s="22">
        <f>IF(AND(ISNUMBER(E246),ISNUMBER(E334)),IF(OR(E334&lt;=0,E246&lt;0),"n.m.",E246/E334-1),"n.a.")</f>
        <v>0.1019907638421953</v>
      </c>
      <c r="F247" s="22">
        <f>IF(AND(ISNUMBER(F246),ISNUMBER(F334)),IF(OR(F334&lt;=0,F246&lt;0),"n.m.",F246/F334-1),"n.a.")</f>
        <v>0.19596728740406189</v>
      </c>
      <c r="G247" s="22">
        <f>IF(AND(ISNUMBER(G246),ISNUMBER(G334)),IF(OR(G334&lt;=0,G246&lt;0),"n.m.",G246/G334-1),"n.a.")</f>
        <v>0.15039806068890393</v>
      </c>
      <c r="H247" s="39">
        <f>IF(AND(ISNUMBER(H246),ISNUMBER(C246)),IF(OR(C246&lt;=0,H246&lt;0),"n.m.",H246/C246-1),"n.a.")</f>
        <v>0.12951788651315788</v>
      </c>
      <c r="I247" s="1"/>
      <c r="J247" s="1"/>
    </row>
    <row r="248">
      <c r="A248" s="1"/>
      <c r="B248" s="21" t="s">
        <v>114</v>
      </c>
      <c r="C248" s="10">
        <f>C246-G334</f>
        <v>21831</v>
      </c>
      <c r="D248" s="10">
        <f>D246-C246</f>
        <v>28954</v>
      </c>
      <c r="E248" s="1"/>
      <c r="F248" s="10">
        <f>F246-D246</f>
        <v>19705</v>
      </c>
      <c r="G248" s="10">
        <f>G246-F246</f>
        <v>14011</v>
      </c>
      <c r="H248" s="29">
        <f>H246-G246</f>
        <v>12927</v>
      </c>
      <c r="I248" s="1"/>
      <c r="J248" s="1"/>
    </row>
    <row r="249">
      <c r="A249" s="1"/>
      <c r="B249" s="51" t="s">
        <v>146</v>
      </c>
      <c r="C249" s="22">
        <f>IF(AND(ISNUMBER(C246),ISNUMBER(G334)),IF(OR(G334&lt;=0,C246&lt;0),"n.m.",C246/G334-1),"n.a.")</f>
        <v>0.03885563558892158</v>
      </c>
      <c r="D249" s="22">
        <f>IF(AND(ISNUMBER(D246),ISNUMBER(C246)),IF(OR(C246&lt;=0,D246&lt;0),"n.m.",D246/C246-1),"n.a.")</f>
        <v>0.049605948464912286</v>
      </c>
      <c r="E249" s="1"/>
      <c r="F249" s="22">
        <f>IF(AND(ISNUMBER(F246),ISNUMBER(D246)),IF(OR(D246&lt;=0,F246&lt;0),"n.m.",F246/D246-1),"n.a.")</f>
        <v>0.03216439179020436</v>
      </c>
      <c r="G249" s="22">
        <f>IF(AND(ISNUMBER(G246),ISNUMBER(F246)),IF(OR(F246&lt;=0,G246&lt;0),"n.m.",G246/F246-1),"n.a.")</f>
        <v>0.0221574187263478</v>
      </c>
      <c r="H249" s="72">
        <v>0.02</v>
      </c>
      <c r="I249" s="1"/>
      <c r="J249" s="1"/>
    </row>
    <row r="250">
      <c r="A250" s="1"/>
      <c r="B250" s="1" t="s">
        <v>469</v>
      </c>
      <c r="C250" s="3">
        <v>796017</v>
      </c>
      <c r="D250" s="3">
        <v>815438</v>
      </c>
      <c r="E250" s="3">
        <v>764098</v>
      </c>
      <c r="F250" s="3">
        <v>874262</v>
      </c>
      <c r="G250" s="3">
        <v>952230</v>
      </c>
      <c r="H250" s="29">
        <f>G250</f>
        <v>952230</v>
      </c>
      <c r="I250" s="1"/>
      <c r="J250" s="2" t="s">
        <v>470</v>
      </c>
    </row>
    <row r="251">
      <c r="A251" s="1"/>
      <c r="B251" s="36" t="s">
        <v>58</v>
      </c>
      <c r="C251" s="22">
        <f>IF(AND(ISNUMBER(C250),ISNUMBER(C335)),IF(OR(C335&lt;=0,C250&lt;0),"n.m.",C250/C335-1),"n.a.")</f>
        <v>0.20008231544605626</v>
      </c>
      <c r="D251" s="22">
        <f>IF(AND(ISNUMBER(D250),ISNUMBER(D335)),IF(OR(D335&lt;=0,D250&lt;0),"n.m.",D250/D335-1),"n.a.")</f>
        <v>0.32993335964588955</v>
      </c>
      <c r="E251" s="22">
        <f>IF(AND(ISNUMBER(E250),ISNUMBER(E335)),IF(OR(E335&lt;=0,E250&lt;0),"n.m.",E250/E335-1),"n.a.")</f>
        <v>0.22445323316752996</v>
      </c>
      <c r="F251" s="22">
        <f>IF(AND(ISNUMBER(F250),ISNUMBER(F335)),IF(OR(F335&lt;=0,F250&lt;0),"n.m.",F250/F335-1),"n.a.")</f>
        <v>0.2762222296832735</v>
      </c>
      <c r="G251" s="22">
        <f>IF(AND(ISNUMBER(G250),ISNUMBER(G335)),IF(OR(G335&lt;=0,G250&lt;0),"n.m.",G250/G335-1),"n.a.")</f>
        <v>0.25605285755553586</v>
      </c>
      <c r="H251" s="39">
        <f>IF(AND(ISNUMBER(H250),ISNUMBER(C250)),IF(OR(C250&lt;=0,H250&lt;0),"n.m.",H250/C250-1),"n.a.")</f>
        <v>0.19624329631151083</v>
      </c>
      <c r="I251" s="1"/>
      <c r="J251" s="1"/>
    </row>
    <row r="252">
      <c r="A252" s="1"/>
      <c r="B252" s="21" t="s">
        <v>114</v>
      </c>
      <c r="C252" s="10">
        <f>C250-G335</f>
        <v>37904</v>
      </c>
      <c r="D252" s="10">
        <f>D250-C250</f>
        <v>19421</v>
      </c>
      <c r="E252" s="1"/>
      <c r="F252" s="10">
        <f>F250-D250</f>
        <v>58824</v>
      </c>
      <c r="G252" s="10">
        <f>G250-F250</f>
        <v>77968</v>
      </c>
      <c r="H252" s="29">
        <f>H250-G250</f>
        <v>0</v>
      </c>
      <c r="I252" s="1"/>
      <c r="J252" s="1"/>
    </row>
    <row r="253">
      <c r="A253" s="1"/>
      <c r="B253" s="1" t="s">
        <v>471</v>
      </c>
      <c r="C253" s="3">
        <v>40128</v>
      </c>
      <c r="D253" s="3">
        <v>41172</v>
      </c>
      <c r="E253" s="3">
        <v>41172</v>
      </c>
      <c r="F253" s="3">
        <v>40905</v>
      </c>
      <c r="G253" s="3">
        <v>44931</v>
      </c>
      <c r="H253" s="29">
        <f>G253*(1+H256)</f>
        <v>45604.965</v>
      </c>
      <c r="I253" s="1"/>
      <c r="J253" s="2" t="s">
        <v>472</v>
      </c>
    </row>
    <row r="254">
      <c r="A254" s="1"/>
      <c r="B254" s="36" t="s">
        <v>58</v>
      </c>
      <c r="C254" s="22">
        <f>IF(AND(ISNUMBER(C253),ISNUMBER(C336)),IF(OR(C336&lt;=0,C253&lt;0),"n.m.",C253/C336-1),"n.a.")</f>
        <v>0.1198928332217013</v>
      </c>
      <c r="D254" s="22">
        <f>IF(AND(ISNUMBER(D253),ISNUMBER(D336)),IF(OR(D336&lt;=0,D253&lt;0),"n.m.",D253/D336-1),"n.a.")</f>
        <v>0.16700680272108848</v>
      </c>
      <c r="E254" s="22">
        <f>IF(AND(ISNUMBER(E253),ISNUMBER(E336)),IF(OR(E336&lt;=0,E253&lt;0),"n.m.",E253/E336-1),"n.a.")</f>
        <v>0.16700680272108848</v>
      </c>
      <c r="F254" s="22">
        <f>IF(AND(ISNUMBER(F253),ISNUMBER(F336)),IF(OR(F336&lt;=0,F253&lt;0),"n.m.",F253/F336-1),"n.a.")</f>
        <v>0.14650484892650928</v>
      </c>
      <c r="G254" s="22">
        <f>IF(AND(ISNUMBER(G253),ISNUMBER(G336)),IF(OR(G336&lt;=0,G253&lt;0),"n.m.",G253/G336-1),"n.a.")</f>
        <v>0.18152414010728934</v>
      </c>
      <c r="H254" s="39">
        <f>IF(AND(ISNUMBER(H253),ISNUMBER(C253)),IF(OR(C253&lt;=0,H253&lt;0),"n.m.",H253/C253-1),"n.a.")</f>
        <v>0.136487365430622</v>
      </c>
      <c r="I254" s="1"/>
      <c r="J254" s="1"/>
    </row>
    <row r="255">
      <c r="A255" s="1"/>
      <c r="B255" s="21" t="s">
        <v>114</v>
      </c>
      <c r="C255" s="10">
        <f>C253-G336</f>
        <v>2100</v>
      </c>
      <c r="D255" s="10">
        <f>D253-C253</f>
        <v>1044</v>
      </c>
      <c r="E255" s="1"/>
      <c r="F255" s="10">
        <f>F253-D253</f>
        <v>-267</v>
      </c>
      <c r="G255" s="10">
        <f>G253-F253</f>
        <v>4026</v>
      </c>
      <c r="H255" s="29">
        <f>H253-G253</f>
        <v>673.9649999999965</v>
      </c>
      <c r="I255" s="1"/>
      <c r="J255" s="1"/>
    </row>
    <row r="256">
      <c r="A256" s="1"/>
      <c r="B256" s="51" t="s">
        <v>146</v>
      </c>
      <c r="C256" s="22">
        <f>IF(AND(ISNUMBER(C253),ISNUMBER(G336)),IF(OR(G336&lt;=0,C253&lt;0),"n.m.",C253/G336-1),"n.a.")</f>
        <v>0.05522246765541183</v>
      </c>
      <c r="D256" s="22">
        <f>IF(AND(ISNUMBER(D253),ISNUMBER(C253)),IF(OR(C253&lt;=0,D253&lt;0),"n.m.",D253/C253-1),"n.a.")</f>
        <v>0.026016746411483327</v>
      </c>
      <c r="E256" s="1"/>
      <c r="F256" s="22">
        <f>IF(AND(ISNUMBER(F253),ISNUMBER(D253)),IF(OR(D253&lt;=0,F253&lt;0),"n.m.",F253/D253-1),"n.a.")</f>
        <v>-0.006484989798892449</v>
      </c>
      <c r="G256" s="22">
        <f>IF(AND(ISNUMBER(G253),ISNUMBER(F253)),IF(OR(F253&lt;=0,G253&lt;0),"n.m.",G253/F253-1),"n.a.")</f>
        <v>0.09842317565089842</v>
      </c>
      <c r="H256" s="72">
        <v>0.015</v>
      </c>
      <c r="I256" s="1"/>
      <c r="J256" s="1"/>
    </row>
    <row r="257">
      <c r="A257" s="1"/>
      <c r="B257" s="1"/>
      <c r="C257" s="1"/>
      <c r="D257" s="1"/>
      <c r="E257" s="1"/>
      <c r="F257" s="1"/>
      <c r="G257" s="1"/>
      <c r="H257" s="30"/>
      <c r="I257" s="1"/>
      <c r="J257" s="1"/>
    </row>
    <row r="258">
      <c r="A258" s="1"/>
      <c r="B258" s="31" t="s">
        <v>294</v>
      </c>
      <c r="C258" s="1"/>
      <c r="D258" s="1"/>
      <c r="E258" s="1"/>
      <c r="F258" s="1"/>
      <c r="G258" s="1"/>
      <c r="H258" s="30"/>
      <c r="I258" s="1"/>
      <c r="J258" s="1"/>
    </row>
    <row r="259">
      <c r="A259" s="1"/>
      <c r="B259" s="1" t="s">
        <v>473</v>
      </c>
      <c r="C259" s="4">
        <v>0.0043</v>
      </c>
      <c r="D259" s="4">
        <v>0.0032</v>
      </c>
      <c r="E259" s="4">
        <v>0.0029</v>
      </c>
      <c r="F259" s="4">
        <v>0.0009</v>
      </c>
      <c r="G259" s="4">
        <v>0.0014000000000000002</v>
      </c>
      <c r="H259" s="87">
        <v>0.0017</v>
      </c>
      <c r="I259" s="1"/>
      <c r="J259" s="2" t="s">
        <v>474</v>
      </c>
    </row>
    <row r="260">
      <c r="A260" s="1"/>
      <c r="B260" s="21" t="s">
        <v>153</v>
      </c>
      <c r="C260" s="25">
        <f>(C259-C337)*10000</f>
        <v>30</v>
      </c>
      <c r="D260" s="25">
        <f>(D259-D337)*10000</f>
        <v>7.000000000000001</v>
      </c>
      <c r="E260" s="25">
        <f>(E259-E337)*10000</f>
        <v>14.999999999999996</v>
      </c>
      <c r="F260" s="25">
        <f>(F259-F337)*10000</f>
        <v>-6.000000000000001</v>
      </c>
      <c r="G260" s="25">
        <f>(G259-G337)*10000</f>
        <v>-10.999999999999998</v>
      </c>
      <c r="H260" s="58">
        <f>(H259-C259)*10000</f>
        <v>-26</v>
      </c>
      <c r="I260" s="1"/>
      <c r="J260" s="1"/>
    </row>
    <row r="261">
      <c r="A261" s="1"/>
      <c r="B261" s="21" t="s">
        <v>154</v>
      </c>
      <c r="C261" s="25">
        <f>(C259-G337)*10000</f>
        <v>18</v>
      </c>
      <c r="D261" s="25">
        <f>(D259-C259)*10000</f>
        <v>-10.999999999999998</v>
      </c>
      <c r="E261" s="1"/>
      <c r="F261" s="25">
        <f>(F259-D259)*10000</f>
        <v>-23</v>
      </c>
      <c r="G261" s="25">
        <f>(G259-F259)*10000</f>
        <v>5.000000000000003</v>
      </c>
      <c r="H261" s="58">
        <f>(H259-G259)*10000</f>
        <v>2.999999999999997</v>
      </c>
      <c r="I261" s="1"/>
      <c r="J261" s="1"/>
    </row>
    <row r="262">
      <c r="A262" s="1"/>
      <c r="B262" s="1" t="s">
        <v>475</v>
      </c>
      <c r="C262" s="3">
        <v>567</v>
      </c>
      <c r="D262" s="3">
        <v>440</v>
      </c>
      <c r="E262" s="3">
        <v>1509</v>
      </c>
      <c r="F262" s="3">
        <v>120</v>
      </c>
      <c r="G262" s="3">
        <v>207</v>
      </c>
      <c r="H262" s="29">
        <f>H259*H242*H7/365</f>
        <v>250.85013139726027</v>
      </c>
      <c r="I262" s="1"/>
      <c r="J262" s="2" t="s">
        <v>476</v>
      </c>
    </row>
    <row r="263">
      <c r="A263" s="1"/>
      <c r="B263" s="36" t="s">
        <v>58</v>
      </c>
      <c r="C263" s="22">
        <f>IF(AND(ISNUMBER(C262),ISNUMBER(C338)),IF(OR(C338&lt;=0,C262&lt;0),"n.m.",C262/C338-1),"n.a.")</f>
        <v>2.6346153846153846</v>
      </c>
      <c r="D263" s="22">
        <f>IF(AND(ISNUMBER(D262),ISNUMBER(D338)),IF(OR(D338&lt;=0,D262&lt;0),"n.m.",D262/D338-1),"n.a.")</f>
        <v>0.46666666666666656</v>
      </c>
      <c r="E263" s="22">
        <f>IF(AND(ISNUMBER(E262),ISNUMBER(E338)),IF(OR(E338&lt;=0,E262&lt;0),"n.m.",E262/E338-1),"n.a.")</f>
        <v>1.1901306240928884</v>
      </c>
      <c r="F263" s="22">
        <f>IF(AND(ISNUMBER(F262),ISNUMBER(F338)),IF(OR(F338&lt;=0,F262&lt;0),"n.m.",F262/F338-1),"n.a.")</f>
        <v>-0.3220338983050848</v>
      </c>
      <c r="G263" s="22">
        <f>IF(AND(ISNUMBER(G262),ISNUMBER(G338)),IF(OR(G338&lt;=0,G262&lt;0),"n.m.",G262/G338-1),"n.a.")</f>
        <v>-0.3630769230769231</v>
      </c>
      <c r="H263" s="39">
        <f>IF(AND(ISNUMBER(H262),ISNUMBER(C262)),IF(OR(C262&lt;=0,H262&lt;0),"n.m.",H262/C262-1),"n.a.")</f>
        <v>-0.5575835425092411</v>
      </c>
      <c r="I263" s="1"/>
      <c r="J263" s="1"/>
    </row>
    <row r="264">
      <c r="A264" s="1"/>
      <c r="B264" s="21" t="s">
        <v>114</v>
      </c>
      <c r="C264" s="10">
        <f>C262-G338</f>
        <v>242</v>
      </c>
      <c r="D264" s="10">
        <f>D262-C262</f>
        <v>-127</v>
      </c>
      <c r="E264" s="1"/>
      <c r="F264" s="10">
        <f>F262-D262</f>
        <v>-320</v>
      </c>
      <c r="G264" s="10">
        <f>G262-F262</f>
        <v>87</v>
      </c>
      <c r="H264" s="29">
        <f>H262-G262</f>
        <v>43.85013139726027</v>
      </c>
      <c r="I264" s="1"/>
      <c r="J264" s="1"/>
    </row>
    <row r="265" ht="27">
      <c r="A265" s="1"/>
      <c r="B265" s="1" t="s">
        <v>310</v>
      </c>
      <c r="C265" s="10">
        <f>C268-C262</f>
        <v>242</v>
      </c>
      <c r="D265" s="10">
        <f>D268-D262</f>
        <v>-35</v>
      </c>
      <c r="E265" s="10">
        <f>E268-E262</f>
        <v>1106</v>
      </c>
      <c r="F265" s="10">
        <f>F268-F262</f>
        <v>362</v>
      </c>
      <c r="G265" s="10">
        <f>G268-G262</f>
        <v>149</v>
      </c>
      <c r="H265" s="44">
        <v>200</v>
      </c>
      <c r="I265" s="1"/>
      <c r="J265" s="125" t="s">
        <v>477</v>
      </c>
    </row>
    <row r="266">
      <c r="A266" s="1"/>
      <c r="B266" s="36" t="s">
        <v>58</v>
      </c>
      <c r="C266" s="22">
        <f>IF(AND(ISNUMBER(C265),ISNUMBER(C339)),IF(OR(C339&lt;=0,C265&lt;0),"n.m.",C265/C339-1),"n.a.")</f>
        <v>0.5125</v>
      </c>
      <c r="D266" s="22" t="str">
        <f>IF(AND(ISNUMBER(D265),ISNUMBER(D339)),IF(OR(D339&lt;=0,D265&lt;0),"n.m.",D265/D339-1),"n.a.")</f>
        <v>n.m.</v>
      </c>
      <c r="E266" s="22">
        <f>IF(AND(ISNUMBER(E265),ISNUMBER(E339)),IF(OR(E339&lt;=0,E265&lt;0),"n.m.",E265/E339-1),"n.a.")</f>
        <v>14.150684931506849</v>
      </c>
      <c r="F266" s="22">
        <f>IF(AND(ISNUMBER(F265),ISNUMBER(F339)),IF(OR(F339&lt;=0,F265&lt;0),"n.m.",F265/F339-1),"n.a.")</f>
        <v>-0.31439393939393945</v>
      </c>
      <c r="G266" s="22">
        <f>IF(AND(ISNUMBER(G265),ISNUMBER(G339)),IF(OR(G339&lt;=0,G265&lt;0),"n.m.",G265/G339-1),"n.a.")</f>
        <v>-0.5983827493261455</v>
      </c>
      <c r="H266" s="39">
        <f>IF(AND(ISNUMBER(H265),ISNUMBER(C265)),IF(OR(C265&lt;=0,H265&lt;0),"n.m.",H265/C265-1),"n.a.")</f>
        <v>-0.17355371900826444</v>
      </c>
      <c r="I266" s="1"/>
      <c r="J266" s="1"/>
    </row>
    <row r="267">
      <c r="A267" s="1"/>
      <c r="B267" s="21" t="s">
        <v>114</v>
      </c>
      <c r="C267" s="10">
        <f>C265-G339</f>
        <v>-129</v>
      </c>
      <c r="D267" s="10">
        <f>D265-C265</f>
        <v>-277</v>
      </c>
      <c r="E267" s="1"/>
      <c r="F267" s="10">
        <f>F265-D265</f>
        <v>397</v>
      </c>
      <c r="G267" s="10">
        <f>G265-F265</f>
        <v>-213</v>
      </c>
      <c r="H267" s="29">
        <f>H265-G265</f>
        <v>51</v>
      </c>
      <c r="I267" s="1"/>
      <c r="J267" s="1"/>
    </row>
    <row r="268">
      <c r="A268" s="1"/>
      <c r="B268" s="31" t="s">
        <v>312</v>
      </c>
      <c r="C268" s="33">
        <v>809</v>
      </c>
      <c r="D268" s="33">
        <v>405</v>
      </c>
      <c r="E268" s="33">
        <v>2615</v>
      </c>
      <c r="F268" s="33">
        <v>482</v>
      </c>
      <c r="G268" s="33">
        <v>356</v>
      </c>
      <c r="H268" s="64">
        <f>H262+H265</f>
        <v>450.85013139726027</v>
      </c>
      <c r="I268" s="1"/>
      <c r="J268" s="2" t="s">
        <v>313</v>
      </c>
    </row>
    <row r="269">
      <c r="A269" s="1"/>
      <c r="B269" s="36" t="s">
        <v>58</v>
      </c>
      <c r="C269" s="22">
        <f>IF(AND(ISNUMBER(C268),ISNUMBER(C340)),IF(OR(C340&lt;=0,C268&lt;0),"n.m.",C268/C340-1),"n.a.")</f>
        <v>1.560126582278481</v>
      </c>
      <c r="D269" s="22">
        <f>IF(AND(ISNUMBER(D268),ISNUMBER(D340)),IF(OR(D340&lt;=0,D268&lt;0),"n.m.",D268/D340-1),"n.a.")</f>
        <v>5.639344262295082</v>
      </c>
      <c r="E269" s="22">
        <f>IF(AND(ISNUMBER(E268),ISNUMBER(E340)),IF(OR(E340&lt;=0,E268&lt;0),"n.m.",E268/E340-1),"n.a.")</f>
        <v>2.431758530183727</v>
      </c>
      <c r="F269" s="22">
        <f>IF(AND(ISNUMBER(F268),ISNUMBER(F340)),IF(OR(F340&lt;=0,F268&lt;0),"n.m.",F268/F340-1),"n.a.")</f>
        <v>-0.31631205673758866</v>
      </c>
      <c r="G269" s="22">
        <f>IF(AND(ISNUMBER(G268),ISNUMBER(G340)),IF(OR(G340&lt;=0,G268&lt;0),"n.m.",G268/G340-1),"n.a.")</f>
        <v>-0.4885057471264368</v>
      </c>
      <c r="H269" s="39">
        <f>IF(AND(ISNUMBER(H268),ISNUMBER(C268)),IF(OR(C268&lt;=0,H268&lt;0),"n.m.",H268/C268-1),"n.a.")</f>
        <v>-0.4427068833161183</v>
      </c>
      <c r="I269" s="1"/>
      <c r="J269" s="1"/>
    </row>
    <row r="270">
      <c r="A270" s="1"/>
      <c r="B270" s="21" t="s">
        <v>114</v>
      </c>
      <c r="C270" s="10">
        <f>C268-G340</f>
        <v>113</v>
      </c>
      <c r="D270" s="10">
        <f>D268-C268</f>
        <v>-404</v>
      </c>
      <c r="E270" s="1"/>
      <c r="F270" s="10">
        <f>F268-D268</f>
        <v>77</v>
      </c>
      <c r="G270" s="10">
        <f>G268-F268</f>
        <v>-126</v>
      </c>
      <c r="H270" s="29">
        <f>H268-G268</f>
        <v>94.85013139726027</v>
      </c>
      <c r="I270" s="1"/>
      <c r="J270" s="1"/>
    </row>
    <row r="271">
      <c r="A271" s="1"/>
      <c r="B271" s="1" t="s">
        <v>478</v>
      </c>
      <c r="C271" s="3">
        <v>10407</v>
      </c>
      <c r="D271" s="3">
        <v>10370</v>
      </c>
      <c r="E271" s="3">
        <v>10370</v>
      </c>
      <c r="F271" s="3">
        <v>10724</v>
      </c>
      <c r="G271" s="3">
        <v>10995</v>
      </c>
      <c r="H271" s="29">
        <f>G271+H265</f>
        <v>11195</v>
      </c>
      <c r="I271" s="1"/>
      <c r="J271" s="2" t="s">
        <v>476</v>
      </c>
    </row>
    <row r="272">
      <c r="A272" s="1"/>
      <c r="B272" s="36" t="s">
        <v>58</v>
      </c>
      <c r="C272" s="22">
        <f>IF(AND(ISNUMBER(C271),ISNUMBER(C341)),IF(OR(C341&lt;=0,C271&lt;0),"n.m.",C271/C341-1),"n.a.")</f>
        <v>0.10243644067796609</v>
      </c>
      <c r="D272" s="22">
        <f>IF(AND(ISNUMBER(D271),ISNUMBER(D341)),IF(OR(D341&lt;=0,D271&lt;0),"n.m.",D271/D341-1),"n.a.")</f>
        <v>0.1186623516720604</v>
      </c>
      <c r="E272" s="22">
        <f>IF(AND(ISNUMBER(E271),ISNUMBER(E341)),IF(OR(E341&lt;=0,E271&lt;0),"n.m.",E271/E341-1),"n.a.")</f>
        <v>0.1186623516720604</v>
      </c>
      <c r="F272" s="22">
        <f>IF(AND(ISNUMBER(F271),ISNUMBER(F341)),IF(OR(F341&lt;=0,F271&lt;0),"n.m.",F271/F341-1),"n.a.")</f>
        <v>0.0950679056468906</v>
      </c>
      <c r="G272" s="22">
        <f>IF(AND(ISNUMBER(G271),ISNUMBER(G341)),IF(OR(G341&lt;=0,G271&lt;0),"n.m.",G271/G341-1),"n.a.")</f>
        <v>0.08165272995573036</v>
      </c>
      <c r="H272" s="39">
        <f>IF(AND(ISNUMBER(H271),ISNUMBER(C271)),IF(OR(C271&lt;=0,H271&lt;0),"n.m.",H271/C271-1),"n.a.")</f>
        <v>0.0757182665513596</v>
      </c>
      <c r="I272" s="1"/>
      <c r="J272" s="1"/>
    </row>
    <row r="273">
      <c r="A273" s="1"/>
      <c r="B273" s="21" t="s">
        <v>114</v>
      </c>
      <c r="C273" s="10">
        <f>C271-G341</f>
        <v>242</v>
      </c>
      <c r="D273" s="10">
        <f>D271-C271</f>
        <v>-37</v>
      </c>
      <c r="E273" s="1"/>
      <c r="F273" s="10">
        <f>F271-D271</f>
        <v>354</v>
      </c>
      <c r="G273" s="10">
        <f>G271-F271</f>
        <v>271</v>
      </c>
      <c r="H273" s="29">
        <f>H271-G271</f>
        <v>200</v>
      </c>
      <c r="I273" s="1"/>
      <c r="J273" s="1"/>
    </row>
    <row r="274">
      <c r="A274" s="1"/>
      <c r="B274" s="1"/>
      <c r="C274" s="1"/>
      <c r="D274" s="1"/>
      <c r="E274" s="1"/>
      <c r="F274" s="1"/>
      <c r="G274" s="1"/>
      <c r="H274" s="30"/>
      <c r="I274" s="1"/>
      <c r="J274" s="1"/>
    </row>
    <row r="275">
      <c r="A275" s="1"/>
      <c r="B275" s="31" t="s">
        <v>314</v>
      </c>
      <c r="C275" s="1"/>
      <c r="D275" s="1"/>
      <c r="E275" s="1"/>
      <c r="F275" s="1"/>
      <c r="G275" s="1"/>
      <c r="H275" s="30"/>
      <c r="I275" s="1"/>
      <c r="J275" s="1"/>
    </row>
    <row r="276">
      <c r="A276" s="1"/>
      <c r="B276" s="1" t="s">
        <v>317</v>
      </c>
      <c r="C276" s="10">
        <f>C84</f>
        <v>19878</v>
      </c>
      <c r="D276" s="10">
        <f>D84</f>
        <v>19375</v>
      </c>
      <c r="E276" s="10">
        <f>E84</f>
        <v>78454</v>
      </c>
      <c r="F276" s="10">
        <f>F84</f>
        <v>23379</v>
      </c>
      <c r="G276" s="10">
        <f>G84</f>
        <v>24853</v>
      </c>
      <c r="H276" s="29">
        <f>H84</f>
        <v>22900.65</v>
      </c>
      <c r="I276" s="1"/>
      <c r="J276" s="1"/>
    </row>
    <row r="277">
      <c r="A277" s="1"/>
      <c r="B277" s="36" t="s">
        <v>479</v>
      </c>
      <c r="C277" s="22">
        <f>IF(AND(ISNUMBER(C279),ISNUMBER(G343)),IF(OR(G343&lt;=0,C279&lt;0),"n.m.",C279/G343-1),"n.a.")</f>
        <v>0.008401618089409757</v>
      </c>
      <c r="D277" s="22">
        <f>IF(AND(ISNUMBER(D279),ISNUMBER(C279)),IF(OR(C279&lt;=0,D279&lt;0),"n.m.",D279/C279-1),"n.a.")</f>
        <v>-0.07313310018514707</v>
      </c>
      <c r="E277" s="1"/>
      <c r="F277" s="22">
        <f>IF(AND(ISNUMBER(F279),ISNUMBER(D279)),IF(OR(D279&lt;=0,F279&lt;0),"n.m.",F279/D279-1),"n.a.")</f>
        <v>0.2358228831428255</v>
      </c>
      <c r="G277" s="22">
        <f>IF(AND(ISNUMBER(G279),ISNUMBER(F279)),IF(OR(F279&lt;=0,G279&lt;0),"n.m.",G279/F279-1),"n.a.")</f>
        <v>0.022808908045977017</v>
      </c>
      <c r="H277" s="72">
        <v>0.01</v>
      </c>
      <c r="I277" s="1"/>
      <c r="J277" s="1"/>
    </row>
    <row r="278">
      <c r="A278" s="1"/>
      <c r="B278" s="36" t="s">
        <v>480</v>
      </c>
      <c r="C278" s="1"/>
      <c r="D278" s="1"/>
      <c r="E278" s="1"/>
      <c r="F278" s="1"/>
      <c r="G278" s="1"/>
      <c r="H278" s="72">
        <v>0.25</v>
      </c>
      <c r="I278" s="1"/>
      <c r="J278" s="2" t="s">
        <v>481</v>
      </c>
    </row>
    <row r="279" ht="39">
      <c r="A279" s="1"/>
      <c r="B279" s="1" t="s">
        <v>318</v>
      </c>
      <c r="C279" s="3">
        <v>9722</v>
      </c>
      <c r="D279" s="3">
        <v>9011</v>
      </c>
      <c r="E279" s="3">
        <v>38216</v>
      </c>
      <c r="F279" s="3">
        <v>11136</v>
      </c>
      <c r="G279" s="3">
        <v>11390</v>
      </c>
      <c r="H279" s="29">
        <f>G279*(1+H277)+(H276-G276)*H278</f>
        <v>11015.8125</v>
      </c>
      <c r="I279" s="1"/>
      <c r="J279" s="125" t="s">
        <v>482</v>
      </c>
    </row>
    <row r="280">
      <c r="A280" s="1"/>
      <c r="B280" s="36" t="s">
        <v>58</v>
      </c>
      <c r="C280" s="22">
        <f>IF(AND(ISNUMBER(C279),ISNUMBER(C343)),IF(OR(C343&lt;=0,C279&lt;0),"n.m.",C279/C343-1),"n.a.")</f>
        <v>0.11095874757170598</v>
      </c>
      <c r="D280" s="22">
        <f>IF(AND(ISNUMBER(D279),ISNUMBER(D343)),IF(OR(D343&lt;=0,D279&lt;0),"n.m.",D279/D343-1),"n.a.")</f>
        <v>0.03432047750229561</v>
      </c>
      <c r="E280" s="22">
        <f>IF(AND(ISNUMBER(E279),ISNUMBER(E343)),IF(OR(E343&lt;=0,E279&lt;0),"n.m.",E279/E343-1),"n.a.")</f>
        <v>0.08098322631742705</v>
      </c>
      <c r="F280" s="22">
        <f>IF(AND(ISNUMBER(F279),ISNUMBER(F343)),IF(OR(F343&lt;=0,F279&lt;0),"n.m.",F279/F343-1),"n.a.")</f>
        <v>0.13147734200365768</v>
      </c>
      <c r="G280" s="22">
        <f>IF(AND(ISNUMBER(G279),ISNUMBER(G343)),IF(OR(G343&lt;=0,G279&lt;0),"n.m.",G279/G343-1),"n.a.")</f>
        <v>0.18141271652318225</v>
      </c>
      <c r="H280" s="39">
        <f>IF(AND(ISNUMBER(H279),ISNUMBER(C279)),IF(OR(C279&lt;=0,H279&lt;0),"n.m.",H279/C279-1),"n.a.")</f>
        <v>0.13308089899197695</v>
      </c>
      <c r="I280" s="1"/>
      <c r="J280" s="1"/>
    </row>
    <row r="281">
      <c r="A281" s="1"/>
      <c r="B281" s="21" t="s">
        <v>114</v>
      </c>
      <c r="C281" s="10">
        <f>C279-G343</f>
        <v>81</v>
      </c>
      <c r="D281" s="10">
        <f>D279-C279</f>
        <v>-711</v>
      </c>
      <c r="E281" s="1"/>
      <c r="F281" s="10">
        <f>F279-D279</f>
        <v>2125</v>
      </c>
      <c r="G281" s="10">
        <f>G279-F279</f>
        <v>254</v>
      </c>
      <c r="H281" s="29">
        <f>H279-G279</f>
        <v>-374.1875</v>
      </c>
      <c r="I281" s="1"/>
      <c r="J281" s="1"/>
    </row>
    <row r="282">
      <c r="A282" s="1"/>
      <c r="B282" s="31" t="s">
        <v>319</v>
      </c>
      <c r="C282" s="43">
        <f>C276-C279</f>
        <v>10156</v>
      </c>
      <c r="D282" s="43">
        <f>D276-D279</f>
        <v>10364</v>
      </c>
      <c r="E282" s="43">
        <f>E276-E279</f>
        <v>40238</v>
      </c>
      <c r="F282" s="43">
        <f>F276-F279</f>
        <v>12243</v>
      </c>
      <c r="G282" s="43">
        <f>G276-G279</f>
        <v>13463</v>
      </c>
      <c r="H282" s="45">
        <f>H276-H279</f>
        <v>11884.837500000001</v>
      </c>
      <c r="I282" s="1"/>
      <c r="J282" s="1"/>
    </row>
    <row r="283">
      <c r="A283" s="1"/>
      <c r="B283" s="36" t="s">
        <v>58</v>
      </c>
      <c r="C283" s="22">
        <f>IF(AND(ISNUMBER(C282),ISNUMBER(C344)),IF(OR(C344&lt;=0,C282&lt;0),"n.m.",C282/C344-1),"n.a.")</f>
        <v>0.22894482090997093</v>
      </c>
      <c r="D283" s="22">
        <f>IF(AND(ISNUMBER(D282),ISNUMBER(D344)),IF(OR(D344&lt;=0,D282&lt;0),"n.m.",D282/D344-1),"n.a.")</f>
        <v>0.16632905694350675</v>
      </c>
      <c r="E283" s="22">
        <f>IF(AND(ISNUMBER(E282),ISNUMBER(E344)),IF(OR(E344&lt;=0,E282&lt;0),"n.m.",E282/E344-1),"n.a.")</f>
        <v>0.15756163516584687</v>
      </c>
      <c r="F283" s="22">
        <f>IF(AND(ISNUMBER(F282),ISNUMBER(F344)),IF(OR(F344&lt;=0,F282&lt;0),"n.m.",F282/F344-1),"n.a.")</f>
        <v>0.24623371335504896</v>
      </c>
      <c r="G283" s="22">
        <f>IF(AND(ISNUMBER(G282),ISNUMBER(G344)),IF(OR(G344&lt;=0,G282&lt;0),"n.m.",G282/G344-1),"n.a.")</f>
        <v>0.3607236709116637</v>
      </c>
      <c r="H283" s="39">
        <f>IF(AND(ISNUMBER(H282),ISNUMBER(C282)),IF(OR(C282&lt;=0,H282&lt;0),"n.m.",H282/C282-1),"n.a.")</f>
        <v>0.170228190232375</v>
      </c>
      <c r="I283" s="1"/>
      <c r="J283" s="1"/>
    </row>
    <row r="284">
      <c r="A284" s="1"/>
      <c r="B284" s="1" t="s">
        <v>312</v>
      </c>
      <c r="C284" s="10">
        <f>C268</f>
        <v>809</v>
      </c>
      <c r="D284" s="10">
        <f>D268</f>
        <v>405</v>
      </c>
      <c r="E284" s="10">
        <f>E268</f>
        <v>2615</v>
      </c>
      <c r="F284" s="10">
        <f>F268</f>
        <v>482</v>
      </c>
      <c r="G284" s="10">
        <f>G268</f>
        <v>356</v>
      </c>
      <c r="H284" s="29">
        <f>H268</f>
        <v>450.85013139726027</v>
      </c>
      <c r="I284" s="1"/>
      <c r="J284" s="1"/>
    </row>
    <row r="285">
      <c r="A285" s="1"/>
      <c r="B285" s="31" t="s">
        <v>320</v>
      </c>
      <c r="C285" s="43">
        <f>C282-C284</f>
        <v>9347</v>
      </c>
      <c r="D285" s="43">
        <f>D282-D284</f>
        <v>9959</v>
      </c>
      <c r="E285" s="43">
        <f>E282-E284</f>
        <v>37623</v>
      </c>
      <c r="F285" s="43">
        <f>F282-F284</f>
        <v>11761</v>
      </c>
      <c r="G285" s="43">
        <f>G282-G284</f>
        <v>13107</v>
      </c>
      <c r="H285" s="45">
        <f>H282-H284</f>
        <v>11433.98736860274</v>
      </c>
      <c r="I285" s="1"/>
      <c r="J285" s="1"/>
    </row>
    <row r="286">
      <c r="A286" s="1"/>
      <c r="B286" s="36" t="s">
        <v>58</v>
      </c>
      <c r="C286" s="22">
        <f>IF(AND(ISNUMBER(C285),ISNUMBER(C346)),IF(OR(C346&lt;=0,C285&lt;0),"n.m.",C285/C346-1),"n.a.")</f>
        <v>0.17601912430800204</v>
      </c>
      <c r="D286" s="22">
        <f>IF(AND(ISNUMBER(D285),ISNUMBER(D346)),IF(OR(D346&lt;=0,D285&lt;0),"n.m.",D285/D346-1),"n.a.")</f>
        <v>0.12849858356940502</v>
      </c>
      <c r="E286" s="22">
        <f>IF(AND(ISNUMBER(E285),ISNUMBER(E346)),IF(OR(E346&lt;=0,E285&lt;0),"n.m.",E285/E346-1),"n.a.")</f>
        <v>0.10659137033442168</v>
      </c>
      <c r="F286" s="22">
        <f>IF(AND(ISNUMBER(F285),ISNUMBER(F346)),IF(OR(F346&lt;=0,F285&lt;0),"n.m.",F285/F346-1),"n.a.")</f>
        <v>0.2897247505208904</v>
      </c>
      <c r="G286" s="22">
        <f>IF(AND(ISNUMBER(G285),ISNUMBER(G346)),IF(OR(G346&lt;=0,G285&lt;0),"n.m.",G285/G346-1),"n.a.")</f>
        <v>0.42498369210697984</v>
      </c>
      <c r="H286" s="39">
        <f>IF(AND(ISNUMBER(H285),ISNUMBER(C285)),IF(OR(C285&lt;=0,H285&lt;0),"n.m.",H285/C285-1),"n.a.")</f>
        <v>0.22327884546942767</v>
      </c>
      <c r="I286" s="1"/>
      <c r="J286" s="1"/>
    </row>
    <row r="287">
      <c r="A287" s="1"/>
      <c r="B287" s="1" t="s">
        <v>321</v>
      </c>
      <c r="C287" s="3">
        <v>2446</v>
      </c>
      <c r="D287" s="3">
        <v>2691</v>
      </c>
      <c r="E287" s="3">
        <v>9862</v>
      </c>
      <c r="F287" s="3">
        <v>2717</v>
      </c>
      <c r="G287" s="3">
        <v>3429</v>
      </c>
      <c r="H287" s="29">
        <f>H285*H290</f>
        <v>2915.6667789936987</v>
      </c>
      <c r="I287" s="1"/>
      <c r="J287" s="2" t="s">
        <v>398</v>
      </c>
    </row>
    <row r="288">
      <c r="A288" s="1"/>
      <c r="B288" s="21" t="s">
        <v>131</v>
      </c>
      <c r="C288" s="10">
        <f>C287-C347</f>
        <v>189</v>
      </c>
      <c r="D288" s="10">
        <f>D287-D347</f>
        <v>502</v>
      </c>
      <c r="E288" s="10">
        <f>E287-E347</f>
        <v>709</v>
      </c>
      <c r="F288" s="10">
        <f>F287-F347</f>
        <v>540</v>
      </c>
      <c r="G288" s="10">
        <f>G287-G347</f>
        <v>881</v>
      </c>
      <c r="H288" s="29">
        <f>H287-C287</f>
        <v>469.6667789936987</v>
      </c>
      <c r="I288" s="1"/>
      <c r="J288" s="1"/>
    </row>
    <row r="289">
      <c r="A289" s="1"/>
      <c r="B289" s="21" t="s">
        <v>114</v>
      </c>
      <c r="C289" s="10">
        <f>C287-G347</f>
        <v>-102</v>
      </c>
      <c r="D289" s="10">
        <f>D287-C287</f>
        <v>245</v>
      </c>
      <c r="E289" s="1"/>
      <c r="F289" s="10">
        <f>F287-D287</f>
        <v>26</v>
      </c>
      <c r="G289" s="10">
        <f>G287-F287</f>
        <v>712</v>
      </c>
      <c r="H289" s="29">
        <f>H287-G287</f>
        <v>-513.3332210063013</v>
      </c>
      <c r="I289" s="1"/>
      <c r="J289" s="1"/>
    </row>
    <row r="290">
      <c r="A290" s="1"/>
      <c r="B290" s="36" t="s">
        <v>322</v>
      </c>
      <c r="C290" s="22">
        <f>C287/C285</f>
        <v>0.261688242216754</v>
      </c>
      <c r="D290" s="22">
        <f>D287/D285</f>
        <v>0.2702078521939954</v>
      </c>
      <c r="E290" s="22">
        <f>E287/E285</f>
        <v>0.2621268904659384</v>
      </c>
      <c r="F290" s="22">
        <f>F287/F285</f>
        <v>0.2310177705977383</v>
      </c>
      <c r="G290" s="22">
        <f>G287/G285</f>
        <v>0.26161593041886017</v>
      </c>
      <c r="H290" s="72">
        <v>0.255</v>
      </c>
      <c r="I290" s="1"/>
      <c r="J290" s="1"/>
    </row>
    <row r="291">
      <c r="A291" s="1"/>
      <c r="B291" s="20" t="s">
        <v>153</v>
      </c>
      <c r="C291" s="25">
        <f>(C290-C348)*10000</f>
        <v>-222.82568049979744</v>
      </c>
      <c r="D291" s="25">
        <f>(D290-D348)*10000</f>
        <v>221.62526414958583</v>
      </c>
      <c r="E291" s="25">
        <f>(E290-E348)*10000</f>
        <v>-70.86909939955865</v>
      </c>
      <c r="F291" s="25">
        <f>(F290-F348)*10000</f>
        <v>-77.14546542299</v>
      </c>
      <c r="G291" s="25">
        <f>(G290-G348)*10000</f>
        <v>-154.00812351307246</v>
      </c>
      <c r="H291" s="58">
        <f>(H290-C290)*10000</f>
        <v>-66.88242216754014</v>
      </c>
      <c r="I291" s="1"/>
      <c r="J291" s="1"/>
    </row>
    <row r="292">
      <c r="A292" s="1"/>
      <c r="B292" s="20" t="s">
        <v>154</v>
      </c>
      <c r="C292" s="25">
        <f>(C290-G348)*10000</f>
        <v>-153.28500553413394</v>
      </c>
      <c r="D292" s="25">
        <f>(D290-C290)*10000</f>
        <v>85.19609977241383</v>
      </c>
      <c r="E292" s="1"/>
      <c r="F292" s="25">
        <f>(F290-D290)*10000</f>
        <v>-391.90081596257113</v>
      </c>
      <c r="G292" s="25">
        <f>(G290-F290)*10000</f>
        <v>305.9815982112188</v>
      </c>
      <c r="H292" s="58">
        <f>(H290-G290)*10000</f>
        <v>-66.15930418860161</v>
      </c>
      <c r="I292" s="1"/>
      <c r="J292" s="1"/>
    </row>
    <row r="293">
      <c r="A293" s="1"/>
      <c r="B293" s="31" t="s">
        <v>483</v>
      </c>
      <c r="C293" s="43">
        <f>C285-C287</f>
        <v>6901</v>
      </c>
      <c r="D293" s="43">
        <f>D285-D287</f>
        <v>7268</v>
      </c>
      <c r="E293" s="43">
        <f>E285-E287</f>
        <v>27761</v>
      </c>
      <c r="F293" s="43">
        <f>F285-F287</f>
        <v>9044</v>
      </c>
      <c r="G293" s="43">
        <f>G285-G287</f>
        <v>9678</v>
      </c>
      <c r="H293" s="45">
        <f>H285-H287</f>
        <v>8518.320589609042</v>
      </c>
      <c r="I293" s="1"/>
      <c r="J293" s="1"/>
    </row>
    <row r="294">
      <c r="A294" s="1"/>
      <c r="B294" s="36" t="s">
        <v>58</v>
      </c>
      <c r="C294" s="22">
        <f>IF(AND(ISNUMBER(C293),ISNUMBER(C349)),IF(OR(C349&lt;=0,C293&lt;0),"n.m.",C293/C349-1),"n.a.")</f>
        <v>0.2126164118784044</v>
      </c>
      <c r="D294" s="22">
        <f>IF(AND(ISNUMBER(D293),ISNUMBER(D349)),IF(OR(D349&lt;=0,D293&lt;0),"n.m.",D293/D349-1),"n.a.")</f>
        <v>0.09523809523809534</v>
      </c>
      <c r="E294" s="22">
        <f>IF(AND(ISNUMBER(E293),ISNUMBER(E349)),IF(OR(E349&lt;=0,E293&lt;0),"n.m.",E293/E349-1),"n.a.")</f>
        <v>0.11732270788054411</v>
      </c>
      <c r="F294" s="22">
        <f>IF(AND(ISNUMBER(F293),ISNUMBER(F349)),IF(OR(F349&lt;=0,F293&lt;0),"n.m.",F293/F349-1),"n.a.")</f>
        <v>0.30279458369346</v>
      </c>
      <c r="G294" s="22">
        <f>IF(AND(ISNUMBER(G293),ISNUMBER(G349)),IF(OR(G349&lt;=0,G293&lt;0),"n.m.",G293/G349-1),"n.a.")</f>
        <v>0.4553383458646616</v>
      </c>
      <c r="H294" s="39">
        <f>IF(AND(ISNUMBER(H293),ISNUMBER(C293)),IF(OR(C293&lt;=0,H293&lt;0),"n.m.",H293/C293-1),"n.a.")</f>
        <v>0.23436032308492138</v>
      </c>
      <c r="I294" s="1"/>
      <c r="J294" s="1"/>
    </row>
    <row r="295">
      <c r="A295" s="1"/>
      <c r="B295" s="24" t="s">
        <v>324</v>
      </c>
      <c r="C295" s="22">
        <f>C279/C276</f>
        <v>0.4890834087936412</v>
      </c>
      <c r="D295" s="22">
        <f>D279/D276</f>
        <v>0.46508387096774195</v>
      </c>
      <c r="E295" s="22">
        <f>E279/E276</f>
        <v>0.48711346776454995</v>
      </c>
      <c r="F295" s="22">
        <f>F279/F276</f>
        <v>0.4763249069677916</v>
      </c>
      <c r="G295" s="22">
        <f>G279/G276</f>
        <v>0.45829477326680884</v>
      </c>
      <c r="H295" s="39">
        <f>H279/H276</f>
        <v>0.4810261935796582</v>
      </c>
      <c r="I295" s="1"/>
      <c r="J295" s="1"/>
    </row>
    <row r="296">
      <c r="A296" s="1"/>
      <c r="B296" s="21" t="s">
        <v>153</v>
      </c>
      <c r="C296" s="25">
        <f>(C295-C350)*10000</f>
        <v>-252.27493351524853</v>
      </c>
      <c r="D296" s="25">
        <f>(D295-D350)*10000</f>
        <v>-299.72385425029944</v>
      </c>
      <c r="E296" s="25">
        <f>(E295-E350)*10000</f>
        <v>-171.08228330381115</v>
      </c>
      <c r="F296" s="25">
        <f>(F295-F350)*10000</f>
        <v>-241.32735664161964</v>
      </c>
      <c r="G296" s="25">
        <f>(G295-G350)*10000</f>
        <v>-352.2967004007621</v>
      </c>
      <c r="H296" s="58">
        <f>(H295-C295)*10000</f>
        <v>-80.57215213983004</v>
      </c>
      <c r="I296" s="1"/>
      <c r="J296" s="1"/>
    </row>
    <row r="297">
      <c r="A297" s="1"/>
      <c r="B297" s="21" t="s">
        <v>154</v>
      </c>
      <c r="C297" s="25">
        <f>(C295-G350)*10000</f>
        <v>-44.410345132438465</v>
      </c>
      <c r="D297" s="25">
        <f>(D295-C295)*10000</f>
        <v>-239.99537825899253</v>
      </c>
      <c r="E297" s="1"/>
      <c r="F297" s="25">
        <f>(F295-D295)*10000</f>
        <v>112.41036000049664</v>
      </c>
      <c r="G297" s="25">
        <f>(G295-F295)*10000</f>
        <v>-180.30133700982776</v>
      </c>
      <c r="H297" s="58">
        <f>(H295-G295)*10000</f>
        <v>227.3142031284936</v>
      </c>
      <c r="I297" s="1"/>
      <c r="J297" s="1"/>
    </row>
    <row r="298">
      <c r="A298" s="1"/>
      <c r="B298" s="1"/>
      <c r="C298" s="1"/>
      <c r="D298" s="1"/>
      <c r="E298" s="1"/>
      <c r="F298" s="1"/>
      <c r="G298" s="1"/>
      <c r="H298" s="30"/>
      <c r="I298" s="1"/>
      <c r="J298" s="1"/>
    </row>
    <row r="299" ht="39">
      <c r="A299" s="1"/>
      <c r="B299" s="113" t="s">
        <v>158</v>
      </c>
      <c r="C299" s="116" t="s">
        <v>159</v>
      </c>
      <c r="D299" s="116" t="s">
        <v>160</v>
      </c>
      <c r="E299" s="116" t="s">
        <v>161</v>
      </c>
      <c r="F299" s="116" t="s">
        <v>162</v>
      </c>
      <c r="G299" s="116" t="s">
        <v>163</v>
      </c>
      <c r="H299" s="117" t="s">
        <v>57</v>
      </c>
      <c r="I299" s="1"/>
      <c r="J299" s="125" t="s">
        <v>164</v>
      </c>
    </row>
    <row r="300">
      <c r="A300" s="1"/>
      <c r="B300" s="21" t="s">
        <v>484</v>
      </c>
      <c r="C300" s="3">
        <v>2354</v>
      </c>
      <c r="D300" s="3">
        <v>2602</v>
      </c>
      <c r="E300" s="3">
        <v>9636</v>
      </c>
      <c r="F300" s="3">
        <v>2268</v>
      </c>
      <c r="G300" s="3">
        <v>2684</v>
      </c>
      <c r="H300" s="29">
        <f>C10</f>
        <v>2694</v>
      </c>
      <c r="I300" s="1"/>
      <c r="J300" s="1"/>
    </row>
    <row r="301">
      <c r="A301" s="1"/>
      <c r="B301" s="21" t="s">
        <v>485</v>
      </c>
      <c r="C301" s="3">
        <v>4370</v>
      </c>
      <c r="D301" s="3">
        <v>4703</v>
      </c>
      <c r="E301" s="3">
        <v>18085</v>
      </c>
      <c r="F301" s="3">
        <v>4565</v>
      </c>
      <c r="G301" s="3">
        <v>4735</v>
      </c>
      <c r="H301" s="29">
        <f>C17</f>
        <v>4917</v>
      </c>
      <c r="I301" s="1"/>
      <c r="J301" s="1"/>
    </row>
    <row r="302">
      <c r="A302" s="1"/>
      <c r="B302" s="21" t="s">
        <v>486</v>
      </c>
      <c r="C302" s="3">
        <v>1894</v>
      </c>
      <c r="D302" s="3">
        <v>1916</v>
      </c>
      <c r="E302" s="3">
        <v>7470</v>
      </c>
      <c r="F302" s="3">
        <v>1915</v>
      </c>
      <c r="G302" s="3">
        <v>1829</v>
      </c>
      <c r="H302" s="29">
        <f>C25</f>
        <v>1872</v>
      </c>
      <c r="I302" s="1"/>
      <c r="J302" s="1"/>
    </row>
    <row r="303">
      <c r="A303" s="1"/>
      <c r="B303" s="21" t="s">
        <v>487</v>
      </c>
      <c r="C303" s="3">
        <v>28</v>
      </c>
      <c r="D303" s="3">
        <v>47</v>
      </c>
      <c r="E303" s="3">
        <v>76</v>
      </c>
      <c r="F303" s="3">
        <v>6</v>
      </c>
      <c r="G303" s="3">
        <v>0</v>
      </c>
      <c r="H303" s="29">
        <f>C33</f>
        <v>0</v>
      </c>
      <c r="I303" s="1"/>
      <c r="J303" s="1"/>
    </row>
    <row r="304">
      <c r="A304" s="1"/>
      <c r="B304" s="21" t="s">
        <v>488</v>
      </c>
      <c r="C304" s="10">
        <f>C300+C301+C302+C303</f>
        <v>8646</v>
      </c>
      <c r="D304" s="10">
        <f>D300+D301+D302+D303</f>
        <v>9268</v>
      </c>
      <c r="E304" s="10">
        <f>E300+E301+E302+E303</f>
        <v>35267</v>
      </c>
      <c r="F304" s="10">
        <f>F300+F301+F302+F303</f>
        <v>8754</v>
      </c>
      <c r="G304" s="10">
        <f>G300+G301+G302+G303</f>
        <v>9248</v>
      </c>
      <c r="H304" s="29">
        <f>C36</f>
        <v>9483</v>
      </c>
      <c r="I304" s="1"/>
      <c r="J304" s="1"/>
    </row>
    <row r="305">
      <c r="A305" s="1"/>
      <c r="B305" s="21" t="s">
        <v>489</v>
      </c>
      <c r="C305" s="3">
        <v>4651</v>
      </c>
      <c r="D305" s="3">
        <v>5006</v>
      </c>
      <c r="E305" s="3">
        <v>20066</v>
      </c>
      <c r="F305" s="3">
        <v>5849</v>
      </c>
      <c r="G305" s="3">
        <v>5690</v>
      </c>
      <c r="H305" s="29">
        <f>C43</f>
        <v>5613</v>
      </c>
      <c r="I305" s="1"/>
      <c r="J305" s="1"/>
    </row>
    <row r="306">
      <c r="A306" s="1"/>
      <c r="B306" s="21" t="s">
        <v>490</v>
      </c>
      <c r="C306" s="3">
        <v>2501</v>
      </c>
      <c r="D306" s="3">
        <v>2043</v>
      </c>
      <c r="E306" s="3">
        <v>9941</v>
      </c>
      <c r="F306" s="3">
        <v>3814</v>
      </c>
      <c r="G306" s="3">
        <v>3246</v>
      </c>
      <c r="H306" s="29">
        <f>C51</f>
        <v>3331</v>
      </c>
      <c r="I306" s="1"/>
      <c r="J306" s="1"/>
    </row>
    <row r="307">
      <c r="A307" s="1"/>
      <c r="B307" s="21" t="s">
        <v>491</v>
      </c>
      <c r="C307" s="10">
        <f>C305+C306</f>
        <v>7152</v>
      </c>
      <c r="D307" s="10">
        <f>D305+D306</f>
        <v>7049</v>
      </c>
      <c r="E307" s="10">
        <f>E305+E306</f>
        <v>30007</v>
      </c>
      <c r="F307" s="10">
        <f>F305+F306</f>
        <v>9663</v>
      </c>
      <c r="G307" s="10">
        <f>G305+G306</f>
        <v>8936</v>
      </c>
      <c r="H307" s="29">
        <f>C59</f>
        <v>8944</v>
      </c>
      <c r="I307" s="1"/>
      <c r="J307" s="1"/>
    </row>
    <row r="308">
      <c r="A308" s="1"/>
      <c r="B308" s="21" t="s">
        <v>492</v>
      </c>
      <c r="C308" s="3">
        <v>1326</v>
      </c>
      <c r="D308" s="3">
        <v>1314</v>
      </c>
      <c r="E308" s="3">
        <v>5084</v>
      </c>
      <c r="F308" s="3">
        <v>1269</v>
      </c>
      <c r="G308" s="3">
        <v>1418</v>
      </c>
      <c r="H308" s="29">
        <f>C66</f>
        <v>1423</v>
      </c>
      <c r="I308" s="1"/>
      <c r="J308" s="1"/>
    </row>
    <row r="309">
      <c r="A309" s="1"/>
      <c r="B309" s="21" t="s">
        <v>493</v>
      </c>
      <c r="C309" s="3">
        <v>-109</v>
      </c>
      <c r="D309" s="3">
        <v>-33</v>
      </c>
      <c r="E309" s="3">
        <v>-244</v>
      </c>
      <c r="F309" s="3">
        <v>-20</v>
      </c>
      <c r="G309" s="3">
        <v>-67</v>
      </c>
      <c r="H309" s="29">
        <f>C74</f>
        <v>28</v>
      </c>
      <c r="I309" s="1"/>
      <c r="J309" s="1"/>
    </row>
    <row r="310">
      <c r="A310" s="1"/>
      <c r="B310" s="21" t="s">
        <v>494</v>
      </c>
      <c r="C310" s="10">
        <f>C307+C308+C309</f>
        <v>8369</v>
      </c>
      <c r="D310" s="10">
        <f>D307+D308+D309</f>
        <v>8330</v>
      </c>
      <c r="E310" s="10">
        <f>E307+E308+E309</f>
        <v>34847</v>
      </c>
      <c r="F310" s="10">
        <f>F307+F308+F309</f>
        <v>10912</v>
      </c>
      <c r="G310" s="10">
        <f>G307+G308+G309</f>
        <v>10287</v>
      </c>
      <c r="H310" s="29">
        <f>C77</f>
        <v>10395</v>
      </c>
      <c r="I310" s="1"/>
      <c r="J310" s="1"/>
    </row>
    <row r="311">
      <c r="A311" s="1"/>
      <c r="B311" s="21" t="s">
        <v>495</v>
      </c>
      <c r="C311" s="10">
        <f>C304+C310</f>
        <v>17015</v>
      </c>
      <c r="D311" s="10">
        <f>D304+D310</f>
        <v>17598</v>
      </c>
      <c r="E311" s="10">
        <f>E304+E310</f>
        <v>70114</v>
      </c>
      <c r="F311" s="10">
        <f>F304+F310</f>
        <v>19666</v>
      </c>
      <c r="G311" s="10">
        <f>G304+G310</f>
        <v>19535</v>
      </c>
      <c r="H311" s="29">
        <f>C84</f>
        <v>19878</v>
      </c>
      <c r="I311" s="1"/>
      <c r="J311" s="1"/>
    </row>
    <row r="312">
      <c r="A312" s="1"/>
      <c r="B312" s="21" t="s">
        <v>496</v>
      </c>
      <c r="C312" s="3">
        <v>847</v>
      </c>
      <c r="D312" s="3">
        <v>1060</v>
      </c>
      <c r="E312" s="3">
        <v>3290</v>
      </c>
      <c r="F312" s="3">
        <v>694</v>
      </c>
      <c r="G312" s="3">
        <v>844</v>
      </c>
      <c r="H312" s="29">
        <f>C94</f>
        <v>926</v>
      </c>
      <c r="I312" s="1"/>
      <c r="J312" s="1"/>
    </row>
    <row r="313">
      <c r="A313" s="1"/>
      <c r="B313" s="21" t="s">
        <v>497</v>
      </c>
      <c r="C313" s="3">
        <v>344</v>
      </c>
      <c r="D313" s="3">
        <v>498</v>
      </c>
      <c r="E313" s="3">
        <v>1692</v>
      </c>
      <c r="F313" s="3">
        <v>324</v>
      </c>
      <c r="G313" s="3">
        <v>465</v>
      </c>
      <c r="H313" s="29">
        <f>C102</f>
        <v>527</v>
      </c>
      <c r="I313" s="1"/>
      <c r="J313" s="1"/>
    </row>
    <row r="314">
      <c r="A314" s="1"/>
      <c r="B314" s="21" t="s">
        <v>498</v>
      </c>
      <c r="C314" s="3">
        <v>1076</v>
      </c>
      <c r="D314" s="3">
        <v>921</v>
      </c>
      <c r="E314" s="3">
        <v>4134</v>
      </c>
      <c r="F314" s="3">
        <v>1230</v>
      </c>
      <c r="G314" s="3">
        <v>1204</v>
      </c>
      <c r="H314" s="29">
        <f>C110</f>
        <v>1174</v>
      </c>
      <c r="I314" s="1"/>
      <c r="J314" s="1"/>
    </row>
    <row r="315">
      <c r="A315" s="1"/>
      <c r="B315" s="21" t="s">
        <v>499</v>
      </c>
      <c r="C315" s="10">
        <f>C312+C313+C314</f>
        <v>2267</v>
      </c>
      <c r="D315" s="10">
        <f>D312+D313+D314</f>
        <v>2479</v>
      </c>
      <c r="E315" s="10">
        <f>E312+E313+E314</f>
        <v>9116</v>
      </c>
      <c r="F315" s="10">
        <f>F312+F313+F314</f>
        <v>2248</v>
      </c>
      <c r="G315" s="10">
        <f>G312+G313+G314</f>
        <v>2513</v>
      </c>
      <c r="H315" s="29">
        <f>C118</f>
        <v>2627</v>
      </c>
      <c r="I315" s="1"/>
      <c r="J315" s="1"/>
    </row>
    <row r="316">
      <c r="A316" s="1"/>
      <c r="B316" s="21" t="s">
        <v>500</v>
      </c>
      <c r="C316" s="10">
        <f>C300-C315</f>
        <v>87</v>
      </c>
      <c r="D316" s="10">
        <f>D300-D315</f>
        <v>123</v>
      </c>
      <c r="E316" s="10">
        <f>E300-E315</f>
        <v>520</v>
      </c>
      <c r="F316" s="10">
        <f>F300-F315</f>
        <v>20</v>
      </c>
      <c r="G316" s="10">
        <f>G300-G315</f>
        <v>171</v>
      </c>
      <c r="H316" s="29">
        <f>C126</f>
        <v>67</v>
      </c>
      <c r="I316" s="1"/>
      <c r="J316" s="1"/>
    </row>
    <row r="317">
      <c r="A317" s="1"/>
      <c r="B317" s="21" t="s">
        <v>501</v>
      </c>
      <c r="C317" s="3">
        <v>5755</v>
      </c>
      <c r="D317" s="3">
        <v>6369</v>
      </c>
      <c r="E317" s="3">
        <v>23780</v>
      </c>
      <c r="F317" s="3">
        <v>5929</v>
      </c>
      <c r="G317" s="3">
        <v>6319</v>
      </c>
      <c r="H317" s="29">
        <f>C131</f>
        <v>6544</v>
      </c>
      <c r="I317" s="1"/>
      <c r="J317" s="1"/>
    </row>
    <row r="318">
      <c r="A318" s="1"/>
      <c r="B318" s="21" t="s">
        <v>502</v>
      </c>
      <c r="C318" s="3">
        <v>1931</v>
      </c>
      <c r="D318" s="3">
        <v>1965</v>
      </c>
      <c r="E318" s="3">
        <v>7759</v>
      </c>
      <c r="F318" s="3">
        <v>1956</v>
      </c>
      <c r="G318" s="3">
        <v>2067</v>
      </c>
      <c r="H318" s="29">
        <f>C138</f>
        <v>2038</v>
      </c>
      <c r="I318" s="1"/>
      <c r="J318" s="1"/>
    </row>
    <row r="319">
      <c r="A319" s="1"/>
      <c r="B319" s="21" t="s">
        <v>503</v>
      </c>
      <c r="C319" s="3">
        <v>960</v>
      </c>
      <c r="D319" s="3">
        <v>934</v>
      </c>
      <c r="E319" s="3">
        <v>3728</v>
      </c>
      <c r="F319" s="3">
        <v>869</v>
      </c>
      <c r="G319" s="3">
        <v>862</v>
      </c>
      <c r="H319" s="29">
        <f>C146</f>
        <v>901</v>
      </c>
      <c r="I319" s="1"/>
      <c r="J319" s="1"/>
    </row>
    <row r="320">
      <c r="A320" s="1"/>
      <c r="B320" s="21" t="s">
        <v>504</v>
      </c>
      <c r="C320" s="10">
        <f>C318+C319</f>
        <v>2891</v>
      </c>
      <c r="D320" s="10">
        <f>D318+D319</f>
        <v>2899</v>
      </c>
      <c r="E320" s="10">
        <f>E318+E319</f>
        <v>11487</v>
      </c>
      <c r="F320" s="10">
        <f>F318+F319</f>
        <v>2825</v>
      </c>
      <c r="G320" s="10">
        <f>G318+G319</f>
        <v>2929</v>
      </c>
      <c r="H320" s="29">
        <f>C154</f>
        <v>2939</v>
      </c>
      <c r="I320" s="1"/>
      <c r="J320" s="1"/>
    </row>
    <row r="321">
      <c r="A321" s="1"/>
      <c r="B321" s="21" t="s">
        <v>505</v>
      </c>
      <c r="C321" s="10">
        <f>C315</f>
        <v>2267</v>
      </c>
      <c r="D321" s="10">
        <f>D315</f>
        <v>2479</v>
      </c>
      <c r="E321" s="10">
        <f>E315</f>
        <v>9116</v>
      </c>
      <c r="F321" s="10">
        <f>F315</f>
        <v>2248</v>
      </c>
      <c r="G321" s="10">
        <f>G315</f>
        <v>2513</v>
      </c>
      <c r="H321" s="29">
        <f>C165</f>
        <v>2627</v>
      </c>
      <c r="I321" s="1"/>
      <c r="J321" s="1"/>
    </row>
    <row r="322">
      <c r="A322" s="1"/>
      <c r="B322" s="21" t="s">
        <v>506</v>
      </c>
      <c r="C322" s="3">
        <v>5899</v>
      </c>
      <c r="D322" s="3">
        <v>5158</v>
      </c>
      <c r="E322" s="3">
        <v>24382</v>
      </c>
      <c r="F322" s="3">
        <v>7608</v>
      </c>
      <c r="G322" s="3">
        <v>7109</v>
      </c>
      <c r="H322" s="29">
        <f>C172</f>
        <v>7090</v>
      </c>
      <c r="I322" s="1"/>
      <c r="J322" s="1"/>
    </row>
    <row r="323">
      <c r="A323" s="1"/>
      <c r="B323" s="21" t="s">
        <v>330</v>
      </c>
      <c r="C323" s="3">
        <v>997</v>
      </c>
      <c r="D323" s="3">
        <v>1020</v>
      </c>
      <c r="E323" s="3">
        <v>3914</v>
      </c>
      <c r="F323" s="3">
        <v>1230</v>
      </c>
      <c r="G323" s="3">
        <v>1296</v>
      </c>
      <c r="H323" s="29">
        <f>C179</f>
        <v>1315</v>
      </c>
      <c r="I323" s="1"/>
      <c r="J323" s="1"/>
    </row>
    <row r="324">
      <c r="A324" s="1"/>
      <c r="B324" s="21" t="s">
        <v>507</v>
      </c>
      <c r="C324" s="3">
        <v>1349</v>
      </c>
      <c r="D324" s="3">
        <v>1320</v>
      </c>
      <c r="E324" s="3">
        <v>5278</v>
      </c>
      <c r="F324" s="3">
        <v>1437</v>
      </c>
      <c r="G324" s="3">
        <v>1493</v>
      </c>
      <c r="H324" s="29">
        <f>C187</f>
        <v>1493</v>
      </c>
      <c r="I324" s="1"/>
      <c r="J324" s="1"/>
    </row>
    <row r="325">
      <c r="A325" s="1"/>
      <c r="B325" s="21" t="s">
        <v>335</v>
      </c>
      <c r="C325" s="3">
        <v>589</v>
      </c>
      <c r="D325" s="3">
        <v>617</v>
      </c>
      <c r="E325" s="3">
        <v>2310</v>
      </c>
      <c r="F325" s="3">
        <v>551</v>
      </c>
      <c r="G325" s="3">
        <v>645</v>
      </c>
      <c r="H325" s="29">
        <f>C194</f>
        <v>613</v>
      </c>
      <c r="I325" s="1"/>
      <c r="J325" s="1"/>
    </row>
    <row r="326">
      <c r="A326" s="1"/>
      <c r="B326" s="21" t="s">
        <v>508</v>
      </c>
      <c r="C326" s="3">
        <v>521</v>
      </c>
      <c r="D326" s="3">
        <v>1132</v>
      </c>
      <c r="E326" s="3">
        <v>3253</v>
      </c>
      <c r="F326" s="3">
        <v>748</v>
      </c>
      <c r="G326" s="3">
        <v>736</v>
      </c>
      <c r="H326" s="29">
        <f>C202</f>
        <v>660</v>
      </c>
      <c r="I326" s="1"/>
      <c r="J326" s="1"/>
    </row>
    <row r="327">
      <c r="A327" s="1"/>
      <c r="B327" s="21" t="s">
        <v>337</v>
      </c>
      <c r="C327" s="10">
        <f>C321+C322+C323+C324+C325+C326</f>
        <v>11622</v>
      </c>
      <c r="D327" s="10">
        <f>D321+D322+D323+D324+D325+D326</f>
        <v>11726</v>
      </c>
      <c r="E327" s="10">
        <f>E321+E322+E323+E324+E325+E326</f>
        <v>48253</v>
      </c>
      <c r="F327" s="10">
        <f>F321+F322+F323+F324+F325+F326</f>
        <v>13822</v>
      </c>
      <c r="G327" s="10">
        <f>G321+G322+G323+G324+G325+G326</f>
        <v>13792</v>
      </c>
      <c r="H327" s="29">
        <f>C209</f>
        <v>13798</v>
      </c>
      <c r="I327" s="1"/>
      <c r="J327" s="1"/>
    </row>
    <row r="328">
      <c r="A328" s="1"/>
      <c r="B328" s="21" t="s">
        <v>509</v>
      </c>
      <c r="C328" s="23">
        <f>C329-'Revenue summary'!C144</f>
        <v>5315</v>
      </c>
      <c r="D328" s="23">
        <f>D329-'Revenue summary'!D144</f>
        <v>5415</v>
      </c>
      <c r="E328" s="23">
        <f>E329-'Revenue summary'!E144</f>
        <v>21220</v>
      </c>
      <c r="F328" s="23">
        <f>F329-'Revenue summary'!F144</f>
        <v>5059</v>
      </c>
      <c r="G328" s="23">
        <f>G329-'Revenue summary'!G144</f>
        <v>5182</v>
      </c>
      <c r="H328" s="29">
        <f>C216</f>
        <v>5400</v>
      </c>
      <c r="I328" s="1"/>
      <c r="J328" s="1"/>
    </row>
    <row r="329">
      <c r="A329" s="1"/>
      <c r="B329" s="21" t="s">
        <v>338</v>
      </c>
      <c r="C329" s="3">
        <v>5393</v>
      </c>
      <c r="D329" s="3">
        <v>5872</v>
      </c>
      <c r="E329" s="3">
        <v>21861</v>
      </c>
      <c r="F329" s="3">
        <v>5844</v>
      </c>
      <c r="G329" s="3">
        <v>5743</v>
      </c>
      <c r="H329" s="29">
        <f>C220</f>
        <v>6080</v>
      </c>
      <c r="I329" s="1"/>
      <c r="J329" s="1"/>
    </row>
    <row r="330">
      <c r="A330" s="1"/>
      <c r="B330" s="21" t="s">
        <v>510</v>
      </c>
      <c r="C330" s="3">
        <v>966025</v>
      </c>
      <c r="D330" s="3">
        <v>1011634</v>
      </c>
      <c r="E330" s="3">
        <v>961646</v>
      </c>
      <c r="F330" s="3">
        <v>1034382</v>
      </c>
      <c r="G330" s="3">
        <v>1089781</v>
      </c>
      <c r="H330" s="29">
        <f>C230</f>
        <v>1111143</v>
      </c>
      <c r="I330" s="1"/>
      <c r="J330" s="1"/>
    </row>
    <row r="331">
      <c r="A331" s="1"/>
      <c r="B331" s="21" t="s">
        <v>511</v>
      </c>
      <c r="C331" s="3">
        <v>1064402</v>
      </c>
      <c r="D331" s="3">
        <v>1088439</v>
      </c>
      <c r="E331" s="3">
        <v>1061488</v>
      </c>
      <c r="F331" s="3">
        <v>1106158</v>
      </c>
      <c r="G331" s="3">
        <v>1170063</v>
      </c>
      <c r="H331" s="29">
        <f>C234</f>
        <v>1194410</v>
      </c>
      <c r="I331" s="1"/>
      <c r="J331" s="1"/>
    </row>
    <row r="332">
      <c r="A332" s="1"/>
      <c r="B332" s="21" t="s">
        <v>512</v>
      </c>
      <c r="C332" s="3">
        <v>348430</v>
      </c>
      <c r="D332" s="3">
        <v>344977</v>
      </c>
      <c r="E332" s="3">
        <v>348781</v>
      </c>
      <c r="F332" s="3">
        <v>339947</v>
      </c>
      <c r="G332" s="3">
        <v>345440</v>
      </c>
      <c r="H332" s="29">
        <f>C238</f>
        <v>353635</v>
      </c>
      <c r="I332" s="1"/>
      <c r="J332" s="1"/>
    </row>
    <row r="333">
      <c r="A333" s="1"/>
      <c r="B333" s="21" t="s">
        <v>513</v>
      </c>
      <c r="C333" s="3">
        <v>476256</v>
      </c>
      <c r="D333" s="3">
        <v>482316</v>
      </c>
      <c r="E333" s="3">
        <v>475426</v>
      </c>
      <c r="F333" s="3">
        <v>482304</v>
      </c>
      <c r="G333" s="3">
        <v>511562</v>
      </c>
      <c r="H333" s="29">
        <f>C242</f>
        <v>528135</v>
      </c>
      <c r="I333" s="1"/>
      <c r="J333" s="1"/>
    </row>
    <row r="334">
      <c r="A334" s="1"/>
      <c r="B334" s="21" t="s">
        <v>514</v>
      </c>
      <c r="C334" s="3">
        <v>521124</v>
      </c>
      <c r="D334" s="3">
        <v>525519</v>
      </c>
      <c r="E334" s="3">
        <v>519047</v>
      </c>
      <c r="F334" s="3">
        <v>528726</v>
      </c>
      <c r="G334" s="3">
        <v>561849</v>
      </c>
      <c r="H334" s="29">
        <f>C246</f>
        <v>583680</v>
      </c>
      <c r="I334" s="1"/>
      <c r="J334" s="1"/>
    </row>
    <row r="335">
      <c r="A335" s="1"/>
      <c r="B335" s="21" t="s">
        <v>515</v>
      </c>
      <c r="C335" s="3">
        <v>663302</v>
      </c>
      <c r="D335" s="3">
        <v>613142</v>
      </c>
      <c r="E335" s="3">
        <v>624032</v>
      </c>
      <c r="F335" s="3">
        <v>685039</v>
      </c>
      <c r="G335" s="3">
        <v>758113</v>
      </c>
      <c r="H335" s="29">
        <f>C250</f>
        <v>796017</v>
      </c>
      <c r="I335" s="1"/>
      <c r="J335" s="1"/>
    </row>
    <row r="336">
      <c r="A336" s="1"/>
      <c r="B336" s="21" t="s">
        <v>516</v>
      </c>
      <c r="C336" s="3">
        <v>35832</v>
      </c>
      <c r="D336" s="3">
        <v>35280</v>
      </c>
      <c r="E336" s="3">
        <v>35280</v>
      </c>
      <c r="F336" s="3">
        <v>35678</v>
      </c>
      <c r="G336" s="3">
        <v>38028</v>
      </c>
      <c r="H336" s="29">
        <f>C253</f>
        <v>40128</v>
      </c>
      <c r="I336" s="1"/>
      <c r="J336" s="1"/>
    </row>
    <row r="337">
      <c r="A337" s="1"/>
      <c r="B337" s="21" t="s">
        <v>517</v>
      </c>
      <c r="C337" s="4">
        <v>0.0013000000000000002</v>
      </c>
      <c r="D337" s="4">
        <v>0.0025</v>
      </c>
      <c r="E337" s="4">
        <v>0.0014000000000000002</v>
      </c>
      <c r="F337" s="4">
        <v>0.0015</v>
      </c>
      <c r="G337" s="4">
        <v>0.0025</v>
      </c>
      <c r="H337" s="62">
        <f>C259</f>
        <v>0.0043</v>
      </c>
      <c r="I337" s="1"/>
      <c r="J337" s="1"/>
    </row>
    <row r="338">
      <c r="A338" s="1"/>
      <c r="B338" s="21" t="s">
        <v>518</v>
      </c>
      <c r="C338" s="3">
        <v>156</v>
      </c>
      <c r="D338" s="3">
        <v>300</v>
      </c>
      <c r="E338" s="3">
        <v>689</v>
      </c>
      <c r="F338" s="3">
        <v>177</v>
      </c>
      <c r="G338" s="3">
        <v>325</v>
      </c>
      <c r="H338" s="29">
        <f>C262</f>
        <v>567</v>
      </c>
      <c r="I338" s="1"/>
      <c r="J338" s="1"/>
    </row>
    <row r="339">
      <c r="A339" s="1"/>
      <c r="B339" s="21" t="s">
        <v>382</v>
      </c>
      <c r="C339" s="10">
        <f>C340-C338</f>
        <v>160</v>
      </c>
      <c r="D339" s="10">
        <f>D340-D338</f>
        <v>-239</v>
      </c>
      <c r="E339" s="10">
        <f>E340-E338</f>
        <v>73</v>
      </c>
      <c r="F339" s="10">
        <f>F340-F338</f>
        <v>528</v>
      </c>
      <c r="G339" s="10">
        <f>G340-G338</f>
        <v>371</v>
      </c>
      <c r="H339" s="29">
        <f>C265</f>
        <v>242</v>
      </c>
      <c r="I339" s="1"/>
      <c r="J339" s="1"/>
    </row>
    <row r="340">
      <c r="A340" s="1"/>
      <c r="B340" s="21" t="s">
        <v>383</v>
      </c>
      <c r="C340" s="3">
        <v>316</v>
      </c>
      <c r="D340" s="3">
        <v>61</v>
      </c>
      <c r="E340" s="3">
        <v>762</v>
      </c>
      <c r="F340" s="3">
        <v>705</v>
      </c>
      <c r="G340" s="3">
        <v>696</v>
      </c>
      <c r="H340" s="29">
        <f>C268</f>
        <v>809</v>
      </c>
      <c r="I340" s="1"/>
      <c r="J340" s="1"/>
    </row>
    <row r="341">
      <c r="A341" s="1"/>
      <c r="B341" s="21" t="s">
        <v>519</v>
      </c>
      <c r="C341" s="3">
        <v>9440</v>
      </c>
      <c r="D341" s="3">
        <v>9270</v>
      </c>
      <c r="E341" s="3">
        <v>9270</v>
      </c>
      <c r="F341" s="3">
        <v>9793</v>
      </c>
      <c r="G341" s="3">
        <v>10165</v>
      </c>
      <c r="H341" s="29">
        <f>C271</f>
        <v>10407</v>
      </c>
      <c r="I341" s="1"/>
      <c r="J341" s="1"/>
    </row>
    <row r="342">
      <c r="A342" s="1"/>
      <c r="B342" s="21" t="s">
        <v>384</v>
      </c>
      <c r="C342" s="10">
        <f>C311</f>
        <v>17015</v>
      </c>
      <c r="D342" s="10">
        <f>D311</f>
        <v>17598</v>
      </c>
      <c r="E342" s="10">
        <f>E311</f>
        <v>70114</v>
      </c>
      <c r="F342" s="10">
        <f>F311</f>
        <v>19666</v>
      </c>
      <c r="G342" s="10">
        <f>G311</f>
        <v>19535</v>
      </c>
      <c r="H342" s="29">
        <f>C276</f>
        <v>19878</v>
      </c>
      <c r="I342" s="1"/>
      <c r="J342" s="1"/>
    </row>
    <row r="343">
      <c r="A343" s="1"/>
      <c r="B343" s="21" t="s">
        <v>385</v>
      </c>
      <c r="C343" s="3">
        <v>8751</v>
      </c>
      <c r="D343" s="3">
        <v>8712</v>
      </c>
      <c r="E343" s="3">
        <v>35353</v>
      </c>
      <c r="F343" s="3">
        <v>9842</v>
      </c>
      <c r="G343" s="3">
        <v>9641</v>
      </c>
      <c r="H343" s="29">
        <f>C279</f>
        <v>9722</v>
      </c>
      <c r="I343" s="1"/>
      <c r="J343" s="1"/>
    </row>
    <row r="344">
      <c r="A344" s="1"/>
      <c r="B344" s="21" t="s">
        <v>386</v>
      </c>
      <c r="C344" s="10">
        <f>C342-C343</f>
        <v>8264</v>
      </c>
      <c r="D344" s="10">
        <f>D342-D343</f>
        <v>8886</v>
      </c>
      <c r="E344" s="10">
        <f>E342-E343</f>
        <v>34761</v>
      </c>
      <c r="F344" s="10">
        <f>F342-F343</f>
        <v>9824</v>
      </c>
      <c r="G344" s="10">
        <f>G342-G343</f>
        <v>9894</v>
      </c>
      <c r="H344" s="29">
        <f>C282</f>
        <v>10156</v>
      </c>
      <c r="I344" s="1"/>
      <c r="J344" s="1"/>
    </row>
    <row r="345">
      <c r="A345" s="1"/>
      <c r="B345" s="21" t="s">
        <v>383</v>
      </c>
      <c r="C345" s="10">
        <f>C340</f>
        <v>316</v>
      </c>
      <c r="D345" s="10">
        <f>D340</f>
        <v>61</v>
      </c>
      <c r="E345" s="10">
        <f>E340</f>
        <v>762</v>
      </c>
      <c r="F345" s="10">
        <f>F340</f>
        <v>705</v>
      </c>
      <c r="G345" s="10">
        <f>G340</f>
        <v>696</v>
      </c>
      <c r="H345" s="29">
        <f>C284</f>
        <v>809</v>
      </c>
      <c r="I345" s="1"/>
      <c r="J345" s="1"/>
    </row>
    <row r="346">
      <c r="A346" s="1"/>
      <c r="B346" s="21" t="s">
        <v>387</v>
      </c>
      <c r="C346" s="10">
        <f>C344-C345</f>
        <v>7948</v>
      </c>
      <c r="D346" s="10">
        <f>D344-D345</f>
        <v>8825</v>
      </c>
      <c r="E346" s="10">
        <f>E344-E345</f>
        <v>33999</v>
      </c>
      <c r="F346" s="10">
        <f>F344-F345</f>
        <v>9119</v>
      </c>
      <c r="G346" s="10">
        <f>G344-G345</f>
        <v>9198</v>
      </c>
      <c r="H346" s="29">
        <f>C285</f>
        <v>9347</v>
      </c>
      <c r="I346" s="1"/>
      <c r="J346" s="1"/>
    </row>
    <row r="347">
      <c r="A347" s="1"/>
      <c r="B347" s="21" t="s">
        <v>388</v>
      </c>
      <c r="C347" s="3">
        <v>2257</v>
      </c>
      <c r="D347" s="3">
        <v>2189</v>
      </c>
      <c r="E347" s="3">
        <v>9153</v>
      </c>
      <c r="F347" s="3">
        <v>2177</v>
      </c>
      <c r="G347" s="3">
        <v>2548</v>
      </c>
      <c r="H347" s="29">
        <f>C287</f>
        <v>2446</v>
      </c>
      <c r="I347" s="1"/>
      <c r="J347" s="1"/>
    </row>
    <row r="348">
      <c r="A348" s="1"/>
      <c r="B348" s="21" t="s">
        <v>389</v>
      </c>
      <c r="C348" s="12">
        <f>C347/C346</f>
        <v>0.28397081026673376</v>
      </c>
      <c r="D348" s="12">
        <f>D347/D346</f>
        <v>0.24804532577903682</v>
      </c>
      <c r="E348" s="12">
        <f>E347/E346</f>
        <v>0.26921380040589427</v>
      </c>
      <c r="F348" s="12">
        <f>F347/F346</f>
        <v>0.2387323171400373</v>
      </c>
      <c r="G348" s="12">
        <f>G347/G346</f>
        <v>0.2770167427701674</v>
      </c>
      <c r="H348" s="62">
        <f>C290</f>
        <v>0.261688242216754</v>
      </c>
      <c r="I348" s="1"/>
      <c r="J348" s="1"/>
    </row>
    <row r="349">
      <c r="A349" s="1"/>
      <c r="B349" s="21" t="s">
        <v>520</v>
      </c>
      <c r="C349" s="10">
        <f>C346-C347</f>
        <v>5691</v>
      </c>
      <c r="D349" s="10">
        <f>D346-D347</f>
        <v>6636</v>
      </c>
      <c r="E349" s="10">
        <f>E346-E347</f>
        <v>24846</v>
      </c>
      <c r="F349" s="10">
        <f>F346-F347</f>
        <v>6942</v>
      </c>
      <c r="G349" s="10">
        <f>G346-G347</f>
        <v>6650</v>
      </c>
      <c r="H349" s="29">
        <f>C293</f>
        <v>6901</v>
      </c>
      <c r="I349" s="1"/>
      <c r="J349" s="1"/>
    </row>
    <row r="350">
      <c r="A350" s="1"/>
      <c r="B350" s="21" t="s">
        <v>391</v>
      </c>
      <c r="C350" s="12">
        <f>C343/C342</f>
        <v>0.5143109021451661</v>
      </c>
      <c r="D350" s="12">
        <f>D343/D342</f>
        <v>0.4950562563927719</v>
      </c>
      <c r="E350" s="12">
        <f>E343/E342</f>
        <v>0.5042216960949311</v>
      </c>
      <c r="F350" s="12">
        <f>F343/F342</f>
        <v>0.5004576426319536</v>
      </c>
      <c r="G350" s="12">
        <f>G343/G342</f>
        <v>0.49352444330688505</v>
      </c>
      <c r="H350" s="62">
        <f>C295</f>
        <v>0.4890834087936412</v>
      </c>
      <c r="I350" s="1"/>
      <c r="J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dimension ref="A1:J249"/>
  <sheetViews>
    <sheetView showGridLines="0" workbookViewId="0"/>
  </sheetViews>
  <sheetFormatPr defaultColWidth="8.42578125" defaultRowHeight="15"/>
  <cols>
    <col min="1" max="1" width="2" customWidth="1"/>
    <col min="2" max="2" width="38" customWidth="1"/>
    <col min="3" max="8" width="12" customWidth="1"/>
    <col min="9" max="9" width="2" customWidth="1"/>
    <col min="10" max="10" width="7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</row>
    <row r="2">
      <c r="A2" s="1"/>
      <c r="B2" s="38" t="s">
        <v>0</v>
      </c>
      <c r="C2" s="1"/>
      <c r="D2" s="1"/>
      <c r="E2" s="1"/>
      <c r="F2" s="1"/>
      <c r="G2" s="1"/>
      <c r="H2" s="1"/>
      <c r="I2" s="1"/>
      <c r="J2" s="1"/>
    </row>
    <row r="3">
      <c r="A3" s="1"/>
      <c r="B3" s="31" t="s">
        <v>521</v>
      </c>
      <c r="C3" s="1"/>
      <c r="D3" s="1"/>
      <c r="E3" s="1"/>
      <c r="F3" s="1"/>
      <c r="G3" s="1"/>
      <c r="H3" s="1"/>
      <c r="I3" s="1"/>
      <c r="J3" s="1"/>
    </row>
    <row r="4">
      <c r="A4" s="1"/>
      <c r="B4" s="24" t="s">
        <v>2</v>
      </c>
      <c r="C4" s="1"/>
      <c r="D4" s="1"/>
      <c r="E4" s="1"/>
      <c r="F4" s="1"/>
      <c r="G4" s="1"/>
      <c r="H4" s="1"/>
      <c r="I4" s="1"/>
      <c r="J4" s="1"/>
    </row>
    <row r="5">
      <c r="A5" s="1"/>
      <c r="B5" s="14" t="s">
        <v>89</v>
      </c>
      <c r="C5" s="11" t="s">
        <v>57</v>
      </c>
      <c r="D5" s="11" t="s">
        <v>90</v>
      </c>
      <c r="E5" s="11" t="s">
        <v>91</v>
      </c>
      <c r="F5" s="11" t="s">
        <v>92</v>
      </c>
      <c r="G5" s="11" t="s">
        <v>59</v>
      </c>
      <c r="H5" s="11" t="s">
        <v>56</v>
      </c>
      <c r="I5" s="14"/>
      <c r="J5" s="14" t="s">
        <v>93</v>
      </c>
    </row>
    <row r="6">
      <c r="A6" s="1"/>
      <c r="B6" s="19" t="s">
        <v>94</v>
      </c>
      <c r="C6" s="13">
        <v>45930</v>
      </c>
      <c r="D6" s="13">
        <v>46022</v>
      </c>
      <c r="E6" s="13">
        <v>46022</v>
      </c>
      <c r="F6" s="13">
        <v>46112</v>
      </c>
      <c r="G6" s="13">
        <v>46203</v>
      </c>
      <c r="H6" s="13">
        <v>46295</v>
      </c>
      <c r="I6" s="19"/>
      <c r="J6" s="19"/>
    </row>
    <row r="7">
      <c r="A7" s="1"/>
      <c r="B7" s="28" t="s">
        <v>95</v>
      </c>
      <c r="C7" s="9">
        <v>92</v>
      </c>
      <c r="D7" s="9">
        <v>92</v>
      </c>
      <c r="E7" s="9">
        <v>365</v>
      </c>
      <c r="F7" s="9">
        <v>90</v>
      </c>
      <c r="G7" s="9">
        <v>91</v>
      </c>
      <c r="H7" s="9">
        <v>92</v>
      </c>
      <c r="I7" s="28"/>
      <c r="J7" s="28"/>
    </row>
    <row r="8">
      <c r="A8" s="1"/>
      <c r="B8" s="1"/>
      <c r="C8" s="1"/>
      <c r="D8" s="1"/>
      <c r="E8" s="1"/>
      <c r="F8" s="1"/>
      <c r="G8" s="1"/>
      <c r="H8" s="30"/>
      <c r="I8" s="1"/>
      <c r="J8" s="1"/>
    </row>
    <row r="9">
      <c r="A9" s="1"/>
      <c r="B9" s="31" t="s">
        <v>190</v>
      </c>
      <c r="C9" s="1"/>
      <c r="D9" s="1"/>
      <c r="E9" s="1"/>
      <c r="F9" s="1"/>
      <c r="G9" s="1"/>
      <c r="H9" s="30"/>
      <c r="I9" s="1"/>
      <c r="J9" s="1"/>
    </row>
    <row r="10">
      <c r="A10" s="1"/>
      <c r="B10" s="21" t="s">
        <v>522</v>
      </c>
      <c r="C10" s="3">
        <v>2916</v>
      </c>
      <c r="D10" s="3">
        <v>3408</v>
      </c>
      <c r="E10" s="3">
        <v>11700</v>
      </c>
      <c r="F10" s="3">
        <v>3072</v>
      </c>
      <c r="G10" s="3">
        <v>3320</v>
      </c>
      <c r="H10" s="29">
        <f>G10*H103/G103</f>
        <v>3477.9128290865137</v>
      </c>
      <c r="I10" s="1"/>
      <c r="J10" s="2" t="s">
        <v>523</v>
      </c>
    </row>
    <row r="11">
      <c r="A11" s="1"/>
      <c r="B11" s="51" t="s">
        <v>99</v>
      </c>
      <c r="C11" s="22">
        <f>IF(AND(ISNUMBER(C10),ISNUMBER(C204)),IF(OR(C204&lt;=0,C10&lt;0),"n.m.",C10/C204-1),"n.a.")</f>
        <v>0.15485148514851477</v>
      </c>
      <c r="D11" s="22">
        <f>IF(AND(ISNUMBER(D10),ISNUMBER(D204)),IF(OR(D204&lt;=0,D10&lt;0),"n.m.",D10/D204-1),"n.a.")</f>
        <v>0.18046414963630064</v>
      </c>
      <c r="E11" s="22">
        <f>IF(AND(ISNUMBER(E10),ISNUMBER(E204)),IF(OR(E204&lt;=0,E10&lt;0),"n.m.",E10/E204-1),"n.a.")</f>
        <v>0.14987714987714984</v>
      </c>
      <c r="F11" s="22">
        <f>IF(AND(ISNUMBER(F10),ISNUMBER(F204)),IF(OR(F204&lt;=0,F10&lt;0),"n.m.",F10/F204-1),"n.a.")</f>
        <v>0.1501310370647697</v>
      </c>
      <c r="G11" s="22">
        <f>IF(AND(ISNUMBER(G10),ISNUMBER(G204)),IF(OR(G204&lt;=0,G10&lt;0),"n.m.",G10/G204-1),"n.a.")</f>
        <v>0.22735674676524953</v>
      </c>
      <c r="H11" s="39">
        <f>IF(AND(ISNUMBER(H10),ISNUMBER(C10)),IF(OR(C10&lt;=0,H10&lt;0),"n.m.",H10/C10-1),"n.a.")</f>
        <v>0.19269987280058776</v>
      </c>
      <c r="I11" s="1"/>
      <c r="J11" s="1"/>
    </row>
    <row r="12">
      <c r="A12" s="1"/>
      <c r="B12" s="51" t="s">
        <v>60</v>
      </c>
      <c r="C12" s="22">
        <f>IF(AND(ISNUMBER(C10),ISNUMBER(G204)),IF(OR(G204&lt;=0,C10&lt;0),"n.m.",C10/G204-1),"n.a.")</f>
        <v>0.07800369685767095</v>
      </c>
      <c r="D12" s="22">
        <f>IF(AND(ISNUMBER(D10),ISNUMBER(C10)),IF(OR(C10&lt;=0,D10&lt;0),"n.m.",D10/C10-1),"n.a.")</f>
        <v>0.16872427983539096</v>
      </c>
      <c r="E12" s="1"/>
      <c r="F12" s="22">
        <f>IF(AND(ISNUMBER(F10),ISNUMBER(D10)),IF(OR(D10&lt;=0,F10&lt;0),"n.m.",F10/D10-1),"n.a.")</f>
        <v>-0.09859154929577463</v>
      </c>
      <c r="G12" s="22">
        <f>IF(AND(ISNUMBER(G10),ISNUMBER(F10)),IF(OR(F10&lt;=0,G10&lt;0),"n.m.",G10/F10-1),"n.a.")</f>
        <v>0.08072916666666674</v>
      </c>
      <c r="H12" s="39">
        <f>IF(AND(ISNUMBER(H10),ISNUMBER(G10)),IF(OR(G10&lt;=0,H10&lt;0),"n.m.",H10/G10-1),"n.a.")</f>
        <v>0.0475641051465403</v>
      </c>
      <c r="I12" s="1"/>
      <c r="J12" s="1"/>
    </row>
    <row r="13">
      <c r="A13" s="1"/>
      <c r="B13" s="51" t="s">
        <v>524</v>
      </c>
      <c r="C13" s="22">
        <f>IFERROR(C10/C24,"n.a.")</f>
        <v>0.4807121661721068</v>
      </c>
      <c r="D13" s="22">
        <f>IFERROR(D10/D24,"n.a.")</f>
        <v>0.5230202578268877</v>
      </c>
      <c r="E13" s="22">
        <f>IFERROR(E10/E24,"n.a.")</f>
        <v>0.4860216840443651</v>
      </c>
      <c r="F13" s="22">
        <f>IFERROR(F10/F24,"n.a.")</f>
        <v>0.48195795418889237</v>
      </c>
      <c r="G13" s="22">
        <f>IFERROR(G10/G24,"n.a.")</f>
        <v>0.4846007882061013</v>
      </c>
      <c r="H13" s="39">
        <f>IFERROR(H10/H24,"n.a.")</f>
        <v>0.5028829702531729</v>
      </c>
      <c r="I13" s="1"/>
      <c r="J13" s="1"/>
    </row>
    <row r="14">
      <c r="A14" s="1"/>
      <c r="B14" s="51" t="s">
        <v>101</v>
      </c>
      <c r="C14" s="67" t="s">
        <v>35</v>
      </c>
      <c r="D14" s="67" t="s">
        <v>35</v>
      </c>
      <c r="E14" s="67" t="s">
        <v>35</v>
      </c>
      <c r="F14" s="67" t="s">
        <v>35</v>
      </c>
      <c r="G14" s="67" t="s">
        <v>35</v>
      </c>
      <c r="H14" s="68" t="s">
        <v>35</v>
      </c>
      <c r="I14" s="1"/>
      <c r="J14" s="1"/>
    </row>
    <row r="15">
      <c r="A15" s="1"/>
      <c r="B15" s="51" t="s">
        <v>102</v>
      </c>
      <c r="C15" s="67" t="s">
        <v>35</v>
      </c>
      <c r="D15" s="67" t="s">
        <v>35</v>
      </c>
      <c r="E15" s="67" t="s">
        <v>35</v>
      </c>
      <c r="F15" s="67" t="s">
        <v>35</v>
      </c>
      <c r="G15" s="67" t="s">
        <v>35</v>
      </c>
      <c r="H15" s="68" t="s">
        <v>35</v>
      </c>
      <c r="I15" s="1"/>
      <c r="J15" s="1"/>
    </row>
    <row r="16">
      <c r="A16" s="1"/>
      <c r="B16" s="51" t="s">
        <v>103</v>
      </c>
      <c r="C16" s="67" t="s">
        <v>35</v>
      </c>
      <c r="D16" s="67" t="s">
        <v>35</v>
      </c>
      <c r="E16" s="67" t="s">
        <v>35</v>
      </c>
      <c r="F16" s="67" t="s">
        <v>35</v>
      </c>
      <c r="G16" s="67" t="s">
        <v>35</v>
      </c>
      <c r="H16" s="68" t="s">
        <v>35</v>
      </c>
      <c r="I16" s="1"/>
      <c r="J16" s="1"/>
    </row>
    <row r="17">
      <c r="A17" s="1"/>
      <c r="B17" s="21" t="s">
        <v>525</v>
      </c>
      <c r="C17" s="3">
        <v>3150</v>
      </c>
      <c r="D17" s="3">
        <v>3108</v>
      </c>
      <c r="E17" s="3">
        <v>12373</v>
      </c>
      <c r="F17" s="3">
        <v>3302</v>
      </c>
      <c r="G17" s="3">
        <v>3531</v>
      </c>
      <c r="H17" s="29">
        <f>H73-H10</f>
        <v>3438.035880283348</v>
      </c>
      <c r="I17" s="1"/>
      <c r="J17" s="2" t="s">
        <v>526</v>
      </c>
    </row>
    <row r="18">
      <c r="A18" s="1"/>
      <c r="B18" s="51" t="s">
        <v>99</v>
      </c>
      <c r="C18" s="22">
        <f>IF(AND(ISNUMBER(C17),ISNUMBER(C205)),IF(OR(C205&lt;=0,C17&lt;0),"n.m.",C17/C205-1),"n.a.")</f>
        <v>0.08098833218943025</v>
      </c>
      <c r="D18" s="22">
        <f>IF(AND(ISNUMBER(D17),ISNUMBER(D205)),IF(OR(D205&lt;=0,D17&lt;0),"n.m.",D17/D205-1),"n.a.")</f>
        <v>0.07506053268765123</v>
      </c>
      <c r="E18" s="22">
        <f>IF(AND(ISNUMBER(E17),ISNUMBER(E205)),IF(OR(E205&lt;=0,E17&lt;0),"n.m.",E17/E205-1),"n.a.")</f>
        <v>0.08506533368411828</v>
      </c>
      <c r="F18" s="22">
        <f>IF(AND(ISNUMBER(F17),ISNUMBER(F205)),IF(OR(F205&lt;=0,F17&lt;0),"n.m.",F17/F205-1),"n.a.")</f>
        <v>0.07908496732026138</v>
      </c>
      <c r="G18" s="22">
        <f>IF(AND(ISNUMBER(G17),ISNUMBER(G205)),IF(OR(G205&lt;=0,G17&lt;0),"n.m.",G17/G205-1),"n.a.")</f>
        <v>0.15581014729950904</v>
      </c>
      <c r="H18" s="39">
        <f>IF(AND(ISNUMBER(H17),ISNUMBER(C17)),IF(OR(C17&lt;=0,H17&lt;0),"n.m.",H17/C17-1),"n.a.")</f>
        <v>0.09143996199471371</v>
      </c>
      <c r="I18" s="1"/>
      <c r="J18" s="1"/>
    </row>
    <row r="19">
      <c r="A19" s="1"/>
      <c r="B19" s="51" t="s">
        <v>60</v>
      </c>
      <c r="C19" s="22">
        <f>IF(AND(ISNUMBER(C17),ISNUMBER(G205)),IF(OR(G205&lt;=0,C17&lt;0),"n.m.",C17/G205-1),"n.a.")</f>
        <v>0.03109656301145658</v>
      </c>
      <c r="D19" s="22">
        <f>IF(AND(ISNUMBER(D17),ISNUMBER(C17)),IF(OR(C17&lt;=0,D17&lt;0),"n.m.",D17/C17-1),"n.a.")</f>
        <v>-0.013333333333333308</v>
      </c>
      <c r="E19" s="1"/>
      <c r="F19" s="22">
        <f>IF(AND(ISNUMBER(F17),ISNUMBER(D17)),IF(OR(D17&lt;=0,F17&lt;0),"n.m.",F17/D17-1),"n.a.")</f>
        <v>0.06241956241956248</v>
      </c>
      <c r="G19" s="22">
        <f>IF(AND(ISNUMBER(G17),ISNUMBER(F17)),IF(OR(F17&lt;=0,G17&lt;0),"n.m.",G17/F17-1),"n.a.")</f>
        <v>0.06935190793458501</v>
      </c>
      <c r="H19" s="39">
        <f>IF(AND(ISNUMBER(H17),ISNUMBER(G17)),IF(OR(G17&lt;=0,H17&lt;0),"n.m.",H17/G17-1),"n.a.")</f>
        <v>-0.02632798632587141</v>
      </c>
      <c r="I19" s="1"/>
      <c r="J19" s="1"/>
    </row>
    <row r="20">
      <c r="A20" s="1"/>
      <c r="B20" s="51" t="s">
        <v>524</v>
      </c>
      <c r="C20" s="22">
        <f>IFERROR(C17/C24,"n.a.")</f>
        <v>0.5192878338278932</v>
      </c>
      <c r="D20" s="22">
        <f>IFERROR(D17/D24,"n.a.")</f>
        <v>0.47697974217311234</v>
      </c>
      <c r="E20" s="22">
        <f>IFERROR(E17/E24,"n.a.")</f>
        <v>0.5139783159556349</v>
      </c>
      <c r="F20" s="22">
        <f>IFERROR(F17/F24,"n.a.")</f>
        <v>0.5180420458111076</v>
      </c>
      <c r="G20" s="22">
        <f>IFERROR(G17/G24,"n.a.")</f>
        <v>0.5153992117938987</v>
      </c>
      <c r="H20" s="39">
        <f>IFERROR(H17/H24,"n.a.")</f>
        <v>0.4971170297468271</v>
      </c>
      <c r="I20" s="1"/>
      <c r="J20" s="1"/>
    </row>
    <row r="21">
      <c r="A21" s="1"/>
      <c r="B21" s="51" t="s">
        <v>101</v>
      </c>
      <c r="C21" s="67" t="s">
        <v>35</v>
      </c>
      <c r="D21" s="67" t="s">
        <v>35</v>
      </c>
      <c r="E21" s="67" t="s">
        <v>35</v>
      </c>
      <c r="F21" s="67" t="s">
        <v>35</v>
      </c>
      <c r="G21" s="67" t="s">
        <v>35</v>
      </c>
      <c r="H21" s="68" t="s">
        <v>35</v>
      </c>
      <c r="I21" s="1"/>
      <c r="J21" s="1"/>
    </row>
    <row r="22">
      <c r="A22" s="1"/>
      <c r="B22" s="51" t="s">
        <v>102</v>
      </c>
      <c r="C22" s="67" t="s">
        <v>35</v>
      </c>
      <c r="D22" s="67" t="s">
        <v>35</v>
      </c>
      <c r="E22" s="67" t="s">
        <v>35</v>
      </c>
      <c r="F22" s="67" t="s">
        <v>35</v>
      </c>
      <c r="G22" s="67" t="s">
        <v>35</v>
      </c>
      <c r="H22" s="68" t="s">
        <v>35</v>
      </c>
      <c r="I22" s="1"/>
      <c r="J22" s="1"/>
    </row>
    <row r="23">
      <c r="A23" s="1"/>
      <c r="B23" s="51" t="s">
        <v>103</v>
      </c>
      <c r="C23" s="67" t="s">
        <v>35</v>
      </c>
      <c r="D23" s="67" t="s">
        <v>35</v>
      </c>
      <c r="E23" s="67" t="s">
        <v>35</v>
      </c>
      <c r="F23" s="67" t="s">
        <v>35</v>
      </c>
      <c r="G23" s="67" t="s">
        <v>35</v>
      </c>
      <c r="H23" s="68" t="s">
        <v>35</v>
      </c>
      <c r="I23" s="1"/>
      <c r="J23" s="1"/>
    </row>
    <row r="24">
      <c r="A24" s="1"/>
      <c r="B24" s="31" t="s">
        <v>527</v>
      </c>
      <c r="C24" s="43">
        <f>C10+C17</f>
        <v>6066</v>
      </c>
      <c r="D24" s="43">
        <f>D10+D17</f>
        <v>6516</v>
      </c>
      <c r="E24" s="43">
        <f>E10+E17</f>
        <v>24073</v>
      </c>
      <c r="F24" s="43">
        <f>F10+F17</f>
        <v>6374</v>
      </c>
      <c r="G24" s="43">
        <f>G10+G17</f>
        <v>6851</v>
      </c>
      <c r="H24" s="45">
        <f>H10+H17</f>
        <v>6915.948709369862</v>
      </c>
      <c r="I24" s="1"/>
      <c r="J24" s="1"/>
    </row>
    <row r="25">
      <c r="A25" s="1"/>
      <c r="B25" s="36" t="s">
        <v>99</v>
      </c>
      <c r="C25" s="22">
        <f>IF(AND(ISNUMBER(C24),ISNUMBER(C206)),IF(OR(C206&lt;=0,C24&lt;0),"n.m.",C24/C206-1),"n.a.")</f>
        <v>0.11527854384997238</v>
      </c>
      <c r="D25" s="22">
        <f>IF(AND(ISNUMBER(D24),ISNUMBER(D206)),IF(OR(D206&lt;=0,D24&lt;0),"n.m.",D24/D206-1),"n.a.")</f>
        <v>0.12772585669781922</v>
      </c>
      <c r="E25" s="22">
        <f>IF(AND(ISNUMBER(E24),ISNUMBER(E206)),IF(OR(E206&lt;=0,E24&lt;0),"n.m.",E24/E206-1),"n.a.")</f>
        <v>0.11562702752803777</v>
      </c>
      <c r="F25" s="22">
        <f>IF(AND(ISNUMBER(F24),ISNUMBER(F206)),IF(OR(F206&lt;=0,F24&lt;0),"n.m.",F24/F206-1),"n.a.")</f>
        <v>0.11219682428895483</v>
      </c>
      <c r="G25" s="22">
        <f>IF(AND(ISNUMBER(G24),ISNUMBER(G206)),IF(OR(G206&lt;=0,G24&lt;0),"n.m.",G24/G206-1),"n.a.")</f>
        <v>0.1894097222222222</v>
      </c>
      <c r="H25" s="39">
        <f>IF(AND(ISNUMBER(H24),ISNUMBER(C24)),IF(OR(C24&lt;=0,H24&lt;0),"n.m.",H24/C24-1),"n.a.")</f>
        <v>0.14011683306459966</v>
      </c>
      <c r="I25" s="1"/>
      <c r="J25" s="1"/>
    </row>
    <row r="26">
      <c r="A26" s="1"/>
      <c r="B26" s="36" t="s">
        <v>60</v>
      </c>
      <c r="C26" s="22">
        <f>IF(AND(ISNUMBER(C24),ISNUMBER(G206)),IF(OR(G206&lt;=0,C24&lt;0),"n.m.",C24/G206-1),"n.a.")</f>
        <v>0.05312500000000009</v>
      </c>
      <c r="D26" s="22">
        <f>IF(AND(ISNUMBER(D24),ISNUMBER(C24)),IF(OR(C24&lt;=0,D24&lt;0),"n.m.",D24/C24-1),"n.a.")</f>
        <v>0.0741839762611276</v>
      </c>
      <c r="E26" s="1"/>
      <c r="F26" s="22">
        <f>IF(AND(ISNUMBER(F24),ISNUMBER(D24)),IF(OR(D24&lt;=0,F24&lt;0),"n.m.",F24/D24-1),"n.a.")</f>
        <v>-0.021792510742786986</v>
      </c>
      <c r="G26" s="22">
        <f>IF(AND(ISNUMBER(G24),ISNUMBER(F24)),IF(OR(F24&lt;=0,G24&lt;0),"n.m.",G24/F24-1),"n.a.")</f>
        <v>0.07483526827737674</v>
      </c>
      <c r="H26" s="39">
        <f>IF(AND(ISNUMBER(H24),ISNUMBER(G24)),IF(OR(G24&lt;=0,H24&lt;0),"n.m.",H24/G24-1),"n.a.")</f>
        <v>0.009480179443856596</v>
      </c>
      <c r="I26" s="1"/>
      <c r="J26" s="1"/>
    </row>
    <row r="27">
      <c r="A27" s="1"/>
      <c r="B27" s="36" t="s">
        <v>199</v>
      </c>
      <c r="C27" s="42">
        <f>IFERROR(C24/'Revenue summary'!C38,"n.a.")</f>
        <v>0.12873514431239388</v>
      </c>
      <c r="D27" s="42">
        <f>IFERROR(D24/'Revenue summary'!D38,"n.a.")</f>
        <v>0.13932901404836745</v>
      </c>
      <c r="E27" s="42">
        <f>IFERROR(E24/'Revenue summary'!E38,"n.a.")</f>
        <v>0.12971694300601894</v>
      </c>
      <c r="F27" s="42">
        <f>IFERROR(F24/'Revenue summary'!F38,"n.a.")</f>
        <v>0.12612790881747665</v>
      </c>
      <c r="G27" s="42">
        <f>IFERROR(G24/'Revenue summary'!G38,"n.a.")</f>
        <v>0.11807590224397642</v>
      </c>
      <c r="H27" s="56">
        <f>IFERROR(H24/'Revenue summary'!H38,"n.a.")</f>
        <v>0.13372695377120494</v>
      </c>
      <c r="I27" s="1"/>
      <c r="J27" s="1"/>
    </row>
    <row r="28">
      <c r="A28" s="1"/>
      <c r="B28" s="36" t="s">
        <v>101</v>
      </c>
      <c r="C28" s="67" t="s">
        <v>35</v>
      </c>
      <c r="D28" s="67" t="s">
        <v>35</v>
      </c>
      <c r="E28" s="67" t="s">
        <v>35</v>
      </c>
      <c r="F28" s="67" t="s">
        <v>35</v>
      </c>
      <c r="G28" s="67" t="s">
        <v>35</v>
      </c>
      <c r="H28" s="68" t="s">
        <v>35</v>
      </c>
      <c r="I28" s="1"/>
      <c r="J28" s="1"/>
    </row>
    <row r="29">
      <c r="A29" s="1"/>
      <c r="B29" s="36" t="s">
        <v>102</v>
      </c>
      <c r="C29" s="67" t="s">
        <v>35</v>
      </c>
      <c r="D29" s="67" t="s">
        <v>35</v>
      </c>
      <c r="E29" s="67" t="s">
        <v>35</v>
      </c>
      <c r="F29" s="67" t="s">
        <v>35</v>
      </c>
      <c r="G29" s="67" t="s">
        <v>35</v>
      </c>
      <c r="H29" s="68" t="s">
        <v>35</v>
      </c>
      <c r="I29" s="1"/>
      <c r="J29" s="1"/>
    </row>
    <row r="30">
      <c r="A30" s="1"/>
      <c r="B30" s="36" t="s">
        <v>103</v>
      </c>
      <c r="C30" s="67" t="s">
        <v>35</v>
      </c>
      <c r="D30" s="67" t="s">
        <v>35</v>
      </c>
      <c r="E30" s="67" t="s">
        <v>35</v>
      </c>
      <c r="F30" s="67" t="s">
        <v>35</v>
      </c>
      <c r="G30" s="67" t="s">
        <v>35</v>
      </c>
      <c r="H30" s="68" t="s">
        <v>35</v>
      </c>
      <c r="I30" s="1"/>
      <c r="J30" s="1"/>
    </row>
    <row r="31">
      <c r="A31" s="1"/>
      <c r="B31" s="24" t="s">
        <v>200</v>
      </c>
      <c r="C31" s="34">
        <f>C24-C73</f>
        <v>0</v>
      </c>
      <c r="D31" s="34">
        <f>D24-D73</f>
        <v>0</v>
      </c>
      <c r="E31" s="34">
        <f>E24-E73</f>
        <v>0</v>
      </c>
      <c r="F31" s="34">
        <f>F24-F73</f>
        <v>0</v>
      </c>
      <c r="G31" s="34">
        <f>G24-G73</f>
        <v>0</v>
      </c>
      <c r="H31" s="48">
        <f>H24-H73</f>
        <v>0</v>
      </c>
      <c r="I31" s="1"/>
      <c r="J31" s="2" t="s">
        <v>118</v>
      </c>
    </row>
    <row r="32">
      <c r="A32" s="1"/>
      <c r="B32" s="1"/>
      <c r="C32" s="1"/>
      <c r="D32" s="1"/>
      <c r="E32" s="1"/>
      <c r="F32" s="1"/>
      <c r="G32" s="1"/>
      <c r="H32" s="30"/>
      <c r="I32" s="1"/>
      <c r="J32" s="1"/>
    </row>
    <row r="33">
      <c r="A33" s="1"/>
      <c r="B33" s="31" t="s">
        <v>201</v>
      </c>
      <c r="C33" s="1"/>
      <c r="D33" s="1"/>
      <c r="E33" s="1"/>
      <c r="F33" s="1"/>
      <c r="G33" s="1"/>
      <c r="H33" s="30"/>
      <c r="I33" s="1"/>
      <c r="J33" s="1"/>
    </row>
    <row r="34">
      <c r="A34" s="1"/>
      <c r="B34" s="21" t="s">
        <v>203</v>
      </c>
      <c r="C34" s="3">
        <v>3885</v>
      </c>
      <c r="D34" s="3">
        <v>4372</v>
      </c>
      <c r="E34" s="3">
        <v>15494</v>
      </c>
      <c r="F34" s="3">
        <v>4125</v>
      </c>
      <c r="G34" s="3">
        <v>4227</v>
      </c>
      <c r="H34" s="29">
        <f>H41/10000*H103*1000*H7/365</f>
        <v>4496.195709369862</v>
      </c>
      <c r="I34" s="1"/>
      <c r="J34" s="2" t="s">
        <v>528</v>
      </c>
    </row>
    <row r="35">
      <c r="A35" s="1"/>
      <c r="B35" s="51" t="s">
        <v>99</v>
      </c>
      <c r="C35" s="22">
        <f>IF(AND(ISNUMBER(C34),ISNUMBER(C207)),IF(OR(C207&lt;=0,C34&lt;0),"n.m.",C34/C207-1),"n.a.")</f>
        <v>0.13364458710242189</v>
      </c>
      <c r="D35" s="22">
        <f>IF(AND(ISNUMBER(D34),ISNUMBER(D207)),IF(OR(D207&lt;=0,D34&lt;0),"n.m.",D34/D207-1),"n.a.")</f>
        <v>0.15295358649789037</v>
      </c>
      <c r="E35" s="22">
        <f>IF(AND(ISNUMBER(E34),ISNUMBER(E207)),IF(OR(E207&lt;=0,E34&lt;0),"n.m.",E34/E207-1),"n.a.")</f>
        <v>0.13152705762068218</v>
      </c>
      <c r="F35" s="22">
        <f>IF(AND(ISNUMBER(F34),ISNUMBER(F207)),IF(OR(F207&lt;=0,F34&lt;0),"n.m.",F34/F207-1),"n.a.")</f>
        <v>0.14742698191933234</v>
      </c>
      <c r="G35" s="22">
        <f>IF(AND(ISNUMBER(G34),ISNUMBER(G207)),IF(OR(G207&lt;=0,G34&lt;0),"n.m.",G34/G207-1),"n.a.")</f>
        <v>0.16062602965403627</v>
      </c>
      <c r="H35" s="39">
        <f>IF(AND(ISNUMBER(H34),ISNUMBER(C34)),IF(OR(C34&lt;=0,H34&lt;0),"n.m.",H34/C34-1),"n.a.")</f>
        <v>0.15732193291373542</v>
      </c>
      <c r="I35" s="1"/>
      <c r="J35" s="1"/>
    </row>
    <row r="36">
      <c r="A36" s="1"/>
      <c r="B36" s="51" t="s">
        <v>60</v>
      </c>
      <c r="C36" s="22">
        <f>IF(AND(ISNUMBER(C34),ISNUMBER(G207)),IF(OR(G207&lt;=0,C34&lt;0),"n.m.",C34/G207-1),"n.a.")</f>
        <v>0.06672158154859975</v>
      </c>
      <c r="D36" s="22">
        <f>IF(AND(ISNUMBER(D34),ISNUMBER(C34)),IF(OR(C34&lt;=0,D34&lt;0),"n.m.",D34/C34-1),"n.a.")</f>
        <v>0.1253539253539253</v>
      </c>
      <c r="E36" s="1"/>
      <c r="F36" s="22">
        <f>IF(AND(ISNUMBER(F34),ISNUMBER(D34)),IF(OR(D34&lt;=0,F34&lt;0),"n.m.",F34/D34-1),"n.a.")</f>
        <v>-0.05649588289112539</v>
      </c>
      <c r="G36" s="22">
        <f>IF(AND(ISNUMBER(G34),ISNUMBER(F34)),IF(OR(F34&lt;=0,G34&lt;0),"n.m.",G34/F34-1),"n.a.")</f>
        <v>0.02472727272727271</v>
      </c>
      <c r="H36" s="39">
        <f>IF(AND(ISNUMBER(H34),ISNUMBER(G34)),IF(OR(G34&lt;=0,H34&lt;0),"n.m.",H34/G34-1),"n.a.")</f>
        <v>0.06368481414001947</v>
      </c>
      <c r="I36" s="1"/>
      <c r="J36" s="1"/>
    </row>
    <row r="37">
      <c r="A37" s="1"/>
      <c r="B37" s="51" t="s">
        <v>524</v>
      </c>
      <c r="C37" s="22">
        <f>IFERROR(C34/C24,"n.a.")</f>
        <v>0.6404549950544016</v>
      </c>
      <c r="D37" s="22">
        <f>IFERROR(D34/D24,"n.a.")</f>
        <v>0.670963781461019</v>
      </c>
      <c r="E37" s="22">
        <f>IFERROR(E34/E24,"n.a.")</f>
        <v>0.6436256386823412</v>
      </c>
      <c r="F37" s="22">
        <f>IFERROR(F34/F24,"n.a.")</f>
        <v>0.6471603388766866</v>
      </c>
      <c r="G37" s="22">
        <f>IFERROR(G34/G24,"n.a.")</f>
        <v>0.6169902204057802</v>
      </c>
      <c r="H37" s="39">
        <f>IFERROR(H34/H24,"n.a.")</f>
        <v>0.6501198748449838</v>
      </c>
      <c r="I37" s="1"/>
      <c r="J37" s="1"/>
    </row>
    <row r="38">
      <c r="A38" s="1"/>
      <c r="B38" s="51" t="s">
        <v>101</v>
      </c>
      <c r="C38" s="67" t="s">
        <v>35</v>
      </c>
      <c r="D38" s="67" t="s">
        <v>35</v>
      </c>
      <c r="E38" s="67" t="s">
        <v>35</v>
      </c>
      <c r="F38" s="67" t="s">
        <v>35</v>
      </c>
      <c r="G38" s="67" t="s">
        <v>35</v>
      </c>
      <c r="H38" s="68" t="s">
        <v>35</v>
      </c>
      <c r="I38" s="1"/>
      <c r="J38" s="1"/>
    </row>
    <row r="39">
      <c r="A39" s="1"/>
      <c r="B39" s="51" t="s">
        <v>102</v>
      </c>
      <c r="C39" s="67" t="s">
        <v>35</v>
      </c>
      <c r="D39" s="67" t="s">
        <v>35</v>
      </c>
      <c r="E39" s="67" t="s">
        <v>35</v>
      </c>
      <c r="F39" s="67" t="s">
        <v>35</v>
      </c>
      <c r="G39" s="67" t="s">
        <v>35</v>
      </c>
      <c r="H39" s="68" t="s">
        <v>35</v>
      </c>
      <c r="I39" s="1"/>
      <c r="J39" s="1"/>
    </row>
    <row r="40">
      <c r="A40" s="1"/>
      <c r="B40" s="51" t="s">
        <v>103</v>
      </c>
      <c r="C40" s="67" t="s">
        <v>35</v>
      </c>
      <c r="D40" s="67" t="s">
        <v>35</v>
      </c>
      <c r="E40" s="67" t="s">
        <v>35</v>
      </c>
      <c r="F40" s="67" t="s">
        <v>35</v>
      </c>
      <c r="G40" s="67" t="s">
        <v>35</v>
      </c>
      <c r="H40" s="68" t="s">
        <v>35</v>
      </c>
      <c r="I40" s="1"/>
      <c r="J40" s="1"/>
    </row>
    <row r="41" ht="27">
      <c r="A41" s="1"/>
      <c r="B41" s="51" t="s">
        <v>529</v>
      </c>
      <c r="C41" s="34">
        <f>C34*365/C7/(C103*1000)*10000</f>
        <v>34.47397722520981</v>
      </c>
      <c r="D41" s="34">
        <f>D34*365/D7/(D103*1000)*10000</f>
        <v>36.94448303005047</v>
      </c>
      <c r="E41" s="34">
        <f>E34*365/E7/(E103*1000)*10000</f>
        <v>35.070167496604796</v>
      </c>
      <c r="F41" s="34">
        <f>F34*365/F7/(F103*1000)*10000</f>
        <v>34.92519137091163</v>
      </c>
      <c r="G41" s="34">
        <f>G34*365/G7/(G103*1000)*10000</f>
        <v>34.15137586756078</v>
      </c>
      <c r="H41" s="84">
        <v>34.3</v>
      </c>
      <c r="I41" s="1"/>
      <c r="J41" s="125" t="s">
        <v>530</v>
      </c>
    </row>
    <row r="42">
      <c r="A42" s="1"/>
      <c r="B42" s="78" t="s">
        <v>131</v>
      </c>
      <c r="C42" s="10">
        <f>C41-C208</f>
        <v>-1.3716594739728976</v>
      </c>
      <c r="D42" s="10">
        <f>D41-D208</f>
        <v>-0.9076941647839902</v>
      </c>
      <c r="E42" s="10">
        <f>E41-E208</f>
        <v>-1.6058737515537658</v>
      </c>
      <c r="F42" s="10">
        <f>F41-F208</f>
        <v>-0.8181825497116222</v>
      </c>
      <c r="G42" s="10">
        <f>G41-G208</f>
        <v>-0.39929106248174406</v>
      </c>
      <c r="H42" s="29">
        <f>H41-C41</f>
        <v>-0.17397722520981063</v>
      </c>
      <c r="I42" s="1"/>
      <c r="J42" s="1"/>
    </row>
    <row r="43">
      <c r="A43" s="1"/>
      <c r="B43" s="78" t="s">
        <v>114</v>
      </c>
      <c r="C43" s="10">
        <f>C41-G208</f>
        <v>-0.07668970483271664</v>
      </c>
      <c r="D43" s="10">
        <f>D41-C41</f>
        <v>2.4705058048406627</v>
      </c>
      <c r="E43" s="1"/>
      <c r="F43" s="10">
        <f>F41-D41</f>
        <v>-2.019291659138844</v>
      </c>
      <c r="G43" s="10">
        <f>G41-F41</f>
        <v>-0.7738155033508463</v>
      </c>
      <c r="H43" s="29">
        <f>H41-G41</f>
        <v>0.1486241324392168</v>
      </c>
      <c r="I43" s="1"/>
      <c r="J43" s="1"/>
    </row>
    <row r="44">
      <c r="A44" s="1"/>
      <c r="B44" s="21" t="s">
        <v>452</v>
      </c>
      <c r="C44" s="3">
        <v>296</v>
      </c>
      <c r="D44" s="3">
        <v>301</v>
      </c>
      <c r="E44" s="3">
        <v>1184</v>
      </c>
      <c r="F44" s="3">
        <v>369</v>
      </c>
      <c r="G44" s="3">
        <v>445</v>
      </c>
      <c r="H44" s="44">
        <v>400</v>
      </c>
      <c r="I44" s="1"/>
      <c r="J44" s="2" t="s">
        <v>531</v>
      </c>
    </row>
    <row r="45">
      <c r="A45" s="1"/>
      <c r="B45" s="51" t="s">
        <v>99</v>
      </c>
      <c r="C45" s="22">
        <f>IF(AND(ISNUMBER(C44),ISNUMBER(C209)),IF(OR(C209&lt;=0,C44&lt;0),"n.m.",C44/C209-1),"n.a.")</f>
        <v>0.3214285714285714</v>
      </c>
      <c r="D45" s="22">
        <f>IF(AND(ISNUMBER(D44),ISNUMBER(D209)),IF(OR(D209&lt;=0,D44&lt;0),"n.m.",D44/D209-1),"n.a.")</f>
        <v>0.33777777777777773</v>
      </c>
      <c r="E45" s="22">
        <f>IF(AND(ISNUMBER(E44),ISNUMBER(E209)),IF(OR(E209&lt;=0,E44&lt;0),"n.m.",E44/E209-1),"n.a.")</f>
        <v>0.3546910755148742</v>
      </c>
      <c r="F45" s="22">
        <f>IF(AND(ISNUMBER(F44),ISNUMBER(F209)),IF(OR(F209&lt;=0,F44&lt;0),"n.m.",F44/F209-1),"n.a.")</f>
        <v>0.35164835164835173</v>
      </c>
      <c r="G45" s="22">
        <f>IF(AND(ISNUMBER(G44),ISNUMBER(G209)),IF(OR(G209&lt;=0,G44&lt;0),"n.m.",G44/G209-1),"n.a.")</f>
        <v>0.4171974522292994</v>
      </c>
      <c r="H45" s="39">
        <f>IF(AND(ISNUMBER(H44),ISNUMBER(C44)),IF(OR(C44&lt;=0,H44&lt;0),"n.m.",H44/C44-1),"n.a.")</f>
        <v>0.3513513513513513</v>
      </c>
      <c r="I45" s="1"/>
      <c r="J45" s="1"/>
    </row>
    <row r="46">
      <c r="A46" s="1"/>
      <c r="B46" s="51" t="s">
        <v>60</v>
      </c>
      <c r="C46" s="22">
        <f>IF(AND(ISNUMBER(C44),ISNUMBER(G209)),IF(OR(G209&lt;=0,C44&lt;0),"n.m.",C44/G209-1),"n.a.")</f>
        <v>-0.0573248407643312</v>
      </c>
      <c r="D46" s="22">
        <f>IF(AND(ISNUMBER(D44),ISNUMBER(C44)),IF(OR(C44&lt;=0,D44&lt;0),"n.m.",D44/C44-1),"n.a.")</f>
        <v>0.016891891891891886</v>
      </c>
      <c r="E46" s="1"/>
      <c r="F46" s="22">
        <f>IF(AND(ISNUMBER(F44),ISNUMBER(D44)),IF(OR(D44&lt;=0,F44&lt;0),"n.m.",F44/D44-1),"n.a.")</f>
        <v>0.2259136212624584</v>
      </c>
      <c r="G46" s="22">
        <f>IF(AND(ISNUMBER(G44),ISNUMBER(F44)),IF(OR(F44&lt;=0,G44&lt;0),"n.m.",G44/F44-1),"n.a.")</f>
        <v>0.20596205962059622</v>
      </c>
      <c r="H46" s="39">
        <f>IF(AND(ISNUMBER(H44),ISNUMBER(G44)),IF(OR(G44&lt;=0,H44&lt;0),"n.m.",H44/G44-1),"n.a.")</f>
        <v>-0.101123595505618</v>
      </c>
      <c r="I46" s="1"/>
      <c r="J46" s="1"/>
    </row>
    <row r="47">
      <c r="A47" s="1"/>
      <c r="B47" s="51" t="s">
        <v>524</v>
      </c>
      <c r="C47" s="22">
        <f>IFERROR(C44/C24,"n.a.")</f>
        <v>0.04879657105176393</v>
      </c>
      <c r="D47" s="22">
        <f>IFERROR(D44/D24,"n.a.")</f>
        <v>0.04619398403928791</v>
      </c>
      <c r="E47" s="22">
        <f>IFERROR(E44/E24,"n.a.")</f>
        <v>0.04918373281269472</v>
      </c>
      <c r="F47" s="22">
        <f>IFERROR(F44/F24,"n.a.")</f>
        <v>0.05789143395042359</v>
      </c>
      <c r="G47" s="22">
        <f>IFERROR(G44/G24,"n.a.")</f>
        <v>0.06495402131075756</v>
      </c>
      <c r="H47" s="39">
        <f>IFERROR(H44/H24,"n.a.")</f>
        <v>0.057837328876958305</v>
      </c>
      <c r="I47" s="1"/>
      <c r="J47" s="1"/>
    </row>
    <row r="48">
      <c r="A48" s="1"/>
      <c r="B48" s="51" t="s">
        <v>101</v>
      </c>
      <c r="C48" s="67" t="s">
        <v>35</v>
      </c>
      <c r="D48" s="67" t="s">
        <v>35</v>
      </c>
      <c r="E48" s="67" t="s">
        <v>35</v>
      </c>
      <c r="F48" s="67" t="s">
        <v>35</v>
      </c>
      <c r="G48" s="67" t="s">
        <v>35</v>
      </c>
      <c r="H48" s="68" t="s">
        <v>35</v>
      </c>
      <c r="I48" s="1"/>
      <c r="J48" s="1"/>
    </row>
    <row r="49">
      <c r="A49" s="1"/>
      <c r="B49" s="51" t="s">
        <v>102</v>
      </c>
      <c r="C49" s="67" t="s">
        <v>35</v>
      </c>
      <c r="D49" s="67" t="s">
        <v>35</v>
      </c>
      <c r="E49" s="67" t="s">
        <v>35</v>
      </c>
      <c r="F49" s="67" t="s">
        <v>35</v>
      </c>
      <c r="G49" s="67" t="s">
        <v>35</v>
      </c>
      <c r="H49" s="68" t="s">
        <v>35</v>
      </c>
      <c r="I49" s="1"/>
      <c r="J49" s="1"/>
    </row>
    <row r="50">
      <c r="A50" s="1"/>
      <c r="B50" s="51" t="s">
        <v>103</v>
      </c>
      <c r="C50" s="67" t="s">
        <v>35</v>
      </c>
      <c r="D50" s="67" t="s">
        <v>35</v>
      </c>
      <c r="E50" s="67" t="s">
        <v>35</v>
      </c>
      <c r="F50" s="67" t="s">
        <v>35</v>
      </c>
      <c r="G50" s="67" t="s">
        <v>35</v>
      </c>
      <c r="H50" s="68" t="s">
        <v>35</v>
      </c>
      <c r="I50" s="1"/>
      <c r="J50" s="1"/>
    </row>
    <row r="51">
      <c r="A51" s="1"/>
      <c r="B51" s="21" t="s">
        <v>456</v>
      </c>
      <c r="C51" s="3">
        <v>156</v>
      </c>
      <c r="D51" s="3">
        <v>165</v>
      </c>
      <c r="E51" s="3">
        <v>563</v>
      </c>
      <c r="F51" s="3">
        <v>154</v>
      </c>
      <c r="G51" s="3">
        <v>370</v>
      </c>
      <c r="H51" s="44">
        <v>180</v>
      </c>
      <c r="I51" s="1"/>
      <c r="J51" s="2" t="s">
        <v>532</v>
      </c>
    </row>
    <row r="52">
      <c r="A52" s="1"/>
      <c r="B52" s="51" t="s">
        <v>99</v>
      </c>
      <c r="C52" s="22">
        <f>IF(AND(ISNUMBER(C51),ISNUMBER(C210)),IF(OR(C210&lt;=0,C51&lt;0),"n.m.",C51/C210-1),"n.a.")</f>
        <v>0.054054054054053946</v>
      </c>
      <c r="D52" s="22">
        <f>IF(AND(ISNUMBER(D51),ISNUMBER(D210)),IF(OR(D210&lt;=0,D51&lt;0),"n.m.",D51/D210-1),"n.a.")</f>
        <v>1.75</v>
      </c>
      <c r="E52" s="22">
        <f>IF(AND(ISNUMBER(E51),ISNUMBER(E210)),IF(OR(E210&lt;=0,E51&lt;0),"n.m.",E51/E210-1),"n.a.")</f>
        <v>0.23464912280701755</v>
      </c>
      <c r="F52" s="22">
        <f>IF(AND(ISNUMBER(F51),ISNUMBER(F210)),IF(OR(F210&lt;=0,F51&lt;0),"n.m.",F51/F210-1),"n.a.")</f>
        <v>0.23199999999999998</v>
      </c>
      <c r="G52" s="22">
        <f>IF(AND(ISNUMBER(G51),ISNUMBER(G210)),IF(OR(G210&lt;=0,G51&lt;0),"n.m.",G51/G210-1),"n.a.")</f>
        <v>2.1623931623931623</v>
      </c>
      <c r="H52" s="39">
        <f>IF(AND(ISNUMBER(H51),ISNUMBER(C51)),IF(OR(C51&lt;=0,H51&lt;0),"n.m.",H51/C51-1),"n.a.")</f>
        <v>0.15384615384615374</v>
      </c>
      <c r="I52" s="1"/>
      <c r="J52" s="1"/>
    </row>
    <row r="53">
      <c r="A53" s="1"/>
      <c r="B53" s="51" t="s">
        <v>60</v>
      </c>
      <c r="C53" s="22">
        <f>IF(AND(ISNUMBER(C51),ISNUMBER(G210)),IF(OR(G210&lt;=0,C51&lt;0),"n.m.",C51/G210-1),"n.a.")</f>
        <v>0.33333333333333326</v>
      </c>
      <c r="D53" s="22">
        <f>IF(AND(ISNUMBER(D51),ISNUMBER(C51)),IF(OR(C51&lt;=0,D51&lt;0),"n.m.",D51/C51-1),"n.a.")</f>
        <v>0.05769230769230771</v>
      </c>
      <c r="E53" s="1"/>
      <c r="F53" s="22">
        <f>IF(AND(ISNUMBER(F51),ISNUMBER(D51)),IF(OR(D51&lt;=0,F51&lt;0),"n.m.",F51/D51-1),"n.a.")</f>
        <v>-0.06666666666666665</v>
      </c>
      <c r="G53" s="22">
        <f>IF(AND(ISNUMBER(G51),ISNUMBER(F51)),IF(OR(F51&lt;=0,G51&lt;0),"n.m.",G51/F51-1),"n.a.")</f>
        <v>1.4025974025974026</v>
      </c>
      <c r="H53" s="39">
        <f>IF(AND(ISNUMBER(H51),ISNUMBER(G51)),IF(OR(G51&lt;=0,H51&lt;0),"n.m.",H51/G51-1),"n.a.")</f>
        <v>-0.5135135135135135</v>
      </c>
      <c r="I53" s="1"/>
      <c r="J53" s="1"/>
    </row>
    <row r="54">
      <c r="A54" s="1"/>
      <c r="B54" s="51" t="s">
        <v>524</v>
      </c>
      <c r="C54" s="22">
        <f>IFERROR(C51/C24,"n.a.")</f>
        <v>0.025717111770524232</v>
      </c>
      <c r="D54" s="22">
        <f>IFERROR(D51/D24,"n.a.")</f>
        <v>0.02532228360957643</v>
      </c>
      <c r="E54" s="22">
        <f>IFERROR(E51/E24,"n.a.")</f>
        <v>0.023387197274955345</v>
      </c>
      <c r="F54" s="22">
        <f>IFERROR(F51/F24,"n.a.")</f>
        <v>0.024160652651396296</v>
      </c>
      <c r="G54" s="22">
        <f>IFERROR(G51/G24,"n.a.")</f>
        <v>0.05400671434827033</v>
      </c>
      <c r="H54" s="39">
        <f>IFERROR(H51/H24,"n.a.")</f>
        <v>0.026026797994631236</v>
      </c>
      <c r="I54" s="1"/>
      <c r="J54" s="1"/>
    </row>
    <row r="55">
      <c r="A55" s="1"/>
      <c r="B55" s="51" t="s">
        <v>101</v>
      </c>
      <c r="C55" s="67" t="s">
        <v>35</v>
      </c>
      <c r="D55" s="67" t="s">
        <v>35</v>
      </c>
      <c r="E55" s="67" t="s">
        <v>35</v>
      </c>
      <c r="F55" s="67" t="s">
        <v>35</v>
      </c>
      <c r="G55" s="67" t="s">
        <v>35</v>
      </c>
      <c r="H55" s="68" t="s">
        <v>35</v>
      </c>
      <c r="I55" s="1"/>
      <c r="J55" s="1"/>
    </row>
    <row r="56">
      <c r="A56" s="1"/>
      <c r="B56" s="51" t="s">
        <v>102</v>
      </c>
      <c r="C56" s="67" t="s">
        <v>35</v>
      </c>
      <c r="D56" s="67" t="s">
        <v>35</v>
      </c>
      <c r="E56" s="67" t="s">
        <v>35</v>
      </c>
      <c r="F56" s="67" t="s">
        <v>35</v>
      </c>
      <c r="G56" s="67" t="s">
        <v>35</v>
      </c>
      <c r="H56" s="68" t="s">
        <v>35</v>
      </c>
      <c r="I56" s="1"/>
      <c r="J56" s="1"/>
    </row>
    <row r="57">
      <c r="A57" s="1"/>
      <c r="B57" s="51" t="s">
        <v>103</v>
      </c>
      <c r="C57" s="67" t="s">
        <v>35</v>
      </c>
      <c r="D57" s="67" t="s">
        <v>35</v>
      </c>
      <c r="E57" s="67" t="s">
        <v>35</v>
      </c>
      <c r="F57" s="67" t="s">
        <v>35</v>
      </c>
      <c r="G57" s="67" t="s">
        <v>35</v>
      </c>
      <c r="H57" s="68" t="s">
        <v>35</v>
      </c>
      <c r="I57" s="1"/>
      <c r="J57" s="1"/>
    </row>
    <row r="58">
      <c r="A58" s="1"/>
      <c r="B58" s="31" t="s">
        <v>216</v>
      </c>
      <c r="C58" s="43">
        <f>C34+C44+C51</f>
        <v>4337</v>
      </c>
      <c r="D58" s="43">
        <f>D34+D44+D51</f>
        <v>4838</v>
      </c>
      <c r="E58" s="43">
        <f>E34+E44+E51</f>
        <v>17241</v>
      </c>
      <c r="F58" s="43">
        <f>F34+F44+F51</f>
        <v>4648</v>
      </c>
      <c r="G58" s="43">
        <f>G34+G44+G51</f>
        <v>5042</v>
      </c>
      <c r="H58" s="45">
        <f>H34+H44+H51</f>
        <v>5076.195709369862</v>
      </c>
      <c r="I58" s="1"/>
      <c r="J58" s="1"/>
    </row>
    <row r="59">
      <c r="A59" s="1"/>
      <c r="B59" s="36" t="s">
        <v>99</v>
      </c>
      <c r="C59" s="22">
        <f>IF(AND(ISNUMBER(C58),ISNUMBER(C211)),IF(OR(C211&lt;=0,C58&lt;0),"n.m.",C58/C211-1),"n.a.")</f>
        <v>0.1416162147933666</v>
      </c>
      <c r="D59" s="22">
        <f>IF(AND(ISNUMBER(D58),ISNUMBER(D211)),IF(OR(D211&lt;=0,D58&lt;0),"n.m.",D58/D211-1),"n.a.")</f>
        <v>0.18665685553102773</v>
      </c>
      <c r="E59" s="22">
        <f>IF(AND(ISNUMBER(E58),ISNUMBER(E211)),IF(OR(E211&lt;=0,E58&lt;0),"n.m.",E58/E211-1),"n.a.")</f>
        <v>0.14764028489649195</v>
      </c>
      <c r="F59" s="22">
        <f>IF(AND(ISNUMBER(F58),ISNUMBER(F211)),IF(OR(F211&lt;=0,F58&lt;0),"n.m.",F58/F211-1),"n.a.")</f>
        <v>0.16403706486351122</v>
      </c>
      <c r="G59" s="22">
        <f>IF(AND(ISNUMBER(G58),ISNUMBER(G211)),IF(OR(G211&lt;=0,G58&lt;0),"n.m.",G58/G211-1),"n.a.")</f>
        <v>0.23790817579179957</v>
      </c>
      <c r="H59" s="39">
        <f>IF(AND(ISNUMBER(H58),ISNUMBER(C58)),IF(OR(C58&lt;=0,H58&lt;0),"n.m.",H58/C58-1),"n.a.")</f>
        <v>0.1704394072791935</v>
      </c>
      <c r="I59" s="1"/>
      <c r="J59" s="1"/>
    </row>
    <row r="60">
      <c r="A60" s="1"/>
      <c r="B60" s="36" t="s">
        <v>60</v>
      </c>
      <c r="C60" s="22">
        <f>IF(AND(ISNUMBER(C58),ISNUMBER(G211)),IF(OR(G211&lt;=0,C58&lt;0),"n.m.",C58/G211-1),"n.a.")</f>
        <v>0.06481708814141918</v>
      </c>
      <c r="D60" s="22">
        <f>IF(AND(ISNUMBER(D58),ISNUMBER(C58)),IF(OR(C58&lt;=0,D58&lt;0),"n.m.",D58/C58-1),"n.a.")</f>
        <v>0.11551763892091316</v>
      </c>
      <c r="E60" s="1"/>
      <c r="F60" s="22">
        <f>IF(AND(ISNUMBER(F58),ISNUMBER(D58)),IF(OR(D58&lt;=0,F58&lt;0),"n.m.",F58/D58-1),"n.a.")</f>
        <v>-0.039272426622571355</v>
      </c>
      <c r="G60" s="22">
        <f>IF(AND(ISNUMBER(G58),ISNUMBER(F58)),IF(OR(F58&lt;=0,G58&lt;0),"n.m.",G58/F58-1),"n.a.")</f>
        <v>0.08476764199655773</v>
      </c>
      <c r="H60" s="39">
        <f>IF(AND(ISNUMBER(H58),ISNUMBER(G58)),IF(OR(G58&lt;=0,H58&lt;0),"n.m.",H58/G58-1),"n.a.")</f>
        <v>0.006782171632261358</v>
      </c>
      <c r="I60" s="1"/>
      <c r="J60" s="1"/>
    </row>
    <row r="61">
      <c r="A61" s="1"/>
      <c r="B61" s="36" t="s">
        <v>524</v>
      </c>
      <c r="C61" s="22">
        <f>IFERROR(C58/C24,"n.a.")</f>
        <v>0.7149686778766897</v>
      </c>
      <c r="D61" s="22">
        <f>IFERROR(D58/D24,"n.a.")</f>
        <v>0.7424800491098834</v>
      </c>
      <c r="E61" s="22">
        <f>IFERROR(E58/E24,"n.a.")</f>
        <v>0.7161965687699913</v>
      </c>
      <c r="F61" s="22">
        <f>IFERROR(F58/F24,"n.a.")</f>
        <v>0.7292124254785064</v>
      </c>
      <c r="G61" s="22">
        <f>IFERROR(G58/G24,"n.a.")</f>
        <v>0.7359509560648081</v>
      </c>
      <c r="H61" s="39">
        <f>IFERROR(H58/H24,"n.a.")</f>
        <v>0.7339840017165734</v>
      </c>
      <c r="I61" s="1"/>
      <c r="J61" s="1"/>
    </row>
    <row r="62">
      <c r="A62" s="1"/>
      <c r="B62" s="36" t="s">
        <v>101</v>
      </c>
      <c r="C62" s="67" t="s">
        <v>35</v>
      </c>
      <c r="D62" s="67" t="s">
        <v>35</v>
      </c>
      <c r="E62" s="67" t="s">
        <v>35</v>
      </c>
      <c r="F62" s="67" t="s">
        <v>35</v>
      </c>
      <c r="G62" s="67" t="s">
        <v>35</v>
      </c>
      <c r="H62" s="68" t="s">
        <v>35</v>
      </c>
      <c r="I62" s="1"/>
      <c r="J62" s="1"/>
    </row>
    <row r="63">
      <c r="A63" s="1"/>
      <c r="B63" s="36" t="s">
        <v>102</v>
      </c>
      <c r="C63" s="67" t="s">
        <v>35</v>
      </c>
      <c r="D63" s="67" t="s">
        <v>35</v>
      </c>
      <c r="E63" s="67" t="s">
        <v>35</v>
      </c>
      <c r="F63" s="67" t="s">
        <v>35</v>
      </c>
      <c r="G63" s="67" t="s">
        <v>35</v>
      </c>
      <c r="H63" s="68" t="s">
        <v>35</v>
      </c>
      <c r="I63" s="1"/>
      <c r="J63" s="1"/>
    </row>
    <row r="64">
      <c r="A64" s="1"/>
      <c r="B64" s="36" t="s">
        <v>103</v>
      </c>
      <c r="C64" s="67" t="s">
        <v>35</v>
      </c>
      <c r="D64" s="67" t="s">
        <v>35</v>
      </c>
      <c r="E64" s="67" t="s">
        <v>35</v>
      </c>
      <c r="F64" s="67" t="s">
        <v>35</v>
      </c>
      <c r="G64" s="67" t="s">
        <v>35</v>
      </c>
      <c r="H64" s="68" t="s">
        <v>35</v>
      </c>
      <c r="I64" s="1"/>
      <c r="J64" s="1"/>
    </row>
    <row r="65">
      <c r="A65" s="1"/>
      <c r="B65" s="31" t="s">
        <v>217</v>
      </c>
      <c r="C65" s="33">
        <v>1729</v>
      </c>
      <c r="D65" s="33">
        <v>1678</v>
      </c>
      <c r="E65" s="33">
        <v>6832</v>
      </c>
      <c r="F65" s="33">
        <v>1726</v>
      </c>
      <c r="G65" s="33">
        <v>1809</v>
      </c>
      <c r="H65" s="64">
        <f>G65*(1+H72)</f>
        <v>1839.753</v>
      </c>
      <c r="I65" s="1"/>
      <c r="J65" s="2" t="s">
        <v>533</v>
      </c>
    </row>
    <row r="66">
      <c r="A66" s="1"/>
      <c r="B66" s="36" t="s">
        <v>99</v>
      </c>
      <c r="C66" s="22">
        <f>IF(AND(ISNUMBER(C65),ISNUMBER(C212)),IF(OR(C212&lt;=0,C65&lt;0),"n.m.",C65/C212-1),"n.a.")</f>
        <v>0.054268292682926766</v>
      </c>
      <c r="D66" s="22">
        <f>IF(AND(ISNUMBER(D65),ISNUMBER(D212)),IF(OR(D212&lt;=0,D65&lt;0),"n.m.",D65/D212-1),"n.a.")</f>
        <v>-0.013521457965902428</v>
      </c>
      <c r="E66" s="22">
        <f>IF(AND(ISNUMBER(E65),ISNUMBER(E212)),IF(OR(E212&lt;=0,E65&lt;0),"n.m.",E65/E212-1),"n.a.")</f>
        <v>0.04225781845919152</v>
      </c>
      <c r="F66" s="22">
        <f>IF(AND(ISNUMBER(F65),ISNUMBER(F212)),IF(OR(F212&lt;=0,F65&lt;0),"n.m.",F65/F212-1),"n.a.")</f>
        <v>-0.0069044879171461515</v>
      </c>
      <c r="G66" s="22">
        <f>IF(AND(ISNUMBER(G65),ISNUMBER(G212)),IF(OR(G212&lt;=0,G65&lt;0),"n.m.",G65/G212-1),"n.a.")</f>
        <v>0.07231772377000589</v>
      </c>
      <c r="H66" s="39">
        <f>IF(AND(ISNUMBER(H65),ISNUMBER(C65)),IF(OR(C65&lt;=0,H65&lt;0),"n.m.",H65/C65-1),"n.a.")</f>
        <v>0.06405610179294396</v>
      </c>
      <c r="I66" s="1"/>
      <c r="J66" s="1"/>
    </row>
    <row r="67">
      <c r="A67" s="1"/>
      <c r="B67" s="36" t="s">
        <v>60</v>
      </c>
      <c r="C67" s="22">
        <f>IF(AND(ISNUMBER(C65),ISNUMBER(G212)),IF(OR(G212&lt;=0,C65&lt;0),"n.m.",C65/G212-1),"n.a.")</f>
        <v>0.024896265560165887</v>
      </c>
      <c r="D67" s="22">
        <f>IF(AND(ISNUMBER(D65),ISNUMBER(C65)),IF(OR(C65&lt;=0,D65&lt;0),"n.m.",D65/C65-1),"n.a.")</f>
        <v>-0.029496818970503158</v>
      </c>
      <c r="E67" s="1"/>
      <c r="F67" s="22">
        <f>IF(AND(ISNUMBER(F65),ISNUMBER(D65)),IF(OR(D65&lt;=0,F65&lt;0),"n.m.",F65/D65-1),"n.a.")</f>
        <v>0.028605482717520836</v>
      </c>
      <c r="G67" s="22">
        <f>IF(AND(ISNUMBER(G65),ISNUMBER(F65)),IF(OR(F65&lt;=0,G65&lt;0),"n.m.",G65/F65-1),"n.a.")</f>
        <v>0.0480880648899189</v>
      </c>
      <c r="H67" s="39">
        <f>IF(AND(ISNUMBER(H65),ISNUMBER(G65)),IF(OR(G65&lt;=0,H65&lt;0),"n.m.",H65/G65-1),"n.a.")</f>
        <v>0.016999999999999904</v>
      </c>
      <c r="I67" s="1"/>
      <c r="J67" s="1"/>
    </row>
    <row r="68">
      <c r="A68" s="1"/>
      <c r="B68" s="36" t="s">
        <v>524</v>
      </c>
      <c r="C68" s="22">
        <f>IFERROR(C65/C24,"n.a.")</f>
        <v>0.2850313221233102</v>
      </c>
      <c r="D68" s="22">
        <f>IFERROR(D65/D24,"n.a.")</f>
        <v>0.25751995089011664</v>
      </c>
      <c r="E68" s="22">
        <f>IFERROR(E65/E24,"n.a.")</f>
        <v>0.28380343123000873</v>
      </c>
      <c r="F68" s="22">
        <f>IFERROR(F65/F24,"n.a.")</f>
        <v>0.27078757452149355</v>
      </c>
      <c r="G68" s="22">
        <f>IFERROR(G65/G24,"n.a.")</f>
        <v>0.26404904393519196</v>
      </c>
      <c r="H68" s="39">
        <f>IFERROR(H65/H24,"n.a.")</f>
        <v>0.26601599828342665</v>
      </c>
      <c r="I68" s="1"/>
      <c r="J68" s="1"/>
    </row>
    <row r="69">
      <c r="A69" s="1"/>
      <c r="B69" s="36" t="s">
        <v>101</v>
      </c>
      <c r="C69" s="67" t="s">
        <v>35</v>
      </c>
      <c r="D69" s="67" t="s">
        <v>35</v>
      </c>
      <c r="E69" s="67" t="s">
        <v>35</v>
      </c>
      <c r="F69" s="67" t="s">
        <v>35</v>
      </c>
      <c r="G69" s="67" t="s">
        <v>35</v>
      </c>
      <c r="H69" s="68" t="s">
        <v>35</v>
      </c>
      <c r="I69" s="1"/>
      <c r="J69" s="1"/>
    </row>
    <row r="70">
      <c r="A70" s="1"/>
      <c r="B70" s="36" t="s">
        <v>102</v>
      </c>
      <c r="C70" s="67" t="s">
        <v>35</v>
      </c>
      <c r="D70" s="67" t="s">
        <v>35</v>
      </c>
      <c r="E70" s="67" t="s">
        <v>35</v>
      </c>
      <c r="F70" s="67" t="s">
        <v>35</v>
      </c>
      <c r="G70" s="67" t="s">
        <v>35</v>
      </c>
      <c r="H70" s="68" t="s">
        <v>35</v>
      </c>
      <c r="I70" s="1"/>
      <c r="J70" s="1"/>
    </row>
    <row r="71">
      <c r="A71" s="1"/>
      <c r="B71" s="36" t="s">
        <v>103</v>
      </c>
      <c r="C71" s="67" t="s">
        <v>35</v>
      </c>
      <c r="D71" s="67" t="s">
        <v>35</v>
      </c>
      <c r="E71" s="67" t="s">
        <v>35</v>
      </c>
      <c r="F71" s="67" t="s">
        <v>35</v>
      </c>
      <c r="G71" s="67" t="s">
        <v>35</v>
      </c>
      <c r="H71" s="68" t="s">
        <v>35</v>
      </c>
      <c r="I71" s="1"/>
      <c r="J71" s="1"/>
    </row>
    <row r="72">
      <c r="A72" s="1"/>
      <c r="B72" s="51" t="s">
        <v>146</v>
      </c>
      <c r="C72" s="22">
        <f>IF(AND(ISNUMBER(C65),ISNUMBER(G212)),IF(OR(G212&lt;=0,C65&lt;0),"n.m.",C65/G212-1),"n.a.")</f>
        <v>0.024896265560165887</v>
      </c>
      <c r="D72" s="22">
        <f>IF(AND(ISNUMBER(D65),ISNUMBER(C65)),IF(OR(C65&lt;=0,D65&lt;0),"n.m.",D65/C65-1),"n.a.")</f>
        <v>-0.029496818970503158</v>
      </c>
      <c r="E72" s="1"/>
      <c r="F72" s="22">
        <f>IF(AND(ISNUMBER(F65),ISNUMBER(D65)),IF(OR(D65&lt;=0,F65&lt;0),"n.m.",F65/D65-1),"n.a.")</f>
        <v>0.028605482717520836</v>
      </c>
      <c r="G72" s="22">
        <f>IF(AND(ISNUMBER(G65),ISNUMBER(F65)),IF(OR(F65&lt;=0,G65&lt;0),"n.m.",G65/F65-1),"n.a.")</f>
        <v>0.0480880648899189</v>
      </c>
      <c r="H72" s="72">
        <v>0.017</v>
      </c>
      <c r="I72" s="1"/>
      <c r="J72" s="1"/>
    </row>
    <row r="73">
      <c r="A73" s="1"/>
      <c r="B73" s="31" t="s">
        <v>534</v>
      </c>
      <c r="C73" s="43">
        <f>C58+C65</f>
        <v>6066</v>
      </c>
      <c r="D73" s="43">
        <f>D58+D65</f>
        <v>6516</v>
      </c>
      <c r="E73" s="43">
        <f>E58+E65</f>
        <v>24073</v>
      </c>
      <c r="F73" s="43">
        <f>F58+F65</f>
        <v>6374</v>
      </c>
      <c r="G73" s="43">
        <f>G58+G65</f>
        <v>6851</v>
      </c>
      <c r="H73" s="45">
        <f>H58+H65</f>
        <v>6915.948709369862</v>
      </c>
      <c r="I73" s="1"/>
      <c r="J73" s="1"/>
    </row>
    <row r="74">
      <c r="A74" s="1"/>
      <c r="B74" s="1"/>
      <c r="C74" s="1"/>
      <c r="D74" s="1"/>
      <c r="E74" s="1"/>
      <c r="F74" s="1"/>
      <c r="G74" s="1"/>
      <c r="H74" s="30"/>
      <c r="I74" s="1"/>
      <c r="J74" s="1"/>
    </row>
    <row r="75">
      <c r="A75" s="1"/>
      <c r="B75" s="31" t="s">
        <v>535</v>
      </c>
      <c r="C75" s="1"/>
      <c r="D75" s="1"/>
      <c r="E75" s="1"/>
      <c r="F75" s="1"/>
      <c r="G75" s="1"/>
      <c r="H75" s="30"/>
      <c r="I75" s="1"/>
      <c r="J75" s="1"/>
    </row>
    <row r="76">
      <c r="A76" s="1"/>
      <c r="B76" s="1" t="s">
        <v>536</v>
      </c>
      <c r="C76" s="10">
        <f>G221</f>
        <v>4343</v>
      </c>
      <c r="D76" s="10">
        <f>C100</f>
        <v>4599</v>
      </c>
      <c r="E76" s="10">
        <f>E221</f>
        <v>4045</v>
      </c>
      <c r="F76" s="10">
        <f>D100</f>
        <v>4791</v>
      </c>
      <c r="G76" s="10">
        <f>F100</f>
        <v>4789</v>
      </c>
      <c r="H76" s="29">
        <f>G100</f>
        <v>5140</v>
      </c>
      <c r="I76" s="1"/>
      <c r="J76" s="1"/>
    </row>
    <row r="77">
      <c r="A77" s="1"/>
      <c r="B77" s="36" t="s">
        <v>58</v>
      </c>
      <c r="C77" s="22">
        <f>IF(AND(ISNUMBER(C76),ISNUMBER(C213)),IF(OR(C213&lt;=0,C76&lt;0),"n.m.",C76/C213-1),"n.a.")</f>
        <v>0.17952199891363385</v>
      </c>
      <c r="D77" s="22">
        <f>IF(AND(ISNUMBER(D76),ISNUMBER(D213)),IF(OR(D213&lt;=0,D76&lt;0),"n.m.",D76/D213-1),"n.a.")</f>
        <v>0.17802254098360648</v>
      </c>
      <c r="E77" s="22">
        <f>IF(AND(ISNUMBER(E76),ISNUMBER(E213)),IF(OR(E213&lt;=0,E76&lt;0),"n.m.",E76/E213-1),"n.a.")</f>
        <v>0.18205727644652248</v>
      </c>
      <c r="F77" s="22">
        <f>IF(AND(ISNUMBER(F76),ISNUMBER(F213)),IF(OR(F213&lt;=0,F76&lt;0),"n.m.",F76/F213-1),"n.a.")</f>
        <v>0.18442521631644015</v>
      </c>
      <c r="G77" s="22">
        <f>IF(AND(ISNUMBER(G76),ISNUMBER(G213)),IF(OR(G213&lt;=0,G76&lt;0),"n.m.",G76/G213-1),"n.a.")</f>
        <v>0.16435691709214684</v>
      </c>
      <c r="H77" s="39">
        <f>IF(AND(ISNUMBER(H76),ISNUMBER(C76)),IF(OR(C76&lt;=0,H76&lt;0),"n.m.",H76/C76-1),"n.a.")</f>
        <v>0.18351370020723</v>
      </c>
      <c r="I77" s="1"/>
      <c r="J77" s="1"/>
    </row>
    <row r="78">
      <c r="A78" s="1"/>
      <c r="B78" s="21" t="s">
        <v>114</v>
      </c>
      <c r="C78" s="10">
        <f>C76-G213</f>
        <v>230</v>
      </c>
      <c r="D78" s="10">
        <f>D76-C76</f>
        <v>256</v>
      </c>
      <c r="E78" s="1"/>
      <c r="F78" s="10">
        <f>F76-D76</f>
        <v>192</v>
      </c>
      <c r="G78" s="10">
        <f>G76-F76</f>
        <v>-2</v>
      </c>
      <c r="H78" s="29">
        <f>H76-G76</f>
        <v>351</v>
      </c>
      <c r="I78" s="1"/>
      <c r="J78" s="1"/>
    </row>
    <row r="79" ht="27">
      <c r="A79" s="1"/>
      <c r="B79" s="21" t="s">
        <v>537</v>
      </c>
      <c r="C79" s="3">
        <v>37</v>
      </c>
      <c r="D79" s="3">
        <v>105</v>
      </c>
      <c r="E79" s="3">
        <v>183</v>
      </c>
      <c r="F79" s="3">
        <v>13</v>
      </c>
      <c r="G79" s="3">
        <v>22</v>
      </c>
      <c r="H79" s="44">
        <v>30</v>
      </c>
      <c r="I79" s="1"/>
      <c r="J79" s="125" t="s">
        <v>538</v>
      </c>
    </row>
    <row r="80">
      <c r="A80" s="1"/>
      <c r="B80" s="51" t="s">
        <v>58</v>
      </c>
      <c r="C80" s="22">
        <f>IF(AND(ISNUMBER(C79),ISNUMBER(C214)),IF(OR(C214&lt;=0,C79&lt;0),"n.m.",C79/C214-1),"n.a.")</f>
        <v>0.08823529411764697</v>
      </c>
      <c r="D80" s="22">
        <f>IF(AND(ISNUMBER(D79),ISNUMBER(D214)),IF(OR(D214&lt;=0,D79&lt;0),"n.m.",D79/D214-1),"n.a.")</f>
        <v>0.11702127659574457</v>
      </c>
      <c r="E80" s="22">
        <f>IF(AND(ISNUMBER(E79),ISNUMBER(E214)),IF(OR(E214&lt;=0,E79&lt;0),"n.m.",E79/E214-1),"n.a.")</f>
        <v>0.30714285714285716</v>
      </c>
      <c r="F80" s="22">
        <f>IF(AND(ISNUMBER(F79),ISNUMBER(F214)),IF(OR(F214&lt;=0,F79&lt;0),"n.m.",F79/F214-1),"n.a.")</f>
        <v>-0.6388888888888888</v>
      </c>
      <c r="G80" s="22">
        <f>IF(AND(ISNUMBER(G79),ISNUMBER(G214)),IF(OR(G214&lt;=0,G79&lt;0),"n.m.",G79/G214-1),"n.a.")</f>
        <v>3.4000000000000004</v>
      </c>
      <c r="H80" s="39">
        <f>IF(AND(ISNUMBER(H79),ISNUMBER(C79)),IF(OR(C79&lt;=0,H79&lt;0),"n.m.",H79/C79-1),"n.a.")</f>
        <v>-0.18918918918918914</v>
      </c>
      <c r="I80" s="1"/>
      <c r="J80" s="1"/>
    </row>
    <row r="81">
      <c r="A81" s="1"/>
      <c r="B81" s="20" t="s">
        <v>114</v>
      </c>
      <c r="C81" s="10">
        <f>C79-G214</f>
        <v>32</v>
      </c>
      <c r="D81" s="10">
        <f>D79-C79</f>
        <v>68</v>
      </c>
      <c r="E81" s="1"/>
      <c r="F81" s="10">
        <f>F79-D79</f>
        <v>-92</v>
      </c>
      <c r="G81" s="10">
        <f>G79-F79</f>
        <v>9</v>
      </c>
      <c r="H81" s="29">
        <f>H79-G79</f>
        <v>8</v>
      </c>
      <c r="I81" s="1"/>
      <c r="J81" s="1"/>
    </row>
    <row r="82" ht="27">
      <c r="A82" s="1"/>
      <c r="B82" s="21" t="s">
        <v>539</v>
      </c>
      <c r="C82" s="3">
        <v>31</v>
      </c>
      <c r="D82" s="3">
        <v>25</v>
      </c>
      <c r="E82" s="3">
        <v>94</v>
      </c>
      <c r="F82" s="3">
        <v>20</v>
      </c>
      <c r="G82" s="3">
        <v>35</v>
      </c>
      <c r="H82" s="44">
        <v>30</v>
      </c>
      <c r="I82" s="1"/>
      <c r="J82" s="125" t="s">
        <v>540</v>
      </c>
    </row>
    <row r="83">
      <c r="A83" s="1"/>
      <c r="B83" s="51" t="s">
        <v>58</v>
      </c>
      <c r="C83" s="22">
        <f>IF(AND(ISNUMBER(C82),ISNUMBER(C215)),IF(OR(C215&lt;=0,C82&lt;0),"n.m.",C82/C215-1),"n.a.")</f>
        <v>-0.16216216216216217</v>
      </c>
      <c r="D83" s="22">
        <f>IF(AND(ISNUMBER(D82),ISNUMBER(D215)),IF(OR(D215&lt;=0,D82&lt;0),"n.m.",D82/D215-1),"n.a.")</f>
        <v>0.38888888888888884</v>
      </c>
      <c r="E83" s="22">
        <f>IF(AND(ISNUMBER(E82),ISNUMBER(E215)),IF(OR(E215&lt;=0,E82&lt;0),"n.m.",E82/E215-1),"n.a.")</f>
        <v>0.03296703296703307</v>
      </c>
      <c r="F83" s="22">
        <f>IF(AND(ISNUMBER(F82),ISNUMBER(F215)),IF(OR(F215&lt;=0,F82&lt;0),"n.m.",F82/F215-1),"n.a.")</f>
        <v>0.8181818181818181</v>
      </c>
      <c r="G83" s="22">
        <f>IF(AND(ISNUMBER(G82),ISNUMBER(G215)),IF(OR(G215&lt;=0,G82&lt;0),"n.m.",G82/G215-1),"n.a.")</f>
        <v>0.2962962962962963</v>
      </c>
      <c r="H83" s="39">
        <f>IF(AND(ISNUMBER(H82),ISNUMBER(C82)),IF(OR(C82&lt;=0,H82&lt;0),"n.m.",H82/C82-1),"n.a.")</f>
        <v>-0.032258064516129004</v>
      </c>
      <c r="I83" s="1"/>
      <c r="J83" s="1"/>
    </row>
    <row r="84">
      <c r="A84" s="1"/>
      <c r="B84" s="20" t="s">
        <v>114</v>
      </c>
      <c r="C84" s="10">
        <f>C82-G215</f>
        <v>4</v>
      </c>
      <c r="D84" s="10">
        <f>D82-C82</f>
        <v>-6</v>
      </c>
      <c r="E84" s="1"/>
      <c r="F84" s="10">
        <f>F82-D82</f>
        <v>-5</v>
      </c>
      <c r="G84" s="10">
        <f>G82-F82</f>
        <v>15</v>
      </c>
      <c r="H84" s="29">
        <f>H82-G82</f>
        <v>-5</v>
      </c>
      <c r="I84" s="1"/>
      <c r="J84" s="1"/>
    </row>
    <row r="85" ht="27">
      <c r="A85" s="1"/>
      <c r="B85" s="21" t="s">
        <v>541</v>
      </c>
      <c r="C85" s="3">
        <v>31</v>
      </c>
      <c r="D85" s="3">
        <v>11</v>
      </c>
      <c r="E85" s="3">
        <v>95</v>
      </c>
      <c r="F85" s="3">
        <v>18</v>
      </c>
      <c r="G85" s="3">
        <v>12</v>
      </c>
      <c r="H85" s="44">
        <v>15</v>
      </c>
      <c r="I85" s="1"/>
      <c r="J85" s="125" t="s">
        <v>542</v>
      </c>
    </row>
    <row r="86">
      <c r="A86" s="1"/>
      <c r="B86" s="51" t="s">
        <v>58</v>
      </c>
      <c r="C86" s="22">
        <f>IF(AND(ISNUMBER(C85),ISNUMBER(C216)),IF(OR(C216&lt;=0,C85&lt;0),"n.m.",C85/C216-1),"n.a.")</f>
        <v>0.4761904761904763</v>
      </c>
      <c r="D86" s="22">
        <f>IF(AND(ISNUMBER(D85),ISNUMBER(D216)),IF(OR(D216&lt;=0,D85&lt;0),"n.m.",D85/D216-1),"n.a.")</f>
        <v>-0.7317073170731707</v>
      </c>
      <c r="E86" s="22">
        <f>IF(AND(ISNUMBER(E85),ISNUMBER(E216)),IF(OR(E216&lt;=0,E85&lt;0),"n.m.",E85/E216-1),"n.a.")</f>
        <v>-0.16666666666666663</v>
      </c>
      <c r="F86" s="22">
        <f>IF(AND(ISNUMBER(F85),ISNUMBER(F216)),IF(OR(F216&lt;=0,F85&lt;0),"n.m.",F85/F216-1),"n.a.")</f>
        <v>-0.5135135135135135</v>
      </c>
      <c r="G86" s="22">
        <f>IF(AND(ISNUMBER(G85),ISNUMBER(G216)),IF(OR(G216&lt;=0,G85&lt;0),"n.m.",G85/G216-1),"n.a.")</f>
        <v>-0.25</v>
      </c>
      <c r="H86" s="39">
        <f>IF(AND(ISNUMBER(H85),ISNUMBER(C85)),IF(OR(C85&lt;=0,H85&lt;0),"n.m.",H85/C85-1),"n.a.")</f>
        <v>-0.5161290322580645</v>
      </c>
      <c r="I86" s="1"/>
      <c r="J86" s="1"/>
    </row>
    <row r="87">
      <c r="A87" s="1"/>
      <c r="B87" s="20" t="s">
        <v>114</v>
      </c>
      <c r="C87" s="10">
        <f>C85-G216</f>
        <v>15</v>
      </c>
      <c r="D87" s="10">
        <f>D85-C85</f>
        <v>-20</v>
      </c>
      <c r="E87" s="1"/>
      <c r="F87" s="10">
        <f>F85-D85</f>
        <v>7</v>
      </c>
      <c r="G87" s="10">
        <f>G85-F85</f>
        <v>-6</v>
      </c>
      <c r="H87" s="29">
        <f>H85-G85</f>
        <v>3</v>
      </c>
      <c r="I87" s="1"/>
      <c r="J87" s="1"/>
    </row>
    <row r="88" ht="27">
      <c r="A88" s="1"/>
      <c r="B88" s="21" t="s">
        <v>543</v>
      </c>
      <c r="C88" s="3">
        <v>4</v>
      </c>
      <c r="D88" s="3">
        <v>11</v>
      </c>
      <c r="E88" s="3">
        <v>16</v>
      </c>
      <c r="F88" s="3">
        <v>10</v>
      </c>
      <c r="G88" s="3">
        <v>6</v>
      </c>
      <c r="H88" s="44">
        <v>5</v>
      </c>
      <c r="I88" s="1"/>
      <c r="J88" s="125" t="s">
        <v>544</v>
      </c>
    </row>
    <row r="89">
      <c r="A89" s="1"/>
      <c r="B89" s="51" t="s">
        <v>58</v>
      </c>
      <c r="C89" s="22">
        <f>IF(AND(ISNUMBER(C88),ISNUMBER(C217)),IF(OR(C217&lt;=0,C88&lt;0),"n.m.",C88/C217-1),"n.a.")</f>
        <v>-0.6</v>
      </c>
      <c r="D89" s="22">
        <f>IF(AND(ISNUMBER(D88),ISNUMBER(D217)),IF(OR(D217&lt;=0,D88&lt;0),"n.m.",D88/D217-1),"n.a.")</f>
        <v>-0.2142857142857143</v>
      </c>
      <c r="E89" s="22">
        <f>IF(AND(ISNUMBER(E88),ISNUMBER(E217)),IF(OR(E217&lt;=0,E88&lt;0),"n.m.",E88/E217-1),"n.a.")</f>
        <v>-0.1578947368421053</v>
      </c>
      <c r="F89" s="22">
        <f>IF(AND(ISNUMBER(F88),ISNUMBER(F217)),IF(OR(F217&lt;=0,F88&lt;0),"n.m.",F88/F217-1),"n.a.")</f>
        <v>2.3333333333333335</v>
      </c>
      <c r="G89" s="22" t="str">
        <f>IF(AND(ISNUMBER(G88),ISNUMBER(G217)),IF(OR(G217&lt;=0,G88&lt;0),"n.m.",G88/G217-1),"n.a.")</f>
        <v>n.m.</v>
      </c>
      <c r="H89" s="39">
        <f>IF(AND(ISNUMBER(H88),ISNUMBER(C88)),IF(OR(C88&lt;=0,H88&lt;0),"n.m.",H88/C88-1),"n.a.")</f>
        <v>0.25</v>
      </c>
      <c r="I89" s="1"/>
      <c r="J89" s="1"/>
    </row>
    <row r="90">
      <c r="A90" s="1"/>
      <c r="B90" s="20" t="s">
        <v>114</v>
      </c>
      <c r="C90" s="10">
        <f>C88-G217</f>
        <v>6</v>
      </c>
      <c r="D90" s="10">
        <f>D88-C88</f>
        <v>7</v>
      </c>
      <c r="E90" s="1"/>
      <c r="F90" s="10">
        <f>F88-D88</f>
        <v>-1</v>
      </c>
      <c r="G90" s="10">
        <f>G88-F88</f>
        <v>-4</v>
      </c>
      <c r="H90" s="29">
        <f>H88-G88</f>
        <v>-1</v>
      </c>
      <c r="I90" s="1"/>
      <c r="J90" s="1"/>
    </row>
    <row r="91" ht="27">
      <c r="A91" s="1"/>
      <c r="B91" s="21" t="s">
        <v>545</v>
      </c>
      <c r="C91" s="3">
        <v>6</v>
      </c>
      <c r="D91" s="3">
        <v>5</v>
      </c>
      <c r="E91" s="3">
        <v>4</v>
      </c>
      <c r="F91" s="3">
        <v>6</v>
      </c>
      <c r="G91" s="3">
        <v>-3</v>
      </c>
      <c r="H91" s="44">
        <v>0</v>
      </c>
      <c r="I91" s="1"/>
      <c r="J91" s="125" t="s">
        <v>546</v>
      </c>
    </row>
    <row r="92">
      <c r="A92" s="1"/>
      <c r="B92" s="51" t="s">
        <v>58</v>
      </c>
      <c r="C92" s="22">
        <f>IF(AND(ISNUMBER(C91),ISNUMBER(C218)),IF(OR(C218&lt;=0,C91&lt;0),"n.m.",C91/C218-1),"n.a.")</f>
        <v>0.5</v>
      </c>
      <c r="D92" s="22">
        <f>IF(AND(ISNUMBER(D91),ISNUMBER(D218)),IF(OR(D218&lt;=0,D91&lt;0),"n.m.",D91/D218-1),"n.a.")</f>
        <v>0.6666666666666667</v>
      </c>
      <c r="E92" s="22">
        <f>IF(AND(ISNUMBER(E91),ISNUMBER(E218)),IF(OR(E218&lt;=0,E91&lt;0),"n.m.",E91/E218-1),"n.a.")</f>
        <v>-0.6</v>
      </c>
      <c r="F92" s="22">
        <f>IF(AND(ISNUMBER(F91),ISNUMBER(F218)),IF(OR(F218&lt;=0,F91&lt;0),"n.m.",F91/F218-1),"n.a.")</f>
        <v>1</v>
      </c>
      <c r="G92" s="22" t="str">
        <f>IF(AND(ISNUMBER(G91),ISNUMBER(G218)),IF(OR(G218&lt;=0,G91&lt;0),"n.m.",G91/G218-1),"n.a.")</f>
        <v>n.m.</v>
      </c>
      <c r="H92" s="39">
        <f>IF(AND(ISNUMBER(H91),ISNUMBER(C91)),IF(OR(C91&lt;=0,H91&lt;0),"n.m.",H91/C91-1),"n.a.")</f>
        <v>-1</v>
      </c>
      <c r="I92" s="1"/>
      <c r="J92" s="1"/>
    </row>
    <row r="93">
      <c r="A93" s="1"/>
      <c r="B93" s="20" t="s">
        <v>114</v>
      </c>
      <c r="C93" s="10">
        <f>C91-G218</f>
        <v>16</v>
      </c>
      <c r="D93" s="10">
        <f>D91-C91</f>
        <v>-1</v>
      </c>
      <c r="E93" s="1"/>
      <c r="F93" s="10">
        <f>F91-D91</f>
        <v>1</v>
      </c>
      <c r="G93" s="10">
        <f>G91-F91</f>
        <v>-9</v>
      </c>
      <c r="H93" s="29">
        <f>H91-G91</f>
        <v>3</v>
      </c>
      <c r="I93" s="1"/>
      <c r="J93" s="1"/>
    </row>
    <row r="94">
      <c r="A94" s="1"/>
      <c r="B94" s="31" t="s">
        <v>547</v>
      </c>
      <c r="C94" s="43">
        <f>C79+C82+C85+C88+C91</f>
        <v>109</v>
      </c>
      <c r="D94" s="43">
        <f>D79+D82+D85+D88+D91</f>
        <v>157</v>
      </c>
      <c r="E94" s="43">
        <f>E79+E82+E85+E88+E91</f>
        <v>392</v>
      </c>
      <c r="F94" s="43">
        <f>F79+F82+F85+F88+F91</f>
        <v>67</v>
      </c>
      <c r="G94" s="43">
        <f>G79+G82+G85+G88+G91</f>
        <v>72</v>
      </c>
      <c r="H94" s="45">
        <f>H79+H82+H85+H88+H91</f>
        <v>80</v>
      </c>
      <c r="I94" s="1"/>
      <c r="J94" s="1"/>
    </row>
    <row r="95">
      <c r="A95" s="1"/>
      <c r="B95" s="36" t="s">
        <v>58</v>
      </c>
      <c r="C95" s="22">
        <f>IF(AND(ISNUMBER(C94),ISNUMBER(C219)),IF(OR(C219&lt;=0,C94&lt;0),"n.m.",C94/C219-1),"n.a.")</f>
        <v>0.028301886792452935</v>
      </c>
      <c r="D95" s="22">
        <f>IF(AND(ISNUMBER(D94),ISNUMBER(D219)),IF(OR(D219&lt;=0,D94&lt;0),"n.m.",D94/D219-1),"n.a.")</f>
        <v>-0.07647058823529407</v>
      </c>
      <c r="E95" s="22">
        <f>IF(AND(ISNUMBER(E94),ISNUMBER(E219)),IF(OR(E219&lt;=0,E94&lt;0),"n.m.",E94/E219-1),"n.a.")</f>
        <v>0.048128342245989275</v>
      </c>
      <c r="F95" s="22">
        <f>IF(AND(ISNUMBER(F94),ISNUMBER(F219)),IF(OR(F219&lt;=0,F94&lt;0),"n.m.",F94/F219-1),"n.a.")</f>
        <v>-0.25555555555555554</v>
      </c>
      <c r="G95" s="22">
        <f>IF(AND(ISNUMBER(G94),ISNUMBER(G219)),IF(OR(G219&lt;=0,G94&lt;0),"n.m.",G94/G219-1),"n.a.")</f>
        <v>1</v>
      </c>
      <c r="H95" s="39">
        <f>IF(AND(ISNUMBER(H94),ISNUMBER(C94)),IF(OR(C94&lt;=0,H94&lt;0),"n.m.",H94/C94-1),"n.a.")</f>
        <v>-0.2660550458715596</v>
      </c>
      <c r="I95" s="1"/>
      <c r="J95" s="1"/>
    </row>
    <row r="96">
      <c r="A96" s="1"/>
      <c r="B96" s="21" t="s">
        <v>114</v>
      </c>
      <c r="C96" s="10">
        <f>C94-G219</f>
        <v>73</v>
      </c>
      <c r="D96" s="10">
        <f>D94-C94</f>
        <v>48</v>
      </c>
      <c r="E96" s="1"/>
      <c r="F96" s="10">
        <f>F94-D94</f>
        <v>-90</v>
      </c>
      <c r="G96" s="10">
        <f>G94-F94</f>
        <v>5</v>
      </c>
      <c r="H96" s="29">
        <f>H94-G94</f>
        <v>8</v>
      </c>
      <c r="I96" s="1"/>
      <c r="J96" s="1"/>
    </row>
    <row r="97">
      <c r="A97" s="1"/>
      <c r="B97" s="1" t="s">
        <v>548</v>
      </c>
      <c r="C97" s="3">
        <v>147</v>
      </c>
      <c r="D97" s="3">
        <v>35</v>
      </c>
      <c r="E97" s="3">
        <v>354</v>
      </c>
      <c r="F97" s="3">
        <v>-69</v>
      </c>
      <c r="G97" s="3">
        <v>279</v>
      </c>
      <c r="H97" s="29">
        <f>H115+H120+H125+H130+H135</f>
        <v>41.264</v>
      </c>
      <c r="I97" s="1"/>
      <c r="J97" s="2" t="s">
        <v>549</v>
      </c>
    </row>
    <row r="98">
      <c r="A98" s="1"/>
      <c r="B98" s="36" t="s">
        <v>58</v>
      </c>
      <c r="C98" s="22">
        <f>IF(AND(ISNUMBER(C97),ISNUMBER(C220)),IF(OR(C220&lt;=0,C97&lt;0),"n.m.",C97/C220-1),"n.a.")</f>
        <v>0.26724137931034475</v>
      </c>
      <c r="D98" s="22" t="str">
        <f>IF(AND(ISNUMBER(D97),ISNUMBER(D220)),IF(OR(D220&lt;=0,D97&lt;0),"n.m.",D97/D220-1),"n.a.")</f>
        <v>n.m.</v>
      </c>
      <c r="E98" s="22">
        <f>IF(AND(ISNUMBER(E97),ISNUMBER(E220)),IF(OR(E220&lt;=0,E97&lt;0),"n.m.",E97/E220-1),"n.a.")</f>
        <v>0.4216867469879517</v>
      </c>
      <c r="F98" s="22" t="str">
        <f>IF(AND(ISNUMBER(F97),ISNUMBER(F220)),IF(OR(F220&lt;=0,F97&lt;0),"n.m.",F97/F220-1),"n.a.")</f>
        <v>n.m.</v>
      </c>
      <c r="G98" s="22">
        <f>IF(AND(ISNUMBER(G97),ISNUMBER(G220)),IF(OR(G220&lt;=0,G97&lt;0),"n.m.",G97/G220-1),"n.a.")</f>
        <v>0.4381443298969072</v>
      </c>
      <c r="H98" s="39">
        <f>IF(AND(ISNUMBER(H97),ISNUMBER(C97)),IF(OR(C97&lt;=0,H97&lt;0),"n.m.",H97/C97-1),"n.a.")</f>
        <v>-0.7192925170068027</v>
      </c>
      <c r="I98" s="1"/>
      <c r="J98" s="1"/>
    </row>
    <row r="99">
      <c r="A99" s="1"/>
      <c r="B99" s="21" t="s">
        <v>114</v>
      </c>
      <c r="C99" s="10">
        <f>C97-G220</f>
        <v>-47</v>
      </c>
      <c r="D99" s="10">
        <f>D97-C97</f>
        <v>-112</v>
      </c>
      <c r="E99" s="1"/>
      <c r="F99" s="10">
        <f>F97-D97</f>
        <v>-104</v>
      </c>
      <c r="G99" s="10">
        <f>G97-F97</f>
        <v>348</v>
      </c>
      <c r="H99" s="29">
        <f>H97-G97</f>
        <v>-237.736</v>
      </c>
      <c r="I99" s="1"/>
      <c r="J99" s="1"/>
    </row>
    <row r="100">
      <c r="A100" s="1"/>
      <c r="B100" s="31" t="s">
        <v>550</v>
      </c>
      <c r="C100" s="43">
        <f>C76+C94+C97</f>
        <v>4599</v>
      </c>
      <c r="D100" s="43">
        <f>D76+D94+D97</f>
        <v>4791</v>
      </c>
      <c r="E100" s="43">
        <f>E76+E94+E97</f>
        <v>4791</v>
      </c>
      <c r="F100" s="43">
        <f>F76+F94+F97</f>
        <v>4789</v>
      </c>
      <c r="G100" s="43">
        <f>G76+G94+G97</f>
        <v>5140</v>
      </c>
      <c r="H100" s="45">
        <f>H76+H94+H97</f>
        <v>5261.264</v>
      </c>
      <c r="I100" s="1"/>
      <c r="J100" s="1"/>
    </row>
    <row r="101">
      <c r="A101" s="1"/>
      <c r="B101" s="36" t="s">
        <v>58</v>
      </c>
      <c r="C101" s="22">
        <f>IF(AND(ISNUMBER(C100),ISNUMBER(C221)),IF(OR(C221&lt;=0,C100&lt;0),"n.m.",C100/C221-1),"n.a.")</f>
        <v>0.17802254098360648</v>
      </c>
      <c r="D101" s="22">
        <f>IF(AND(ISNUMBER(D100),ISNUMBER(D221)),IF(OR(D221&lt;=0,D100&lt;0),"n.m.",D100/D221-1),"n.a.")</f>
        <v>0.18442521631644015</v>
      </c>
      <c r="E101" s="22">
        <f>IF(AND(ISNUMBER(E100),ISNUMBER(E221)),IF(OR(E221&lt;=0,E100&lt;0),"n.m.",E100/E221-1),"n.a.")</f>
        <v>0.18442521631644015</v>
      </c>
      <c r="F101" s="22">
        <f>IF(AND(ISNUMBER(F100),ISNUMBER(F221)),IF(OR(F221&lt;=0,F100&lt;0),"n.m.",F100/F221-1),"n.a.")</f>
        <v>0.16435691709214684</v>
      </c>
      <c r="G101" s="22">
        <f>IF(AND(ISNUMBER(G100),ISNUMBER(G221)),IF(OR(G221&lt;=0,G100&lt;0),"n.m.",G100/G221-1),"n.a.")</f>
        <v>0.18351370020723</v>
      </c>
      <c r="H101" s="39">
        <f>IF(AND(ISNUMBER(H100),ISNUMBER(C100)),IF(OR(C100&lt;=0,H100&lt;0),"n.m.",H100/C100-1),"n.a.")</f>
        <v>0.14400173950858886</v>
      </c>
      <c r="I101" s="1"/>
      <c r="J101" s="1"/>
    </row>
    <row r="102">
      <c r="A102" s="1"/>
      <c r="B102" s="21" t="s">
        <v>114</v>
      </c>
      <c r="C102" s="10">
        <f>C100-G221</f>
        <v>256</v>
      </c>
      <c r="D102" s="10">
        <f>D100-C100</f>
        <v>192</v>
      </c>
      <c r="E102" s="1"/>
      <c r="F102" s="10">
        <f>F100-D100</f>
        <v>-2</v>
      </c>
      <c r="G102" s="10">
        <f>G100-F100</f>
        <v>351</v>
      </c>
      <c r="H102" s="29">
        <f>H100-G100</f>
        <v>121.26400000000012</v>
      </c>
      <c r="I102" s="1"/>
      <c r="J102" s="1"/>
    </row>
    <row r="103" ht="39">
      <c r="A103" s="1"/>
      <c r="B103" s="1" t="s">
        <v>551</v>
      </c>
      <c r="C103" s="10">
        <f>(C76+C100)/2</f>
        <v>4471</v>
      </c>
      <c r="D103" s="10">
        <f>(D76+D100)/2</f>
        <v>4695</v>
      </c>
      <c r="E103" s="10">
        <f>(E76+E100)/2</f>
        <v>4418</v>
      </c>
      <c r="F103" s="10">
        <f>(F76+F100)/2</f>
        <v>4790</v>
      </c>
      <c r="G103" s="10">
        <f>(G76+G100)/2</f>
        <v>4964.5</v>
      </c>
      <c r="H103" s="29">
        <f>(H76+H100)/2</f>
        <v>5200.632</v>
      </c>
      <c r="I103" s="1"/>
      <c r="J103" s="126" t="s">
        <v>552</v>
      </c>
    </row>
    <row r="104">
      <c r="A104" s="1"/>
      <c r="B104" s="36" t="s">
        <v>58</v>
      </c>
      <c r="C104" s="22">
        <f>IF(AND(ISNUMBER(C103),ISNUMBER(C222)),IF(OR(C222&lt;=0,C103&lt;0),"n.m.",C103/C222-1),"n.a.")</f>
        <v>0.17875032955444237</v>
      </c>
      <c r="D104" s="22">
        <f>IF(AND(ISNUMBER(D103),ISNUMBER(D222)),IF(OR(D222&lt;=0,D103&lt;0),"n.m.",D103/D222-1),"n.a.")</f>
        <v>0.18128066423449485</v>
      </c>
      <c r="E104" s="22">
        <f>IF(AND(ISNUMBER(E103),ISNUMBER(E222)),IF(OR(E222&lt;=0,E103&lt;0),"n.m.",E103/E222-1),"n.a.")</f>
        <v>0.18334002946297034</v>
      </c>
      <c r="F104" s="22">
        <f>IF(AND(ISNUMBER(F103),ISNUMBER(F222)),IF(OR(F222&lt;=0,F103&lt;0),"n.m.",F103/F222-1),"n.a.")</f>
        <v>0.1743074282912478</v>
      </c>
      <c r="G104" s="22">
        <f>IF(AND(ISNUMBER(G103),ISNUMBER(G222)),IF(OR(G222&lt;=0,G103&lt;0),"n.m.",G103/G222-1),"n.a.")</f>
        <v>0.1741958372753074</v>
      </c>
      <c r="H104" s="39">
        <f>IF(AND(ISNUMBER(H103),ISNUMBER(C103)),IF(OR(C103&lt;=0,H103&lt;0),"n.m.",H103/C103-1),"n.a.")</f>
        <v>0.16319212704093045</v>
      </c>
      <c r="I104" s="1"/>
      <c r="J104" s="1"/>
    </row>
    <row r="105">
      <c r="A105" s="1"/>
      <c r="B105" s="21" t="s">
        <v>114</v>
      </c>
      <c r="C105" s="10">
        <f>C103-G222</f>
        <v>243</v>
      </c>
      <c r="D105" s="10">
        <f>D103-C103</f>
        <v>224</v>
      </c>
      <c r="E105" s="1"/>
      <c r="F105" s="10">
        <f>F103-D103</f>
        <v>95</v>
      </c>
      <c r="G105" s="10">
        <f>G103-F103</f>
        <v>174.5</v>
      </c>
      <c r="H105" s="29">
        <f>H103-G103</f>
        <v>236.1319999999996</v>
      </c>
      <c r="I105" s="1"/>
      <c r="J105" s="1"/>
    </row>
    <row r="106">
      <c r="A106" s="1"/>
      <c r="B106" s="36" t="s">
        <v>553</v>
      </c>
      <c r="C106" s="22">
        <f>C94/C76*365/C7</f>
        <v>0.0995730260589254</v>
      </c>
      <c r="D106" s="22">
        <f>D94/D76*365/D7</f>
        <v>0.13543823326432022</v>
      </c>
      <c r="E106" s="22">
        <f>E94/E76*365/E7</f>
        <v>0.0969097651421508</v>
      </c>
      <c r="F106" s="22">
        <f>F94/F76*365/F7</f>
        <v>0.05671513717850599</v>
      </c>
      <c r="G106" s="22">
        <f>G94/G76*365/G7</f>
        <v>0.06030302960768611</v>
      </c>
      <c r="H106" s="39">
        <f>H94/H76*365/H7</f>
        <v>0.06174928100152259</v>
      </c>
      <c r="I106" s="1"/>
      <c r="J106" s="1"/>
    </row>
    <row r="107">
      <c r="A107" s="1"/>
      <c r="B107" s="20" t="s">
        <v>153</v>
      </c>
      <c r="C107" s="25">
        <f>(C106-C223)*10000</f>
        <v>-146.43019096117925</v>
      </c>
      <c r="D107" s="25">
        <f>(D106-D223)*10000</f>
        <v>-373.22146279514413</v>
      </c>
      <c r="E107" s="25">
        <f>(E106-E223)*10000</f>
        <v>-123.83046079357085</v>
      </c>
      <c r="F107" s="25">
        <f>(F106-F223)*10000</f>
        <v>-335.1972067069055</v>
      </c>
      <c r="G107" s="25">
        <f>(G106-G223)*10000</f>
        <v>251.9590478502519</v>
      </c>
      <c r="H107" s="58">
        <f>(H106-C106)*10000</f>
        <v>-378.2374505740281</v>
      </c>
      <c r="I107" s="1"/>
      <c r="J107" s="1"/>
    </row>
    <row r="108">
      <c r="A108" s="1"/>
      <c r="B108" s="20" t="s">
        <v>154</v>
      </c>
      <c r="C108" s="25">
        <f>(C106-G223)*10000</f>
        <v>644.6590123626447</v>
      </c>
      <c r="D108" s="25">
        <f>(D106-C106)*10000</f>
        <v>358.65207205394825</v>
      </c>
      <c r="E108" s="1"/>
      <c r="F108" s="25">
        <f>(F106-D106)*10000</f>
        <v>-787.2309608581423</v>
      </c>
      <c r="G108" s="25">
        <f>(G106-F106)*10000</f>
        <v>35.87892429180124</v>
      </c>
      <c r="H108" s="58">
        <f>(H106-G106)*10000</f>
        <v>14.462513938364799</v>
      </c>
      <c r="I108" s="1"/>
      <c r="J108" s="1"/>
    </row>
    <row r="109" ht="39">
      <c r="A109" s="1"/>
      <c r="B109" s="24" t="s">
        <v>554</v>
      </c>
      <c r="C109" s="34">
        <f>C100-C137</f>
        <v>0</v>
      </c>
      <c r="D109" s="34">
        <f>D100-D137</f>
        <v>0</v>
      </c>
      <c r="E109" s="34">
        <f>E100-E137</f>
        <v>0</v>
      </c>
      <c r="F109" s="34">
        <f>F100-F137</f>
        <v>0</v>
      </c>
      <c r="G109" s="34">
        <f>G100-G137</f>
        <v>0</v>
      </c>
      <c r="H109" s="48">
        <f>H100-H137</f>
        <v>0</v>
      </c>
      <c r="I109" s="1"/>
      <c r="J109" s="125" t="s">
        <v>555</v>
      </c>
    </row>
    <row r="110">
      <c r="A110" s="1"/>
      <c r="B110" s="1"/>
      <c r="C110" s="1"/>
      <c r="D110" s="1"/>
      <c r="E110" s="1"/>
      <c r="F110" s="1"/>
      <c r="G110" s="1"/>
      <c r="H110" s="30"/>
      <c r="I110" s="1"/>
      <c r="J110" s="1"/>
    </row>
    <row r="111">
      <c r="A111" s="1"/>
      <c r="B111" s="31" t="s">
        <v>556</v>
      </c>
      <c r="C111" s="1"/>
      <c r="D111" s="1"/>
      <c r="E111" s="1"/>
      <c r="F111" s="1"/>
      <c r="G111" s="1"/>
      <c r="H111" s="30"/>
      <c r="I111" s="1"/>
      <c r="J111" s="1"/>
    </row>
    <row r="112">
      <c r="A112" s="1"/>
      <c r="B112" s="1" t="s">
        <v>557</v>
      </c>
      <c r="C112" s="3">
        <v>1174</v>
      </c>
      <c r="D112" s="3">
        <v>1279</v>
      </c>
      <c r="E112" s="3">
        <v>1279</v>
      </c>
      <c r="F112" s="3">
        <v>1297</v>
      </c>
      <c r="G112" s="3">
        <v>1326</v>
      </c>
      <c r="H112" s="29">
        <f>G112+H79+H115</f>
        <v>1367.934</v>
      </c>
      <c r="I112" s="1"/>
      <c r="J112" s="2" t="s">
        <v>558</v>
      </c>
    </row>
    <row r="113">
      <c r="A113" s="1"/>
      <c r="B113" s="36" t="s">
        <v>58</v>
      </c>
      <c r="C113" s="22">
        <f>IF(AND(ISNUMBER(C112),ISNUMBER(C224)),IF(OR(C224&lt;=0,C112&lt;0),"n.m.",C112/C224-1),"n.a.")</f>
        <v>0.19430315361139372</v>
      </c>
      <c r="D113" s="22">
        <f>IF(AND(ISNUMBER(D112),ISNUMBER(D224)),IF(OR(D224&lt;=0,D112&lt;0),"n.m.",D112/D224-1),"n.a.")</f>
        <v>0.18097876269621427</v>
      </c>
      <c r="E113" s="22">
        <f>IF(AND(ISNUMBER(E112),ISNUMBER(E224)),IF(OR(E224&lt;=0,E112&lt;0),"n.m.",E112/E224-1),"n.a.")</f>
        <v>0.18097876269621427</v>
      </c>
      <c r="F113" s="22">
        <f>IF(AND(ISNUMBER(F112),ISNUMBER(F224)),IF(OR(F224&lt;=0,F112&lt;0),"n.m.",F112/F224-1),"n.a.")</f>
        <v>0.15803571428571428</v>
      </c>
      <c r="G113" s="22">
        <f>IF(AND(ISNUMBER(G112),ISNUMBER(G224)),IF(OR(G224&lt;=0,G112&lt;0),"n.m.",G112/G224-1),"n.a.")</f>
        <v>0.17241379310344818</v>
      </c>
      <c r="H113" s="39">
        <f>IF(AND(ISNUMBER(H112),ISNUMBER(C112)),IF(OR(C112&lt;=0,H112&lt;0),"n.m.",H112/C112-1),"n.a.")</f>
        <v>0.16519080068143088</v>
      </c>
      <c r="I113" s="1"/>
      <c r="J113" s="1"/>
    </row>
    <row r="114">
      <c r="A114" s="1"/>
      <c r="B114" s="21" t="s">
        <v>114</v>
      </c>
      <c r="C114" s="10">
        <f>C112-G224</f>
        <v>43</v>
      </c>
      <c r="D114" s="10">
        <f>D112-C112</f>
        <v>105</v>
      </c>
      <c r="E114" s="1"/>
      <c r="F114" s="10">
        <f>F112-D112</f>
        <v>18</v>
      </c>
      <c r="G114" s="10">
        <f>G112-F112</f>
        <v>29</v>
      </c>
      <c r="H114" s="29">
        <f>H112-G112</f>
        <v>41.93399999999997</v>
      </c>
      <c r="I114" s="1"/>
      <c r="J114" s="1"/>
    </row>
    <row r="115">
      <c r="A115" s="1"/>
      <c r="B115" s="21" t="s">
        <v>559</v>
      </c>
      <c r="C115" s="10">
        <f>C112-G224-C79</f>
        <v>6</v>
      </c>
      <c r="D115" s="10">
        <f>D112-C112-D79</f>
        <v>0</v>
      </c>
      <c r="E115" s="10">
        <f>E112-E224-E79</f>
        <v>13</v>
      </c>
      <c r="F115" s="10">
        <f>F112-D112-F79</f>
        <v>5</v>
      </c>
      <c r="G115" s="10">
        <f>G112-F112-G79</f>
        <v>7</v>
      </c>
      <c r="H115" s="29">
        <f>G112*H116</f>
        <v>11.934</v>
      </c>
      <c r="I115" s="1"/>
      <c r="J115" s="1"/>
    </row>
    <row r="116">
      <c r="A116" s="1"/>
      <c r="B116" s="51" t="s">
        <v>560</v>
      </c>
      <c r="C116" s="22">
        <f>IFERROR(C115/G224,"n.a.")</f>
        <v>0.005305039787798408</v>
      </c>
      <c r="D116" s="22">
        <f>IFERROR(D115/C112,"n.a.")</f>
        <v>0</v>
      </c>
      <c r="E116" s="22">
        <f>IFERROR(E115/E224,"n.a.")</f>
        <v>0.012003693444136657</v>
      </c>
      <c r="F116" s="22">
        <f>IFERROR(F115/D112,"n.a.")</f>
        <v>0.003909304143862392</v>
      </c>
      <c r="G116" s="22">
        <f>IFERROR(G115/F112,"n.a.")</f>
        <v>0.005397070161912105</v>
      </c>
      <c r="H116" s="72">
        <v>0.009</v>
      </c>
      <c r="I116" s="1"/>
      <c r="J116" s="2" t="s">
        <v>561</v>
      </c>
    </row>
    <row r="117">
      <c r="A117" s="1"/>
      <c r="B117" s="1" t="s">
        <v>562</v>
      </c>
      <c r="C117" s="3">
        <v>971</v>
      </c>
      <c r="D117" s="3">
        <v>998</v>
      </c>
      <c r="E117" s="3">
        <v>998</v>
      </c>
      <c r="F117" s="3">
        <v>1014</v>
      </c>
      <c r="G117" s="3">
        <v>1061</v>
      </c>
      <c r="H117" s="29">
        <f>G117+H82+H120</f>
        <v>1075.085</v>
      </c>
      <c r="I117" s="1"/>
      <c r="J117" s="2" t="s">
        <v>558</v>
      </c>
    </row>
    <row r="118">
      <c r="A118" s="1"/>
      <c r="B118" s="36" t="s">
        <v>58</v>
      </c>
      <c r="C118" s="22">
        <f>IF(AND(ISNUMBER(C117),ISNUMBER(C225)),IF(OR(C225&lt;=0,C117&lt;0),"n.m.",C117/C225-1),"n.a.")</f>
        <v>0.13700234192037475</v>
      </c>
      <c r="D118" s="22">
        <f>IF(AND(ISNUMBER(D117),ISNUMBER(D225)),IF(OR(D225&lt;=0,D117&lt;0),"n.m.",D117/D225-1),"n.a.")</f>
        <v>0.17273795534665104</v>
      </c>
      <c r="E118" s="22">
        <f>IF(AND(ISNUMBER(E117),ISNUMBER(E225)),IF(OR(E225&lt;=0,E117&lt;0),"n.m.",E117/E225-1),"n.a.")</f>
        <v>0.17273795534665104</v>
      </c>
      <c r="F118" s="22">
        <f>IF(AND(ISNUMBER(F117),ISNUMBER(F225)),IF(OR(F225&lt;=0,F117&lt;0),"n.m.",F117/F225-1),"n.a.")</f>
        <v>0.15358361774744034</v>
      </c>
      <c r="G118" s="22">
        <f>IF(AND(ISNUMBER(G117),ISNUMBER(G225)),IF(OR(G225&lt;=0,G117&lt;0),"n.m.",G117/G225-1),"n.a.")</f>
        <v>0.14702702702702708</v>
      </c>
      <c r="H118" s="39">
        <f>IF(AND(ISNUMBER(H117),ISNUMBER(C117)),IF(OR(C117&lt;=0,H117&lt;0),"n.m.",H117/C117-1),"n.a.")</f>
        <v>0.10719361483007206</v>
      </c>
      <c r="I118" s="1"/>
      <c r="J118" s="1"/>
    </row>
    <row r="119">
      <c r="A119" s="1"/>
      <c r="B119" s="21" t="s">
        <v>114</v>
      </c>
      <c r="C119" s="10">
        <f>C117-G225</f>
        <v>46</v>
      </c>
      <c r="D119" s="10">
        <f>D117-C117</f>
        <v>27</v>
      </c>
      <c r="E119" s="1"/>
      <c r="F119" s="10">
        <f>F117-D117</f>
        <v>16</v>
      </c>
      <c r="G119" s="10">
        <f>G117-F117</f>
        <v>47</v>
      </c>
      <c r="H119" s="29">
        <f>H117-G117</f>
        <v>14.085000000000036</v>
      </c>
      <c r="I119" s="1"/>
      <c r="J119" s="1"/>
    </row>
    <row r="120">
      <c r="A120" s="1"/>
      <c r="B120" s="21" t="s">
        <v>563</v>
      </c>
      <c r="C120" s="10">
        <f>C117-G225-C82</f>
        <v>15</v>
      </c>
      <c r="D120" s="10">
        <f>D117-C117-D82</f>
        <v>2</v>
      </c>
      <c r="E120" s="10">
        <f>E117-E225-E82</f>
        <v>53</v>
      </c>
      <c r="F120" s="10">
        <f>F117-D117-F82</f>
        <v>-4</v>
      </c>
      <c r="G120" s="10">
        <f>G117-F117-G82</f>
        <v>12</v>
      </c>
      <c r="H120" s="29">
        <f>G117*H121</f>
        <v>-15.915</v>
      </c>
      <c r="I120" s="1"/>
      <c r="J120" s="1"/>
    </row>
    <row r="121" ht="27">
      <c r="A121" s="1"/>
      <c r="B121" s="51" t="s">
        <v>564</v>
      </c>
      <c r="C121" s="22">
        <f>IFERROR(C120/G225,"n.a.")</f>
        <v>0.016216216216216217</v>
      </c>
      <c r="D121" s="22">
        <f>IFERROR(D120/C117,"n.a.")</f>
        <v>0.0020597322348094747</v>
      </c>
      <c r="E121" s="22">
        <f>IFERROR(E120/E225,"n.a.")</f>
        <v>0.06227967097532315</v>
      </c>
      <c r="F121" s="22">
        <f>IFERROR(F120/D117,"n.a.")</f>
        <v>-0.004008016032064128</v>
      </c>
      <c r="G121" s="22">
        <f>IFERROR(G120/F117,"n.a.")</f>
        <v>0.011834319526627219</v>
      </c>
      <c r="H121" s="72">
        <v>-0.015</v>
      </c>
      <c r="I121" s="1"/>
      <c r="J121" s="125" t="s">
        <v>565</v>
      </c>
    </row>
    <row r="122">
      <c r="A122" s="1"/>
      <c r="B122" s="1" t="s">
        <v>566</v>
      </c>
      <c r="C122" s="3">
        <v>1371</v>
      </c>
      <c r="D122" s="3">
        <v>1400</v>
      </c>
      <c r="E122" s="3">
        <v>1400</v>
      </c>
      <c r="F122" s="3">
        <v>1360</v>
      </c>
      <c r="G122" s="3">
        <v>1574</v>
      </c>
      <c r="H122" s="29">
        <f>G122+H85+H125</f>
        <v>1628.35</v>
      </c>
      <c r="I122" s="1"/>
      <c r="J122" s="2" t="s">
        <v>558</v>
      </c>
    </row>
    <row r="123">
      <c r="A123" s="1"/>
      <c r="B123" s="36" t="s">
        <v>58</v>
      </c>
      <c r="C123" s="22">
        <f>IF(AND(ISNUMBER(C122),ISNUMBER(C226)),IF(OR(C226&lt;=0,C122&lt;0),"n.m.",C122/C226-1),"n.a.")</f>
        <v>0.253199268738574</v>
      </c>
      <c r="D123" s="22">
        <f>IF(AND(ISNUMBER(D122),ISNUMBER(D226)),IF(OR(D226&lt;=0,D122&lt;0),"n.m.",D122/D226-1),"n.a.")</f>
        <v>0.24113475177304955</v>
      </c>
      <c r="E123" s="22">
        <f>IF(AND(ISNUMBER(E122),ISNUMBER(E226)),IF(OR(E226&lt;=0,E122&lt;0),"n.m.",E122/E226-1),"n.a.")</f>
        <v>0.24113475177304955</v>
      </c>
      <c r="F123" s="22">
        <f>IF(AND(ISNUMBER(F122),ISNUMBER(F226)),IF(OR(F226&lt;=0,F122&lt;0),"n.m.",F122/F226-1),"n.a.")</f>
        <v>0.2056737588652482</v>
      </c>
      <c r="G123" s="22">
        <f>IF(AND(ISNUMBER(G122),ISNUMBER(G226)),IF(OR(G226&lt;=0,G122&lt;0),"n.m.",G122/G226-1),"n.a.")</f>
        <v>0.25119236883942775</v>
      </c>
      <c r="H123" s="39">
        <f>IF(AND(ISNUMBER(H122),ISNUMBER(C122)),IF(OR(C122&lt;=0,H122&lt;0),"n.m.",H122/C122-1),"n.a.")</f>
        <v>0.18770970094821293</v>
      </c>
      <c r="I123" s="1"/>
      <c r="J123" s="1"/>
    </row>
    <row r="124">
      <c r="A124" s="1"/>
      <c r="B124" s="21" t="s">
        <v>114</v>
      </c>
      <c r="C124" s="10">
        <f>C122-G226</f>
        <v>113</v>
      </c>
      <c r="D124" s="10">
        <f>D122-C122</f>
        <v>29</v>
      </c>
      <c r="E124" s="1"/>
      <c r="F124" s="10">
        <f>F122-D122</f>
        <v>-40</v>
      </c>
      <c r="G124" s="10">
        <f>G122-F122</f>
        <v>214</v>
      </c>
      <c r="H124" s="29">
        <f>H122-G122</f>
        <v>54.34999999999991</v>
      </c>
      <c r="I124" s="1"/>
      <c r="J124" s="1"/>
    </row>
    <row r="125">
      <c r="A125" s="1"/>
      <c r="B125" s="21" t="s">
        <v>567</v>
      </c>
      <c r="C125" s="10">
        <f>C122-G226-C85</f>
        <v>82</v>
      </c>
      <c r="D125" s="10">
        <f>D122-C122-D85</f>
        <v>18</v>
      </c>
      <c r="E125" s="10">
        <f>E122-E226-E85</f>
        <v>177</v>
      </c>
      <c r="F125" s="10">
        <f>F122-D122-F85</f>
        <v>-58</v>
      </c>
      <c r="G125" s="10">
        <f>G122-F122-G85</f>
        <v>202</v>
      </c>
      <c r="H125" s="29">
        <f>G122*H126</f>
        <v>39.35</v>
      </c>
      <c r="I125" s="1"/>
      <c r="J125" s="1"/>
    </row>
    <row r="126">
      <c r="A126" s="1"/>
      <c r="B126" s="51" t="s">
        <v>568</v>
      </c>
      <c r="C126" s="22">
        <f>IFERROR(C125/G226,"n.a.")</f>
        <v>0.06518282988871224</v>
      </c>
      <c r="D126" s="22">
        <f>IFERROR(D125/C122,"n.a.")</f>
        <v>0.01312910284463895</v>
      </c>
      <c r="E126" s="22">
        <f>IFERROR(E125/E226,"n.a.")</f>
        <v>0.15691489361702127</v>
      </c>
      <c r="F126" s="22">
        <f>IFERROR(F125/D122,"n.a.")</f>
        <v>-0.041428571428571426</v>
      </c>
      <c r="G126" s="22">
        <f>IFERROR(G125/F122,"n.a.")</f>
        <v>0.14852941176470588</v>
      </c>
      <c r="H126" s="72">
        <v>0.025</v>
      </c>
      <c r="I126" s="1"/>
      <c r="J126" s="2" t="s">
        <v>569</v>
      </c>
    </row>
    <row r="127">
      <c r="A127" s="1"/>
      <c r="B127" s="1" t="s">
        <v>570</v>
      </c>
      <c r="C127" s="3">
        <v>855</v>
      </c>
      <c r="D127" s="3">
        <v>884</v>
      </c>
      <c r="E127" s="3">
        <v>884</v>
      </c>
      <c r="F127" s="3">
        <v>880</v>
      </c>
      <c r="G127" s="3">
        <v>939</v>
      </c>
      <c r="H127" s="29">
        <f>G127+H88+H130</f>
        <v>948.695</v>
      </c>
      <c r="I127" s="1"/>
      <c r="J127" s="2" t="s">
        <v>558</v>
      </c>
    </row>
    <row r="128">
      <c r="A128" s="1"/>
      <c r="B128" s="36" t="s">
        <v>58</v>
      </c>
      <c r="C128" s="22">
        <f>IF(AND(ISNUMBER(C127),ISNUMBER(C227)),IF(OR(C227&lt;=0,C127&lt;0),"n.m.",C127/C227-1),"n.a.")</f>
        <v>0.1205766710353866</v>
      </c>
      <c r="D128" s="22">
        <f>IF(AND(ISNUMBER(D127),ISNUMBER(D227)),IF(OR(D227&lt;=0,D127&lt;0),"n.m.",D127/D227-1),"n.a.")</f>
        <v>0.15706806282722519</v>
      </c>
      <c r="E128" s="22">
        <f>IF(AND(ISNUMBER(E127),ISNUMBER(E227)),IF(OR(E227&lt;=0,E127&lt;0),"n.m.",E127/E227-1),"n.a.")</f>
        <v>0.15706806282722519</v>
      </c>
      <c r="F128" s="22">
        <f>IF(AND(ISNUMBER(F127),ISNUMBER(F227)),IF(OR(F227&lt;=0,F127&lt;0),"n.m.",F127/F227-1),"n.a.")</f>
        <v>0.1518324607329844</v>
      </c>
      <c r="G128" s="22">
        <f>IF(AND(ISNUMBER(G127),ISNUMBER(G227)),IF(OR(G227&lt;=0,G127&lt;0),"n.m.",G127/G227-1),"n.a.")</f>
        <v>0.16069221260815825</v>
      </c>
      <c r="H128" s="39">
        <f>IF(AND(ISNUMBER(H127),ISNUMBER(C127)),IF(OR(C127&lt;=0,H127&lt;0),"n.m.",H127/C127-1),"n.a.")</f>
        <v>0.10958479532163756</v>
      </c>
      <c r="I128" s="1"/>
      <c r="J128" s="1"/>
    </row>
    <row r="129">
      <c r="A129" s="1"/>
      <c r="B129" s="21" t="s">
        <v>114</v>
      </c>
      <c r="C129" s="10">
        <f>C127-G227</f>
        <v>46</v>
      </c>
      <c r="D129" s="10">
        <f>D127-C127</f>
        <v>29</v>
      </c>
      <c r="E129" s="1"/>
      <c r="F129" s="10">
        <f>F127-D127</f>
        <v>-4</v>
      </c>
      <c r="G129" s="10">
        <f>G127-F127</f>
        <v>59</v>
      </c>
      <c r="H129" s="29">
        <f>H127-G127</f>
        <v>9.69500000000005</v>
      </c>
      <c r="I129" s="1"/>
      <c r="J129" s="1"/>
    </row>
    <row r="130">
      <c r="A130" s="1"/>
      <c r="B130" s="21" t="s">
        <v>571</v>
      </c>
      <c r="C130" s="10">
        <f>C127-G227-C88</f>
        <v>42</v>
      </c>
      <c r="D130" s="10">
        <f>D127-C127-D88</f>
        <v>18</v>
      </c>
      <c r="E130" s="10">
        <f>E127-E227-E88</f>
        <v>104</v>
      </c>
      <c r="F130" s="10">
        <f>F127-D127-F88</f>
        <v>-14</v>
      </c>
      <c r="G130" s="10">
        <f>G127-F127-G88</f>
        <v>53</v>
      </c>
      <c r="H130" s="29">
        <f>G127*H131</f>
        <v>4.695</v>
      </c>
      <c r="I130" s="1"/>
      <c r="J130" s="1"/>
    </row>
    <row r="131">
      <c r="A131" s="1"/>
      <c r="B131" s="51" t="s">
        <v>572</v>
      </c>
      <c r="C131" s="22">
        <f>IFERROR(C130/G227,"n.a.")</f>
        <v>0.0519159456118665</v>
      </c>
      <c r="D131" s="22">
        <f>IFERROR(D130/C127,"n.a.")</f>
        <v>0.021052631578947368</v>
      </c>
      <c r="E131" s="22">
        <f>IFERROR(E130/E227,"n.a.")</f>
        <v>0.13612565445026178</v>
      </c>
      <c r="F131" s="22">
        <f>IFERROR(F130/D127,"n.a.")</f>
        <v>-0.01583710407239819</v>
      </c>
      <c r="G131" s="22">
        <f>IFERROR(G130/F127,"n.a.")</f>
        <v>0.060227272727272727</v>
      </c>
      <c r="H131" s="72">
        <v>0.005</v>
      </c>
      <c r="I131" s="1"/>
      <c r="J131" s="2" t="s">
        <v>573</v>
      </c>
    </row>
    <row r="132">
      <c r="A132" s="1"/>
      <c r="B132" s="1" t="s">
        <v>574</v>
      </c>
      <c r="C132" s="3">
        <v>228</v>
      </c>
      <c r="D132" s="3">
        <v>230</v>
      </c>
      <c r="E132" s="3">
        <v>230</v>
      </c>
      <c r="F132" s="3">
        <v>238</v>
      </c>
      <c r="G132" s="3">
        <v>240</v>
      </c>
      <c r="H132" s="29">
        <f>G132+H91+H135</f>
        <v>241.2</v>
      </c>
      <c r="I132" s="1"/>
      <c r="J132" s="2" t="s">
        <v>558</v>
      </c>
    </row>
    <row r="133">
      <c r="A133" s="1"/>
      <c r="B133" s="36" t="s">
        <v>58</v>
      </c>
      <c r="C133" s="22">
        <f>IF(AND(ISNUMBER(C132),ISNUMBER(C228)),IF(OR(C228&lt;=0,C132&lt;0),"n.m.",C132/C228-1),"n.a.")</f>
        <v>0.08571428571428563</v>
      </c>
      <c r="D133" s="22">
        <f>IF(AND(ISNUMBER(D132),ISNUMBER(D228)),IF(OR(D228&lt;=0,D132&lt;0),"n.m.",D132/D228-1),"n.a.")</f>
        <v>0.05022831050228316</v>
      </c>
      <c r="E133" s="22">
        <f>IF(AND(ISNUMBER(E132),ISNUMBER(E228)),IF(OR(E228&lt;=0,E132&lt;0),"n.m.",E132/E228-1),"n.a.")</f>
        <v>0.05022831050228316</v>
      </c>
      <c r="F133" s="22">
        <f>IF(AND(ISNUMBER(F132),ISNUMBER(F228)),IF(OR(F228&lt;=0,F132&lt;0),"n.m.",F132/F228-1),"n.a.")</f>
        <v>0.072072072072072</v>
      </c>
      <c r="G133" s="22">
        <f>IF(AND(ISNUMBER(G132),ISNUMBER(G228)),IF(OR(G228&lt;=0,G132&lt;0),"n.m.",G132/G228-1),"n.a.")</f>
        <v>0.09090909090909083</v>
      </c>
      <c r="H133" s="39">
        <f>IF(AND(ISNUMBER(H132),ISNUMBER(C132)),IF(OR(C132&lt;=0,H132&lt;0),"n.m.",H132/C132-1),"n.a.")</f>
        <v>0.05789473684210522</v>
      </c>
      <c r="I133" s="1"/>
      <c r="J133" s="1"/>
    </row>
    <row r="134">
      <c r="A134" s="1"/>
      <c r="B134" s="21" t="s">
        <v>114</v>
      </c>
      <c r="C134" s="10">
        <f>C132-G228</f>
        <v>8</v>
      </c>
      <c r="D134" s="10">
        <f>D132-C132</f>
        <v>2</v>
      </c>
      <c r="E134" s="1"/>
      <c r="F134" s="10">
        <f>F132-D132</f>
        <v>8</v>
      </c>
      <c r="G134" s="10">
        <f>G132-F132</f>
        <v>2</v>
      </c>
      <c r="H134" s="29">
        <f>H132-G132</f>
        <v>1.1999999999999886</v>
      </c>
      <c r="I134" s="1"/>
      <c r="J134" s="1"/>
    </row>
    <row r="135">
      <c r="A135" s="1"/>
      <c r="B135" s="21" t="s">
        <v>575</v>
      </c>
      <c r="C135" s="10">
        <f>C132-G228-C91</f>
        <v>2</v>
      </c>
      <c r="D135" s="10">
        <f>D132-C132-D91</f>
        <v>-3</v>
      </c>
      <c r="E135" s="10">
        <f>E132-E228-E91</f>
        <v>7</v>
      </c>
      <c r="F135" s="10">
        <f>F132-D132-F91</f>
        <v>2</v>
      </c>
      <c r="G135" s="10">
        <f>G132-F132-G91</f>
        <v>5</v>
      </c>
      <c r="H135" s="29">
        <f>G132*H136</f>
        <v>1.2</v>
      </c>
      <c r="I135" s="1"/>
      <c r="J135" s="1"/>
    </row>
    <row r="136">
      <c r="A136" s="1"/>
      <c r="B136" s="51" t="s">
        <v>576</v>
      </c>
      <c r="C136" s="22">
        <f>IFERROR(C135/G228,"n.a.")</f>
        <v>0.00909090909090909</v>
      </c>
      <c r="D136" s="22">
        <f>IFERROR(D135/C132,"n.a.")</f>
        <v>-0.013157894736842105</v>
      </c>
      <c r="E136" s="22">
        <f>IFERROR(E135/E228,"n.a.")</f>
        <v>0.0319634703196347</v>
      </c>
      <c r="F136" s="22">
        <f>IFERROR(F135/D132,"n.a.")</f>
        <v>0.008695652173913044</v>
      </c>
      <c r="G136" s="22">
        <f>IFERROR(G135/F132,"n.a.")</f>
        <v>0.02100840336134454</v>
      </c>
      <c r="H136" s="72">
        <v>0.005</v>
      </c>
      <c r="I136" s="1"/>
      <c r="J136" s="2" t="s">
        <v>577</v>
      </c>
    </row>
    <row r="137">
      <c r="A137" s="1"/>
      <c r="B137" s="31" t="s">
        <v>578</v>
      </c>
      <c r="C137" s="43">
        <f>C112+C117+C122+C127+C132</f>
        <v>4599</v>
      </c>
      <c r="D137" s="43">
        <f>D112+D117+D122+D127+D132</f>
        <v>4791</v>
      </c>
      <c r="E137" s="43">
        <f>E112+E117+E122+E127+E132</f>
        <v>4791</v>
      </c>
      <c r="F137" s="43">
        <f>F112+F117+F122+F127+F132</f>
        <v>4789</v>
      </c>
      <c r="G137" s="43">
        <f>G112+G117+G122+G127+G132</f>
        <v>5140</v>
      </c>
      <c r="H137" s="45">
        <f>H112+H117+H122+H127+H132</f>
        <v>5261.264</v>
      </c>
      <c r="I137" s="1"/>
      <c r="J137" s="1"/>
    </row>
    <row r="138">
      <c r="A138" s="1"/>
      <c r="B138" s="36" t="s">
        <v>58</v>
      </c>
      <c r="C138" s="22">
        <f>IF(AND(ISNUMBER(C137),ISNUMBER(C229)),IF(OR(C229&lt;=0,C137&lt;0),"n.m.",C137/C229-1),"n.a.")</f>
        <v>0.17802254098360648</v>
      </c>
      <c r="D138" s="22">
        <f>IF(AND(ISNUMBER(D137),ISNUMBER(D229)),IF(OR(D229&lt;=0,D137&lt;0),"n.m.",D137/D229-1),"n.a.")</f>
        <v>0.18442521631644015</v>
      </c>
      <c r="E138" s="22">
        <f>IF(AND(ISNUMBER(E137),ISNUMBER(E229)),IF(OR(E229&lt;=0,E137&lt;0),"n.m.",E137/E229-1),"n.a.")</f>
        <v>0.18442521631644015</v>
      </c>
      <c r="F138" s="22">
        <f>IF(AND(ISNUMBER(F137),ISNUMBER(F229)),IF(OR(F229&lt;=0,F137&lt;0),"n.m.",F137/F229-1),"n.a.")</f>
        <v>0.16435691709214684</v>
      </c>
      <c r="G138" s="22">
        <f>IF(AND(ISNUMBER(G137),ISNUMBER(G229)),IF(OR(G229&lt;=0,G137&lt;0),"n.m.",G137/G229-1),"n.a.")</f>
        <v>0.18351370020723</v>
      </c>
      <c r="H138" s="39">
        <f>IF(AND(ISNUMBER(H137),ISNUMBER(C137)),IF(OR(C137&lt;=0,H137&lt;0),"n.m.",H137/C137-1),"n.a.")</f>
        <v>0.14400173950858886</v>
      </c>
      <c r="I138" s="1"/>
      <c r="J138" s="1"/>
    </row>
    <row r="139">
      <c r="A139" s="1"/>
      <c r="B139" s="21" t="s">
        <v>114</v>
      </c>
      <c r="C139" s="10">
        <f>C137-G229</f>
        <v>256</v>
      </c>
      <c r="D139" s="10">
        <f>D137-C137</f>
        <v>192</v>
      </c>
      <c r="E139" s="1"/>
      <c r="F139" s="10">
        <f>F137-D137</f>
        <v>-2</v>
      </c>
      <c r="G139" s="10">
        <f>G137-F137</f>
        <v>351</v>
      </c>
      <c r="H139" s="29">
        <f>H137-G137</f>
        <v>121.26400000000012</v>
      </c>
      <c r="I139" s="1"/>
      <c r="J139" s="1"/>
    </row>
    <row r="140">
      <c r="A140" s="1"/>
      <c r="B140" s="1"/>
      <c r="C140" s="1"/>
      <c r="D140" s="1"/>
      <c r="E140" s="1"/>
      <c r="F140" s="1"/>
      <c r="G140" s="1"/>
      <c r="H140" s="30"/>
      <c r="I140" s="1"/>
      <c r="J140" s="1"/>
    </row>
    <row r="141">
      <c r="A141" s="1"/>
      <c r="B141" s="31" t="s">
        <v>579</v>
      </c>
      <c r="C141" s="1"/>
      <c r="D141" s="1"/>
      <c r="E141" s="1"/>
      <c r="F141" s="1"/>
      <c r="G141" s="1"/>
      <c r="H141" s="30"/>
      <c r="I141" s="1"/>
      <c r="J141" s="1"/>
    </row>
    <row r="142">
      <c r="A142" s="1"/>
      <c r="B142" s="1" t="s">
        <v>580</v>
      </c>
      <c r="C142" s="3">
        <v>2239</v>
      </c>
      <c r="D142" s="3">
        <v>2327</v>
      </c>
      <c r="E142" s="3">
        <v>2327</v>
      </c>
      <c r="F142" s="3">
        <v>2314</v>
      </c>
      <c r="G142" s="3">
        <v>2523</v>
      </c>
      <c r="H142" s="29">
        <f>G142*(1+H145)</f>
        <v>2573.46</v>
      </c>
      <c r="I142" s="1"/>
      <c r="J142" s="2" t="s">
        <v>581</v>
      </c>
    </row>
    <row r="143">
      <c r="A143" s="1"/>
      <c r="B143" s="36" t="s">
        <v>58</v>
      </c>
      <c r="C143" s="22">
        <f>IF(AND(ISNUMBER(C142),ISNUMBER(C230)),IF(OR(C230&lt;=0,C142&lt;0),"n.m.",C142/C230-1),"n.a.")</f>
        <v>0.23225096312603188</v>
      </c>
      <c r="D143" s="22">
        <f>IF(AND(ISNUMBER(D142),ISNUMBER(D230)),IF(OR(D230&lt;=0,D142&lt;0),"n.m.",D142/D230-1),"n.a.")</f>
        <v>0.2331743508214097</v>
      </c>
      <c r="E143" s="22">
        <f>IF(AND(ISNUMBER(E142),ISNUMBER(E230)),IF(OR(E230&lt;=0,E142&lt;0),"n.m.",E142/E230-1),"n.a.")</f>
        <v>0.2331743508214097</v>
      </c>
      <c r="F143" s="22">
        <f>IF(AND(ISNUMBER(F142),ISNUMBER(F230)),IF(OR(F230&lt;=0,F142&lt;0),"n.m.",F142/F230-1),"n.a.")</f>
        <v>0.22498676548438334</v>
      </c>
      <c r="G143" s="22">
        <f>IF(AND(ISNUMBER(G142),ISNUMBER(G230)),IF(OR(G230&lt;=0,G142&lt;0),"n.m.",G142/G230-1),"n.a.")</f>
        <v>0.21414821944177098</v>
      </c>
      <c r="H143" s="39">
        <f>IF(AND(ISNUMBER(H142),ISNUMBER(C142)),IF(OR(C142&lt;=0,H142&lt;0),"n.m.",H142/C142-1),"n.a.")</f>
        <v>0.14937918713711484</v>
      </c>
      <c r="I143" s="1"/>
      <c r="J143" s="1"/>
    </row>
    <row r="144">
      <c r="A144" s="1"/>
      <c r="B144" s="21" t="s">
        <v>114</v>
      </c>
      <c r="C144" s="10">
        <f>C142-G230</f>
        <v>161</v>
      </c>
      <c r="D144" s="10">
        <f>D142-C142</f>
        <v>88</v>
      </c>
      <c r="E144" s="1"/>
      <c r="F144" s="10">
        <f>F142-D142</f>
        <v>-13</v>
      </c>
      <c r="G144" s="10">
        <f>G142-F142</f>
        <v>209</v>
      </c>
      <c r="H144" s="29">
        <f>H142-G142</f>
        <v>50.460000000000036</v>
      </c>
      <c r="I144" s="1"/>
      <c r="J144" s="1"/>
    </row>
    <row r="145">
      <c r="A145" s="1"/>
      <c r="B145" s="51" t="s">
        <v>146</v>
      </c>
      <c r="C145" s="22">
        <f>IF(AND(ISNUMBER(C142),ISNUMBER(G230)),IF(OR(G230&lt;=0,C142&lt;0),"n.m.",C142/G230-1),"n.a.")</f>
        <v>0.07747834456207903</v>
      </c>
      <c r="D145" s="22">
        <f>IF(AND(ISNUMBER(D142),ISNUMBER(C142)),IF(OR(C142&lt;=0,D142&lt;0),"n.m.",D142/C142-1),"n.a.")</f>
        <v>0.03930326038410015</v>
      </c>
      <c r="E145" s="1"/>
      <c r="F145" s="22">
        <f>IF(AND(ISNUMBER(F142),ISNUMBER(D142)),IF(OR(D142&lt;=0,F142&lt;0),"n.m.",F142/D142-1),"n.a.")</f>
        <v>-0.005586592178770999</v>
      </c>
      <c r="G145" s="22">
        <f>IF(AND(ISNUMBER(G142),ISNUMBER(F142)),IF(OR(F142&lt;=0,G142&lt;0),"n.m.",G142/F142-1),"n.a.")</f>
        <v>0.09031979256698364</v>
      </c>
      <c r="H145" s="72">
        <v>0.02</v>
      </c>
      <c r="I145" s="1"/>
      <c r="J145" s="1"/>
    </row>
    <row r="146">
      <c r="A146" s="1"/>
      <c r="B146" s="31" t="s">
        <v>582</v>
      </c>
      <c r="C146" s="43">
        <f>C137+C142</f>
        <v>6838</v>
      </c>
      <c r="D146" s="43">
        <f>D137+D142</f>
        <v>7118</v>
      </c>
      <c r="E146" s="43">
        <f>E137+E142</f>
        <v>7118</v>
      </c>
      <c r="F146" s="43">
        <f>F137+F142</f>
        <v>7103</v>
      </c>
      <c r="G146" s="43">
        <f>G137+G142</f>
        <v>7663</v>
      </c>
      <c r="H146" s="45">
        <f>H137+H142</f>
        <v>7834.724</v>
      </c>
      <c r="I146" s="1"/>
      <c r="J146" s="1"/>
    </row>
    <row r="147">
      <c r="A147" s="1"/>
      <c r="B147" s="36" t="s">
        <v>58</v>
      </c>
      <c r="C147" s="22">
        <f>IF(AND(ISNUMBER(C146),ISNUMBER(C231)),IF(OR(C231&lt;=0,C146&lt;0),"n.m.",C146/C231-1),"n.a.")</f>
        <v>0.1952455864359377</v>
      </c>
      <c r="D147" s="22">
        <f>IF(AND(ISNUMBER(D146),ISNUMBER(D231)),IF(OR(D231&lt;=0,D146&lt;0),"n.m.",D146/D231-1),"n.a.")</f>
        <v>0.19993256911665536</v>
      </c>
      <c r="E147" s="22">
        <f>IF(AND(ISNUMBER(E146),ISNUMBER(E231)),IF(OR(E231&lt;=0,E146&lt;0),"n.m.",E146/E231-1),"n.a.")</f>
        <v>0.19993256911665536</v>
      </c>
      <c r="F147" s="22">
        <f>IF(AND(ISNUMBER(F146),ISNUMBER(F231)),IF(OR(F231&lt;=0,F146&lt;0),"n.m.",F146/F231-1),"n.a.")</f>
        <v>0.18343885371542812</v>
      </c>
      <c r="G147" s="22">
        <f>IF(AND(ISNUMBER(G146),ISNUMBER(G231)),IF(OR(G231&lt;=0,G146&lt;0),"n.m.",G146/G231-1),"n.a.")</f>
        <v>0.19342781498209005</v>
      </c>
      <c r="H147" s="39">
        <f>IF(AND(ISNUMBER(H146),ISNUMBER(C146)),IF(OR(C146&lt;=0,H146&lt;0),"n.m.",H146/C146-1),"n.a.")</f>
        <v>0.1457625036560397</v>
      </c>
      <c r="I147" s="1"/>
      <c r="J147" s="1"/>
    </row>
    <row r="148">
      <c r="A148" s="1"/>
      <c r="B148" s="21" t="s">
        <v>114</v>
      </c>
      <c r="C148" s="10">
        <f>C146-G231</f>
        <v>417</v>
      </c>
      <c r="D148" s="10">
        <f>D146-C146</f>
        <v>280</v>
      </c>
      <c r="E148" s="1"/>
      <c r="F148" s="10">
        <f>F146-D146</f>
        <v>-15</v>
      </c>
      <c r="G148" s="10">
        <f>G146-F146</f>
        <v>560</v>
      </c>
      <c r="H148" s="29">
        <f>H146-G146</f>
        <v>171.72400000000016</v>
      </c>
      <c r="I148" s="1"/>
      <c r="J148" s="1"/>
    </row>
    <row r="149">
      <c r="A149" s="1"/>
      <c r="B149" s="21" t="s">
        <v>583</v>
      </c>
      <c r="C149" s="10">
        <f>G231</f>
        <v>6421</v>
      </c>
      <c r="D149" s="10">
        <f>C146</f>
        <v>6838</v>
      </c>
      <c r="E149" s="10">
        <f>E231</f>
        <v>5932</v>
      </c>
      <c r="F149" s="10">
        <f>D146</f>
        <v>7118</v>
      </c>
      <c r="G149" s="10">
        <f>F146</f>
        <v>7103</v>
      </c>
      <c r="H149" s="29">
        <f>G146</f>
        <v>7663</v>
      </c>
      <c r="I149" s="1"/>
      <c r="J149" s="1"/>
    </row>
    <row r="150">
      <c r="A150" s="1"/>
      <c r="B150" s="21" t="s">
        <v>584</v>
      </c>
      <c r="C150" s="3">
        <v>147</v>
      </c>
      <c r="D150" s="3">
        <v>206</v>
      </c>
      <c r="E150" s="3">
        <v>553</v>
      </c>
      <c r="F150" s="3">
        <v>111</v>
      </c>
      <c r="G150" s="3">
        <v>148</v>
      </c>
      <c r="H150" s="44">
        <v>150</v>
      </c>
      <c r="I150" s="1"/>
      <c r="J150" s="2" t="s">
        <v>585</v>
      </c>
    </row>
    <row r="151">
      <c r="A151" s="1"/>
      <c r="B151" s="51" t="s">
        <v>58</v>
      </c>
      <c r="C151" s="22">
        <f>IF(AND(ISNUMBER(C150),ISNUMBER(C232)),IF(OR(C232&lt;=0,C150&lt;0),"n.m.",C150/C232-1),"n.a.")</f>
        <v>0.050000000000000044</v>
      </c>
      <c r="D151" s="22">
        <f>IF(AND(ISNUMBER(D150),ISNUMBER(D232)),IF(OR(D232&lt;=0,D150&lt;0),"n.m.",D150/D232-1),"n.a.")</f>
        <v>-0.0803571428571429</v>
      </c>
      <c r="E151" s="22">
        <f>IF(AND(ISNUMBER(E150),ISNUMBER(E232)),IF(OR(E232&lt;=0,E150&lt;0),"n.m.",E150/E232-1),"n.a.")</f>
        <v>0.13786008230452684</v>
      </c>
      <c r="F151" s="22">
        <f>IF(AND(ISNUMBER(F150),ISNUMBER(F232)),IF(OR(F232&lt;=0,F150&lt;0),"n.m.",F150/F232-1),"n.a.")</f>
        <v>-0.07499999999999996</v>
      </c>
      <c r="G151" s="22">
        <f>IF(AND(ISNUMBER(G150),ISNUMBER(G232)),IF(OR(G232&lt;=0,G150&lt;0),"n.m.",G150/G232-1),"n.a.")</f>
        <v>0.8500000000000001</v>
      </c>
      <c r="H151" s="39">
        <f>IF(AND(ISNUMBER(H150),ISNUMBER(C150)),IF(OR(C150&lt;=0,H150&lt;0),"n.m.",H150/C150-1),"n.a.")</f>
        <v>0.020408163265306145</v>
      </c>
      <c r="I151" s="1"/>
      <c r="J151" s="1"/>
    </row>
    <row r="152">
      <c r="A152" s="1"/>
      <c r="B152" s="20" t="s">
        <v>114</v>
      </c>
      <c r="C152" s="10">
        <f>C150-G232</f>
        <v>67</v>
      </c>
      <c r="D152" s="10">
        <f>D150-C150</f>
        <v>59</v>
      </c>
      <c r="E152" s="1"/>
      <c r="F152" s="10">
        <f>F150-D150</f>
        <v>-95</v>
      </c>
      <c r="G152" s="10">
        <f>G150-F150</f>
        <v>37</v>
      </c>
      <c r="H152" s="29">
        <f>H150-G150</f>
        <v>2</v>
      </c>
      <c r="I152" s="1"/>
      <c r="J152" s="1"/>
    </row>
    <row r="153">
      <c r="A153" s="1"/>
      <c r="B153" s="21" t="s">
        <v>586</v>
      </c>
      <c r="C153" s="10">
        <f>C146-C149-C150</f>
        <v>270</v>
      </c>
      <c r="D153" s="10">
        <f>D146-D149-D150</f>
        <v>74</v>
      </c>
      <c r="E153" s="10">
        <f>E146-E149-E150</f>
        <v>633</v>
      </c>
      <c r="F153" s="10">
        <f>F146-F149-F150</f>
        <v>-126</v>
      </c>
      <c r="G153" s="10">
        <f>G146-G149-G150</f>
        <v>412</v>
      </c>
      <c r="H153" s="29">
        <f>H146-H149-H150</f>
        <v>21.72400000000016</v>
      </c>
      <c r="I153" s="1"/>
      <c r="J153" s="1"/>
    </row>
    <row r="154">
      <c r="A154" s="1"/>
      <c r="B154" s="21" t="s">
        <v>587</v>
      </c>
      <c r="C154" s="3">
        <v>1364</v>
      </c>
      <c r="D154" s="3">
        <v>1414</v>
      </c>
      <c r="E154" s="3">
        <v>1414</v>
      </c>
      <c r="F154" s="3">
        <v>1440</v>
      </c>
      <c r="G154" s="3">
        <v>1559</v>
      </c>
      <c r="H154" s="29">
        <f>G154*H137/G137</f>
        <v>1595.7802677042803</v>
      </c>
      <c r="I154" s="1"/>
      <c r="J154" s="2" t="s">
        <v>588</v>
      </c>
    </row>
    <row r="155">
      <c r="A155" s="1"/>
      <c r="B155" s="51" t="s">
        <v>58</v>
      </c>
      <c r="C155" s="22">
        <f>IF(AND(ISNUMBER(C154),ISNUMBER(C233)),IF(OR(C233&lt;=0,C154&lt;0),"n.m.",C154/C233-1),"n.a.")</f>
        <v>0.2233183856502241</v>
      </c>
      <c r="D155" s="22">
        <f>IF(AND(ISNUMBER(D154),ISNUMBER(D233)),IF(OR(D233&lt;=0,D154&lt;0),"n.m.",D154/D233-1),"n.a.")</f>
        <v>0.2168674698795181</v>
      </c>
      <c r="E155" s="22">
        <f>IF(AND(ISNUMBER(E154),ISNUMBER(E233)),IF(OR(E233&lt;=0,E154&lt;0),"n.m.",E154/E233-1),"n.a.")</f>
        <v>0.2168674698795181</v>
      </c>
      <c r="F155" s="22">
        <f>IF(AND(ISNUMBER(F154),ISNUMBER(F233)),IF(OR(F233&lt;=0,F154&lt;0),"n.m.",F154/F233-1),"n.a.")</f>
        <v>0.19900083263946722</v>
      </c>
      <c r="G155" s="22">
        <f>IF(AND(ISNUMBER(G154),ISNUMBER(G233)),IF(OR(G233&lt;=0,G154&lt;0),"n.m.",G154/G233-1),"n.a.")</f>
        <v>0.22755905511811014</v>
      </c>
      <c r="H155" s="39">
        <f>IF(AND(ISNUMBER(H154),ISNUMBER(C154)),IF(OR(C154&lt;=0,H154&lt;0),"n.m.",H154/C154-1),"n.a.")</f>
        <v>0.16992688248114396</v>
      </c>
      <c r="I155" s="1"/>
      <c r="J155" s="1"/>
    </row>
    <row r="156">
      <c r="A156" s="1"/>
      <c r="B156" s="20" t="s">
        <v>114</v>
      </c>
      <c r="C156" s="10">
        <f>C154-G233</f>
        <v>94</v>
      </c>
      <c r="D156" s="10">
        <f>D154-C154</f>
        <v>50</v>
      </c>
      <c r="E156" s="1"/>
      <c r="F156" s="10">
        <f>F154-D154</f>
        <v>26</v>
      </c>
      <c r="G156" s="10">
        <f>G154-F154</f>
        <v>119</v>
      </c>
      <c r="H156" s="29">
        <f>H154-G154</f>
        <v>36.78026770428028</v>
      </c>
      <c r="I156" s="1"/>
      <c r="J156" s="1"/>
    </row>
    <row r="157">
      <c r="A157" s="1"/>
      <c r="B157" s="21" t="s">
        <v>589</v>
      </c>
      <c r="C157" s="3">
        <v>1837</v>
      </c>
      <c r="D157" s="3">
        <v>1953</v>
      </c>
      <c r="E157" s="3">
        <v>1953</v>
      </c>
      <c r="F157" s="3">
        <v>1964</v>
      </c>
      <c r="G157" s="3">
        <v>2079</v>
      </c>
      <c r="H157" s="29">
        <f>G157*H137/G137</f>
        <v>2128.0482210116734</v>
      </c>
      <c r="I157" s="1"/>
      <c r="J157" s="2" t="s">
        <v>590</v>
      </c>
    </row>
    <row r="158">
      <c r="A158" s="1"/>
      <c r="B158" s="51" t="s">
        <v>58</v>
      </c>
      <c r="C158" s="22">
        <f>IF(AND(ISNUMBER(C157),ISNUMBER(C234)),IF(OR(C234&lt;=0,C157&lt;0),"n.m.",C157/C234-1),"n.a.")</f>
        <v>0.13255240443896432</v>
      </c>
      <c r="D158" s="22">
        <f>IF(AND(ISNUMBER(D157),ISNUMBER(D234)),IF(OR(D234&lt;=0,D157&lt;0),"n.m.",D157/D234-1),"n.a.")</f>
        <v>0.1542553191489362</v>
      </c>
      <c r="E158" s="22">
        <f>IF(AND(ISNUMBER(E157),ISNUMBER(E234)),IF(OR(E234&lt;=0,E157&lt;0),"n.m.",E157/E234-1),"n.a.")</f>
        <v>0.1542553191489362</v>
      </c>
      <c r="F158" s="22">
        <f>IF(AND(ISNUMBER(F157),ISNUMBER(F234)),IF(OR(F234&lt;=0,F157&lt;0),"n.m.",F157/F234-1),"n.a.")</f>
        <v>0.15190615835777121</v>
      </c>
      <c r="G158" s="22">
        <f>IF(AND(ISNUMBER(G157),ISNUMBER(G234)),IF(OR(G234&lt;=0,G157&lt;0),"n.m.",G157/G234-1),"n.a.")</f>
        <v>0.1732505643340858</v>
      </c>
      <c r="H158" s="39">
        <f>IF(AND(ISNUMBER(H157),ISNUMBER(C157)),IF(OR(C157&lt;=0,H157&lt;0),"n.m.",H157/C157-1),"n.a.")</f>
        <v>0.15843670169388857</v>
      </c>
      <c r="I158" s="1"/>
      <c r="J158" s="1"/>
    </row>
    <row r="159">
      <c r="A159" s="1"/>
      <c r="B159" s="20" t="s">
        <v>114</v>
      </c>
      <c r="C159" s="10">
        <f>C157-G234</f>
        <v>65</v>
      </c>
      <c r="D159" s="10">
        <f>D157-C157</f>
        <v>116</v>
      </c>
      <c r="E159" s="1"/>
      <c r="F159" s="10">
        <f>F157-D157</f>
        <v>11</v>
      </c>
      <c r="G159" s="10">
        <f>G157-F157</f>
        <v>115</v>
      </c>
      <c r="H159" s="29">
        <f>H157-G157</f>
        <v>49.04822101167338</v>
      </c>
      <c r="I159" s="1"/>
      <c r="J159" s="1"/>
    </row>
    <row r="160">
      <c r="A160" s="1"/>
      <c r="B160" s="21" t="s">
        <v>591</v>
      </c>
      <c r="C160" s="3">
        <v>1398</v>
      </c>
      <c r="D160" s="3">
        <v>1424</v>
      </c>
      <c r="E160" s="3">
        <v>1424</v>
      </c>
      <c r="F160" s="3">
        <v>1385</v>
      </c>
      <c r="G160" s="3">
        <v>1502</v>
      </c>
      <c r="H160" s="29">
        <f>H137-H154-H157</f>
        <v>1537.4355112840467</v>
      </c>
      <c r="I160" s="1"/>
      <c r="J160" s="2" t="s">
        <v>592</v>
      </c>
    </row>
    <row r="161">
      <c r="A161" s="1"/>
      <c r="B161" s="51" t="s">
        <v>58</v>
      </c>
      <c r="C161" s="22">
        <f>IF(AND(ISNUMBER(C160),ISNUMBER(C235)),IF(OR(C235&lt;=0,C160&lt;0),"n.m.",C160/C235-1),"n.a.")</f>
        <v>0.1979434447300772</v>
      </c>
      <c r="D161" s="22">
        <f>IF(AND(ISNUMBER(D160),ISNUMBER(D235)),IF(OR(D235&lt;=0,D160&lt;0),"n.m.",D160/D235-1),"n.a.")</f>
        <v>0.1956339210747271</v>
      </c>
      <c r="E161" s="22">
        <f>IF(AND(ISNUMBER(E160),ISNUMBER(E235)),IF(OR(E235&lt;=0,E160&lt;0),"n.m.",E160/E235-1),"n.a.")</f>
        <v>0.1956339210747271</v>
      </c>
      <c r="F161" s="22">
        <f>IF(AND(ISNUMBER(F160),ISNUMBER(F235)),IF(OR(F235&lt;=0,F160&lt;0),"n.m.",F160/F235-1),"n.a.")</f>
        <v>0.14747307373653684</v>
      </c>
      <c r="G161" s="22">
        <f>IF(AND(ISNUMBER(G160),ISNUMBER(G235)),IF(OR(G235&lt;=0,G160&lt;0),"n.m.",G160/G235-1),"n.a.")</f>
        <v>0.15449654112221367</v>
      </c>
      <c r="H161" s="39">
        <f>IF(AND(ISNUMBER(H160),ISNUMBER(C160)),IF(OR(C160&lt;=0,H160&lt;0),"n.m.",H160/C160-1),"n.a.")</f>
        <v>0.09973927845783015</v>
      </c>
      <c r="I161" s="1"/>
      <c r="J161" s="1"/>
    </row>
    <row r="162">
      <c r="A162" s="1"/>
      <c r="B162" s="20" t="s">
        <v>114</v>
      </c>
      <c r="C162" s="10">
        <f>C160-G235</f>
        <v>97</v>
      </c>
      <c r="D162" s="10">
        <f>D160-C160</f>
        <v>26</v>
      </c>
      <c r="E162" s="1"/>
      <c r="F162" s="10">
        <f>F160-D160</f>
        <v>-39</v>
      </c>
      <c r="G162" s="10">
        <f>G160-F160</f>
        <v>117</v>
      </c>
      <c r="H162" s="29">
        <f>H160-G160</f>
        <v>35.4355112840467</v>
      </c>
      <c r="I162" s="1"/>
      <c r="J162" s="1"/>
    </row>
    <row r="163">
      <c r="A163" s="1"/>
      <c r="B163" s="1"/>
      <c r="C163" s="1"/>
      <c r="D163" s="1"/>
      <c r="E163" s="1"/>
      <c r="F163" s="1"/>
      <c r="G163" s="1"/>
      <c r="H163" s="30"/>
      <c r="I163" s="1"/>
      <c r="J163" s="1"/>
    </row>
    <row r="164">
      <c r="A164" s="1"/>
      <c r="B164" s="31" t="s">
        <v>593</v>
      </c>
      <c r="C164" s="1"/>
      <c r="D164" s="1"/>
      <c r="E164" s="1"/>
      <c r="F164" s="1"/>
      <c r="G164" s="1"/>
      <c r="H164" s="30"/>
      <c r="I164" s="1"/>
      <c r="J164" s="1"/>
    </row>
    <row r="165">
      <c r="A165" s="1"/>
      <c r="B165" s="1" t="s">
        <v>594</v>
      </c>
      <c r="C165" s="3">
        <v>250730</v>
      </c>
      <c r="D165" s="3">
        <v>260792</v>
      </c>
      <c r="E165" s="3">
        <v>246596</v>
      </c>
      <c r="F165" s="3">
        <v>267986</v>
      </c>
      <c r="G165" s="3">
        <v>284281</v>
      </c>
      <c r="H165" s="29">
        <f>G165*(1+H168)</f>
        <v>292809.43</v>
      </c>
      <c r="I165" s="1"/>
      <c r="J165" s="2" t="s">
        <v>595</v>
      </c>
    </row>
    <row r="166">
      <c r="A166" s="1"/>
      <c r="B166" s="36" t="s">
        <v>58</v>
      </c>
      <c r="C166" s="22">
        <f>IF(AND(ISNUMBER(C165),ISNUMBER(C236)),IF(OR(C236&lt;=0,C165&lt;0),"n.m.",C165/C236-1),"n.a.")</f>
        <v>0.09346312020549585</v>
      </c>
      <c r="D166" s="22">
        <f>IF(AND(ISNUMBER(D165),ISNUMBER(D236)),IF(OR(D236&lt;=0,D165&lt;0),"n.m.",D165/D236-1),"n.a.")</f>
        <v>0.1156017932308957</v>
      </c>
      <c r="E166" s="22">
        <f>IF(AND(ISNUMBER(E165),ISNUMBER(E236)),IF(OR(E236&lt;=0,E165&lt;0),"n.m.",E165/E236-1),"n.a.")</f>
        <v>0.08310054639048481</v>
      </c>
      <c r="F166" s="22">
        <f>IF(AND(ISNUMBER(F165),ISNUMBER(F236)),IF(OR(F236&lt;=0,F165&lt;0),"n.m.",F165/F236-1),"n.a.")</f>
        <v>0.14554773293664525</v>
      </c>
      <c r="G166" s="22">
        <f>IF(AND(ISNUMBER(G165),ISNUMBER(G236)),IF(OR(G236&lt;=0,G165&lt;0),"n.m.",G165/G236-1),"n.a.")</f>
        <v>0.1816239582683874</v>
      </c>
      <c r="H166" s="39">
        <f>IF(AND(ISNUMBER(H165),ISNUMBER(C165)),IF(OR(C165&lt;=0,H165&lt;0),"n.m.",H165/C165-1),"n.a.")</f>
        <v>0.1678276632233877</v>
      </c>
      <c r="I166" s="1"/>
      <c r="J166" s="1"/>
    </row>
    <row r="167">
      <c r="A167" s="1"/>
      <c r="B167" s="21" t="s">
        <v>114</v>
      </c>
      <c r="C167" s="10">
        <f>C165-G236</f>
        <v>10145</v>
      </c>
      <c r="D167" s="10">
        <f>D165-C165</f>
        <v>10062</v>
      </c>
      <c r="E167" s="1"/>
      <c r="F167" s="10">
        <f>F165-D165</f>
        <v>7194</v>
      </c>
      <c r="G167" s="10">
        <f>G165-F165</f>
        <v>16295</v>
      </c>
      <c r="H167" s="29">
        <f>H165-G165</f>
        <v>8528.429999999993</v>
      </c>
      <c r="I167" s="1"/>
      <c r="J167" s="1"/>
    </row>
    <row r="168">
      <c r="A168" s="1"/>
      <c r="B168" s="51" t="s">
        <v>146</v>
      </c>
      <c r="C168" s="22">
        <f>IF(AND(ISNUMBER(C165),ISNUMBER(G236)),IF(OR(G236&lt;=0,C165&lt;0),"n.m.",C165/G236-1),"n.a.")</f>
        <v>0.042168048714591455</v>
      </c>
      <c r="D168" s="22">
        <f>IF(AND(ISNUMBER(D165),ISNUMBER(C165)),IF(OR(C165&lt;=0,D165&lt;0),"n.m.",D165/C165-1),"n.a.")</f>
        <v>0.04013081801140661</v>
      </c>
      <c r="E168" s="1"/>
      <c r="F168" s="22">
        <f>IF(AND(ISNUMBER(F165),ISNUMBER(D165)),IF(OR(D165&lt;=0,F165&lt;0),"n.m.",F165/D165-1),"n.a.")</f>
        <v>0.027585202000061315</v>
      </c>
      <c r="G168" s="22">
        <f>IF(AND(ISNUMBER(G165),ISNUMBER(F165)),IF(OR(F165&lt;=0,G165&lt;0),"n.m.",G165/F165-1),"n.a.")</f>
        <v>0.06080541520825711</v>
      </c>
      <c r="H168" s="72">
        <v>0.03</v>
      </c>
      <c r="I168" s="1"/>
      <c r="J168" s="1"/>
    </row>
    <row r="169">
      <c r="A169" s="1"/>
      <c r="B169" s="1" t="s">
        <v>596</v>
      </c>
      <c r="C169" s="3">
        <v>241454</v>
      </c>
      <c r="D169" s="3">
        <v>247065</v>
      </c>
      <c r="E169" s="3">
        <v>245248</v>
      </c>
      <c r="F169" s="3">
        <v>253706</v>
      </c>
      <c r="G169" s="3">
        <v>260092</v>
      </c>
      <c r="H169" s="29">
        <f>G169*(1+H172)</f>
        <v>262692.92</v>
      </c>
      <c r="I169" s="1"/>
      <c r="J169" s="2" t="s">
        <v>597</v>
      </c>
    </row>
    <row r="170">
      <c r="A170" s="1"/>
      <c r="B170" s="36" t="s">
        <v>58</v>
      </c>
      <c r="C170" s="22">
        <f>IF(AND(ISNUMBER(C169),ISNUMBER(C237)),IF(OR(C237&lt;=0,C169&lt;0),"n.m.",C169/C237-1),"n.a.")</f>
        <v>0.021076669344948673</v>
      </c>
      <c r="D170" s="22">
        <f>IF(AND(ISNUMBER(D169),ISNUMBER(D237)),IF(OR(D237&lt;=0,D169&lt;0),"n.m.",D169/D237-1),"n.a.")</f>
        <v>-0.006981455132997305</v>
      </c>
      <c r="E170" s="22">
        <f>IF(AND(ISNUMBER(E169),ISNUMBER(E237)),IF(OR(E237&lt;=0,E169&lt;0),"n.m.",E169/E237-1),"n.a.")</f>
        <v>0.04296054366223534</v>
      </c>
      <c r="F170" s="22">
        <f>IF(AND(ISNUMBER(F169),ISNUMBER(F237)),IF(OR(F237&lt;=0,F169&lt;0),"n.m.",F169/F237-1),"n.a.")</f>
        <v>0.03932291986710745</v>
      </c>
      <c r="G170" s="22">
        <f>IF(AND(ISNUMBER(G169),ISNUMBER(G237)),IF(OR(G237&lt;=0,G169&lt;0),"n.m.",G169/G237-1),"n.a.")</f>
        <v>0.0471746351283342</v>
      </c>
      <c r="H170" s="39">
        <f>IF(AND(ISNUMBER(H169),ISNUMBER(C169)),IF(OR(C169&lt;=0,H169&lt;0),"n.m.",H169/C169-1),"n.a.")</f>
        <v>0.0879625932889907</v>
      </c>
      <c r="I170" s="1"/>
      <c r="J170" s="1"/>
    </row>
    <row r="171">
      <c r="A171" s="1"/>
      <c r="B171" s="21" t="s">
        <v>114</v>
      </c>
      <c r="C171" s="10">
        <f>C169-G237</f>
        <v>-6921</v>
      </c>
      <c r="D171" s="10">
        <f>D169-C169</f>
        <v>5611</v>
      </c>
      <c r="E171" s="1"/>
      <c r="F171" s="10">
        <f>F169-D169</f>
        <v>6641</v>
      </c>
      <c r="G171" s="10">
        <f>G169-F169</f>
        <v>6386</v>
      </c>
      <c r="H171" s="29">
        <f>H169-G169</f>
        <v>2600.9199999999837</v>
      </c>
      <c r="I171" s="1"/>
      <c r="J171" s="1"/>
    </row>
    <row r="172">
      <c r="A172" s="1"/>
      <c r="B172" s="51" t="s">
        <v>146</v>
      </c>
      <c r="C172" s="22">
        <f>IF(AND(ISNUMBER(C169),ISNUMBER(G237)),IF(OR(G237&lt;=0,C169&lt;0),"n.m.",C169/G237-1),"n.a.")</f>
        <v>-0.027865123301459516</v>
      </c>
      <c r="D172" s="22">
        <f>IF(AND(ISNUMBER(D169),ISNUMBER(C169)),IF(OR(C169&lt;=0,D169&lt;0),"n.m.",D169/C169-1),"n.a.")</f>
        <v>0.023238380809595283</v>
      </c>
      <c r="E172" s="1"/>
      <c r="F172" s="22">
        <f>IF(AND(ISNUMBER(F169),ISNUMBER(D169)),IF(OR(D169&lt;=0,F169&lt;0),"n.m.",F169/D169-1),"n.a.")</f>
        <v>0.02687956610608544</v>
      </c>
      <c r="G172" s="22">
        <f>IF(AND(ISNUMBER(G169),ISNUMBER(F169)),IF(OR(F169&lt;=0,G169&lt;0),"n.m.",G169/F169-1),"n.a.")</f>
        <v>0.025170867066604652</v>
      </c>
      <c r="H172" s="72">
        <v>0.01</v>
      </c>
      <c r="I172" s="1"/>
      <c r="J172" s="1"/>
    </row>
    <row r="173">
      <c r="A173" s="1"/>
      <c r="B173" s="1" t="s">
        <v>475</v>
      </c>
      <c r="C173" s="3">
        <v>62</v>
      </c>
      <c r="D173" s="3">
        <v>30</v>
      </c>
      <c r="E173" s="3">
        <v>92</v>
      </c>
      <c r="F173" s="3">
        <v>1</v>
      </c>
      <c r="G173" s="3">
        <v>2</v>
      </c>
      <c r="H173" s="44">
        <v>10</v>
      </c>
      <c r="I173" s="1"/>
      <c r="J173" s="2" t="s">
        <v>598</v>
      </c>
    </row>
    <row r="174">
      <c r="A174" s="1"/>
      <c r="B174" s="36" t="s">
        <v>58</v>
      </c>
      <c r="C174" s="22">
        <f>IF(AND(ISNUMBER(C173),ISNUMBER(C238)),IF(OR(C238&lt;=0,C173&lt;0),"n.m.",C173/C238-1),"n.a.")</f>
        <v>4.166666666666667</v>
      </c>
      <c r="D174" s="22" t="str">
        <f>IF(AND(ISNUMBER(D173),ISNUMBER(D238)),IF(OR(D238&lt;=0,D173&lt;0),"n.m.",D173/D238-1),"n.a.")</f>
        <v>n.m.</v>
      </c>
      <c r="E174" s="22">
        <f>IF(AND(ISNUMBER(E173),ISNUMBER(E238)),IF(OR(E238&lt;=0,E173&lt;0),"n.m.",E173/E238-1),"n.a.")</f>
        <v>3.3809523809523814</v>
      </c>
      <c r="F174" s="22">
        <f>IF(AND(ISNUMBER(F173),ISNUMBER(F238)),IF(OR(F238&lt;=0,F173&lt;0),"n.m.",F173/F238-1),"n.a.")</f>
        <v>0</v>
      </c>
      <c r="G174" s="22" t="str">
        <f>IF(AND(ISNUMBER(G173),ISNUMBER(G238)),IF(OR(G238&lt;=0,G173&lt;0),"n.m.",G173/G238-1),"n.a.")</f>
        <v>n.m.</v>
      </c>
      <c r="H174" s="39">
        <f>IF(AND(ISNUMBER(H173),ISNUMBER(C173)),IF(OR(C173&lt;=0,H173&lt;0),"n.m.",H173/C173-1),"n.a.")</f>
        <v>-0.8387096774193549</v>
      </c>
      <c r="I174" s="1"/>
      <c r="J174" s="1"/>
    </row>
    <row r="175">
      <c r="A175" s="1"/>
      <c r="B175" s="21" t="s">
        <v>114</v>
      </c>
      <c r="C175" s="10">
        <f>C173-G238</f>
        <v>63</v>
      </c>
      <c r="D175" s="10">
        <f>D173-C173</f>
        <v>-32</v>
      </c>
      <c r="E175" s="1"/>
      <c r="F175" s="10">
        <f>F173-D173</f>
        <v>-29</v>
      </c>
      <c r="G175" s="10">
        <f>G173-F173</f>
        <v>1</v>
      </c>
      <c r="H175" s="29">
        <f>H173-G173</f>
        <v>8</v>
      </c>
      <c r="I175" s="1"/>
      <c r="J175" s="1"/>
    </row>
    <row r="176">
      <c r="A176" s="1"/>
      <c r="B176" s="1"/>
      <c r="C176" s="1"/>
      <c r="D176" s="1"/>
      <c r="E176" s="1"/>
      <c r="F176" s="1"/>
      <c r="G176" s="1"/>
      <c r="H176" s="30"/>
      <c r="I176" s="1"/>
      <c r="J176" s="1"/>
    </row>
    <row r="177">
      <c r="A177" s="1"/>
      <c r="B177" s="31" t="s">
        <v>314</v>
      </c>
      <c r="C177" s="1"/>
      <c r="D177" s="1"/>
      <c r="E177" s="1"/>
      <c r="F177" s="1"/>
      <c r="G177" s="1"/>
      <c r="H177" s="30"/>
      <c r="I177" s="1"/>
      <c r="J177" s="1"/>
    </row>
    <row r="178">
      <c r="A178" s="1"/>
      <c r="B178" s="1" t="s">
        <v>317</v>
      </c>
      <c r="C178" s="10">
        <f>C24</f>
        <v>6066</v>
      </c>
      <c r="D178" s="10">
        <f>D24</f>
        <v>6516</v>
      </c>
      <c r="E178" s="10">
        <f>E24</f>
        <v>24073</v>
      </c>
      <c r="F178" s="10">
        <f>F24</f>
        <v>6374</v>
      </c>
      <c r="G178" s="10">
        <f>G24</f>
        <v>6851</v>
      </c>
      <c r="H178" s="29">
        <f>H24</f>
        <v>6915.948709369862</v>
      </c>
      <c r="I178" s="1"/>
      <c r="J178" s="1"/>
    </row>
    <row r="179">
      <c r="A179" s="1"/>
      <c r="B179" s="36" t="s">
        <v>479</v>
      </c>
      <c r="C179" s="22">
        <f>IF(AND(ISNUMBER(C181),ISNUMBER(G240)),IF(OR(G240&lt;=0,C181&lt;0),"n.m.",C181/G240-1),"n.a.")</f>
        <v>0.02276989016876496</v>
      </c>
      <c r="D179" s="22">
        <f>IF(AND(ISNUMBER(D181),ISNUMBER(C181)),IF(OR(C181&lt;=0,D181&lt;0),"n.m.",D181/C181-1),"n.a.")</f>
        <v>0.06547930853850192</v>
      </c>
      <c r="E179" s="1"/>
      <c r="F179" s="22">
        <f>IF(AND(ISNUMBER(F181),ISNUMBER(D181)),IF(OR(D181&lt;=0,F181&lt;0),"n.m.",F181/D181-1),"n.a.")</f>
        <v>0.02433628318584069</v>
      </c>
      <c r="G179" s="22">
        <f>IF(AND(ISNUMBER(G181),ISNUMBER(F181)),IF(OR(F181&lt;=0,G181&lt;0),"n.m.",G181/F181-1),"n.a.")</f>
        <v>0.009599232061435092</v>
      </c>
      <c r="H179" s="72">
        <v>0.01</v>
      </c>
      <c r="I179" s="1"/>
      <c r="J179" s="1"/>
    </row>
    <row r="180">
      <c r="A180" s="1"/>
      <c r="B180" s="36" t="s">
        <v>599</v>
      </c>
      <c r="C180" s="1"/>
      <c r="D180" s="1"/>
      <c r="E180" s="1"/>
      <c r="F180" s="1"/>
      <c r="G180" s="1"/>
      <c r="H180" s="72">
        <v>0.3</v>
      </c>
      <c r="I180" s="1"/>
      <c r="J180" s="1"/>
    </row>
    <row r="181">
      <c r="A181" s="1"/>
      <c r="B181" s="1" t="s">
        <v>318</v>
      </c>
      <c r="C181" s="3">
        <v>3818</v>
      </c>
      <c r="D181" s="3">
        <v>4068</v>
      </c>
      <c r="E181" s="3">
        <v>15332</v>
      </c>
      <c r="F181" s="3">
        <v>4167</v>
      </c>
      <c r="G181" s="3">
        <v>4207</v>
      </c>
      <c r="H181" s="29">
        <f>G181*(1+H179)+(H178-G178)*H180</f>
        <v>4268.554612810958</v>
      </c>
      <c r="I181" s="1"/>
      <c r="J181" s="2" t="s">
        <v>313</v>
      </c>
    </row>
    <row r="182">
      <c r="A182" s="1"/>
      <c r="B182" s="36" t="s">
        <v>58</v>
      </c>
      <c r="C182" s="22">
        <f>IF(AND(ISNUMBER(C181),ISNUMBER(C240)),IF(OR(C240&lt;=0,C181&lt;0),"n.m.",C181/C240-1),"n.a.")</f>
        <v>0.049189337730145555</v>
      </c>
      <c r="D182" s="22">
        <f>IF(AND(ISNUMBER(D181),ISNUMBER(D240)),IF(OR(D240&lt;=0,D181&lt;0),"n.m.",D181/D240-1),"n.a.")</f>
        <v>0.07847295864262982</v>
      </c>
      <c r="E182" s="22">
        <f>IF(AND(ISNUMBER(E181),ISNUMBER(E240)),IF(OR(E240&lt;=0,E181&lt;0),"n.m.",E181/E240-1),"n.a.")</f>
        <v>0.0636880810323297</v>
      </c>
      <c r="F182" s="22">
        <f>IF(AND(ISNUMBER(F181),ISNUMBER(F240)),IF(OR(F240&lt;=0,F181&lt;0),"n.m.",F181/F240-1),"n.a.")</f>
        <v>0.12227309453272284</v>
      </c>
      <c r="G182" s="22">
        <f>IF(AND(ISNUMBER(G181),ISNUMBER(G240)),IF(OR(G240&lt;=0,G181&lt;0),"n.m.",G181/G240-1),"n.a.")</f>
        <v>0.12697562282346642</v>
      </c>
      <c r="H182" s="39">
        <f>IF(AND(ISNUMBER(H181),ISNUMBER(C181)),IF(OR(C181&lt;=0,H181&lt;0),"n.m.",H181/C181-1),"n.a.")</f>
        <v>0.11800801802277583</v>
      </c>
      <c r="I182" s="1"/>
      <c r="J182" s="1"/>
    </row>
    <row r="183">
      <c r="A183" s="1"/>
      <c r="B183" s="21" t="s">
        <v>114</v>
      </c>
      <c r="C183" s="10">
        <f>C181-G240</f>
        <v>85</v>
      </c>
      <c r="D183" s="10">
        <f>D181-C181</f>
        <v>250</v>
      </c>
      <c r="E183" s="1"/>
      <c r="F183" s="10">
        <f>F181-D181</f>
        <v>99</v>
      </c>
      <c r="G183" s="10">
        <f>G181-F181</f>
        <v>40</v>
      </c>
      <c r="H183" s="29">
        <f>H181-G181</f>
        <v>61.55461281095813</v>
      </c>
      <c r="I183" s="1"/>
      <c r="J183" s="1"/>
    </row>
    <row r="184">
      <c r="A184" s="1"/>
      <c r="B184" s="31" t="s">
        <v>319</v>
      </c>
      <c r="C184" s="43">
        <f>C178-C181</f>
        <v>2248</v>
      </c>
      <c r="D184" s="43">
        <f>D178-D181</f>
        <v>2448</v>
      </c>
      <c r="E184" s="43">
        <f>E178-E181</f>
        <v>8741</v>
      </c>
      <c r="F184" s="43">
        <f>F178-F181</f>
        <v>2207</v>
      </c>
      <c r="G184" s="43">
        <f>G178-G181</f>
        <v>2644</v>
      </c>
      <c r="H184" s="45">
        <f>H178-H181</f>
        <v>2647.3940965589036</v>
      </c>
      <c r="I184" s="1"/>
      <c r="J184" s="1"/>
    </row>
    <row r="185">
      <c r="A185" s="1"/>
      <c r="B185" s="36" t="s">
        <v>58</v>
      </c>
      <c r="C185" s="22">
        <f>IF(AND(ISNUMBER(C184),ISNUMBER(C241)),IF(OR(C241&lt;=0,C184&lt;0),"n.m.",C184/C241-1),"n.a.")</f>
        <v>0.24888888888888894</v>
      </c>
      <c r="D185" s="22">
        <f>IF(AND(ISNUMBER(D184),ISNUMBER(D241)),IF(OR(D241&lt;=0,D184&lt;0),"n.m.",D184/D241-1),"n.a.")</f>
        <v>0.22033898305084754</v>
      </c>
      <c r="E185" s="22">
        <f>IF(AND(ISNUMBER(E184),ISNUMBER(E241)),IF(OR(E241&lt;=0,E184&lt;0),"n.m.",E184/E241-1),"n.a.")</f>
        <v>0.22012841987716358</v>
      </c>
      <c r="F185" s="22">
        <f>IF(AND(ISNUMBER(F184),ISNUMBER(F241)),IF(OR(F241&lt;=0,F184&lt;0),"n.m.",F184/F241-1),"n.a.")</f>
        <v>0.09365708622398405</v>
      </c>
      <c r="G185" s="22">
        <f>IF(AND(ISNUMBER(G184),ISNUMBER(G241)),IF(OR(G241&lt;=0,G184&lt;0),"n.m.",G184/G241-1),"n.a.")</f>
        <v>0.30439072520966937</v>
      </c>
      <c r="H185" s="39">
        <f>IF(AND(ISNUMBER(H184),ISNUMBER(C184)),IF(OR(C184&lt;=0,H184&lt;0),"n.m.",H184/C184-1),"n.a.")</f>
        <v>0.17766641306001052</v>
      </c>
      <c r="I185" s="1"/>
      <c r="J185" s="1"/>
    </row>
    <row r="186">
      <c r="A186" s="1"/>
      <c r="B186" s="1" t="s">
        <v>312</v>
      </c>
      <c r="C186" s="3">
        <v>59</v>
      </c>
      <c r="D186" s="3">
        <v>2</v>
      </c>
      <c r="E186" s="3">
        <v>97</v>
      </c>
      <c r="F186" s="3">
        <v>-24</v>
      </c>
      <c r="G186" s="3">
        <v>13</v>
      </c>
      <c r="H186" s="44">
        <v>15</v>
      </c>
      <c r="I186" s="1"/>
      <c r="J186" s="2" t="s">
        <v>313</v>
      </c>
    </row>
    <row r="187">
      <c r="A187" s="1"/>
      <c r="B187" s="21" t="s">
        <v>131</v>
      </c>
      <c r="C187" s="10">
        <f>C186-C242</f>
        <v>55</v>
      </c>
      <c r="D187" s="10">
        <f>D186-D242</f>
        <v>37</v>
      </c>
      <c r="E187" s="10">
        <f>E186-E242</f>
        <v>165</v>
      </c>
      <c r="F187" s="10">
        <f>F186-F242</f>
        <v>-14</v>
      </c>
      <c r="G187" s="10">
        <f>G186-G242</f>
        <v>-33</v>
      </c>
      <c r="H187" s="29">
        <f>H186-C186</f>
        <v>-44</v>
      </c>
      <c r="I187" s="1"/>
      <c r="J187" s="1"/>
    </row>
    <row r="188">
      <c r="A188" s="1"/>
      <c r="B188" s="21" t="s">
        <v>114</v>
      </c>
      <c r="C188" s="10">
        <f>C186-G242</f>
        <v>13</v>
      </c>
      <c r="D188" s="10">
        <f>D186-C186</f>
        <v>-57</v>
      </c>
      <c r="E188" s="1"/>
      <c r="F188" s="10">
        <f>F186-D186</f>
        <v>-26</v>
      </c>
      <c r="G188" s="10">
        <f>G186-F186</f>
        <v>37</v>
      </c>
      <c r="H188" s="29">
        <f>H186-G186</f>
        <v>2</v>
      </c>
      <c r="I188" s="1"/>
      <c r="J188" s="1"/>
    </row>
    <row r="189">
      <c r="A189" s="1"/>
      <c r="B189" s="31" t="s">
        <v>320</v>
      </c>
      <c r="C189" s="43">
        <f>C184-C186</f>
        <v>2189</v>
      </c>
      <c r="D189" s="43">
        <f>D184-D186</f>
        <v>2446</v>
      </c>
      <c r="E189" s="43">
        <f>E184-E186</f>
        <v>8644</v>
      </c>
      <c r="F189" s="43">
        <f>F184-F186</f>
        <v>2231</v>
      </c>
      <c r="G189" s="43">
        <f>G184-G186</f>
        <v>2631</v>
      </c>
      <c r="H189" s="45">
        <f>H184-H186</f>
        <v>2632.3940965589036</v>
      </c>
      <c r="I189" s="1"/>
      <c r="J189" s="1"/>
    </row>
    <row r="190">
      <c r="A190" s="1"/>
      <c r="B190" s="36" t="s">
        <v>58</v>
      </c>
      <c r="C190" s="22">
        <f>IF(AND(ISNUMBER(C189),ISNUMBER(C243)),IF(OR(C243&lt;=0,C189&lt;0),"n.m.",C189/C243-1),"n.a.")</f>
        <v>0.2188195991091315</v>
      </c>
      <c r="D190" s="22">
        <f>IF(AND(ISNUMBER(D189),ISNUMBER(D243)),IF(OR(D243&lt;=0,D189&lt;0),"n.m.",D189/D243-1),"n.a.")</f>
        <v>0.19843214110730045</v>
      </c>
      <c r="E190" s="22">
        <f>IF(AND(ISNUMBER(E189),ISNUMBER(E243)),IF(OR(E243&lt;=0,E189&lt;0),"n.m.",E189/E243-1),"n.a.")</f>
        <v>0.1952433628318584</v>
      </c>
      <c r="F190" s="22">
        <f>IF(AND(ISNUMBER(F189),ISNUMBER(F243)),IF(OR(F243&lt;=0,F189&lt;0),"n.m.",F189/F243-1),"n.a.")</f>
        <v>0.10009861932938846</v>
      </c>
      <c r="G190" s="22">
        <f>IF(AND(ISNUMBER(G189),ISNUMBER(G243)),IF(OR(G243&lt;=0,G189&lt;0),"n.m.",G189/G243-1),"n.a.")</f>
        <v>0.32811711256940934</v>
      </c>
      <c r="H190" s="39">
        <f>IF(AND(ISNUMBER(H189),ISNUMBER(C189)),IF(OR(C189&lt;=0,H189&lt;0),"n.m.",H189/C189-1),"n.a.")</f>
        <v>0.20255554890767646</v>
      </c>
      <c r="I190" s="1"/>
      <c r="J190" s="1"/>
    </row>
    <row r="191">
      <c r="A191" s="1"/>
      <c r="B191" s="1" t="s">
        <v>321</v>
      </c>
      <c r="C191" s="3">
        <v>531</v>
      </c>
      <c r="D191" s="3">
        <v>638</v>
      </c>
      <c r="E191" s="3">
        <v>2122</v>
      </c>
      <c r="F191" s="3">
        <v>456</v>
      </c>
      <c r="G191" s="3">
        <v>674</v>
      </c>
      <c r="H191" s="29">
        <f>H189*H194</f>
        <v>658.0985241397259</v>
      </c>
      <c r="I191" s="1"/>
      <c r="J191" s="2" t="s">
        <v>600</v>
      </c>
    </row>
    <row r="192">
      <c r="A192" s="1"/>
      <c r="B192" s="21" t="s">
        <v>131</v>
      </c>
      <c r="C192" s="10">
        <f>C191-C244</f>
        <v>86</v>
      </c>
      <c r="D192" s="10">
        <f>D191-D244</f>
        <v>114</v>
      </c>
      <c r="E192" s="10">
        <f>E191-E244</f>
        <v>311</v>
      </c>
      <c r="F192" s="10">
        <f>F191-F244</f>
        <v>11</v>
      </c>
      <c r="G192" s="10">
        <f>G191-G244</f>
        <v>166</v>
      </c>
      <c r="H192" s="29">
        <f>H191-C191</f>
        <v>127.0985241397259</v>
      </c>
      <c r="I192" s="1"/>
      <c r="J192" s="1"/>
    </row>
    <row r="193">
      <c r="A193" s="1"/>
      <c r="B193" s="21" t="s">
        <v>114</v>
      </c>
      <c r="C193" s="10">
        <f>C191-G244</f>
        <v>23</v>
      </c>
      <c r="D193" s="10">
        <f>D191-C191</f>
        <v>107</v>
      </c>
      <c r="E193" s="1"/>
      <c r="F193" s="10">
        <f>F191-D191</f>
        <v>-182</v>
      </c>
      <c r="G193" s="10">
        <f>G191-F191</f>
        <v>218</v>
      </c>
      <c r="H193" s="29">
        <f>H191-G191</f>
        <v>-15.901475860274104</v>
      </c>
      <c r="I193" s="1"/>
      <c r="J193" s="1"/>
    </row>
    <row r="194">
      <c r="A194" s="1"/>
      <c r="B194" s="36" t="s">
        <v>322</v>
      </c>
      <c r="C194" s="22">
        <f>C191/C189</f>
        <v>0.2425765189584285</v>
      </c>
      <c r="D194" s="22">
        <f>D191/D189</f>
        <v>0.2608340147179068</v>
      </c>
      <c r="E194" s="22">
        <f>E191/E189</f>
        <v>0.24548819990745024</v>
      </c>
      <c r="F194" s="22">
        <f>F191/F189</f>
        <v>0.20439264903630658</v>
      </c>
      <c r="G194" s="22">
        <f>G191/G189</f>
        <v>0.25617635879893574</v>
      </c>
      <c r="H194" s="72">
        <v>0.25</v>
      </c>
      <c r="I194" s="1"/>
      <c r="J194" s="1"/>
    </row>
    <row r="195">
      <c r="A195" s="1"/>
      <c r="B195" s="20" t="s">
        <v>153</v>
      </c>
      <c r="C195" s="25">
        <f>(C194-C245)*10000</f>
        <v>-51.96309549366618</v>
      </c>
      <c r="D195" s="25">
        <f>(D194-D245)*10000</f>
        <v>40.971210383379805</v>
      </c>
      <c r="E195" s="25">
        <f>(E194-E245)*10000</f>
        <v>-49.266231013992964</v>
      </c>
      <c r="F195" s="25">
        <f>(F194-F245)*10000</f>
        <v>-150.35358853239782</v>
      </c>
      <c r="G195" s="25">
        <f>(G194-G245)*10000</f>
        <v>-2.5978456300268515</v>
      </c>
      <c r="H195" s="58">
        <f>(H194-C194)*10000</f>
        <v>74.23481041571506</v>
      </c>
      <c r="I195" s="1"/>
      <c r="J195" s="1"/>
    </row>
    <row r="196">
      <c r="A196" s="1"/>
      <c r="B196" s="20" t="s">
        <v>154</v>
      </c>
      <c r="C196" s="25">
        <f>(C194-G245)*10000</f>
        <v>-138.59624403509935</v>
      </c>
      <c r="D196" s="25">
        <f>(D194-C194)*10000</f>
        <v>182.57495759478297</v>
      </c>
      <c r="E196" s="1"/>
      <c r="F196" s="25">
        <f>(F194-D194)*10000</f>
        <v>-564.4136568160021</v>
      </c>
      <c r="G196" s="25">
        <f>(G194-F194)*10000</f>
        <v>517.8370976262917</v>
      </c>
      <c r="H196" s="58">
        <f>(H194-G194)*10000</f>
        <v>-61.76358798935744</v>
      </c>
      <c r="I196" s="1"/>
      <c r="J196" s="1"/>
    </row>
    <row r="197">
      <c r="A197" s="1"/>
      <c r="B197" s="31" t="s">
        <v>601</v>
      </c>
      <c r="C197" s="43">
        <f>C189-C191</f>
        <v>1658</v>
      </c>
      <c r="D197" s="43">
        <f>D189-D191</f>
        <v>1808</v>
      </c>
      <c r="E197" s="43">
        <f>E189-E191</f>
        <v>6522</v>
      </c>
      <c r="F197" s="43">
        <f>F189-F191</f>
        <v>1775</v>
      </c>
      <c r="G197" s="43">
        <f>G189-G191</f>
        <v>1957</v>
      </c>
      <c r="H197" s="45">
        <f>H189-H191</f>
        <v>1974.2955724191777</v>
      </c>
      <c r="I197" s="1"/>
      <c r="J197" s="1"/>
    </row>
    <row r="198">
      <c r="A198" s="1"/>
      <c r="B198" s="36" t="s">
        <v>58</v>
      </c>
      <c r="C198" s="22">
        <f>IF(AND(ISNUMBER(C197),ISNUMBER(C246)),IF(OR(C246&lt;=0,C197&lt;0),"n.m.",C197/C246-1),"n.a.")</f>
        <v>0.2272390821613619</v>
      </c>
      <c r="D198" s="22">
        <f>IF(AND(ISNUMBER(D197),ISNUMBER(D246)),IF(OR(D246&lt;=0,D197&lt;0),"n.m.",D197/D246-1),"n.a.")</f>
        <v>0.19182597231377718</v>
      </c>
      <c r="E198" s="22">
        <f>IF(AND(ISNUMBER(E197),ISNUMBER(E246)),IF(OR(E246&lt;=0,E197&lt;0),"n.m.",E197/E246-1),"n.a.")</f>
        <v>0.20309905921416704</v>
      </c>
      <c r="F198" s="22">
        <f>IF(AND(ISNUMBER(F197),ISNUMBER(F246)),IF(OR(F246&lt;=0,F197&lt;0),"n.m.",F197/F246-1),"n.a.")</f>
        <v>0.12128869235628548</v>
      </c>
      <c r="G198" s="22">
        <f>IF(AND(ISNUMBER(G197),ISNUMBER(G246)),IF(OR(G246&lt;=0,G197&lt;0),"n.m.",G197/G246-1),"n.a.")</f>
        <v>0.3285811269517991</v>
      </c>
      <c r="H198" s="39">
        <f>IF(AND(ISNUMBER(H197),ISNUMBER(C197)),IF(OR(C197&lt;=0,H197&lt;0),"n.m.",H197/C197-1),"n.a.")</f>
        <v>0.19076934404051737</v>
      </c>
      <c r="I198" s="1"/>
      <c r="J198" s="1"/>
    </row>
    <row r="199">
      <c r="A199" s="1"/>
      <c r="B199" s="24" t="s">
        <v>325</v>
      </c>
      <c r="C199" s="22">
        <f>C189/C178</f>
        <v>0.3608638311902407</v>
      </c>
      <c r="D199" s="22">
        <f>D189/D178</f>
        <v>0.37538367096378145</v>
      </c>
      <c r="E199" s="22">
        <f>E189/E178</f>
        <v>0.3590744817845719</v>
      </c>
      <c r="F199" s="22">
        <f>F189/F178</f>
        <v>0.35001568873548794</v>
      </c>
      <c r="G199" s="22">
        <f>G189/G178</f>
        <v>0.38403152824405196</v>
      </c>
      <c r="H199" s="39">
        <f>H189/H178</f>
        <v>0.3806266077411021</v>
      </c>
      <c r="I199" s="1"/>
      <c r="J199" s="1"/>
    </row>
    <row r="200">
      <c r="A200" s="1"/>
      <c r="B200" s="21" t="s">
        <v>153</v>
      </c>
      <c r="C200" s="25">
        <f>(C199-C247)*10000</f>
        <v>306.5607241105334</v>
      </c>
      <c r="D200" s="25">
        <f>(D199-D247)*10000</f>
        <v>221.47256979703934</v>
      </c>
      <c r="E200" s="25">
        <f>(E199-E247)*10000</f>
        <v>239.18304196287542</v>
      </c>
      <c r="F200" s="25">
        <f>(F199-F247)*10000</f>
        <v>-38.49256300282433</v>
      </c>
      <c r="G200" s="25">
        <f>(G199-G247)*10000</f>
        <v>401.07917132940815</v>
      </c>
      <c r="H200" s="58">
        <f>(H199-C199)*10000</f>
        <v>197.62776550861395</v>
      </c>
      <c r="I200" s="1"/>
      <c r="J200" s="1"/>
    </row>
    <row r="201">
      <c r="A201" s="1"/>
      <c r="B201" s="21" t="s">
        <v>154</v>
      </c>
      <c r="C201" s="25">
        <f>(C199-G247)*10000</f>
        <v>169.40220079129543</v>
      </c>
      <c r="D201" s="25">
        <f>(D199-C199)*10000</f>
        <v>145.19839773540767</v>
      </c>
      <c r="E201" s="1"/>
      <c r="F201" s="25">
        <f>(F199-D199)*10000</f>
        <v>-253.67982228293505</v>
      </c>
      <c r="G201" s="25">
        <f>(G199-F199)*10000</f>
        <v>340.15839508564017</v>
      </c>
      <c r="H201" s="58">
        <f>(H199-G199)*10000</f>
        <v>-34.04920502949882</v>
      </c>
      <c r="I201" s="1"/>
      <c r="J201" s="1"/>
    </row>
    <row r="202">
      <c r="A202" s="1"/>
      <c r="B202" s="1"/>
      <c r="C202" s="1"/>
      <c r="D202" s="1"/>
      <c r="E202" s="1"/>
      <c r="F202" s="1"/>
      <c r="G202" s="1"/>
      <c r="H202" s="30"/>
      <c r="I202" s="1"/>
      <c r="J202" s="1"/>
    </row>
    <row r="203" ht="39">
      <c r="A203" s="1"/>
      <c r="B203" s="113" t="s">
        <v>158</v>
      </c>
      <c r="C203" s="116" t="s">
        <v>159</v>
      </c>
      <c r="D203" s="116" t="s">
        <v>160</v>
      </c>
      <c r="E203" s="116" t="s">
        <v>161</v>
      </c>
      <c r="F203" s="116" t="s">
        <v>162</v>
      </c>
      <c r="G203" s="116" t="s">
        <v>163</v>
      </c>
      <c r="H203" s="117" t="s">
        <v>57</v>
      </c>
      <c r="I203" s="1"/>
      <c r="J203" s="125" t="s">
        <v>164</v>
      </c>
    </row>
    <row r="204">
      <c r="A204" s="1"/>
      <c r="B204" s="21" t="s">
        <v>602</v>
      </c>
      <c r="C204" s="3">
        <v>2525</v>
      </c>
      <c r="D204" s="3">
        <v>2887</v>
      </c>
      <c r="E204" s="3">
        <v>10175</v>
      </c>
      <c r="F204" s="3">
        <v>2671</v>
      </c>
      <c r="G204" s="3">
        <v>2705</v>
      </c>
      <c r="H204" s="29">
        <f>C10</f>
        <v>2916</v>
      </c>
      <c r="I204" s="1"/>
      <c r="J204" s="1"/>
    </row>
    <row r="205">
      <c r="A205" s="1"/>
      <c r="B205" s="21" t="s">
        <v>603</v>
      </c>
      <c r="C205" s="3">
        <v>2914</v>
      </c>
      <c r="D205" s="3">
        <v>2891</v>
      </c>
      <c r="E205" s="3">
        <v>11403</v>
      </c>
      <c r="F205" s="3">
        <v>3060</v>
      </c>
      <c r="G205" s="3">
        <v>3055</v>
      </c>
      <c r="H205" s="29">
        <f>C17</f>
        <v>3150</v>
      </c>
      <c r="I205" s="1"/>
      <c r="J205" s="1"/>
    </row>
    <row r="206">
      <c r="A206" s="1"/>
      <c r="B206" s="21" t="s">
        <v>604</v>
      </c>
      <c r="C206" s="10">
        <f>C204+C205</f>
        <v>5439</v>
      </c>
      <c r="D206" s="10">
        <f>D204+D205</f>
        <v>5778</v>
      </c>
      <c r="E206" s="10">
        <f>E204+E205</f>
        <v>21578</v>
      </c>
      <c r="F206" s="10">
        <f>F204+F205</f>
        <v>5731</v>
      </c>
      <c r="G206" s="10">
        <f>G204+G205</f>
        <v>5760</v>
      </c>
      <c r="H206" s="29">
        <f>C24</f>
        <v>6066</v>
      </c>
      <c r="I206" s="1"/>
      <c r="J206" s="1"/>
    </row>
    <row r="207">
      <c r="A207" s="1"/>
      <c r="B207" s="21" t="s">
        <v>331</v>
      </c>
      <c r="C207" s="3">
        <v>3427</v>
      </c>
      <c r="D207" s="3">
        <v>3792</v>
      </c>
      <c r="E207" s="3">
        <v>13693</v>
      </c>
      <c r="F207" s="3">
        <v>3595</v>
      </c>
      <c r="G207" s="3">
        <v>3642</v>
      </c>
      <c r="H207" s="29">
        <f>C34</f>
        <v>3885</v>
      </c>
      <c r="I207" s="1"/>
      <c r="J207" s="1"/>
    </row>
    <row r="208">
      <c r="A208" s="1"/>
      <c r="B208" s="21" t="s">
        <v>605</v>
      </c>
      <c r="C208" s="10">
        <f>C207*365/C7/(C222*1000)*10000</f>
        <v>35.845636699182705</v>
      </c>
      <c r="D208" s="10">
        <f>D207*365/D7/(D222*1000)*10000</f>
        <v>37.85217719483446</v>
      </c>
      <c r="E208" s="10">
        <f>E207*365/E7/(E222*1000)*10000</f>
        <v>36.67604124815856</v>
      </c>
      <c r="F208" s="10">
        <f>F207*365/F7/(F222*1000)*10000</f>
        <v>35.74337392062325</v>
      </c>
      <c r="G208" s="10">
        <f>G207*365/G7/(G222*1000)*10000</f>
        <v>34.550666930042524</v>
      </c>
      <c r="H208" s="29">
        <f>C41</f>
        <v>34.47397722520981</v>
      </c>
      <c r="I208" s="1"/>
      <c r="J208" s="1"/>
    </row>
    <row r="209">
      <c r="A209" s="1"/>
      <c r="B209" s="21" t="s">
        <v>507</v>
      </c>
      <c r="C209" s="3">
        <v>224</v>
      </c>
      <c r="D209" s="3">
        <v>225</v>
      </c>
      <c r="E209" s="3">
        <v>874</v>
      </c>
      <c r="F209" s="3">
        <v>273</v>
      </c>
      <c r="G209" s="3">
        <v>314</v>
      </c>
      <c r="H209" s="29">
        <f>C44</f>
        <v>296</v>
      </c>
      <c r="I209" s="1"/>
      <c r="J209" s="1"/>
    </row>
    <row r="210">
      <c r="A210" s="1"/>
      <c r="B210" s="21" t="s">
        <v>508</v>
      </c>
      <c r="C210" s="3">
        <v>148</v>
      </c>
      <c r="D210" s="3">
        <v>60</v>
      </c>
      <c r="E210" s="3">
        <v>456</v>
      </c>
      <c r="F210" s="3">
        <v>125</v>
      </c>
      <c r="G210" s="3">
        <v>117</v>
      </c>
      <c r="H210" s="29">
        <f>C51</f>
        <v>156</v>
      </c>
      <c r="I210" s="1"/>
      <c r="J210" s="1"/>
    </row>
    <row r="211">
      <c r="A211" s="1"/>
      <c r="B211" s="21" t="s">
        <v>337</v>
      </c>
      <c r="C211" s="10">
        <f>C207+C209+C210</f>
        <v>3799</v>
      </c>
      <c r="D211" s="10">
        <f>D207+D209+D210</f>
        <v>4077</v>
      </c>
      <c r="E211" s="10">
        <f>E207+E209+E210</f>
        <v>15023</v>
      </c>
      <c r="F211" s="10">
        <f>F207+F209+F210</f>
        <v>3993</v>
      </c>
      <c r="G211" s="10">
        <f>G207+G209+G210</f>
        <v>4073</v>
      </c>
      <c r="H211" s="29">
        <f>C58</f>
        <v>4337</v>
      </c>
      <c r="I211" s="1"/>
      <c r="J211" s="1"/>
    </row>
    <row r="212">
      <c r="A212" s="1"/>
      <c r="B212" s="21" t="s">
        <v>338</v>
      </c>
      <c r="C212" s="3">
        <v>1640</v>
      </c>
      <c r="D212" s="3">
        <v>1701</v>
      </c>
      <c r="E212" s="3">
        <v>6555</v>
      </c>
      <c r="F212" s="3">
        <v>1738</v>
      </c>
      <c r="G212" s="3">
        <v>1687</v>
      </c>
      <c r="H212" s="29">
        <f>C65</f>
        <v>1729</v>
      </c>
      <c r="I212" s="1"/>
      <c r="J212" s="1"/>
    </row>
    <row r="213">
      <c r="A213" s="1"/>
      <c r="B213" s="21" t="s">
        <v>606</v>
      </c>
      <c r="C213" s="3">
        <v>3682</v>
      </c>
      <c r="D213" s="3">
        <v>3904</v>
      </c>
      <c r="E213" s="3">
        <v>3422</v>
      </c>
      <c r="F213" s="3">
        <v>4045</v>
      </c>
      <c r="G213" s="3">
        <v>4113</v>
      </c>
      <c r="H213" s="29">
        <f>C76</f>
        <v>4343</v>
      </c>
      <c r="I213" s="1"/>
      <c r="J213" s="1"/>
    </row>
    <row r="214">
      <c r="A214" s="1"/>
      <c r="B214" s="21" t="s">
        <v>607</v>
      </c>
      <c r="C214" s="3">
        <v>34</v>
      </c>
      <c r="D214" s="3">
        <v>94</v>
      </c>
      <c r="E214" s="3">
        <v>140</v>
      </c>
      <c r="F214" s="3">
        <v>36</v>
      </c>
      <c r="G214" s="3">
        <v>5</v>
      </c>
      <c r="H214" s="29">
        <f>C79</f>
        <v>37</v>
      </c>
      <c r="I214" s="1"/>
      <c r="J214" s="1"/>
    </row>
    <row r="215">
      <c r="A215" s="1"/>
      <c r="B215" s="21" t="s">
        <v>608</v>
      </c>
      <c r="C215" s="3">
        <v>37</v>
      </c>
      <c r="D215" s="3">
        <v>18</v>
      </c>
      <c r="E215" s="3">
        <v>91</v>
      </c>
      <c r="F215" s="3">
        <v>11</v>
      </c>
      <c r="G215" s="3">
        <v>27</v>
      </c>
      <c r="H215" s="29">
        <f>C82</f>
        <v>31</v>
      </c>
      <c r="I215" s="1"/>
      <c r="J215" s="1"/>
    </row>
    <row r="216">
      <c r="A216" s="1"/>
      <c r="B216" s="21" t="s">
        <v>609</v>
      </c>
      <c r="C216" s="3">
        <v>21</v>
      </c>
      <c r="D216" s="3">
        <v>41</v>
      </c>
      <c r="E216" s="3">
        <v>114</v>
      </c>
      <c r="F216" s="3">
        <v>37</v>
      </c>
      <c r="G216" s="3">
        <v>16</v>
      </c>
      <c r="H216" s="29">
        <f>C85</f>
        <v>31</v>
      </c>
      <c r="I216" s="1"/>
      <c r="J216" s="1"/>
    </row>
    <row r="217">
      <c r="A217" s="1"/>
      <c r="B217" s="21" t="s">
        <v>610</v>
      </c>
      <c r="C217" s="3">
        <v>10</v>
      </c>
      <c r="D217" s="3">
        <v>14</v>
      </c>
      <c r="E217" s="3">
        <v>19</v>
      </c>
      <c r="F217" s="3">
        <v>3</v>
      </c>
      <c r="G217" s="3">
        <v>-2</v>
      </c>
      <c r="H217" s="29">
        <f>C88</f>
        <v>4</v>
      </c>
      <c r="I217" s="1"/>
      <c r="J217" s="1"/>
    </row>
    <row r="218">
      <c r="A218" s="1"/>
      <c r="B218" s="21" t="s">
        <v>611</v>
      </c>
      <c r="C218" s="3">
        <v>4</v>
      </c>
      <c r="D218" s="3">
        <v>3</v>
      </c>
      <c r="E218" s="3">
        <v>10</v>
      </c>
      <c r="F218" s="3">
        <v>3</v>
      </c>
      <c r="G218" s="3">
        <v>-10</v>
      </c>
      <c r="H218" s="29">
        <f>C91</f>
        <v>6</v>
      </c>
      <c r="I218" s="1"/>
      <c r="J218" s="1"/>
    </row>
    <row r="219">
      <c r="A219" s="1"/>
      <c r="B219" s="21" t="s">
        <v>612</v>
      </c>
      <c r="C219" s="10">
        <f>C214+C215+C216+C217+C218</f>
        <v>106</v>
      </c>
      <c r="D219" s="10">
        <f>D214+D215+D216+D217+D218</f>
        <v>170</v>
      </c>
      <c r="E219" s="10">
        <f>E214+E215+E216+E217+E218</f>
        <v>374</v>
      </c>
      <c r="F219" s="10">
        <f>F214+F215+F216+F217+F218</f>
        <v>90</v>
      </c>
      <c r="G219" s="10">
        <f>G214+G215+G216+G217+G218</f>
        <v>36</v>
      </c>
      <c r="H219" s="29">
        <f>C94</f>
        <v>109</v>
      </c>
      <c r="I219" s="1"/>
      <c r="J219" s="1"/>
    </row>
    <row r="220">
      <c r="A220" s="1"/>
      <c r="B220" s="21" t="s">
        <v>613</v>
      </c>
      <c r="C220" s="3">
        <v>116</v>
      </c>
      <c r="D220" s="3">
        <v>-29</v>
      </c>
      <c r="E220" s="3">
        <v>249</v>
      </c>
      <c r="F220" s="3">
        <v>-22</v>
      </c>
      <c r="G220" s="3">
        <v>194</v>
      </c>
      <c r="H220" s="29">
        <f>C97</f>
        <v>147</v>
      </c>
      <c r="I220" s="1"/>
      <c r="J220" s="1"/>
    </row>
    <row r="221">
      <c r="A221" s="1"/>
      <c r="B221" s="21" t="s">
        <v>614</v>
      </c>
      <c r="C221" s="10">
        <f>C213+C219+C220</f>
        <v>3904</v>
      </c>
      <c r="D221" s="10">
        <f>D213+D219+D220</f>
        <v>4045</v>
      </c>
      <c r="E221" s="10">
        <f>E213+E219+E220</f>
        <v>4045</v>
      </c>
      <c r="F221" s="10">
        <f>F213+F219+F220</f>
        <v>4113</v>
      </c>
      <c r="G221" s="10">
        <f>G213+G219+G220</f>
        <v>4343</v>
      </c>
      <c r="H221" s="29">
        <f>C100</f>
        <v>4599</v>
      </c>
      <c r="I221" s="1"/>
      <c r="J221" s="1"/>
    </row>
    <row r="222">
      <c r="A222" s="1"/>
      <c r="B222" s="21" t="s">
        <v>615</v>
      </c>
      <c r="C222" s="10">
        <f>(C213+C221)/2</f>
        <v>3793</v>
      </c>
      <c r="D222" s="10">
        <f>(D213+D221)/2</f>
        <v>3974.5</v>
      </c>
      <c r="E222" s="10">
        <f>(E213+E221)/2</f>
        <v>3733.5</v>
      </c>
      <c r="F222" s="10">
        <f>(F213+F221)/2</f>
        <v>4079</v>
      </c>
      <c r="G222" s="10">
        <f>(G213+G221)/2</f>
        <v>4228</v>
      </c>
      <c r="H222" s="29">
        <f>C103</f>
        <v>4471</v>
      </c>
      <c r="I222" s="1"/>
      <c r="J222" s="1" t="s">
        <v>616</v>
      </c>
    </row>
    <row r="223">
      <c r="A223" s="1"/>
      <c r="B223" s="21" t="s">
        <v>617</v>
      </c>
      <c r="C223" s="12">
        <f>C219/C213*365/C7</f>
        <v>0.11421604515504333</v>
      </c>
      <c r="D223" s="12">
        <f>D219/D213*365/D7</f>
        <v>0.17276037954383464</v>
      </c>
      <c r="E223" s="12">
        <f>E219/E213*365/E7</f>
        <v>0.10929281122150789</v>
      </c>
      <c r="F223" s="12">
        <f>F219/F213*365/F7</f>
        <v>0.09023485784919653</v>
      </c>
      <c r="G223" s="12">
        <f>G219/G213*365/G7</f>
        <v>0.03510712482266092</v>
      </c>
      <c r="H223" s="62">
        <f>C106</f>
        <v>0.0995730260589254</v>
      </c>
      <c r="I223" s="1"/>
      <c r="J223" s="1"/>
    </row>
    <row r="224">
      <c r="A224" s="1"/>
      <c r="B224" s="21" t="s">
        <v>618</v>
      </c>
      <c r="C224" s="3">
        <v>983</v>
      </c>
      <c r="D224" s="3">
        <v>1083</v>
      </c>
      <c r="E224" s="3">
        <v>1083</v>
      </c>
      <c r="F224" s="3">
        <v>1120</v>
      </c>
      <c r="G224" s="3">
        <v>1131</v>
      </c>
      <c r="H224" s="29">
        <f>C112</f>
        <v>1174</v>
      </c>
      <c r="I224" s="1"/>
      <c r="J224" s="1"/>
    </row>
    <row r="225">
      <c r="A225" s="1"/>
      <c r="B225" s="21" t="s">
        <v>619</v>
      </c>
      <c r="C225" s="3">
        <v>854</v>
      </c>
      <c r="D225" s="3">
        <v>851</v>
      </c>
      <c r="E225" s="3">
        <v>851</v>
      </c>
      <c r="F225" s="3">
        <v>879</v>
      </c>
      <c r="G225" s="3">
        <v>925</v>
      </c>
      <c r="H225" s="29">
        <f>C117</f>
        <v>971</v>
      </c>
      <c r="I225" s="1"/>
      <c r="J225" s="1"/>
    </row>
    <row r="226">
      <c r="A226" s="1"/>
      <c r="B226" s="21" t="s">
        <v>620</v>
      </c>
      <c r="C226" s="3">
        <v>1094</v>
      </c>
      <c r="D226" s="3">
        <v>1128</v>
      </c>
      <c r="E226" s="3">
        <v>1128</v>
      </c>
      <c r="F226" s="3">
        <v>1128</v>
      </c>
      <c r="G226" s="3">
        <v>1258</v>
      </c>
      <c r="H226" s="29">
        <f>C122</f>
        <v>1371</v>
      </c>
      <c r="I226" s="1"/>
      <c r="J226" s="1"/>
    </row>
    <row r="227">
      <c r="A227" s="1"/>
      <c r="B227" s="21" t="s">
        <v>621</v>
      </c>
      <c r="C227" s="3">
        <v>763</v>
      </c>
      <c r="D227" s="3">
        <v>764</v>
      </c>
      <c r="E227" s="3">
        <v>764</v>
      </c>
      <c r="F227" s="3">
        <v>764</v>
      </c>
      <c r="G227" s="3">
        <v>809</v>
      </c>
      <c r="H227" s="29">
        <f>C127</f>
        <v>855</v>
      </c>
      <c r="I227" s="1"/>
      <c r="J227" s="1"/>
    </row>
    <row r="228">
      <c r="A228" s="1"/>
      <c r="B228" s="21" t="s">
        <v>622</v>
      </c>
      <c r="C228" s="3">
        <v>210</v>
      </c>
      <c r="D228" s="3">
        <v>219</v>
      </c>
      <c r="E228" s="3">
        <v>219</v>
      </c>
      <c r="F228" s="3">
        <v>222</v>
      </c>
      <c r="G228" s="3">
        <v>220</v>
      </c>
      <c r="H228" s="29">
        <f>C132</f>
        <v>228</v>
      </c>
      <c r="I228" s="1"/>
      <c r="J228" s="1"/>
    </row>
    <row r="229">
      <c r="A229" s="1"/>
      <c r="B229" s="21" t="s">
        <v>623</v>
      </c>
      <c r="C229" s="10">
        <f>C224+C225+C226+C227+C228</f>
        <v>3904</v>
      </c>
      <c r="D229" s="10">
        <f>D224+D225+D226+D227+D228</f>
        <v>4045</v>
      </c>
      <c r="E229" s="10">
        <f>E224+E225+E226+E227+E228</f>
        <v>4045</v>
      </c>
      <c r="F229" s="10">
        <f>F224+F225+F226+F227+F228</f>
        <v>4113</v>
      </c>
      <c r="G229" s="10">
        <f>G224+G225+G226+G227+G228</f>
        <v>4343</v>
      </c>
      <c r="H229" s="29">
        <f>C137</f>
        <v>4599</v>
      </c>
      <c r="I229" s="1"/>
      <c r="J229" s="1"/>
    </row>
    <row r="230">
      <c r="A230" s="1"/>
      <c r="B230" s="21" t="s">
        <v>624</v>
      </c>
      <c r="C230" s="3">
        <v>1817</v>
      </c>
      <c r="D230" s="3">
        <v>1887</v>
      </c>
      <c r="E230" s="3">
        <v>1887</v>
      </c>
      <c r="F230" s="3">
        <v>1889</v>
      </c>
      <c r="G230" s="3">
        <v>2078</v>
      </c>
      <c r="H230" s="29">
        <f>C142</f>
        <v>2239</v>
      </c>
      <c r="I230" s="1"/>
      <c r="J230" s="1"/>
    </row>
    <row r="231">
      <c r="A231" s="1"/>
      <c r="B231" s="21" t="s">
        <v>625</v>
      </c>
      <c r="C231" s="10">
        <f>C229+C230</f>
        <v>5721</v>
      </c>
      <c r="D231" s="10">
        <f>D229+D230</f>
        <v>5932</v>
      </c>
      <c r="E231" s="10">
        <f>E229+E230</f>
        <v>5932</v>
      </c>
      <c r="F231" s="10">
        <f>F229+F230</f>
        <v>6002</v>
      </c>
      <c r="G231" s="10">
        <f>G229+G230</f>
        <v>6421</v>
      </c>
      <c r="H231" s="29">
        <f>C146</f>
        <v>6838</v>
      </c>
      <c r="I231" s="1"/>
      <c r="J231" s="1"/>
    </row>
    <row r="232">
      <c r="A232" s="1"/>
      <c r="B232" s="21" t="s">
        <v>626</v>
      </c>
      <c r="C232" s="3">
        <v>140</v>
      </c>
      <c r="D232" s="3">
        <v>224</v>
      </c>
      <c r="E232" s="3">
        <v>486</v>
      </c>
      <c r="F232" s="3">
        <v>120</v>
      </c>
      <c r="G232" s="3">
        <v>80</v>
      </c>
      <c r="H232" s="29">
        <f>C150</f>
        <v>147</v>
      </c>
      <c r="I232" s="1"/>
      <c r="J232" s="1"/>
    </row>
    <row r="233">
      <c r="A233" s="1"/>
      <c r="B233" s="21" t="s">
        <v>627</v>
      </c>
      <c r="C233" s="3">
        <v>1115</v>
      </c>
      <c r="D233" s="3">
        <v>1162</v>
      </c>
      <c r="E233" s="3">
        <v>1162</v>
      </c>
      <c r="F233" s="3">
        <v>1201</v>
      </c>
      <c r="G233" s="3">
        <v>1270</v>
      </c>
      <c r="H233" s="29">
        <f>C154</f>
        <v>1364</v>
      </c>
      <c r="I233" s="1"/>
      <c r="J233" s="1"/>
    </row>
    <row r="234">
      <c r="A234" s="1"/>
      <c r="B234" s="21" t="s">
        <v>628</v>
      </c>
      <c r="C234" s="3">
        <v>1622</v>
      </c>
      <c r="D234" s="3">
        <v>1692</v>
      </c>
      <c r="E234" s="3">
        <v>1692</v>
      </c>
      <c r="F234" s="3">
        <v>1705</v>
      </c>
      <c r="G234" s="3">
        <v>1772</v>
      </c>
      <c r="H234" s="29">
        <f>C157</f>
        <v>1837</v>
      </c>
      <c r="I234" s="1"/>
      <c r="J234" s="1"/>
    </row>
    <row r="235">
      <c r="A235" s="1"/>
      <c r="B235" s="21" t="s">
        <v>629</v>
      </c>
      <c r="C235" s="3">
        <v>1167</v>
      </c>
      <c r="D235" s="3">
        <v>1191</v>
      </c>
      <c r="E235" s="3">
        <v>1191</v>
      </c>
      <c r="F235" s="3">
        <v>1207</v>
      </c>
      <c r="G235" s="3">
        <v>1301</v>
      </c>
      <c r="H235" s="29">
        <f>C160</f>
        <v>1398</v>
      </c>
      <c r="I235" s="1"/>
      <c r="J235" s="1"/>
    </row>
    <row r="236">
      <c r="A236" s="1"/>
      <c r="B236" s="21" t="s">
        <v>630</v>
      </c>
      <c r="C236" s="3">
        <v>229299</v>
      </c>
      <c r="D236" s="3">
        <v>233768</v>
      </c>
      <c r="E236" s="3">
        <v>227676</v>
      </c>
      <c r="F236" s="3">
        <v>233937</v>
      </c>
      <c r="G236" s="3">
        <v>240585</v>
      </c>
      <c r="H236" s="29">
        <f>C165</f>
        <v>250730</v>
      </c>
      <c r="I236" s="1"/>
      <c r="J236" s="1"/>
    </row>
    <row r="237">
      <c r="A237" s="1"/>
      <c r="B237" s="21" t="s">
        <v>631</v>
      </c>
      <c r="C237" s="3">
        <v>236470</v>
      </c>
      <c r="D237" s="3">
        <v>248802</v>
      </c>
      <c r="E237" s="3">
        <v>235146</v>
      </c>
      <c r="F237" s="3">
        <v>244107</v>
      </c>
      <c r="G237" s="3">
        <v>248375</v>
      </c>
      <c r="H237" s="29">
        <f>C169</f>
        <v>241454</v>
      </c>
      <c r="I237" s="1"/>
      <c r="J237" s="1"/>
    </row>
    <row r="238">
      <c r="A238" s="1"/>
      <c r="B238" s="21" t="s">
        <v>518</v>
      </c>
      <c r="C238" s="3">
        <v>12</v>
      </c>
      <c r="D238" s="3">
        <v>-2</v>
      </c>
      <c r="E238" s="3">
        <v>21</v>
      </c>
      <c r="F238" s="3">
        <v>1</v>
      </c>
      <c r="G238" s="3">
        <v>-1</v>
      </c>
      <c r="H238" s="29">
        <f>C173</f>
        <v>62</v>
      </c>
      <c r="I238" s="1"/>
      <c r="J238" s="1"/>
    </row>
    <row r="239">
      <c r="A239" s="1"/>
      <c r="B239" s="21" t="s">
        <v>384</v>
      </c>
      <c r="C239" s="10">
        <f>C206</f>
        <v>5439</v>
      </c>
      <c r="D239" s="10">
        <f>D206</f>
        <v>5778</v>
      </c>
      <c r="E239" s="10">
        <f>E206</f>
        <v>21578</v>
      </c>
      <c r="F239" s="10">
        <f>F206</f>
        <v>5731</v>
      </c>
      <c r="G239" s="10">
        <f>G206</f>
        <v>5760</v>
      </c>
      <c r="H239" s="29">
        <f>C178</f>
        <v>6066</v>
      </c>
      <c r="I239" s="1"/>
      <c r="J239" s="1"/>
    </row>
    <row r="240">
      <c r="A240" s="1"/>
      <c r="B240" s="21" t="s">
        <v>385</v>
      </c>
      <c r="C240" s="3">
        <v>3639</v>
      </c>
      <c r="D240" s="3">
        <v>3772</v>
      </c>
      <c r="E240" s="3">
        <v>14414</v>
      </c>
      <c r="F240" s="3">
        <v>3713</v>
      </c>
      <c r="G240" s="3">
        <v>3733</v>
      </c>
      <c r="H240" s="29">
        <f>C181</f>
        <v>3818</v>
      </c>
      <c r="I240" s="1"/>
      <c r="J240" s="1"/>
    </row>
    <row r="241">
      <c r="A241" s="1"/>
      <c r="B241" s="21" t="s">
        <v>386</v>
      </c>
      <c r="C241" s="10">
        <f>C239-C240</f>
        <v>1800</v>
      </c>
      <c r="D241" s="10">
        <f>D239-D240</f>
        <v>2006</v>
      </c>
      <c r="E241" s="10">
        <f>E239-E240</f>
        <v>7164</v>
      </c>
      <c r="F241" s="10">
        <f>F239-F240</f>
        <v>2018</v>
      </c>
      <c r="G241" s="10">
        <f>G239-G240</f>
        <v>2027</v>
      </c>
      <c r="H241" s="29">
        <f>C184</f>
        <v>2248</v>
      </c>
      <c r="I241" s="1"/>
      <c r="J241" s="1"/>
    </row>
    <row r="242">
      <c r="A242" s="1"/>
      <c r="B242" s="21" t="s">
        <v>383</v>
      </c>
      <c r="C242" s="3">
        <v>4</v>
      </c>
      <c r="D242" s="3">
        <v>-35</v>
      </c>
      <c r="E242" s="3">
        <v>-68</v>
      </c>
      <c r="F242" s="3">
        <v>-10</v>
      </c>
      <c r="G242" s="3">
        <v>46</v>
      </c>
      <c r="H242" s="29">
        <f>C186</f>
        <v>59</v>
      </c>
      <c r="I242" s="1"/>
      <c r="J242" s="1"/>
    </row>
    <row r="243">
      <c r="A243" s="1"/>
      <c r="B243" s="21" t="s">
        <v>387</v>
      </c>
      <c r="C243" s="10">
        <f>C241-C242</f>
        <v>1796</v>
      </c>
      <c r="D243" s="10">
        <f>D241-D242</f>
        <v>2041</v>
      </c>
      <c r="E243" s="10">
        <f>E241-E242</f>
        <v>7232</v>
      </c>
      <c r="F243" s="10">
        <f>F241-F242</f>
        <v>2028</v>
      </c>
      <c r="G243" s="10">
        <f>G241-G242</f>
        <v>1981</v>
      </c>
      <c r="H243" s="29">
        <f>C189</f>
        <v>2189</v>
      </c>
      <c r="I243" s="1"/>
      <c r="J243" s="1"/>
    </row>
    <row r="244">
      <c r="A244" s="1"/>
      <c r="B244" s="21" t="s">
        <v>388</v>
      </c>
      <c r="C244" s="3">
        <v>445</v>
      </c>
      <c r="D244" s="3">
        <v>524</v>
      </c>
      <c r="E244" s="3">
        <v>1811</v>
      </c>
      <c r="F244" s="3">
        <v>445</v>
      </c>
      <c r="G244" s="3">
        <v>508</v>
      </c>
      <c r="H244" s="29">
        <f>C191</f>
        <v>531</v>
      </c>
      <c r="I244" s="1"/>
      <c r="J244" s="1"/>
    </row>
    <row r="245">
      <c r="A245" s="1"/>
      <c r="B245" s="21" t="s">
        <v>389</v>
      </c>
      <c r="C245" s="12">
        <f>C244/C243</f>
        <v>0.2477728285077951</v>
      </c>
      <c r="D245" s="12">
        <f>D244/D243</f>
        <v>0.2567368936795688</v>
      </c>
      <c r="E245" s="12">
        <f>E244/E243</f>
        <v>0.25041482300884954</v>
      </c>
      <c r="F245" s="12">
        <f>F244/F243</f>
        <v>0.21942800788954636</v>
      </c>
      <c r="G245" s="12">
        <f>G244/G243</f>
        <v>0.25643614336193843</v>
      </c>
      <c r="H245" s="62">
        <f>C194</f>
        <v>0.2425765189584285</v>
      </c>
      <c r="I245" s="1"/>
      <c r="J245" s="1"/>
    </row>
    <row r="246">
      <c r="A246" s="1"/>
      <c r="B246" s="21" t="s">
        <v>632</v>
      </c>
      <c r="C246" s="10">
        <f>C243-C244</f>
        <v>1351</v>
      </c>
      <c r="D246" s="10">
        <f>D243-D244</f>
        <v>1517</v>
      </c>
      <c r="E246" s="10">
        <f>E243-E244</f>
        <v>5421</v>
      </c>
      <c r="F246" s="10">
        <f>F243-F244</f>
        <v>1583</v>
      </c>
      <c r="G246" s="10">
        <f>G243-G244</f>
        <v>1473</v>
      </c>
      <c r="H246" s="29">
        <f>C197</f>
        <v>1658</v>
      </c>
      <c r="I246" s="1"/>
      <c r="J246" s="1"/>
    </row>
    <row r="247">
      <c r="A247" s="1"/>
      <c r="B247" s="21" t="s">
        <v>392</v>
      </c>
      <c r="C247" s="12">
        <f>C243/C239</f>
        <v>0.33020775877918734</v>
      </c>
      <c r="D247" s="12">
        <f>D243/D239</f>
        <v>0.3532364139840775</v>
      </c>
      <c r="E247" s="12">
        <f>E243/E239</f>
        <v>0.33515617758828437</v>
      </c>
      <c r="F247" s="12">
        <f>F243/F239</f>
        <v>0.3538649450357704</v>
      </c>
      <c r="G247" s="12">
        <f>G243/G239</f>
        <v>0.34392361111111114</v>
      </c>
      <c r="H247" s="62">
        <f>C199</f>
        <v>0.3608638311902407</v>
      </c>
      <c r="I247" s="1"/>
      <c r="J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dimension ref="A1:J120"/>
  <sheetViews>
    <sheetView showGridLines="0" workbookViewId="0"/>
  </sheetViews>
  <sheetFormatPr defaultColWidth="8.42578125" defaultRowHeight="15"/>
  <cols>
    <col min="1" max="1" width="2" customWidth="1"/>
    <col min="2" max="2" width="38" customWidth="1"/>
    <col min="3" max="8" width="12" customWidth="1"/>
    <col min="9" max="9" width="2" customWidth="1"/>
    <col min="10" max="10" width="7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</row>
    <row r="2">
      <c r="A2" s="1"/>
      <c r="B2" s="38" t="s">
        <v>0</v>
      </c>
      <c r="C2" s="1"/>
      <c r="D2" s="1"/>
      <c r="E2" s="1"/>
      <c r="F2" s="1"/>
      <c r="G2" s="1"/>
      <c r="H2" s="1"/>
      <c r="I2" s="1"/>
      <c r="J2" s="1"/>
    </row>
    <row r="3">
      <c r="A3" s="1"/>
      <c r="B3" s="31" t="s">
        <v>633</v>
      </c>
      <c r="C3" s="1"/>
      <c r="D3" s="1"/>
      <c r="E3" s="1"/>
      <c r="F3" s="1"/>
      <c r="G3" s="1"/>
      <c r="H3" s="1"/>
      <c r="I3" s="1"/>
      <c r="J3" s="1"/>
    </row>
    <row r="4">
      <c r="A4" s="1"/>
      <c r="B4" s="24" t="s">
        <v>2</v>
      </c>
      <c r="C4" s="1"/>
      <c r="D4" s="1"/>
      <c r="E4" s="1"/>
      <c r="F4" s="1"/>
      <c r="G4" s="1"/>
      <c r="H4" s="1"/>
      <c r="I4" s="1"/>
      <c r="J4" s="1"/>
    </row>
    <row r="5">
      <c r="A5" s="1"/>
      <c r="B5" s="14" t="s">
        <v>89</v>
      </c>
      <c r="C5" s="11" t="s">
        <v>57</v>
      </c>
      <c r="D5" s="11" t="s">
        <v>90</v>
      </c>
      <c r="E5" s="11" t="s">
        <v>91</v>
      </c>
      <c r="F5" s="11" t="s">
        <v>92</v>
      </c>
      <c r="G5" s="11" t="s">
        <v>59</v>
      </c>
      <c r="H5" s="11" t="s">
        <v>56</v>
      </c>
      <c r="I5" s="14"/>
      <c r="J5" s="14" t="s">
        <v>93</v>
      </c>
    </row>
    <row r="6">
      <c r="A6" s="1"/>
      <c r="B6" s="19" t="s">
        <v>94</v>
      </c>
      <c r="C6" s="13">
        <v>45930</v>
      </c>
      <c r="D6" s="13">
        <v>46022</v>
      </c>
      <c r="E6" s="13">
        <v>46022</v>
      </c>
      <c r="F6" s="13">
        <v>46112</v>
      </c>
      <c r="G6" s="13">
        <v>46203</v>
      </c>
      <c r="H6" s="13">
        <v>46295</v>
      </c>
      <c r="I6" s="19"/>
      <c r="J6" s="19"/>
    </row>
    <row r="7">
      <c r="A7" s="1"/>
      <c r="B7" s="28" t="s">
        <v>95</v>
      </c>
      <c r="C7" s="9">
        <v>92</v>
      </c>
      <c r="D7" s="9">
        <v>92</v>
      </c>
      <c r="E7" s="9">
        <v>365</v>
      </c>
      <c r="F7" s="9">
        <v>90</v>
      </c>
      <c r="G7" s="9">
        <v>91</v>
      </c>
      <c r="H7" s="9">
        <v>92</v>
      </c>
      <c r="I7" s="28"/>
      <c r="J7" s="28"/>
    </row>
    <row r="8">
      <c r="A8" s="1"/>
      <c r="B8" s="1"/>
      <c r="C8" s="1"/>
      <c r="D8" s="1"/>
      <c r="E8" s="1"/>
      <c r="F8" s="1"/>
      <c r="G8" s="1"/>
      <c r="H8" s="30"/>
      <c r="I8" s="1"/>
      <c r="J8" s="1"/>
    </row>
    <row r="9">
      <c r="A9" s="1"/>
      <c r="B9" s="31" t="s">
        <v>634</v>
      </c>
      <c r="C9" s="1"/>
      <c r="D9" s="1"/>
      <c r="E9" s="1"/>
      <c r="F9" s="1"/>
      <c r="G9" s="1"/>
      <c r="H9" s="30"/>
      <c r="I9" s="1"/>
      <c r="J9" s="1"/>
    </row>
    <row r="10">
      <c r="A10" s="1"/>
      <c r="B10" s="21" t="s">
        <v>635</v>
      </c>
      <c r="C10" s="3">
        <v>1687</v>
      </c>
      <c r="D10" s="3">
        <v>1601</v>
      </c>
      <c r="E10" s="3">
        <v>6501</v>
      </c>
      <c r="F10" s="3">
        <v>1337</v>
      </c>
      <c r="G10" s="3">
        <v>793</v>
      </c>
      <c r="H10" s="29">
        <f>H66+H41</f>
        <v>1075</v>
      </c>
      <c r="I10" s="1"/>
      <c r="J10" s="2" t="s">
        <v>636</v>
      </c>
    </row>
    <row r="11">
      <c r="A11" s="1"/>
      <c r="B11" s="51" t="s">
        <v>99</v>
      </c>
      <c r="C11" s="22">
        <f>IF(AND(ISNUMBER(C10),ISNUMBER(C102)),IF(OR(C102&lt;=0,C10&lt;0),"n.m.",C10/C102-1),"n.a.")</f>
        <v>-0.46512365250475585</v>
      </c>
      <c r="D11" s="22">
        <f>IF(AND(ISNUMBER(D10),ISNUMBER(D102)),IF(OR(D102&lt;=0,D10&lt;0),"n.m.",D10/D102-1),"n.a.")</f>
        <v>-0.2313970235237638</v>
      </c>
      <c r="E11" s="22">
        <f>IF(AND(ISNUMBER(E10),ISNUMBER(E102)),IF(OR(E102&lt;=0,E10&lt;0),"n.m.",E10/E102-1),"n.a.")</f>
        <v>-0.3254824652417514</v>
      </c>
      <c r="F11" s="22">
        <f>IF(AND(ISNUMBER(F10),ISNUMBER(F102)),IF(OR(F102&lt;=0,F10&lt;0),"n.m.",F10/F102-1),"n.a.")</f>
        <v>-0.1451406649616368</v>
      </c>
      <c r="G11" s="22">
        <f>IF(AND(ISNUMBER(G10),ISNUMBER(G102)),IF(OR(G102&lt;=0,G10&lt;0),"n.m.",G10/G102-1),"n.a.")</f>
        <v>-0.5191024863553668</v>
      </c>
      <c r="H11" s="39">
        <f>IF(AND(ISNUMBER(H10),ISNUMBER(C10)),IF(OR(C10&lt;=0,H10&lt;0),"n.m.",H10/C10-1),"n.a.")</f>
        <v>-0.3627741553052757</v>
      </c>
      <c r="I11" s="1"/>
      <c r="J11" s="1"/>
    </row>
    <row r="12">
      <c r="A12" s="1"/>
      <c r="B12" s="51" t="s">
        <v>60</v>
      </c>
      <c r="C12" s="22">
        <f>IF(AND(ISNUMBER(C10),ISNUMBER(G102)),IF(OR(G102&lt;=0,C10&lt;0),"n.m.",C10/G102-1),"n.a.")</f>
        <v>0.023044269254093308</v>
      </c>
      <c r="D12" s="22">
        <f>IF(AND(ISNUMBER(D10),ISNUMBER(C10)),IF(OR(C10&lt;=0,D10&lt;0),"n.m.",D10/C10-1),"n.a.")</f>
        <v>-0.05097806757557799</v>
      </c>
      <c r="E12" s="1"/>
      <c r="F12" s="22">
        <f>IF(AND(ISNUMBER(F10),ISNUMBER(D10)),IF(OR(D10&lt;=0,F10&lt;0),"n.m.",F10/D10-1),"n.a.")</f>
        <v>-0.16489693941286698</v>
      </c>
      <c r="G12" s="22">
        <f>IF(AND(ISNUMBER(G10),ISNUMBER(F10)),IF(OR(F10&lt;=0,G10&lt;0),"n.m.",G10/F10-1),"n.a.")</f>
        <v>-0.40688107703814513</v>
      </c>
      <c r="H12" s="39">
        <f>IF(AND(ISNUMBER(H10),ISNUMBER(G10)),IF(OR(G10&lt;=0,H10&lt;0),"n.m.",H10/G10-1),"n.a.")</f>
        <v>0.3556116015132409</v>
      </c>
      <c r="I12" s="1"/>
      <c r="J12" s="1"/>
    </row>
    <row r="13">
      <c r="A13" s="1"/>
      <c r="B13" s="51" t="s">
        <v>637</v>
      </c>
      <c r="C13" s="22">
        <f>IFERROR(C10/C24,"n.a.")</f>
        <v>0.9906048150322959</v>
      </c>
      <c r="D13" s="22">
        <f>IFERROR(D10/D24,"n.a.")</f>
        <v>1.0817567567567568</v>
      </c>
      <c r="E13" s="22">
        <f>IFERROR(E10/E24,"n.a.")</f>
        <v>0.9254092526690392</v>
      </c>
      <c r="F13" s="22">
        <f>IFERROR(F10/F24,"n.a.")</f>
        <v>1.1004115226337448</v>
      </c>
      <c r="G13" s="22">
        <f>IFERROR(G10/G24,"n.a.")</f>
        <v>0.13116109824677472</v>
      </c>
      <c r="H13" s="39">
        <f>IFERROR(H10/H24,"n.a.")</f>
        <v>1.0057355998499122</v>
      </c>
      <c r="I13" s="1"/>
      <c r="J13" s="1"/>
    </row>
    <row r="14">
      <c r="A14" s="1"/>
      <c r="B14" s="51" t="s">
        <v>101</v>
      </c>
      <c r="C14" s="67" t="s">
        <v>35</v>
      </c>
      <c r="D14" s="67" t="s">
        <v>35</v>
      </c>
      <c r="E14" s="67" t="s">
        <v>35</v>
      </c>
      <c r="F14" s="67" t="s">
        <v>35</v>
      </c>
      <c r="G14" s="67" t="s">
        <v>35</v>
      </c>
      <c r="H14" s="68" t="s">
        <v>35</v>
      </c>
      <c r="I14" s="1"/>
      <c r="J14" s="1"/>
    </row>
    <row r="15">
      <c r="A15" s="1"/>
      <c r="B15" s="51" t="s">
        <v>102</v>
      </c>
      <c r="C15" s="67" t="s">
        <v>35</v>
      </c>
      <c r="D15" s="67" t="s">
        <v>35</v>
      </c>
      <c r="E15" s="67" t="s">
        <v>35</v>
      </c>
      <c r="F15" s="67" t="s">
        <v>35</v>
      </c>
      <c r="G15" s="67" t="s">
        <v>35</v>
      </c>
      <c r="H15" s="68" t="s">
        <v>35</v>
      </c>
      <c r="I15" s="1"/>
      <c r="J15" s="1"/>
    </row>
    <row r="16">
      <c r="A16" s="1"/>
      <c r="B16" s="51" t="s">
        <v>103</v>
      </c>
      <c r="C16" s="67" t="s">
        <v>35</v>
      </c>
      <c r="D16" s="67" t="s">
        <v>35</v>
      </c>
      <c r="E16" s="67" t="s">
        <v>35</v>
      </c>
      <c r="F16" s="67" t="s">
        <v>35</v>
      </c>
      <c r="G16" s="67" t="s">
        <v>35</v>
      </c>
      <c r="H16" s="68" t="s">
        <v>35</v>
      </c>
      <c r="I16" s="1"/>
      <c r="J16" s="1"/>
    </row>
    <row r="17">
      <c r="A17" s="1"/>
      <c r="B17" s="21" t="s">
        <v>638</v>
      </c>
      <c r="C17" s="3">
        <v>16</v>
      </c>
      <c r="D17" s="3">
        <v>-121</v>
      </c>
      <c r="E17" s="3">
        <v>524</v>
      </c>
      <c r="F17" s="3">
        <v>-122</v>
      </c>
      <c r="G17" s="3">
        <v>5253</v>
      </c>
      <c r="H17" s="29">
        <f>H73+H72+H82</f>
        <v>-6.130607129324659</v>
      </c>
      <c r="I17" s="1"/>
      <c r="J17" s="2" t="s">
        <v>636</v>
      </c>
    </row>
    <row r="18">
      <c r="A18" s="1"/>
      <c r="B18" s="51" t="s">
        <v>99</v>
      </c>
      <c r="C18" s="22" t="str">
        <f>IF(AND(ISNUMBER(C17),ISNUMBER(C103)),IF(OR(C103&lt;=0,C17&lt;0),"n.m.",C17/C103-1),"n.a.")</f>
        <v>n.m.</v>
      </c>
      <c r="D18" s="22" t="str">
        <f>IF(AND(ISNUMBER(D17),ISNUMBER(D103)),IF(OR(D103&lt;=0,D17&lt;0),"n.m.",D17/D103-1),"n.a.")</f>
        <v>n.m.</v>
      </c>
      <c r="E18" s="22">
        <f>IF(AND(ISNUMBER(E17),ISNUMBER(E103)),IF(OR(E103&lt;=0,E17&lt;0),"n.m.",E17/E103-1),"n.a.")</f>
        <v>-0.9324394017534812</v>
      </c>
      <c r="F18" s="22" t="str">
        <f>IF(AND(ISNUMBER(F17),ISNUMBER(F103)),IF(OR(F103&lt;=0,F17&lt;0),"n.m.",F17/F103-1),"n.a.")</f>
        <v>n.m.</v>
      </c>
      <c r="G18" s="22" t="str">
        <f>IF(AND(ISNUMBER(G17),ISNUMBER(G103)),IF(OR(G103&lt;=0,G17&lt;0),"n.m.",G17/G103-1),"n.a.")</f>
        <v>n.m.</v>
      </c>
      <c r="H18" s="39" t="str">
        <f>IF(AND(ISNUMBER(H17),ISNUMBER(C17)),IF(OR(C17&lt;=0,H17&lt;0),"n.m.",H17/C17-1),"n.a.")</f>
        <v>n.m.</v>
      </c>
      <c r="I18" s="1"/>
      <c r="J18" s="1"/>
    </row>
    <row r="19">
      <c r="A19" s="1"/>
      <c r="B19" s="51" t="s">
        <v>60</v>
      </c>
      <c r="C19" s="22" t="str">
        <f>IF(AND(ISNUMBER(C17),ISNUMBER(G103)),IF(OR(G103&lt;=0,C17&lt;0),"n.m.",C17/G103-1),"n.a.")</f>
        <v>n.m.</v>
      </c>
      <c r="D19" s="22" t="str">
        <f>IF(AND(ISNUMBER(D17),ISNUMBER(C17)),IF(OR(C17&lt;=0,D17&lt;0),"n.m.",D17/C17-1),"n.a.")</f>
        <v>n.m.</v>
      </c>
      <c r="E19" s="1"/>
      <c r="F19" s="22" t="str">
        <f>IF(AND(ISNUMBER(F17),ISNUMBER(D17)),IF(OR(D17&lt;=0,F17&lt;0),"n.m.",F17/D17-1),"n.a.")</f>
        <v>n.m.</v>
      </c>
      <c r="G19" s="22" t="str">
        <f>IF(AND(ISNUMBER(G17),ISNUMBER(F17)),IF(OR(F17&lt;=0,G17&lt;0),"n.m.",G17/F17-1),"n.a.")</f>
        <v>n.m.</v>
      </c>
      <c r="H19" s="39" t="str">
        <f>IF(AND(ISNUMBER(H17),ISNUMBER(G17)),IF(OR(G17&lt;=0,H17&lt;0),"n.m.",H17/G17-1),"n.a.")</f>
        <v>n.m.</v>
      </c>
      <c r="I19" s="1"/>
      <c r="J19" s="1"/>
    </row>
    <row r="20">
      <c r="A20" s="1"/>
      <c r="B20" s="51" t="s">
        <v>637</v>
      </c>
      <c r="C20" s="22">
        <f>IFERROR(C17/C24,"n.a.")</f>
        <v>0.009395184967704051</v>
      </c>
      <c r="D20" s="22">
        <f>IFERROR(D17/D24,"n.a.")</f>
        <v>-0.08175675675675675</v>
      </c>
      <c r="E20" s="22">
        <f>IFERROR(E17/E24,"n.a.")</f>
        <v>0.07459074733096085</v>
      </c>
      <c r="F20" s="22">
        <f>IFERROR(F17/F24,"n.a.")</f>
        <v>-0.10041152263374485</v>
      </c>
      <c r="G20" s="22">
        <f>IFERROR(G17/G24,"n.a.")</f>
        <v>0.8688389017532253</v>
      </c>
      <c r="H20" s="39">
        <f>IFERROR(H17/H24,"n.a.")</f>
        <v>-0.005735599849912078</v>
      </c>
      <c r="I20" s="1"/>
      <c r="J20" s="1"/>
    </row>
    <row r="21">
      <c r="A21" s="1"/>
      <c r="B21" s="51" t="s">
        <v>101</v>
      </c>
      <c r="C21" s="67" t="s">
        <v>35</v>
      </c>
      <c r="D21" s="67" t="s">
        <v>35</v>
      </c>
      <c r="E21" s="67" t="s">
        <v>35</v>
      </c>
      <c r="F21" s="67" t="s">
        <v>35</v>
      </c>
      <c r="G21" s="67" t="s">
        <v>35</v>
      </c>
      <c r="H21" s="68" t="s">
        <v>35</v>
      </c>
      <c r="I21" s="1"/>
      <c r="J21" s="1"/>
    </row>
    <row r="22">
      <c r="A22" s="1"/>
      <c r="B22" s="51" t="s">
        <v>102</v>
      </c>
      <c r="C22" s="67" t="s">
        <v>35</v>
      </c>
      <c r="D22" s="67" t="s">
        <v>35</v>
      </c>
      <c r="E22" s="67" t="s">
        <v>35</v>
      </c>
      <c r="F22" s="67" t="s">
        <v>35</v>
      </c>
      <c r="G22" s="67" t="s">
        <v>35</v>
      </c>
      <c r="H22" s="68" t="s">
        <v>35</v>
      </c>
      <c r="I22" s="1"/>
      <c r="J22" s="1"/>
    </row>
    <row r="23">
      <c r="A23" s="1"/>
      <c r="B23" s="51" t="s">
        <v>103</v>
      </c>
      <c r="C23" s="67" t="s">
        <v>35</v>
      </c>
      <c r="D23" s="67" t="s">
        <v>35</v>
      </c>
      <c r="E23" s="67" t="s">
        <v>35</v>
      </c>
      <c r="F23" s="67" t="s">
        <v>35</v>
      </c>
      <c r="G23" s="67" t="s">
        <v>35</v>
      </c>
      <c r="H23" s="68" t="s">
        <v>35</v>
      </c>
      <c r="I23" s="1"/>
      <c r="J23" s="1"/>
    </row>
    <row r="24">
      <c r="A24" s="1"/>
      <c r="B24" s="31" t="s">
        <v>639</v>
      </c>
      <c r="C24" s="43">
        <f>C10+C17</f>
        <v>1703</v>
      </c>
      <c r="D24" s="43">
        <f>D10+D17</f>
        <v>1480</v>
      </c>
      <c r="E24" s="43">
        <f>E10+E17</f>
        <v>7025</v>
      </c>
      <c r="F24" s="43">
        <f>F10+F17</f>
        <v>1215</v>
      </c>
      <c r="G24" s="43">
        <f>G10+G17</f>
        <v>6046</v>
      </c>
      <c r="H24" s="45">
        <f>H10+H17</f>
        <v>1068.8693928706753</v>
      </c>
      <c r="I24" s="1"/>
      <c r="J24" s="1"/>
    </row>
    <row r="25">
      <c r="A25" s="1"/>
      <c r="B25" s="36" t="s">
        <v>99</v>
      </c>
      <c r="C25" s="22">
        <f>IF(AND(ISNUMBER(C24),ISNUMBER(C104)),IF(OR(C104&lt;=0,C24&lt;0),"n.m.",C24/C104-1),"n.a.")</f>
        <v>-0.4452768729641694</v>
      </c>
      <c r="D25" s="22">
        <f>IF(AND(ISNUMBER(D24),ISNUMBER(D104)),IF(OR(D104&lt;=0,D24&lt;0),"n.m.",D24/D104-1),"n.a.")</f>
        <v>-0.26</v>
      </c>
      <c r="E25" s="22">
        <f>IF(AND(ISNUMBER(E24),ISNUMBER(E104)),IF(OR(E104&lt;=0,E24&lt;0),"n.m.",E24/E104-1),"n.a.")</f>
        <v>-0.5961251006094055</v>
      </c>
      <c r="F25" s="22">
        <f>IF(AND(ISNUMBER(F24),ISNUMBER(F104)),IF(OR(F104&lt;=0,F24&lt;0),"n.m.",F24/F104-1),"n.a.")</f>
        <v>-0.47265625</v>
      </c>
      <c r="G25" s="22">
        <f>IF(AND(ISNUMBER(G24),ISNUMBER(G104)),IF(OR(G104&lt;=0,G24&lt;0),"n.m.",G24/G104-1),"n.a.")</f>
        <v>2.9310793237971393</v>
      </c>
      <c r="H25" s="39">
        <f>IF(AND(ISNUMBER(H24),ISNUMBER(C24)),IF(OR(C24&lt;=0,H24&lt;0),"n.m.",H24/C24-1),"n.a.")</f>
        <v>-0.3723608967289047</v>
      </c>
      <c r="I25" s="1"/>
      <c r="J25" s="1"/>
    </row>
    <row r="26">
      <c r="A26" s="1"/>
      <c r="B26" s="36" t="s">
        <v>60</v>
      </c>
      <c r="C26" s="22">
        <f>IF(AND(ISNUMBER(C24),ISNUMBER(G104)),IF(OR(G104&lt;=0,C24&lt;0),"n.m.",C24/G104-1),"n.a.")</f>
        <v>0.10728218465539663</v>
      </c>
      <c r="D26" s="22">
        <f>IF(AND(ISNUMBER(D24),ISNUMBER(C24)),IF(OR(C24&lt;=0,D24&lt;0),"n.m.",D24/C24-1),"n.a.")</f>
        <v>-0.1309453904873752</v>
      </c>
      <c r="E26" s="1"/>
      <c r="F26" s="22">
        <f>IF(AND(ISNUMBER(F24),ISNUMBER(D24)),IF(OR(D24&lt;=0,F24&lt;0),"n.m.",F24/D24-1),"n.a.")</f>
        <v>-0.17905405405405406</v>
      </c>
      <c r="G26" s="22">
        <f>IF(AND(ISNUMBER(G24),ISNUMBER(F24)),IF(OR(F24&lt;=0,G24&lt;0),"n.m.",G24/F24-1),"n.a.")</f>
        <v>3.9761316872427983</v>
      </c>
      <c r="H26" s="39">
        <f>IF(AND(ISNUMBER(H24),ISNUMBER(G24)),IF(OR(G24&lt;=0,H24&lt;0),"n.m.",H24/G24-1),"n.a.")</f>
        <v>-0.8232104874510957</v>
      </c>
      <c r="I26" s="1"/>
      <c r="J26" s="1"/>
    </row>
    <row r="27">
      <c r="A27" s="1"/>
      <c r="B27" s="36" t="s">
        <v>199</v>
      </c>
      <c r="C27" s="42">
        <f>IFERROR(C24/'Revenue summary'!C38,"n.a.")</f>
        <v>0.03614176570458404</v>
      </c>
      <c r="D27" s="42">
        <f>IFERROR(D24/'Revenue summary'!D38,"n.a.")</f>
        <v>0.03164624628477345</v>
      </c>
      <c r="E27" s="42">
        <f>IFERROR(E24/'Revenue summary'!E38,"n.a.")</f>
        <v>0.03785409066660919</v>
      </c>
      <c r="F27" s="42">
        <f>IFERROR(F24/'Revenue summary'!F38,"n.a.")</f>
        <v>0.024042266898844387</v>
      </c>
      <c r="G27" s="42">
        <f>IFERROR(G24/'Revenue summary'!G38,"n.a.")</f>
        <v>0.10420185446899452</v>
      </c>
      <c r="H27" s="56">
        <f>IFERROR(H24/'Revenue summary'!H38,"n.a.")</f>
        <v>0.020667684781152197</v>
      </c>
      <c r="I27" s="1"/>
      <c r="J27" s="1"/>
    </row>
    <row r="28">
      <c r="A28" s="1"/>
      <c r="B28" s="36" t="s">
        <v>101</v>
      </c>
      <c r="C28" s="67" t="s">
        <v>35</v>
      </c>
      <c r="D28" s="67" t="s">
        <v>35</v>
      </c>
      <c r="E28" s="67" t="s">
        <v>35</v>
      </c>
      <c r="F28" s="67" t="s">
        <v>35</v>
      </c>
      <c r="G28" s="67" t="s">
        <v>35</v>
      </c>
      <c r="H28" s="68" t="s">
        <v>35</v>
      </c>
      <c r="I28" s="1"/>
      <c r="J28" s="1"/>
    </row>
    <row r="29">
      <c r="A29" s="1"/>
      <c r="B29" s="36" t="s">
        <v>102</v>
      </c>
      <c r="C29" s="67" t="s">
        <v>35</v>
      </c>
      <c r="D29" s="67" t="s">
        <v>35</v>
      </c>
      <c r="E29" s="67" t="s">
        <v>35</v>
      </c>
      <c r="F29" s="67" t="s">
        <v>35</v>
      </c>
      <c r="G29" s="67" t="s">
        <v>35</v>
      </c>
      <c r="H29" s="68" t="s">
        <v>35</v>
      </c>
      <c r="I29" s="1"/>
      <c r="J29" s="1"/>
    </row>
    <row r="30">
      <c r="A30" s="1"/>
      <c r="B30" s="36" t="s">
        <v>103</v>
      </c>
      <c r="C30" s="67" t="s">
        <v>35</v>
      </c>
      <c r="D30" s="67" t="s">
        <v>35</v>
      </c>
      <c r="E30" s="67" t="s">
        <v>35</v>
      </c>
      <c r="F30" s="67" t="s">
        <v>35</v>
      </c>
      <c r="G30" s="67" t="s">
        <v>35</v>
      </c>
      <c r="H30" s="68" t="s">
        <v>35</v>
      </c>
      <c r="I30" s="1"/>
      <c r="J30" s="1"/>
    </row>
    <row r="31">
      <c r="A31" s="1"/>
      <c r="B31" s="24" t="s">
        <v>640</v>
      </c>
      <c r="C31" s="34">
        <f>C24-C63</f>
        <v>0</v>
      </c>
      <c r="D31" s="34">
        <f>D24-D63</f>
        <v>0</v>
      </c>
      <c r="E31" s="34">
        <f>E24-E63</f>
        <v>0</v>
      </c>
      <c r="F31" s="34">
        <f>F24-F63</f>
        <v>0</v>
      </c>
      <c r="G31" s="34">
        <f>G24-G63</f>
        <v>0</v>
      </c>
      <c r="H31" s="48">
        <f>H24-H63</f>
        <v>0</v>
      </c>
      <c r="I31" s="1"/>
      <c r="J31" s="2" t="s">
        <v>118</v>
      </c>
    </row>
    <row r="32">
      <c r="A32" s="1"/>
      <c r="B32" s="1"/>
      <c r="C32" s="1"/>
      <c r="D32" s="1"/>
      <c r="E32" s="1"/>
      <c r="F32" s="1"/>
      <c r="G32" s="1"/>
      <c r="H32" s="30"/>
      <c r="I32" s="1"/>
      <c r="J32" s="1"/>
    </row>
    <row r="33">
      <c r="A33" s="1"/>
      <c r="B33" s="31" t="s">
        <v>201</v>
      </c>
      <c r="C33" s="1"/>
      <c r="D33" s="1"/>
      <c r="E33" s="1"/>
      <c r="F33" s="1"/>
      <c r="G33" s="1"/>
      <c r="H33" s="30"/>
      <c r="I33" s="1"/>
      <c r="J33" s="1"/>
    </row>
    <row r="34">
      <c r="A34" s="1"/>
      <c r="B34" s="21" t="s">
        <v>450</v>
      </c>
      <c r="C34" s="3">
        <v>-54</v>
      </c>
      <c r="D34" s="3">
        <v>-144</v>
      </c>
      <c r="E34" s="3">
        <v>-339</v>
      </c>
      <c r="F34" s="3">
        <v>-31</v>
      </c>
      <c r="G34" s="3">
        <v>149</v>
      </c>
      <c r="H34" s="44">
        <v>-50</v>
      </c>
      <c r="I34" s="1"/>
      <c r="J34" s="2" t="s">
        <v>641</v>
      </c>
    </row>
    <row r="35">
      <c r="A35" s="1"/>
      <c r="B35" s="51" t="s">
        <v>99</v>
      </c>
      <c r="C35" s="22" t="str">
        <f>IF(AND(ISNUMBER(C34),ISNUMBER(C105)),IF(OR(C105&lt;=0,C34&lt;0),"n.m.",C34/C105-1),"n.a.")</f>
        <v>n.m.</v>
      </c>
      <c r="D35" s="22" t="str">
        <f>IF(AND(ISNUMBER(D34),ISNUMBER(D105)),IF(OR(D105&lt;=0,D34&lt;0),"n.m.",D34/D105-1),"n.a.")</f>
        <v>n.m.</v>
      </c>
      <c r="E35" s="22" t="str">
        <f>IF(AND(ISNUMBER(E34),ISNUMBER(E105)),IF(OR(E105&lt;=0,E34&lt;0),"n.m.",E34/E105-1),"n.a.")</f>
        <v>n.m.</v>
      </c>
      <c r="F35" s="22" t="str">
        <f>IF(AND(ISNUMBER(F34),ISNUMBER(F105)),IF(OR(F105&lt;=0,F34&lt;0),"n.m.",F34/F105-1),"n.a.")</f>
        <v>n.m.</v>
      </c>
      <c r="G35" s="22" t="str">
        <f>IF(AND(ISNUMBER(G34),ISNUMBER(G105)),IF(OR(G105&lt;=0,G34&lt;0),"n.m.",G34/G105-1),"n.a.")</f>
        <v>n.m.</v>
      </c>
      <c r="H35" s="39" t="str">
        <f>IF(AND(ISNUMBER(H34),ISNUMBER(C34)),IF(OR(C34&lt;=0,H34&lt;0),"n.m.",H34/C34-1),"n.a.")</f>
        <v>n.m.</v>
      </c>
      <c r="I35" s="1"/>
      <c r="J35" s="1"/>
    </row>
    <row r="36">
      <c r="A36" s="1"/>
      <c r="B36" s="51" t="s">
        <v>60</v>
      </c>
      <c r="C36" s="22" t="str">
        <f>IF(AND(ISNUMBER(C34),ISNUMBER(G105)),IF(OR(G105&lt;=0,C34&lt;0),"n.m.",C34/G105-1),"n.a.")</f>
        <v>n.m.</v>
      </c>
      <c r="D36" s="22" t="str">
        <f>IF(AND(ISNUMBER(D34),ISNUMBER(C34)),IF(OR(C34&lt;=0,D34&lt;0),"n.m.",D34/C34-1),"n.a.")</f>
        <v>n.m.</v>
      </c>
      <c r="E36" s="1"/>
      <c r="F36" s="22" t="str">
        <f>IF(AND(ISNUMBER(F34),ISNUMBER(D34)),IF(OR(D34&lt;=0,F34&lt;0),"n.m.",F34/D34-1),"n.a.")</f>
        <v>n.m.</v>
      </c>
      <c r="G36" s="22" t="str">
        <f>IF(AND(ISNUMBER(G34),ISNUMBER(F34)),IF(OR(F34&lt;=0,G34&lt;0),"n.m.",G34/F34-1),"n.a.")</f>
        <v>n.m.</v>
      </c>
      <c r="H36" s="39" t="str">
        <f>IF(AND(ISNUMBER(H34),ISNUMBER(G34)),IF(OR(G34&lt;=0,H34&lt;0),"n.m.",H34/G34-1),"n.a.")</f>
        <v>n.m.</v>
      </c>
      <c r="I36" s="1"/>
      <c r="J36" s="1"/>
    </row>
    <row r="37">
      <c r="A37" s="1"/>
      <c r="B37" s="51" t="s">
        <v>637</v>
      </c>
      <c r="C37" s="22">
        <f>IFERROR(C34/C24,"n.a.")</f>
        <v>-0.031708749266001174</v>
      </c>
      <c r="D37" s="22">
        <f>IFERROR(D34/D24,"n.a.")</f>
        <v>-0.0972972972972973</v>
      </c>
      <c r="E37" s="22">
        <f>IFERROR(E34/E24,"n.a.")</f>
        <v>-0.048256227758007114</v>
      </c>
      <c r="F37" s="22">
        <f>IFERROR(F34/F24,"n.a.")</f>
        <v>-0.02551440329218107</v>
      </c>
      <c r="G37" s="22">
        <f>IFERROR(G34/G24,"n.a.")</f>
        <v>0.024644392987098907</v>
      </c>
      <c r="H37" s="39">
        <f>IFERROR(H34/H24,"n.a.")</f>
        <v>-0.04677839999301917</v>
      </c>
      <c r="I37" s="1"/>
      <c r="J37" s="1"/>
    </row>
    <row r="38">
      <c r="A38" s="1"/>
      <c r="B38" s="51" t="s">
        <v>101</v>
      </c>
      <c r="C38" s="67" t="s">
        <v>35</v>
      </c>
      <c r="D38" s="67" t="s">
        <v>35</v>
      </c>
      <c r="E38" s="67" t="s">
        <v>35</v>
      </c>
      <c r="F38" s="67" t="s">
        <v>35</v>
      </c>
      <c r="G38" s="67" t="s">
        <v>35</v>
      </c>
      <c r="H38" s="68" t="s">
        <v>35</v>
      </c>
      <c r="I38" s="1"/>
      <c r="J38" s="1"/>
    </row>
    <row r="39">
      <c r="A39" s="1"/>
      <c r="B39" s="51" t="s">
        <v>102</v>
      </c>
      <c r="C39" s="67" t="s">
        <v>35</v>
      </c>
      <c r="D39" s="67" t="s">
        <v>35</v>
      </c>
      <c r="E39" s="67" t="s">
        <v>35</v>
      </c>
      <c r="F39" s="67" t="s">
        <v>35</v>
      </c>
      <c r="G39" s="67" t="s">
        <v>35</v>
      </c>
      <c r="H39" s="68" t="s">
        <v>35</v>
      </c>
      <c r="I39" s="1"/>
      <c r="J39" s="1"/>
    </row>
    <row r="40">
      <c r="A40" s="1"/>
      <c r="B40" s="51" t="s">
        <v>103</v>
      </c>
      <c r="C40" s="67" t="s">
        <v>35</v>
      </c>
      <c r="D40" s="67" t="s">
        <v>35</v>
      </c>
      <c r="E40" s="67" t="s">
        <v>35</v>
      </c>
      <c r="F40" s="67" t="s">
        <v>35</v>
      </c>
      <c r="G40" s="67" t="s">
        <v>35</v>
      </c>
      <c r="H40" s="68" t="s">
        <v>35</v>
      </c>
      <c r="I40" s="1"/>
      <c r="J40" s="1"/>
    </row>
    <row r="41" ht="27">
      <c r="A41" s="1"/>
      <c r="B41" s="21" t="s">
        <v>642</v>
      </c>
      <c r="C41" s="3">
        <v>105</v>
      </c>
      <c r="D41" s="3">
        <v>-72</v>
      </c>
      <c r="E41" s="3">
        <v>-58</v>
      </c>
      <c r="F41" s="3">
        <v>60</v>
      </c>
      <c r="G41" s="3">
        <v>-395</v>
      </c>
      <c r="H41" s="44">
        <v>-75</v>
      </c>
      <c r="I41" s="1"/>
      <c r="J41" s="125" t="s">
        <v>643</v>
      </c>
    </row>
    <row r="42">
      <c r="A42" s="1"/>
      <c r="B42" s="51" t="s">
        <v>99</v>
      </c>
      <c r="C42" s="22" t="str">
        <f>IF(AND(ISNUMBER(C41),ISNUMBER(C106)),IF(OR(C106&lt;=0,C41&lt;0),"n.m.",C41/C106-1),"n.a.")</f>
        <v>n.m.</v>
      </c>
      <c r="D42" s="22" t="str">
        <f>IF(AND(ISNUMBER(D41),ISNUMBER(D106)),IF(OR(D106&lt;=0,D41&lt;0),"n.m.",D41/D106-1),"n.a.")</f>
        <v>n.m.</v>
      </c>
      <c r="E42" s="22" t="str">
        <f>IF(AND(ISNUMBER(E41),ISNUMBER(E106)),IF(OR(E106&lt;=0,E41&lt;0),"n.m.",E41/E106-1),"n.a.")</f>
        <v>n.m.</v>
      </c>
      <c r="F42" s="22" t="str">
        <f>IF(AND(ISNUMBER(F41),ISNUMBER(F106)),IF(OR(F106&lt;=0,F41&lt;0),"n.m.",F41/F106-1),"n.a.")</f>
        <v>n.m.</v>
      </c>
      <c r="G42" s="22" t="str">
        <f>IF(AND(ISNUMBER(G41),ISNUMBER(G106)),IF(OR(G106&lt;=0,G41&lt;0),"n.m.",G41/G106-1),"n.a.")</f>
        <v>n.m.</v>
      </c>
      <c r="H42" s="39" t="str">
        <f>IF(AND(ISNUMBER(H41),ISNUMBER(C41)),IF(OR(C41&lt;=0,H41&lt;0),"n.m.",H41/C41-1),"n.a.")</f>
        <v>n.m.</v>
      </c>
      <c r="I42" s="1"/>
      <c r="J42" s="1"/>
    </row>
    <row r="43">
      <c r="A43" s="1"/>
      <c r="B43" s="51" t="s">
        <v>60</v>
      </c>
      <c r="C43" s="22" t="str">
        <f>IF(AND(ISNUMBER(C41),ISNUMBER(G106)),IF(OR(G106&lt;=0,C41&lt;0),"n.m.",C41/G106-1),"n.a.")</f>
        <v>n.m.</v>
      </c>
      <c r="D43" s="22" t="str">
        <f>IF(AND(ISNUMBER(D41),ISNUMBER(C41)),IF(OR(C41&lt;=0,D41&lt;0),"n.m.",D41/C41-1),"n.a.")</f>
        <v>n.m.</v>
      </c>
      <c r="E43" s="1"/>
      <c r="F43" s="22" t="str">
        <f>IF(AND(ISNUMBER(F41),ISNUMBER(D41)),IF(OR(D41&lt;=0,F41&lt;0),"n.m.",F41/D41-1),"n.a.")</f>
        <v>n.m.</v>
      </c>
      <c r="G43" s="22" t="str">
        <f>IF(AND(ISNUMBER(G41),ISNUMBER(F41)),IF(OR(F41&lt;=0,G41&lt;0),"n.m.",G41/F41-1),"n.a.")</f>
        <v>n.m.</v>
      </c>
      <c r="H43" s="39" t="str">
        <f>IF(AND(ISNUMBER(H41),ISNUMBER(G41)),IF(OR(G41&lt;=0,H41&lt;0),"n.m.",H41/G41-1),"n.a.")</f>
        <v>n.m.</v>
      </c>
      <c r="I43" s="1"/>
      <c r="J43" s="1"/>
    </row>
    <row r="44">
      <c r="A44" s="1"/>
      <c r="B44" s="51" t="s">
        <v>637</v>
      </c>
      <c r="C44" s="22">
        <f>IFERROR(C41/C24,"n.a.")</f>
        <v>0.06165590135055784</v>
      </c>
      <c r="D44" s="22">
        <f>IFERROR(D41/D24,"n.a.")</f>
        <v>-0.04864864864864865</v>
      </c>
      <c r="E44" s="22">
        <f>IFERROR(E41/E24,"n.a.")</f>
        <v>-0.008256227758007117</v>
      </c>
      <c r="F44" s="22">
        <f>IFERROR(F41/F24,"n.a.")</f>
        <v>0.04938271604938271</v>
      </c>
      <c r="G44" s="22">
        <f>IFERROR(G41/G24,"n.a.")</f>
        <v>-0.06533245120740985</v>
      </c>
      <c r="H44" s="39">
        <f>IFERROR(H41/H24,"n.a.")</f>
        <v>-0.07016759998952876</v>
      </c>
      <c r="I44" s="1"/>
      <c r="J44" s="1"/>
    </row>
    <row r="45">
      <c r="A45" s="1"/>
      <c r="B45" s="51" t="s">
        <v>101</v>
      </c>
      <c r="C45" s="67" t="s">
        <v>35</v>
      </c>
      <c r="D45" s="67" t="s">
        <v>35</v>
      </c>
      <c r="E45" s="67" t="s">
        <v>35</v>
      </c>
      <c r="F45" s="67" t="s">
        <v>35</v>
      </c>
      <c r="G45" s="67" t="s">
        <v>35</v>
      </c>
      <c r="H45" s="68" t="s">
        <v>35</v>
      </c>
      <c r="I45" s="1"/>
      <c r="J45" s="1"/>
    </row>
    <row r="46">
      <c r="A46" s="1"/>
      <c r="B46" s="51" t="s">
        <v>102</v>
      </c>
      <c r="C46" s="67" t="s">
        <v>35</v>
      </c>
      <c r="D46" s="67" t="s">
        <v>35</v>
      </c>
      <c r="E46" s="67" t="s">
        <v>35</v>
      </c>
      <c r="F46" s="67" t="s">
        <v>35</v>
      </c>
      <c r="G46" s="67" t="s">
        <v>35</v>
      </c>
      <c r="H46" s="68" t="s">
        <v>35</v>
      </c>
      <c r="I46" s="1"/>
      <c r="J46" s="1"/>
    </row>
    <row r="47">
      <c r="A47" s="1"/>
      <c r="B47" s="51" t="s">
        <v>103</v>
      </c>
      <c r="C47" s="67" t="s">
        <v>35</v>
      </c>
      <c r="D47" s="67" t="s">
        <v>35</v>
      </c>
      <c r="E47" s="67" t="s">
        <v>35</v>
      </c>
      <c r="F47" s="67" t="s">
        <v>35</v>
      </c>
      <c r="G47" s="67" t="s">
        <v>35</v>
      </c>
      <c r="H47" s="68" t="s">
        <v>35</v>
      </c>
      <c r="I47" s="1"/>
      <c r="J47" s="1"/>
    </row>
    <row r="48">
      <c r="A48" s="1"/>
      <c r="B48" s="21" t="s">
        <v>456</v>
      </c>
      <c r="C48" s="3">
        <v>246</v>
      </c>
      <c r="D48" s="3">
        <v>128</v>
      </c>
      <c r="E48" s="3">
        <v>1308</v>
      </c>
      <c r="F48" s="3">
        <v>160</v>
      </c>
      <c r="G48" s="3">
        <v>5470</v>
      </c>
      <c r="H48" s="29">
        <f>H24-H34-H41-H56</f>
        <v>429.54377962738386</v>
      </c>
      <c r="I48" s="1"/>
      <c r="J48" s="2" t="s">
        <v>644</v>
      </c>
    </row>
    <row r="49">
      <c r="A49" s="1"/>
      <c r="B49" s="51" t="s">
        <v>99</v>
      </c>
      <c r="C49" s="22">
        <f>IF(AND(ISNUMBER(C48),ISNUMBER(C107)),IF(OR(C107&lt;=0,C48&lt;0),"n.m.",C48/C107-1),"n.a.")</f>
        <v>0.430232558139535</v>
      </c>
      <c r="D49" s="22">
        <f>IF(AND(ISNUMBER(D48),ISNUMBER(D107)),IF(OR(D107&lt;=0,D48&lt;0),"n.m.",D48/D107-1),"n.a.")</f>
        <v>2.764705882352941</v>
      </c>
      <c r="E49" s="22">
        <f>IF(AND(ISNUMBER(E48),ISNUMBER(E107)),IF(OR(E107&lt;=0,E48&lt;0),"n.m.",E48/E107-1),"n.a.")</f>
        <v>-0.8456819254365266</v>
      </c>
      <c r="F49" s="22">
        <f>IF(AND(ISNUMBER(F48),ISNUMBER(F107)),IF(OR(F107&lt;=0,F48&lt;0),"n.m.",F48/F107-1),"n.a.")</f>
        <v>-0.7940797940797941</v>
      </c>
      <c r="G49" s="22">
        <f>IF(AND(ISNUMBER(G48),ISNUMBER(G107)),IF(OR(G107&lt;=0,G48&lt;0),"n.m.",G48/G107-1),"n.a.")</f>
        <v>33.84076433121019</v>
      </c>
      <c r="H49" s="39">
        <f>IF(AND(ISNUMBER(H48),ISNUMBER(C48)),IF(OR(C48&lt;=0,H48&lt;0),"n.m.",H48/C48-1),"n.a.")</f>
        <v>0.7461129253145684</v>
      </c>
      <c r="I49" s="1"/>
      <c r="J49" s="1"/>
    </row>
    <row r="50">
      <c r="A50" s="1"/>
      <c r="B50" s="51" t="s">
        <v>60</v>
      </c>
      <c r="C50" s="22">
        <f>IF(AND(ISNUMBER(C48),ISNUMBER(G107)),IF(OR(G107&lt;=0,C48&lt;0),"n.m.",C48/G107-1),"n.a.")</f>
        <v>0.5668789808917198</v>
      </c>
      <c r="D50" s="22">
        <f>IF(AND(ISNUMBER(D48),ISNUMBER(C48)),IF(OR(C48&lt;=0,D48&lt;0),"n.m.",D48/C48-1),"n.a.")</f>
        <v>-0.4796747967479674</v>
      </c>
      <c r="E50" s="1"/>
      <c r="F50" s="22">
        <f>IF(AND(ISNUMBER(F48),ISNUMBER(D48)),IF(OR(D48&lt;=0,F48&lt;0),"n.m.",F48/D48-1),"n.a.")</f>
        <v>0.25</v>
      </c>
      <c r="G50" s="22">
        <f>IF(AND(ISNUMBER(G48),ISNUMBER(F48)),IF(OR(F48&lt;=0,G48&lt;0),"n.m.",G48/F48-1),"n.a.")</f>
        <v>33.1875</v>
      </c>
      <c r="H50" s="39">
        <f>IF(AND(ISNUMBER(H48),ISNUMBER(G48)),IF(OR(G48&lt;=0,H48&lt;0),"n.m.",H48/G48-1),"n.a.")</f>
        <v>-0.9214728007993813</v>
      </c>
      <c r="I50" s="1"/>
      <c r="J50" s="1"/>
    </row>
    <row r="51">
      <c r="A51" s="1"/>
      <c r="B51" s="51" t="s">
        <v>637</v>
      </c>
      <c r="C51" s="22">
        <f>IFERROR(C48/C24,"n.a.")</f>
        <v>0.1444509688784498</v>
      </c>
      <c r="D51" s="22">
        <f>IFERROR(D48/D24,"n.a.")</f>
        <v>0.08648648648648649</v>
      </c>
      <c r="E51" s="22">
        <f>IFERROR(E48/E24,"n.a.")</f>
        <v>0.18619217081850534</v>
      </c>
      <c r="F51" s="22">
        <f>IFERROR(F48/F24,"n.a.")</f>
        <v>0.13168724279835392</v>
      </c>
      <c r="G51" s="22">
        <f>IFERROR(G48/G24,"n.a.")</f>
        <v>0.9047304002646378</v>
      </c>
      <c r="H51" s="39">
        <f>IFERROR(H48/H24,"n.a.")</f>
        <v>0.40186741475846083</v>
      </c>
      <c r="I51" s="1"/>
      <c r="J51" s="1"/>
    </row>
    <row r="52">
      <c r="A52" s="1"/>
      <c r="B52" s="51" t="s">
        <v>101</v>
      </c>
      <c r="C52" s="67" t="s">
        <v>35</v>
      </c>
      <c r="D52" s="67" t="s">
        <v>35</v>
      </c>
      <c r="E52" s="67" t="s">
        <v>35</v>
      </c>
      <c r="F52" s="67" t="s">
        <v>35</v>
      </c>
      <c r="G52" s="67" t="s">
        <v>35</v>
      </c>
      <c r="H52" s="68" t="s">
        <v>35</v>
      </c>
      <c r="I52" s="1"/>
      <c r="J52" s="1"/>
    </row>
    <row r="53">
      <c r="A53" s="1"/>
      <c r="B53" s="51" t="s">
        <v>102</v>
      </c>
      <c r="C53" s="67" t="s">
        <v>35</v>
      </c>
      <c r="D53" s="67" t="s">
        <v>35</v>
      </c>
      <c r="E53" s="67" t="s">
        <v>35</v>
      </c>
      <c r="F53" s="67" t="s">
        <v>35</v>
      </c>
      <c r="G53" s="67" t="s">
        <v>35</v>
      </c>
      <c r="H53" s="68" t="s">
        <v>35</v>
      </c>
      <c r="I53" s="1"/>
      <c r="J53" s="1"/>
    </row>
    <row r="54">
      <c r="A54" s="1"/>
      <c r="B54" s="51" t="s">
        <v>103</v>
      </c>
      <c r="C54" s="67" t="s">
        <v>35</v>
      </c>
      <c r="D54" s="67" t="s">
        <v>35</v>
      </c>
      <c r="E54" s="67" t="s">
        <v>35</v>
      </c>
      <c r="F54" s="67" t="s">
        <v>35</v>
      </c>
      <c r="G54" s="67" t="s">
        <v>35</v>
      </c>
      <c r="H54" s="68" t="s">
        <v>35</v>
      </c>
      <c r="I54" s="1"/>
      <c r="J54" s="1"/>
    </row>
    <row r="55">
      <c r="A55" s="1"/>
      <c r="B55" s="31" t="s">
        <v>216</v>
      </c>
      <c r="C55" s="43">
        <f>C34+C41+C48</f>
        <v>297</v>
      </c>
      <c r="D55" s="43">
        <f>D34+D41+D48</f>
        <v>-88</v>
      </c>
      <c r="E55" s="43">
        <f>E34+E41+E48</f>
        <v>911</v>
      </c>
      <c r="F55" s="43">
        <f>F34+F41+F48</f>
        <v>189</v>
      </c>
      <c r="G55" s="43">
        <f>G34+G41+G48</f>
        <v>5224</v>
      </c>
      <c r="H55" s="45">
        <f>H34+H41+H48</f>
        <v>304.54377962738386</v>
      </c>
      <c r="I55" s="1"/>
      <c r="J55" s="1"/>
    </row>
    <row r="56">
      <c r="A56" s="1"/>
      <c r="B56" s="31" t="s">
        <v>217</v>
      </c>
      <c r="C56" s="33">
        <v>1406</v>
      </c>
      <c r="D56" s="33">
        <v>1568</v>
      </c>
      <c r="E56" s="33">
        <v>6114</v>
      </c>
      <c r="F56" s="33">
        <v>1026</v>
      </c>
      <c r="G56" s="33">
        <v>822</v>
      </c>
      <c r="H56" s="79">
        <f>'Revenue summary'!H64-'Segment - CCB'!H100-'Segment - CIB'!H220-'Segment - AWM'!H65</f>
        <v>764.3256132432914</v>
      </c>
      <c r="I56" s="1"/>
      <c r="J56" s="2" t="s">
        <v>645</v>
      </c>
    </row>
    <row r="57">
      <c r="A57" s="1"/>
      <c r="B57" s="36" t="s">
        <v>99</v>
      </c>
      <c r="C57" s="22">
        <f>IF(AND(ISNUMBER(C56),ISNUMBER(C108)),IF(OR(C108&lt;=0,C56&lt;0),"n.m.",C56/C108-1),"n.a.")</f>
        <v>-0.5176672384219554</v>
      </c>
      <c r="D57" s="22">
        <f>IF(AND(ISNUMBER(D56),ISNUMBER(D108)),IF(OR(D108&lt;=0,D56&lt;0),"n.m.",D56/D108-1),"n.a.")</f>
        <v>-0.22758620689655173</v>
      </c>
      <c r="E57" s="22">
        <f>IF(AND(ISNUMBER(E56),ISNUMBER(E108)),IF(OR(E108&lt;=0,E56&lt;0),"n.m.",E56/E108-1),"n.a.")</f>
        <v>-0.375229920294298</v>
      </c>
      <c r="F57" s="22">
        <f>IF(AND(ISNUMBER(F56),ISNUMBER(F108)),IF(OR(F108&lt;=0,F56&lt;0),"n.m.",F56/F108-1),"n.a.")</f>
        <v>-0.37855844942459116</v>
      </c>
      <c r="G57" s="22">
        <f>IF(AND(ISNUMBER(G56),ISNUMBER(G108)),IF(OR(G108&lt;=0,G56&lt;0),"n.m.",G56/G108-1),"n.a.")</f>
        <v>-0.4479516453995971</v>
      </c>
      <c r="H57" s="39">
        <f>IF(AND(ISNUMBER(H56),ISNUMBER(C56)),IF(OR(C56&lt;=0,H56&lt;0),"n.m.",H56/C56-1),"n.a.")</f>
        <v>-0.45638292087959365</v>
      </c>
      <c r="I57" s="1"/>
      <c r="J57" s="1"/>
    </row>
    <row r="58">
      <c r="A58" s="1"/>
      <c r="B58" s="36" t="s">
        <v>60</v>
      </c>
      <c r="C58" s="22">
        <f>IF(AND(ISNUMBER(C56),ISNUMBER(G108)),IF(OR(G108&lt;=0,C56&lt;0),"n.m.",C56/G108-1),"n.a.")</f>
        <v>-0.05574210879785091</v>
      </c>
      <c r="D58" s="22">
        <f>IF(AND(ISNUMBER(D56),ISNUMBER(C56)),IF(OR(C56&lt;=0,D56&lt;0),"n.m.",D56/C56-1),"n.a.")</f>
        <v>0.11522048364153625</v>
      </c>
      <c r="E58" s="1"/>
      <c r="F58" s="22">
        <f>IF(AND(ISNUMBER(F56),ISNUMBER(D56)),IF(OR(D56&lt;=0,F56&lt;0),"n.m.",F56/D56-1),"n.a.")</f>
        <v>-0.34566326530612246</v>
      </c>
      <c r="G58" s="22">
        <f>IF(AND(ISNUMBER(G56),ISNUMBER(F56)),IF(OR(F56&lt;=0,G56&lt;0),"n.m.",G56/F56-1),"n.a.")</f>
        <v>-0.19883040935672514</v>
      </c>
      <c r="H58" s="39">
        <f>IF(AND(ISNUMBER(H56),ISNUMBER(G56)),IF(OR(G56&lt;=0,H56&lt;0),"n.m.",H56/G56-1),"n.a.")</f>
        <v>-0.07016348753857493</v>
      </c>
      <c r="I58" s="1"/>
      <c r="J58" s="1"/>
    </row>
    <row r="59">
      <c r="A59" s="1"/>
      <c r="B59" s="36" t="s">
        <v>637</v>
      </c>
      <c r="C59" s="22">
        <f>IFERROR(C56/C24,"n.a.")</f>
        <v>0.8256018790369936</v>
      </c>
      <c r="D59" s="22">
        <f>IFERROR(D56/D24,"n.a.")</f>
        <v>1.0594594594594595</v>
      </c>
      <c r="E59" s="22">
        <f>IFERROR(E56/E24,"n.a.")</f>
        <v>0.8703202846975089</v>
      </c>
      <c r="F59" s="22">
        <f>IFERROR(F56/F24,"n.a.")</f>
        <v>0.8444444444444444</v>
      </c>
      <c r="G59" s="22">
        <f>IFERROR(G56/G24,"n.a.")</f>
        <v>0.13595765795567316</v>
      </c>
      <c r="H59" s="39">
        <f>IFERROR(H56/H24,"n.a.")</f>
        <v>0.7150785852240871</v>
      </c>
      <c r="I59" s="1"/>
      <c r="J59" s="1"/>
    </row>
    <row r="60">
      <c r="A60" s="1"/>
      <c r="B60" s="36" t="s">
        <v>101</v>
      </c>
      <c r="C60" s="67" t="s">
        <v>35</v>
      </c>
      <c r="D60" s="67" t="s">
        <v>35</v>
      </c>
      <c r="E60" s="67" t="s">
        <v>35</v>
      </c>
      <c r="F60" s="67" t="s">
        <v>35</v>
      </c>
      <c r="G60" s="67" t="s">
        <v>35</v>
      </c>
      <c r="H60" s="68" t="s">
        <v>35</v>
      </c>
      <c r="I60" s="1"/>
      <c r="J60" s="1"/>
    </row>
    <row r="61">
      <c r="A61" s="1"/>
      <c r="B61" s="36" t="s">
        <v>102</v>
      </c>
      <c r="C61" s="67" t="s">
        <v>35</v>
      </c>
      <c r="D61" s="67" t="s">
        <v>35</v>
      </c>
      <c r="E61" s="67" t="s">
        <v>35</v>
      </c>
      <c r="F61" s="67" t="s">
        <v>35</v>
      </c>
      <c r="G61" s="67" t="s">
        <v>35</v>
      </c>
      <c r="H61" s="68" t="s">
        <v>35</v>
      </c>
      <c r="I61" s="1"/>
      <c r="J61" s="1"/>
    </row>
    <row r="62">
      <c r="A62" s="1"/>
      <c r="B62" s="36" t="s">
        <v>103</v>
      </c>
      <c r="C62" s="67" t="s">
        <v>35</v>
      </c>
      <c r="D62" s="67" t="s">
        <v>35</v>
      </c>
      <c r="E62" s="67" t="s">
        <v>35</v>
      </c>
      <c r="F62" s="67" t="s">
        <v>35</v>
      </c>
      <c r="G62" s="67" t="s">
        <v>35</v>
      </c>
      <c r="H62" s="68" t="s">
        <v>35</v>
      </c>
      <c r="I62" s="1"/>
      <c r="J62" s="1"/>
    </row>
    <row r="63">
      <c r="A63" s="1"/>
      <c r="B63" s="31" t="s">
        <v>646</v>
      </c>
      <c r="C63" s="43">
        <f>C55+C56</f>
        <v>1703</v>
      </c>
      <c r="D63" s="43">
        <f>D55+D56</f>
        <v>1480</v>
      </c>
      <c r="E63" s="43">
        <f>E55+E56</f>
        <v>7025</v>
      </c>
      <c r="F63" s="43">
        <f>F55+F56</f>
        <v>1215</v>
      </c>
      <c r="G63" s="43">
        <f>G55+G56</f>
        <v>6046</v>
      </c>
      <c r="H63" s="45">
        <f>H55+H56</f>
        <v>1068.8693928706753</v>
      </c>
      <c r="I63" s="1"/>
      <c r="J63" s="1"/>
    </row>
    <row r="64">
      <c r="A64" s="1"/>
      <c r="B64" s="1"/>
      <c r="C64" s="1"/>
      <c r="D64" s="1"/>
      <c r="E64" s="1"/>
      <c r="F64" s="1"/>
      <c r="G64" s="1"/>
      <c r="H64" s="30"/>
      <c r="I64" s="1"/>
      <c r="J64" s="1"/>
    </row>
    <row r="65">
      <c r="A65" s="1"/>
      <c r="B65" s="31" t="s">
        <v>647</v>
      </c>
      <c r="C65" s="1"/>
      <c r="D65" s="1"/>
      <c r="E65" s="1"/>
      <c r="F65" s="1"/>
      <c r="G65" s="1"/>
      <c r="H65" s="30"/>
      <c r="I65" s="1"/>
      <c r="J65" s="1"/>
    </row>
    <row r="66" ht="27">
      <c r="A66" s="1"/>
      <c r="B66" s="1" t="s">
        <v>648</v>
      </c>
      <c r="C66" s="10">
        <f>C10-C41</f>
        <v>1582</v>
      </c>
      <c r="D66" s="10">
        <f>D10-D41</f>
        <v>1673</v>
      </c>
      <c r="E66" s="10">
        <f>E10-E41</f>
        <v>6559</v>
      </c>
      <c r="F66" s="10">
        <f>F10-F41</f>
        <v>1277</v>
      </c>
      <c r="G66" s="10">
        <f>G10-G41</f>
        <v>1188</v>
      </c>
      <c r="H66" s="44">
        <v>1150</v>
      </c>
      <c r="I66" s="1"/>
      <c r="J66" s="125" t="s">
        <v>649</v>
      </c>
    </row>
    <row r="67">
      <c r="A67" s="1"/>
      <c r="B67" s="36" t="s">
        <v>58</v>
      </c>
      <c r="C67" s="22">
        <f>IF(AND(ISNUMBER(C66),ISNUMBER(C109)),IF(OR(C109&lt;=0,C66&lt;0),"n.m.",C66/C109-1),"n.a.")</f>
        <v>-0.5009463722397476</v>
      </c>
      <c r="D67" s="22">
        <f>IF(AND(ISNUMBER(D66),ISNUMBER(D109)),IF(OR(D109&lt;=0,D66&lt;0),"n.m.",D66/D109-1),"n.a.")</f>
        <v>-0.23080459770114947</v>
      </c>
      <c r="E67" s="22">
        <f>IF(AND(ISNUMBER(E66),ISNUMBER(E109)),IF(OR(E109&lt;=0,E66&lt;0),"n.m.",E66/E109-1),"n.a.")</f>
        <v>-0.3845937324075812</v>
      </c>
      <c r="F67" s="22">
        <f>IF(AND(ISNUMBER(F66),ISNUMBER(F109)),IF(OR(F109&lt;=0,F66&lt;0),"n.m.",F66/F109-1),"n.a.")</f>
        <v>-0.20237351655215485</v>
      </c>
      <c r="G67" s="22">
        <f>IF(AND(ISNUMBER(G66),ISNUMBER(G109)),IF(OR(G109&lt;=0,G66&lt;0),"n.m.",G66/G109-1),"n.a.")</f>
        <v>-0.3024075161479741</v>
      </c>
      <c r="H67" s="39">
        <f>IF(AND(ISNUMBER(H66),ISNUMBER(C66)),IF(OR(C66&lt;=0,H66&lt;0),"n.m.",H66/C66-1),"n.a.")</f>
        <v>-0.2730720606826802</v>
      </c>
      <c r="I67" s="1"/>
      <c r="J67" s="1"/>
    </row>
    <row r="68">
      <c r="A68" s="1"/>
      <c r="B68" s="21" t="s">
        <v>114</v>
      </c>
      <c r="C68" s="10">
        <f>C66-G109</f>
        <v>-121</v>
      </c>
      <c r="D68" s="10">
        <f>D66-C66</f>
        <v>91</v>
      </c>
      <c r="E68" s="1"/>
      <c r="F68" s="10">
        <f>F66-D66</f>
        <v>-396</v>
      </c>
      <c r="G68" s="10">
        <f>G66-F66</f>
        <v>-89</v>
      </c>
      <c r="H68" s="29">
        <f>H66-G66</f>
        <v>-38</v>
      </c>
      <c r="I68" s="1"/>
      <c r="J68" s="1"/>
    </row>
    <row r="69" ht="27">
      <c r="A69" s="1"/>
      <c r="B69" s="21" t="s">
        <v>650</v>
      </c>
      <c r="C69" s="3">
        <v>0</v>
      </c>
      <c r="D69" s="3">
        <v>0</v>
      </c>
      <c r="E69" s="3">
        <v>0</v>
      </c>
      <c r="F69" s="3">
        <v>0</v>
      </c>
      <c r="G69" s="3">
        <v>4600</v>
      </c>
      <c r="H69" s="44">
        <v>0</v>
      </c>
      <c r="I69" s="1"/>
      <c r="J69" s="125" t="s">
        <v>651</v>
      </c>
    </row>
    <row r="70">
      <c r="A70" s="1"/>
      <c r="B70" s="21" t="s">
        <v>652</v>
      </c>
      <c r="C70" s="3">
        <v>0</v>
      </c>
      <c r="D70" s="3">
        <v>0</v>
      </c>
      <c r="E70" s="3">
        <v>0</v>
      </c>
      <c r="F70" s="3">
        <v>0</v>
      </c>
      <c r="G70" s="3">
        <v>763</v>
      </c>
      <c r="H70" s="44">
        <v>0</v>
      </c>
      <c r="I70" s="1"/>
      <c r="J70" s="2" t="s">
        <v>653</v>
      </c>
    </row>
    <row r="71">
      <c r="A71" s="1"/>
      <c r="B71" s="21" t="s">
        <v>654</v>
      </c>
      <c r="C71" s="3">
        <v>0</v>
      </c>
      <c r="D71" s="3">
        <v>0</v>
      </c>
      <c r="E71" s="3">
        <v>588</v>
      </c>
      <c r="F71" s="3">
        <v>0</v>
      </c>
      <c r="G71" s="3">
        <v>0</v>
      </c>
      <c r="H71" s="44">
        <v>0</v>
      </c>
      <c r="I71" s="1"/>
      <c r="J71" s="2" t="s">
        <v>655</v>
      </c>
    </row>
    <row r="72">
      <c r="A72" s="1"/>
      <c r="B72" s="31" t="s">
        <v>656</v>
      </c>
      <c r="C72" s="43">
        <f>C69+C70+C71</f>
        <v>0</v>
      </c>
      <c r="D72" s="43">
        <f>D69+D70+D71</f>
        <v>0</v>
      </c>
      <c r="E72" s="43">
        <f>E69+E70+E71</f>
        <v>588</v>
      </c>
      <c r="F72" s="43">
        <f>F69+F70+F71</f>
        <v>0</v>
      </c>
      <c r="G72" s="43">
        <f>G69+G70+G71</f>
        <v>5363</v>
      </c>
      <c r="H72" s="45">
        <f>H69+H70+H71</f>
        <v>0</v>
      </c>
      <c r="I72" s="1"/>
      <c r="J72" s="1"/>
    </row>
    <row r="73" ht="27">
      <c r="A73" s="1"/>
      <c r="B73" s="1" t="s">
        <v>657</v>
      </c>
      <c r="C73" s="10">
        <f>C17-C72</f>
        <v>16</v>
      </c>
      <c r="D73" s="10">
        <f>D17-D72</f>
        <v>-121</v>
      </c>
      <c r="E73" s="10">
        <f>E17-E72</f>
        <v>-64</v>
      </c>
      <c r="F73" s="10">
        <f>F17-F72</f>
        <v>-122</v>
      </c>
      <c r="G73" s="10">
        <f>G17-G72</f>
        <v>-110</v>
      </c>
      <c r="H73" s="44">
        <v>-115</v>
      </c>
      <c r="I73" s="1"/>
      <c r="J73" s="125" t="s">
        <v>658</v>
      </c>
    </row>
    <row r="74">
      <c r="A74" s="1"/>
      <c r="B74" s="36" t="s">
        <v>58</v>
      </c>
      <c r="C74" s="22" t="str">
        <f>IF(AND(ISNUMBER(C73),ISNUMBER(C114)),IF(OR(C114&lt;=0,C73&lt;0),"n.m.",C73/C114-1),"n.a.")</f>
        <v>n.m.</v>
      </c>
      <c r="D74" s="22" t="str">
        <f>IF(AND(ISNUMBER(D73),ISNUMBER(D114)),IF(OR(D114&lt;=0,D73&lt;0),"n.m.",D73/D114-1),"n.a.")</f>
        <v>n.m.</v>
      </c>
      <c r="E74" s="22" t="str">
        <f>IF(AND(ISNUMBER(E73),ISNUMBER(E114)),IF(OR(E114&lt;=0,E73&lt;0),"n.m.",E73/E114-1),"n.a.")</f>
        <v>n.m.</v>
      </c>
      <c r="F74" s="22" t="str">
        <f>IF(AND(ISNUMBER(F73),ISNUMBER(F114)),IF(OR(F114&lt;=0,F73&lt;0),"n.m.",F73/F114-1),"n.a.")</f>
        <v>n.m.</v>
      </c>
      <c r="G74" s="22" t="str">
        <f>IF(AND(ISNUMBER(G73),ISNUMBER(G114)),IF(OR(G114&lt;=0,G73&lt;0),"n.m.",G73/G114-1),"n.a.")</f>
        <v>n.m.</v>
      </c>
      <c r="H74" s="39" t="str">
        <f>IF(AND(ISNUMBER(H73),ISNUMBER(C73)),IF(OR(C73&lt;=0,H73&lt;0),"n.m.",H73/C73-1),"n.a.")</f>
        <v>n.m.</v>
      </c>
      <c r="I74" s="1"/>
      <c r="J74" s="1"/>
    </row>
    <row r="75">
      <c r="A75" s="1"/>
      <c r="B75" s="21" t="s">
        <v>114</v>
      </c>
      <c r="C75" s="10">
        <f>C73-G114</f>
        <v>127</v>
      </c>
      <c r="D75" s="10">
        <f>D73-C73</f>
        <v>-137</v>
      </c>
      <c r="E75" s="1"/>
      <c r="F75" s="10">
        <f>F73-D73</f>
        <v>-1</v>
      </c>
      <c r="G75" s="10">
        <f>G73-F73</f>
        <v>12</v>
      </c>
      <c r="H75" s="29">
        <f>H73-G73</f>
        <v>-5</v>
      </c>
      <c r="I75" s="1"/>
      <c r="J75" s="1"/>
    </row>
    <row r="76">
      <c r="A76" s="1"/>
      <c r="B76" s="31" t="s">
        <v>659</v>
      </c>
      <c r="C76" s="1"/>
      <c r="D76" s="1"/>
      <c r="E76" s="1"/>
      <c r="F76" s="1"/>
      <c r="G76" s="1"/>
      <c r="H76" s="30"/>
      <c r="I76" s="1"/>
      <c r="J76" s="1"/>
    </row>
    <row r="77">
      <c r="A77" s="1"/>
      <c r="B77" s="21" t="s">
        <v>660</v>
      </c>
      <c r="C77" s="1"/>
      <c r="D77" s="1"/>
      <c r="E77" s="1"/>
      <c r="F77" s="1"/>
      <c r="G77" s="1"/>
      <c r="H77" s="49">
        <v>343.09</v>
      </c>
      <c r="I77" s="1"/>
      <c r="J77" s="2" t="s">
        <v>661</v>
      </c>
    </row>
    <row r="78">
      <c r="A78" s="1"/>
      <c r="B78" s="21" t="s">
        <v>662</v>
      </c>
      <c r="C78" s="1"/>
      <c r="D78" s="1"/>
      <c r="E78" s="1"/>
      <c r="F78" s="1"/>
      <c r="G78" s="1"/>
      <c r="H78" s="49">
        <v>359.33</v>
      </c>
      <c r="I78" s="1"/>
      <c r="J78" s="2" t="s">
        <v>663</v>
      </c>
    </row>
    <row r="79">
      <c r="A79" s="1"/>
      <c r="B79" s="36" t="s">
        <v>664</v>
      </c>
      <c r="C79" s="1"/>
      <c r="D79" s="1"/>
      <c r="E79" s="1"/>
      <c r="F79" s="1"/>
      <c r="G79" s="1"/>
      <c r="H79" s="39">
        <f>H78/H77-1</f>
        <v>0.04733451863942406</v>
      </c>
      <c r="I79" s="1"/>
      <c r="J79" s="1"/>
    </row>
    <row r="80" ht="39">
      <c r="A80" s="1"/>
      <c r="B80" s="21" t="s">
        <v>665</v>
      </c>
      <c r="C80" s="1"/>
      <c r="D80" s="1"/>
      <c r="E80" s="1"/>
      <c r="F80" s="1"/>
      <c r="G80" s="1"/>
      <c r="H80" s="29">
        <f>G69</f>
        <v>4600</v>
      </c>
      <c r="I80" s="1"/>
      <c r="J80" s="125" t="s">
        <v>666</v>
      </c>
    </row>
    <row r="81" ht="27">
      <c r="A81" s="1"/>
      <c r="B81" s="36" t="s">
        <v>667</v>
      </c>
      <c r="C81" s="1"/>
      <c r="D81" s="1"/>
      <c r="E81" s="1"/>
      <c r="F81" s="1"/>
      <c r="G81" s="1"/>
      <c r="H81" s="72">
        <v>0.5</v>
      </c>
      <c r="I81" s="1"/>
      <c r="J81" s="125" t="s">
        <v>668</v>
      </c>
    </row>
    <row r="82" ht="51">
      <c r="A82" s="1"/>
      <c r="B82" s="21" t="s">
        <v>669</v>
      </c>
      <c r="C82" s="118" t="s">
        <v>31</v>
      </c>
      <c r="D82" s="118" t="s">
        <v>31</v>
      </c>
      <c r="E82" s="118" t="s">
        <v>31</v>
      </c>
      <c r="F82" s="118" t="s">
        <v>31</v>
      </c>
      <c r="G82" s="118" t="s">
        <v>31</v>
      </c>
      <c r="H82" s="29">
        <f>H80*H79*H81</f>
        <v>108.86939287067534</v>
      </c>
      <c r="I82" s="1"/>
      <c r="J82" s="125" t="s">
        <v>670</v>
      </c>
    </row>
    <row r="83">
      <c r="A83" s="1"/>
      <c r="B83" s="1" t="s">
        <v>671</v>
      </c>
      <c r="C83" s="3">
        <v>765494</v>
      </c>
      <c r="D83" s="3">
        <v>785650</v>
      </c>
      <c r="E83" s="3">
        <v>734850</v>
      </c>
      <c r="F83" s="3">
        <v>798982</v>
      </c>
      <c r="G83" s="3">
        <v>804403</v>
      </c>
      <c r="H83" s="29">
        <f>G83</f>
        <v>804403</v>
      </c>
      <c r="I83" s="1"/>
      <c r="J83" s="2" t="s">
        <v>672</v>
      </c>
    </row>
    <row r="84">
      <c r="A84" s="1"/>
      <c r="B84" s="36" t="s">
        <v>58</v>
      </c>
      <c r="C84" s="22">
        <f>IF(AND(ISNUMBER(C83),ISNUMBER(C115)),IF(OR(C115&lt;=0,C83&lt;0),"n.m.",C83/C115-1),"n.a.")</f>
        <v>0.23438502794521265</v>
      </c>
      <c r="D84" s="22">
        <f>IF(AND(ISNUMBER(D83),ISNUMBER(D115)),IF(OR(D115&lt;=0,D83&lt;0),"n.m.",D83/D115-1),"n.a.")</f>
        <v>0.19325706856538805</v>
      </c>
      <c r="E84" s="22">
        <f>IF(AND(ISNUMBER(E83),ISNUMBER(E115)),IF(OR(E115&lt;=0,E83&lt;0),"n.m.",E83/E115-1),"n.a.")</f>
        <v>0.20735602421119737</v>
      </c>
      <c r="F84" s="22">
        <f>IF(AND(ISNUMBER(F83),ISNUMBER(F115)),IF(OR(F115&lt;=0,F83&lt;0),"n.m.",F83/F115-1),"n.a.")</f>
        <v>0.2070983210530848</v>
      </c>
      <c r="G84" s="22">
        <f>IF(AND(ISNUMBER(G83),ISNUMBER(G115)),IF(OR(G115&lt;=0,G83&lt;0),"n.m.",G83/G115-1),"n.a.")</f>
        <v>0.11004501433779801</v>
      </c>
      <c r="H84" s="39">
        <f>IF(AND(ISNUMBER(H83),ISNUMBER(C83)),IF(OR(C83&lt;=0,H83&lt;0),"n.m.",H83/C83-1),"n.a.")</f>
        <v>0.050828615247147546</v>
      </c>
      <c r="I84" s="1"/>
      <c r="J84" s="1"/>
    </row>
    <row r="85">
      <c r="A85" s="1"/>
      <c r="B85" s="21" t="s">
        <v>114</v>
      </c>
      <c r="C85" s="10">
        <f>C83-G115</f>
        <v>40836</v>
      </c>
      <c r="D85" s="10">
        <f>D83-C83</f>
        <v>20156</v>
      </c>
      <c r="E85" s="1"/>
      <c r="F85" s="10">
        <f>F83-D83</f>
        <v>13332</v>
      </c>
      <c r="G85" s="10">
        <f>G83-F83</f>
        <v>5421</v>
      </c>
      <c r="H85" s="29">
        <f>H83-G83</f>
        <v>0</v>
      </c>
      <c r="I85" s="1"/>
      <c r="J85" s="1"/>
    </row>
    <row r="86">
      <c r="A86" s="1"/>
      <c r="B86" s="1"/>
      <c r="C86" s="1"/>
      <c r="D86" s="1"/>
      <c r="E86" s="1"/>
      <c r="F86" s="1"/>
      <c r="G86" s="1"/>
      <c r="H86" s="30"/>
      <c r="I86" s="1"/>
      <c r="J86" s="1"/>
    </row>
    <row r="87">
      <c r="A87" s="1"/>
      <c r="B87" s="31" t="s">
        <v>314</v>
      </c>
      <c r="C87" s="1"/>
      <c r="D87" s="1"/>
      <c r="E87" s="1"/>
      <c r="F87" s="1"/>
      <c r="G87" s="1"/>
      <c r="H87" s="30"/>
      <c r="I87" s="1"/>
      <c r="J87" s="1"/>
    </row>
    <row r="88">
      <c r="A88" s="1"/>
      <c r="B88" s="1" t="s">
        <v>317</v>
      </c>
      <c r="C88" s="10">
        <f>C24</f>
        <v>1703</v>
      </c>
      <c r="D88" s="10">
        <f>D24</f>
        <v>1480</v>
      </c>
      <c r="E88" s="10">
        <f>E24</f>
        <v>7025</v>
      </c>
      <c r="F88" s="10">
        <f>F24</f>
        <v>1215</v>
      </c>
      <c r="G88" s="10">
        <f>G24</f>
        <v>6046</v>
      </c>
      <c r="H88" s="29">
        <f>H24</f>
        <v>1068.8693928706753</v>
      </c>
      <c r="I88" s="1"/>
      <c r="J88" s="1"/>
    </row>
    <row r="89">
      <c r="A89" s="1"/>
      <c r="B89" s="1" t="s">
        <v>318</v>
      </c>
      <c r="C89" s="3">
        <v>445</v>
      </c>
      <c r="D89" s="3">
        <v>648</v>
      </c>
      <c r="E89" s="3">
        <v>1825</v>
      </c>
      <c r="F89" s="3">
        <v>568</v>
      </c>
      <c r="G89" s="3">
        <v>611</v>
      </c>
      <c r="H89" s="44">
        <v>560</v>
      </c>
      <c r="I89" s="1"/>
      <c r="J89" s="2" t="s">
        <v>673</v>
      </c>
    </row>
    <row r="90">
      <c r="A90" s="1"/>
      <c r="B90" s="36" t="s">
        <v>58</v>
      </c>
      <c r="C90" s="22">
        <f>IF(AND(ISNUMBER(C89),ISNUMBER(C116)),IF(OR(C116&lt;=0,C89&lt;0),"n.m.",C89/C116-1),"n.a.")</f>
        <v>-0.24448217317487264</v>
      </c>
      <c r="D90" s="22">
        <f>IF(AND(ISNUMBER(D89),ISNUMBER(D116)),IF(OR(D116&lt;=0,D89&lt;0),"n.m.",D89/D116-1),"n.a.")</f>
        <v>0.17818181818181822</v>
      </c>
      <c r="E90" s="22">
        <f>IF(AND(ISNUMBER(E89),ISNUMBER(E116)),IF(OR(E116&lt;=0,E89&lt;0),"n.m.",E89/E116-1),"n.a.")</f>
        <v>-0.543064596895343</v>
      </c>
      <c r="F90" s="22">
        <f>IF(AND(ISNUMBER(F89),ISNUMBER(F116)),IF(OR(F116&lt;=0,F89&lt;0),"n.m.",F89/F116-1),"n.a.")</f>
        <v>2.0702702702702704</v>
      </c>
      <c r="G90" s="22">
        <f>IF(AND(ISNUMBER(G89),ISNUMBER(G116)),IF(OR(G116&lt;=0,G89&lt;0),"n.m.",G89/G116-1),"n.a.")</f>
        <v>0.11700182815356497</v>
      </c>
      <c r="H90" s="39">
        <f>IF(AND(ISNUMBER(H89),ISNUMBER(C89)),IF(OR(C89&lt;=0,H89&lt;0),"n.m.",H89/C89-1),"n.a.")</f>
        <v>0.2584269662921348</v>
      </c>
      <c r="I90" s="1"/>
      <c r="J90" s="1"/>
    </row>
    <row r="91">
      <c r="A91" s="1"/>
      <c r="B91" s="21" t="s">
        <v>114</v>
      </c>
      <c r="C91" s="10">
        <f>C89-G116</f>
        <v>-102</v>
      </c>
      <c r="D91" s="10">
        <f>D89-C89</f>
        <v>203</v>
      </c>
      <c r="E91" s="1"/>
      <c r="F91" s="10">
        <f>F89-D89</f>
        <v>-80</v>
      </c>
      <c r="G91" s="10">
        <f>G89-F89</f>
        <v>43</v>
      </c>
      <c r="H91" s="29">
        <f>H89-G89</f>
        <v>-51</v>
      </c>
      <c r="I91" s="1"/>
      <c r="J91" s="1"/>
    </row>
    <row r="92">
      <c r="A92" s="1"/>
      <c r="B92" s="1" t="s">
        <v>312</v>
      </c>
      <c r="C92" s="3">
        <v>-3</v>
      </c>
      <c r="D92" s="3">
        <v>4</v>
      </c>
      <c r="E92" s="3">
        <v>7</v>
      </c>
      <c r="F92" s="3">
        <v>-1</v>
      </c>
      <c r="G92" s="3">
        <v>-10</v>
      </c>
      <c r="H92" s="44">
        <v>0</v>
      </c>
      <c r="I92" s="1"/>
      <c r="J92" s="2" t="s">
        <v>313</v>
      </c>
    </row>
    <row r="93">
      <c r="A93" s="1"/>
      <c r="B93" s="21" t="s">
        <v>131</v>
      </c>
      <c r="C93" s="10">
        <f>C92-C117</f>
        <v>1</v>
      </c>
      <c r="D93" s="10">
        <f>D92-D117</f>
        <v>22</v>
      </c>
      <c r="E93" s="10">
        <f>E92-E117</f>
        <v>-3</v>
      </c>
      <c r="F93" s="10">
        <f>F92-F117</f>
        <v>18</v>
      </c>
      <c r="G93" s="10">
        <f>G92-G117</f>
        <v>-35</v>
      </c>
      <c r="H93" s="29">
        <f>H92-C92</f>
        <v>3</v>
      </c>
      <c r="I93" s="1"/>
      <c r="J93" s="1"/>
    </row>
    <row r="94">
      <c r="A94" s="1"/>
      <c r="B94" s="21" t="s">
        <v>114</v>
      </c>
      <c r="C94" s="10">
        <f>C92-G117</f>
        <v>-28</v>
      </c>
      <c r="D94" s="10">
        <f>D92-C92</f>
        <v>7</v>
      </c>
      <c r="E94" s="1"/>
      <c r="F94" s="10">
        <f>F92-D92</f>
        <v>-5</v>
      </c>
      <c r="G94" s="10">
        <f>G92-F92</f>
        <v>-9</v>
      </c>
      <c r="H94" s="29">
        <f>H92-G92</f>
        <v>10</v>
      </c>
      <c r="I94" s="1"/>
      <c r="J94" s="1"/>
    </row>
    <row r="95">
      <c r="A95" s="1"/>
      <c r="B95" s="31" t="s">
        <v>320</v>
      </c>
      <c r="C95" s="43">
        <f>C88-C89-C92</f>
        <v>1261</v>
      </c>
      <c r="D95" s="43">
        <f>D88-D89-D92</f>
        <v>828</v>
      </c>
      <c r="E95" s="43">
        <f>E88-E89-E92</f>
        <v>5193</v>
      </c>
      <c r="F95" s="43">
        <f>F88-F89-F92</f>
        <v>648</v>
      </c>
      <c r="G95" s="43">
        <f>G88-G89-G92</f>
        <v>5445</v>
      </c>
      <c r="H95" s="45">
        <f>H88-H89-H92</f>
        <v>508.86939287067526</v>
      </c>
      <c r="I95" s="1"/>
      <c r="J95" s="1"/>
    </row>
    <row r="96">
      <c r="A96" s="1"/>
      <c r="B96" s="1" t="s">
        <v>674</v>
      </c>
      <c r="C96" s="3">
        <v>436</v>
      </c>
      <c r="D96" s="3">
        <v>521</v>
      </c>
      <c r="E96" s="3">
        <v>673</v>
      </c>
      <c r="F96" s="3">
        <v>-51</v>
      </c>
      <c r="G96" s="3">
        <v>1236</v>
      </c>
      <c r="H96" s="29">
        <f>H95-H99</f>
        <v>216.5029158406021</v>
      </c>
      <c r="I96" s="1"/>
      <c r="J96" s="2" t="s">
        <v>675</v>
      </c>
    </row>
    <row r="97">
      <c r="A97" s="1"/>
      <c r="B97" s="21" t="s">
        <v>131</v>
      </c>
      <c r="C97" s="10">
        <f>C96-C118</f>
        <v>-239</v>
      </c>
      <c r="D97" s="10">
        <f>D96-D118</f>
        <v>389</v>
      </c>
      <c r="E97" s="10">
        <f>E96-E118</f>
        <v>-2116</v>
      </c>
      <c r="F97" s="10">
        <f>F96-F118</f>
        <v>-496</v>
      </c>
      <c r="G97" s="10">
        <f>G96-G118</f>
        <v>1965</v>
      </c>
      <c r="H97" s="29">
        <f>H96-C96</f>
        <v>-219.4970841593979</v>
      </c>
      <c r="I97" s="1"/>
      <c r="J97" s="1"/>
    </row>
    <row r="98">
      <c r="A98" s="1"/>
      <c r="B98" s="21" t="s">
        <v>114</v>
      </c>
      <c r="C98" s="10">
        <f>C96-G118</f>
        <v>1165</v>
      </c>
      <c r="D98" s="10">
        <f>D96-C96</f>
        <v>85</v>
      </c>
      <c r="E98" s="1"/>
      <c r="F98" s="10">
        <f>F96-D96</f>
        <v>-572</v>
      </c>
      <c r="G98" s="10">
        <f>G96-F96</f>
        <v>1287</v>
      </c>
      <c r="H98" s="29">
        <f>H96-G96</f>
        <v>-1019.4970841593979</v>
      </c>
      <c r="I98" s="1"/>
      <c r="J98" s="1"/>
    </row>
    <row r="99">
      <c r="A99" s="1"/>
      <c r="B99" s="31" t="s">
        <v>676</v>
      </c>
      <c r="C99" s="43">
        <f>C95-C96</f>
        <v>825</v>
      </c>
      <c r="D99" s="43">
        <f>D95-D96</f>
        <v>307</v>
      </c>
      <c r="E99" s="43">
        <f>E95-E96</f>
        <v>4520</v>
      </c>
      <c r="F99" s="43">
        <f>F95-F96</f>
        <v>699</v>
      </c>
      <c r="G99" s="43">
        <f>G95-G96</f>
        <v>4209</v>
      </c>
      <c r="H99" s="52">
        <f>'Income Statement'!H134-'Segment - CCB'!H290-'Segment - CIB'!H293-'Segment - AWM'!H197</f>
        <v>292.36647703007316</v>
      </c>
      <c r="I99" s="1"/>
      <c r="J99" s="2" t="s">
        <v>677</v>
      </c>
    </row>
    <row r="100">
      <c r="A100" s="1"/>
      <c r="B100" s="1"/>
      <c r="C100" s="1"/>
      <c r="D100" s="1"/>
      <c r="E100" s="1"/>
      <c r="F100" s="1"/>
      <c r="G100" s="1"/>
      <c r="H100" s="30"/>
      <c r="I100" s="1"/>
      <c r="J100" s="1"/>
    </row>
    <row r="101" ht="39">
      <c r="A101" s="1"/>
      <c r="B101" s="113" t="s">
        <v>158</v>
      </c>
      <c r="C101" s="116" t="s">
        <v>159</v>
      </c>
      <c r="D101" s="116" t="s">
        <v>160</v>
      </c>
      <c r="E101" s="116" t="s">
        <v>161</v>
      </c>
      <c r="F101" s="116" t="s">
        <v>162</v>
      </c>
      <c r="G101" s="116" t="s">
        <v>163</v>
      </c>
      <c r="H101" s="117" t="s">
        <v>57</v>
      </c>
      <c r="I101" s="1"/>
      <c r="J101" s="125" t="s">
        <v>164</v>
      </c>
    </row>
    <row r="102">
      <c r="A102" s="1"/>
      <c r="B102" s="21" t="s">
        <v>678</v>
      </c>
      <c r="C102" s="3">
        <v>3154</v>
      </c>
      <c r="D102" s="3">
        <v>2083</v>
      </c>
      <c r="E102" s="3">
        <v>9638</v>
      </c>
      <c r="F102" s="3">
        <v>1564</v>
      </c>
      <c r="G102" s="3">
        <v>1649</v>
      </c>
      <c r="H102" s="29">
        <f>C10</f>
        <v>1687</v>
      </c>
      <c r="I102" s="1"/>
      <c r="J102" s="1"/>
    </row>
    <row r="103">
      <c r="A103" s="1"/>
      <c r="B103" s="21" t="s">
        <v>679</v>
      </c>
      <c r="C103" s="3">
        <v>-84</v>
      </c>
      <c r="D103" s="3">
        <v>-83</v>
      </c>
      <c r="E103" s="3">
        <v>7756</v>
      </c>
      <c r="F103" s="3">
        <v>740</v>
      </c>
      <c r="G103" s="3">
        <v>-111</v>
      </c>
      <c r="H103" s="29">
        <f>C17</f>
        <v>16</v>
      </c>
      <c r="I103" s="1"/>
      <c r="J103" s="1"/>
    </row>
    <row r="104">
      <c r="A104" s="1"/>
      <c r="B104" s="21" t="s">
        <v>680</v>
      </c>
      <c r="C104" s="10">
        <f>C102+C103</f>
        <v>3070</v>
      </c>
      <c r="D104" s="10">
        <f>D102+D103</f>
        <v>2000</v>
      </c>
      <c r="E104" s="10">
        <f>E102+E103</f>
        <v>17394</v>
      </c>
      <c r="F104" s="10">
        <f>F102+F103</f>
        <v>2304</v>
      </c>
      <c r="G104" s="10">
        <f>G102+G103</f>
        <v>1538</v>
      </c>
      <c r="H104" s="29">
        <f>C24</f>
        <v>1703</v>
      </c>
      <c r="I104" s="1"/>
      <c r="J104" s="1"/>
    </row>
    <row r="105">
      <c r="A105" s="1"/>
      <c r="B105" s="21" t="s">
        <v>506</v>
      </c>
      <c r="C105" s="3">
        <v>-1</v>
      </c>
      <c r="D105" s="3">
        <v>28</v>
      </c>
      <c r="E105" s="3">
        <v>152</v>
      </c>
      <c r="F105" s="3">
        <v>-87</v>
      </c>
      <c r="G105" s="3">
        <v>-54</v>
      </c>
      <c r="H105" s="29">
        <f>C34</f>
        <v>-54</v>
      </c>
      <c r="I105" s="1"/>
      <c r="J105" s="1"/>
    </row>
    <row r="106">
      <c r="A106" s="1"/>
      <c r="B106" s="21" t="s">
        <v>681</v>
      </c>
      <c r="C106" s="3">
        <v>-16</v>
      </c>
      <c r="D106" s="3">
        <v>-92</v>
      </c>
      <c r="E106" s="3">
        <v>-1020</v>
      </c>
      <c r="F106" s="3">
        <v>-37</v>
      </c>
      <c r="G106" s="3">
        <v>-54</v>
      </c>
      <c r="H106" s="29">
        <f>C41</f>
        <v>105</v>
      </c>
      <c r="I106" s="1"/>
      <c r="J106" s="1"/>
    </row>
    <row r="107">
      <c r="A107" s="1"/>
      <c r="B107" s="21" t="s">
        <v>508</v>
      </c>
      <c r="C107" s="3">
        <v>172</v>
      </c>
      <c r="D107" s="3">
        <v>34</v>
      </c>
      <c r="E107" s="3">
        <v>8476</v>
      </c>
      <c r="F107" s="3">
        <v>777</v>
      </c>
      <c r="G107" s="3">
        <v>157</v>
      </c>
      <c r="H107" s="29">
        <f>C48</f>
        <v>246</v>
      </c>
      <c r="I107" s="1"/>
      <c r="J107" s="1"/>
    </row>
    <row r="108">
      <c r="A108" s="1"/>
      <c r="B108" s="21" t="s">
        <v>338</v>
      </c>
      <c r="C108" s="3">
        <v>2915</v>
      </c>
      <c r="D108" s="3">
        <v>2030</v>
      </c>
      <c r="E108" s="3">
        <v>9786</v>
      </c>
      <c r="F108" s="3">
        <v>1651</v>
      </c>
      <c r="G108" s="3">
        <v>1489</v>
      </c>
      <c r="H108" s="29">
        <f>C56</f>
        <v>1406</v>
      </c>
      <c r="I108" s="1"/>
      <c r="J108" s="1"/>
    </row>
    <row r="109">
      <c r="A109" s="1"/>
      <c r="B109" s="21" t="s">
        <v>682</v>
      </c>
      <c r="C109" s="10">
        <f>C102-C106</f>
        <v>3170</v>
      </c>
      <c r="D109" s="10">
        <f>D102-D106</f>
        <v>2175</v>
      </c>
      <c r="E109" s="10">
        <f>E102-E106</f>
        <v>10658</v>
      </c>
      <c r="F109" s="10">
        <f>F102-F106</f>
        <v>1601</v>
      </c>
      <c r="G109" s="10">
        <f>G102-G106</f>
        <v>1703</v>
      </c>
      <c r="H109" s="29">
        <f>C66</f>
        <v>1582</v>
      </c>
      <c r="I109" s="1"/>
      <c r="J109" s="1"/>
    </row>
    <row r="110">
      <c r="A110" s="1"/>
      <c r="B110" s="21" t="s">
        <v>683</v>
      </c>
      <c r="C110" s="3">
        <v>0</v>
      </c>
      <c r="D110" s="3">
        <v>0</v>
      </c>
      <c r="E110" s="3">
        <v>7900</v>
      </c>
      <c r="F110" s="3">
        <v>0</v>
      </c>
      <c r="G110" s="3">
        <v>0</v>
      </c>
      <c r="H110" s="29">
        <f>C69</f>
        <v>0</v>
      </c>
      <c r="I110" s="1"/>
      <c r="J110" s="1"/>
    </row>
    <row r="111">
      <c r="A111" s="1"/>
      <c r="B111" s="21" t="s">
        <v>684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29">
        <f>C70</f>
        <v>0</v>
      </c>
      <c r="I111" s="1"/>
      <c r="J111" s="1"/>
    </row>
    <row r="112">
      <c r="A112" s="1"/>
      <c r="B112" s="21" t="s">
        <v>685</v>
      </c>
      <c r="C112" s="3">
        <v>0</v>
      </c>
      <c r="D112" s="3">
        <v>0</v>
      </c>
      <c r="E112" s="3">
        <v>0</v>
      </c>
      <c r="F112" s="10">
        <f>E71</f>
        <v>588</v>
      </c>
      <c r="G112" s="3">
        <v>0</v>
      </c>
      <c r="H112" s="29">
        <f>C71</f>
        <v>0</v>
      </c>
      <c r="I112" s="1"/>
      <c r="J112" s="1"/>
    </row>
    <row r="113">
      <c r="A113" s="1"/>
      <c r="B113" s="21" t="s">
        <v>686</v>
      </c>
      <c r="C113" s="10">
        <f>C110+C111+C112</f>
        <v>0</v>
      </c>
      <c r="D113" s="10">
        <f>D110+D111+D112</f>
        <v>0</v>
      </c>
      <c r="E113" s="10">
        <f>E110+E111+E112</f>
        <v>7900</v>
      </c>
      <c r="F113" s="10">
        <f>F110+F111+F112</f>
        <v>588</v>
      </c>
      <c r="G113" s="10">
        <f>G110+G111+G112</f>
        <v>0</v>
      </c>
      <c r="H113" s="29">
        <f>C72</f>
        <v>0</v>
      </c>
      <c r="I113" s="1"/>
      <c r="J113" s="1"/>
    </row>
    <row r="114">
      <c r="A114" s="1"/>
      <c r="B114" s="21" t="s">
        <v>687</v>
      </c>
      <c r="C114" s="10">
        <f>C103-C113</f>
        <v>-84</v>
      </c>
      <c r="D114" s="10">
        <f>D103-D113</f>
        <v>-83</v>
      </c>
      <c r="E114" s="10">
        <f>E103-E113</f>
        <v>-144</v>
      </c>
      <c r="F114" s="10">
        <f>F103-F113</f>
        <v>152</v>
      </c>
      <c r="G114" s="10">
        <f>G103-G113</f>
        <v>-111</v>
      </c>
      <c r="H114" s="29">
        <f>C73</f>
        <v>16</v>
      </c>
      <c r="I114" s="1"/>
      <c r="J114" s="1"/>
    </row>
    <row r="115">
      <c r="A115" s="1"/>
      <c r="B115" s="21" t="s">
        <v>688</v>
      </c>
      <c r="C115" s="3">
        <v>620142</v>
      </c>
      <c r="D115" s="3">
        <v>658408</v>
      </c>
      <c r="E115" s="3">
        <v>608644</v>
      </c>
      <c r="F115" s="3">
        <v>661903</v>
      </c>
      <c r="G115" s="3">
        <v>724658</v>
      </c>
      <c r="H115" s="29">
        <f>C83</f>
        <v>765494</v>
      </c>
      <c r="I115" s="1"/>
      <c r="J115" s="1"/>
    </row>
    <row r="116">
      <c r="A116" s="1"/>
      <c r="B116" s="21" t="s">
        <v>385</v>
      </c>
      <c r="C116" s="3">
        <v>589</v>
      </c>
      <c r="D116" s="3">
        <v>550</v>
      </c>
      <c r="E116" s="3">
        <v>3994</v>
      </c>
      <c r="F116" s="3">
        <v>185</v>
      </c>
      <c r="G116" s="3">
        <v>547</v>
      </c>
      <c r="H116" s="29">
        <f>C89</f>
        <v>445</v>
      </c>
      <c r="I116" s="1"/>
      <c r="J116" s="1"/>
    </row>
    <row r="117">
      <c r="A117" s="1"/>
      <c r="B117" s="21" t="s">
        <v>383</v>
      </c>
      <c r="C117" s="3">
        <v>-4</v>
      </c>
      <c r="D117" s="3">
        <v>-18</v>
      </c>
      <c r="E117" s="3">
        <v>10</v>
      </c>
      <c r="F117" s="3">
        <v>-19</v>
      </c>
      <c r="G117" s="3">
        <v>25</v>
      </c>
      <c r="H117" s="29">
        <f>C92</f>
        <v>-3</v>
      </c>
      <c r="I117" s="1"/>
      <c r="J117" s="1"/>
    </row>
    <row r="118">
      <c r="A118" s="1"/>
      <c r="B118" s="21" t="s">
        <v>689</v>
      </c>
      <c r="C118" s="3">
        <v>675</v>
      </c>
      <c r="D118" s="3">
        <v>132</v>
      </c>
      <c r="E118" s="3">
        <v>2789</v>
      </c>
      <c r="F118" s="3">
        <v>445</v>
      </c>
      <c r="G118" s="3">
        <v>-729</v>
      </c>
      <c r="H118" s="29">
        <f>C96</f>
        <v>436</v>
      </c>
      <c r="I118" s="1"/>
      <c r="J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dimension ref="A1:J242"/>
  <sheetViews>
    <sheetView showGridLines="0" workbookViewId="0"/>
  </sheetViews>
  <sheetFormatPr defaultColWidth="8.42578125" defaultRowHeight="15"/>
  <cols>
    <col min="1" max="1" width="2" customWidth="1"/>
    <col min="2" max="2" width="38" customWidth="1"/>
    <col min="3" max="8" width="12" customWidth="1"/>
    <col min="9" max="9" width="2" customWidth="1"/>
    <col min="10" max="10" width="7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</row>
    <row r="2">
      <c r="A2" s="1"/>
      <c r="B2" s="38" t="s">
        <v>0</v>
      </c>
      <c r="C2" s="1"/>
      <c r="D2" s="1"/>
      <c r="E2" s="1"/>
      <c r="F2" s="1"/>
      <c r="G2" s="1"/>
      <c r="H2" s="1"/>
      <c r="I2" s="1"/>
      <c r="J2" s="1"/>
    </row>
    <row r="3">
      <c r="A3" s="1"/>
      <c r="B3" s="31" t="s">
        <v>690</v>
      </c>
      <c r="C3" s="1"/>
      <c r="D3" s="1"/>
      <c r="E3" s="1"/>
      <c r="F3" s="1"/>
      <c r="G3" s="1"/>
      <c r="H3" s="1"/>
      <c r="I3" s="1"/>
      <c r="J3" s="1"/>
    </row>
    <row r="4">
      <c r="A4" s="1"/>
      <c r="B4" s="24" t="s">
        <v>2</v>
      </c>
      <c r="C4" s="1"/>
      <c r="D4" s="1"/>
      <c r="E4" s="1"/>
      <c r="F4" s="1"/>
      <c r="G4" s="1"/>
      <c r="H4" s="1"/>
      <c r="I4" s="1"/>
      <c r="J4" s="1"/>
    </row>
    <row r="5">
      <c r="A5" s="1"/>
      <c r="B5" s="14" t="s">
        <v>89</v>
      </c>
      <c r="C5" s="11" t="s">
        <v>57</v>
      </c>
      <c r="D5" s="11" t="s">
        <v>90</v>
      </c>
      <c r="E5" s="11" t="s">
        <v>91</v>
      </c>
      <c r="F5" s="11" t="s">
        <v>92</v>
      </c>
      <c r="G5" s="11" t="s">
        <v>59</v>
      </c>
      <c r="H5" s="11" t="s">
        <v>56</v>
      </c>
      <c r="I5" s="14"/>
      <c r="J5" s="14" t="s">
        <v>93</v>
      </c>
    </row>
    <row r="6">
      <c r="A6" s="1"/>
      <c r="B6" s="19" t="s">
        <v>94</v>
      </c>
      <c r="C6" s="13">
        <v>45930</v>
      </c>
      <c r="D6" s="13">
        <v>46022</v>
      </c>
      <c r="E6" s="13">
        <v>46022</v>
      </c>
      <c r="F6" s="13">
        <v>46112</v>
      </c>
      <c r="G6" s="13">
        <v>46203</v>
      </c>
      <c r="H6" s="13">
        <v>46295</v>
      </c>
      <c r="I6" s="19"/>
      <c r="J6" s="19"/>
    </row>
    <row r="7">
      <c r="A7" s="1"/>
      <c r="B7" s="28" t="s">
        <v>95</v>
      </c>
      <c r="C7" s="9">
        <v>92</v>
      </c>
      <c r="D7" s="9">
        <v>92</v>
      </c>
      <c r="E7" s="9">
        <v>365</v>
      </c>
      <c r="F7" s="9">
        <v>90</v>
      </c>
      <c r="G7" s="9">
        <v>91</v>
      </c>
      <c r="H7" s="9">
        <v>92</v>
      </c>
      <c r="I7" s="28"/>
      <c r="J7" s="28"/>
    </row>
    <row r="8">
      <c r="A8" s="1"/>
      <c r="B8" s="1"/>
      <c r="C8" s="1"/>
      <c r="D8" s="1"/>
      <c r="E8" s="1"/>
      <c r="F8" s="1"/>
      <c r="G8" s="1"/>
      <c r="H8" s="30"/>
      <c r="I8" s="1"/>
      <c r="J8" s="1"/>
    </row>
    <row r="9">
      <c r="A9" s="1"/>
      <c r="B9" s="31" t="s">
        <v>691</v>
      </c>
      <c r="C9" s="1"/>
      <c r="D9" s="1"/>
      <c r="E9" s="1"/>
      <c r="F9" s="1"/>
      <c r="G9" s="1"/>
      <c r="H9" s="30"/>
      <c r="I9" s="1"/>
      <c r="J9" s="1"/>
    </row>
    <row r="10">
      <c r="A10" s="1"/>
      <c r="B10" s="21" t="s">
        <v>449</v>
      </c>
      <c r="C10" s="3">
        <v>2612</v>
      </c>
      <c r="D10" s="3">
        <v>2326</v>
      </c>
      <c r="E10" s="3">
        <v>9615</v>
      </c>
      <c r="F10" s="3">
        <v>2858</v>
      </c>
      <c r="G10" s="3">
        <v>3208</v>
      </c>
      <c r="H10" s="53">
        <f>'Segment - CIB'!H118+G194</f>
        <v>2985.7200000000003</v>
      </c>
      <c r="I10" s="1"/>
      <c r="J10" s="2" t="s">
        <v>692</v>
      </c>
    </row>
    <row r="11">
      <c r="A11" s="1"/>
      <c r="B11" s="51" t="s">
        <v>99</v>
      </c>
      <c r="C11" s="22">
        <f>IF(AND(ISNUMBER(C10),ISNUMBER(C203)),IF(OR(C203&lt;=0,C10&lt;0),"n.m.",C10/C203-1),"n.a.")</f>
        <v>0.1707754370237562</v>
      </c>
      <c r="D11" s="22">
        <f>IF(AND(ISNUMBER(D10),ISNUMBER(D203)),IF(OR(D203&lt;=0,D10&lt;0),"n.m.",D10/D203-1),"n.a.")</f>
        <v>-0.039239983477901696</v>
      </c>
      <c r="E11" s="22">
        <f>IF(AND(ISNUMBER(E10),ISNUMBER(E203)),IF(OR(E203&lt;=0,E10&lt;0),"n.m.",E10/E203-1),"n.a.")</f>
        <v>0.07912457912457915</v>
      </c>
      <c r="F11" s="22">
        <f>IF(AND(ISNUMBER(F10),ISNUMBER(F203)),IF(OR(F203&lt;=0,F10&lt;0),"n.m.",F10/F203-1),"n.a.")</f>
        <v>0.31221303948576673</v>
      </c>
      <c r="G11" s="22">
        <f>IF(AND(ISNUMBER(G10),ISNUMBER(G203)),IF(OR(G203&lt;=0,G10&lt;0),"n.m.",G10/G203-1),"n.a.")</f>
        <v>0.28371348539415764</v>
      </c>
      <c r="H11" s="39">
        <f>IF(AND(ISNUMBER(H10),ISNUMBER(C10)),IF(OR(C10&lt;=0,H10&lt;0),"n.m.",H10/C10-1),"n.a.")</f>
        <v>0.1430781010719755</v>
      </c>
      <c r="I11" s="1"/>
      <c r="J11" s="1"/>
    </row>
    <row r="12">
      <c r="A12" s="1"/>
      <c r="B12" s="51" t="s">
        <v>60</v>
      </c>
      <c r="C12" s="22">
        <f>IF(AND(ISNUMBER(C10),ISNUMBER(G203)),IF(OR(G203&lt;=0,C10&lt;0),"n.m.",C10/G203-1),"n.a.")</f>
        <v>0.045218087234893956</v>
      </c>
      <c r="D12" s="22">
        <f>IF(AND(ISNUMBER(D10),ISNUMBER(C10)),IF(OR(C10&lt;=0,D10&lt;0),"n.m.",D10/C10-1),"n.a.")</f>
        <v>-0.10949464012251153</v>
      </c>
      <c r="E12" s="1"/>
      <c r="F12" s="22">
        <f>IF(AND(ISNUMBER(F10),ISNUMBER(D10)),IF(OR(D10&lt;=0,F10&lt;0),"n.m.",F10/D10-1),"n.a.")</f>
        <v>0.22871883061049014</v>
      </c>
      <c r="G12" s="22">
        <f>IF(AND(ISNUMBER(G10),ISNUMBER(F10)),IF(OR(F10&lt;=0,G10&lt;0),"n.m.",G10/F10-1),"n.a.")</f>
        <v>0.12246326102169358</v>
      </c>
      <c r="H12" s="39">
        <f>IF(AND(ISNUMBER(H10),ISNUMBER(G10)),IF(OR(G10&lt;=0,H10&lt;0),"n.m.",H10/G10-1),"n.a.")</f>
        <v>-0.06928927680797992</v>
      </c>
      <c r="I12" s="1"/>
      <c r="J12" s="1"/>
    </row>
    <row r="13">
      <c r="A13" s="1"/>
      <c r="B13" s="51" t="s">
        <v>693</v>
      </c>
      <c r="C13" s="22">
        <f>IFERROR(C10/C89,"n.a.")</f>
        <v>0.05626036573545566</v>
      </c>
      <c r="D13" s="22">
        <f>IFERROR(D10/D89,"n.a.")</f>
        <v>0.0507882440281235</v>
      </c>
      <c r="E13" s="22">
        <f>IFERROR(E10/E89,"n.a.")</f>
        <v>0.05270023623298821</v>
      </c>
      <c r="F13" s="22">
        <f>IFERROR(F10/F89,"n.a.")</f>
        <v>0.057348101773818126</v>
      </c>
      <c r="G13" s="22">
        <f>IFERROR(G10/G89,"n.a.")</f>
        <v>0.055940153800547544</v>
      </c>
      <c r="H13" s="39">
        <f>IFERROR(H10/H89,"n.a.")</f>
        <v>0.05851262213952908</v>
      </c>
      <c r="I13" s="1"/>
      <c r="J13" s="1"/>
    </row>
    <row r="14">
      <c r="A14" s="1"/>
      <c r="B14" s="51" t="s">
        <v>101</v>
      </c>
      <c r="C14" s="67" t="s">
        <v>35</v>
      </c>
      <c r="D14" s="67" t="s">
        <v>35</v>
      </c>
      <c r="E14" s="67" t="s">
        <v>35</v>
      </c>
      <c r="F14" s="67" t="s">
        <v>35</v>
      </c>
      <c r="G14" s="67" t="s">
        <v>35</v>
      </c>
      <c r="H14" s="68" t="s">
        <v>35</v>
      </c>
      <c r="I14" s="1"/>
      <c r="J14" s="1"/>
    </row>
    <row r="15">
      <c r="A15" s="1"/>
      <c r="B15" s="51" t="s">
        <v>102</v>
      </c>
      <c r="C15" s="67" t="s">
        <v>35</v>
      </c>
      <c r="D15" s="67" t="s">
        <v>35</v>
      </c>
      <c r="E15" s="67" t="s">
        <v>35</v>
      </c>
      <c r="F15" s="67" t="s">
        <v>35</v>
      </c>
      <c r="G15" s="67" t="s">
        <v>35</v>
      </c>
      <c r="H15" s="68" t="s">
        <v>35</v>
      </c>
      <c r="I15" s="1"/>
      <c r="J15" s="1"/>
    </row>
    <row r="16">
      <c r="A16" s="1"/>
      <c r="B16" s="51" t="s">
        <v>103</v>
      </c>
      <c r="C16" s="67" t="s">
        <v>35</v>
      </c>
      <c r="D16" s="67" t="s">
        <v>35</v>
      </c>
      <c r="E16" s="67" t="s">
        <v>35</v>
      </c>
      <c r="F16" s="67" t="s">
        <v>35</v>
      </c>
      <c r="G16" s="67" t="s">
        <v>35</v>
      </c>
      <c r="H16" s="68" t="s">
        <v>35</v>
      </c>
      <c r="I16" s="1"/>
      <c r="J16" s="1"/>
    </row>
    <row r="17" ht="51">
      <c r="A17" s="1"/>
      <c r="B17" s="21" t="s">
        <v>450</v>
      </c>
      <c r="C17" s="3">
        <v>7109</v>
      </c>
      <c r="D17" s="3">
        <v>5340</v>
      </c>
      <c r="E17" s="3">
        <v>27212</v>
      </c>
      <c r="F17" s="3">
        <v>7987</v>
      </c>
      <c r="G17" s="3">
        <v>9007</v>
      </c>
      <c r="H17" s="53">
        <f>C17*'Revenue summary'!H87/'Revenue summary'!C87</f>
        <v>7071.433442642788</v>
      </c>
      <c r="I17" s="1"/>
      <c r="J17" s="125" t="s">
        <v>694</v>
      </c>
    </row>
    <row r="18">
      <c r="A18" s="1"/>
      <c r="B18" s="51" t="s">
        <v>99</v>
      </c>
      <c r="C18" s="22">
        <f>IF(AND(ISNUMBER(C17),ISNUMBER(C204)),IF(OR(C204&lt;=0,C17&lt;0),"n.m.",C17/C204-1),"n.a.")</f>
        <v>0.18720774883099534</v>
      </c>
      <c r="D18" s="22">
        <f>IF(AND(ISNUMBER(D17),ISNUMBER(D204)),IF(OR(D204&lt;=0,D17&lt;0),"n.m.",D17/D204-1),"n.a.")</f>
        <v>0.02791145332050049</v>
      </c>
      <c r="E18" s="22">
        <f>IF(AND(ISNUMBER(E17),ISNUMBER(E204)),IF(OR(E204&lt;=0,E17&lt;0),"n.m.",E17/E204-1),"n.a.")</f>
        <v>0.09783354177593084</v>
      </c>
      <c r="F18" s="22">
        <f>IF(AND(ISNUMBER(F17),ISNUMBER(F204)),IF(OR(F204&lt;=0,F17&lt;0),"n.m.",F17/F204-1),"n.a.")</f>
        <v>0.048988705017073864</v>
      </c>
      <c r="G18" s="22">
        <f>IF(AND(ISNUMBER(G17),ISNUMBER(G204)),IF(OR(G204&lt;=0,G17&lt;0),"n.m.",G17/G204-1),"n.a.")</f>
        <v>0.2598964890194433</v>
      </c>
      <c r="H18" s="39">
        <f>IF(AND(ISNUMBER(H17),ISNUMBER(C17)),IF(OR(C17&lt;=0,H17&lt;0),"n.m.",H17/C17-1),"n.a.")</f>
        <v>-0.005284365924491774</v>
      </c>
      <c r="I18" s="1"/>
      <c r="J18" s="1"/>
    </row>
    <row r="19">
      <c r="A19" s="1"/>
      <c r="B19" s="51" t="s">
        <v>60</v>
      </c>
      <c r="C19" s="22">
        <f>IF(AND(ISNUMBER(C17),ISNUMBER(G204)),IF(OR(G204&lt;=0,C17&lt;0),"n.m.",C17/G204-1),"n.a.")</f>
        <v>-0.005595188138201146</v>
      </c>
      <c r="D19" s="22">
        <f>IF(AND(ISNUMBER(D17),ISNUMBER(C17)),IF(OR(C17&lt;=0,D17&lt;0),"n.m.",D17/C17-1),"n.a.")</f>
        <v>-0.24883949922633286</v>
      </c>
      <c r="E19" s="1"/>
      <c r="F19" s="22">
        <f>IF(AND(ISNUMBER(F17),ISNUMBER(D17)),IF(OR(D17&lt;=0,F17&lt;0),"n.m.",F17/D17-1),"n.a.")</f>
        <v>0.4956928838951311</v>
      </c>
      <c r="G19" s="22">
        <f>IF(AND(ISNUMBER(G17),ISNUMBER(F17)),IF(OR(F17&lt;=0,G17&lt;0),"n.m.",G17/F17-1),"n.a.")</f>
        <v>0.12770752472768243</v>
      </c>
      <c r="H19" s="39">
        <f>IF(AND(ISNUMBER(H17),ISNUMBER(G17)),IF(OR(G17&lt;=0,H17&lt;0),"n.m.",H17/G17-1),"n.a.")</f>
        <v>-0.21489580963219856</v>
      </c>
      <c r="I19" s="1"/>
      <c r="J19" s="1"/>
    </row>
    <row r="20">
      <c r="A20" s="1"/>
      <c r="B20" s="51" t="s">
        <v>693</v>
      </c>
      <c r="C20" s="22">
        <f>IFERROR(C17/C89,"n.a.")</f>
        <v>0.15312210567126888</v>
      </c>
      <c r="D20" s="22">
        <f>IFERROR(D17/D89,"n.a.")</f>
        <v>0.11659897812131534</v>
      </c>
      <c r="E20" s="22">
        <f>IFERROR(E17/E89,"n.a.")</f>
        <v>0.14915016415726212</v>
      </c>
      <c r="F20" s="22">
        <f>IFERROR(F17/F89,"n.a.")</f>
        <v>0.16026567140219922</v>
      </c>
      <c r="G20" s="22">
        <f>IFERROR(G17/G89,"n.a.")</f>
        <v>0.15706139815509093</v>
      </c>
      <c r="H20" s="39">
        <f>IFERROR(H17/H89,"n.a.")</f>
        <v>0.13858235635430874</v>
      </c>
      <c r="I20" s="1"/>
      <c r="J20" s="1"/>
    </row>
    <row r="21">
      <c r="A21" s="1"/>
      <c r="B21" s="51" t="s">
        <v>101</v>
      </c>
      <c r="C21" s="67" t="s">
        <v>35</v>
      </c>
      <c r="D21" s="67" t="s">
        <v>35</v>
      </c>
      <c r="E21" s="67" t="s">
        <v>35</v>
      </c>
      <c r="F21" s="67" t="s">
        <v>35</v>
      </c>
      <c r="G21" s="67" t="s">
        <v>35</v>
      </c>
      <c r="H21" s="68" t="s">
        <v>35</v>
      </c>
      <c r="I21" s="1"/>
      <c r="J21" s="1"/>
    </row>
    <row r="22">
      <c r="A22" s="1"/>
      <c r="B22" s="51" t="s">
        <v>102</v>
      </c>
      <c r="C22" s="67" t="s">
        <v>35</v>
      </c>
      <c r="D22" s="67" t="s">
        <v>35</v>
      </c>
      <c r="E22" s="67" t="s">
        <v>35</v>
      </c>
      <c r="F22" s="67" t="s">
        <v>35</v>
      </c>
      <c r="G22" s="67" t="s">
        <v>35</v>
      </c>
      <c r="H22" s="68" t="s">
        <v>35</v>
      </c>
      <c r="I22" s="1"/>
      <c r="J22" s="1"/>
    </row>
    <row r="23">
      <c r="A23" s="1"/>
      <c r="B23" s="51" t="s">
        <v>103</v>
      </c>
      <c r="C23" s="67" t="s">
        <v>35</v>
      </c>
      <c r="D23" s="67" t="s">
        <v>35</v>
      </c>
      <c r="E23" s="67" t="s">
        <v>35</v>
      </c>
      <c r="F23" s="67" t="s">
        <v>35</v>
      </c>
      <c r="G23" s="67" t="s">
        <v>35</v>
      </c>
      <c r="H23" s="68" t="s">
        <v>35</v>
      </c>
      <c r="I23" s="1"/>
      <c r="J23" s="1"/>
    </row>
    <row r="24">
      <c r="A24" s="1"/>
      <c r="B24" s="21" t="s">
        <v>202</v>
      </c>
      <c r="C24" s="3">
        <v>2349</v>
      </c>
      <c r="D24" s="3">
        <v>2364</v>
      </c>
      <c r="E24" s="3">
        <v>9093</v>
      </c>
      <c r="F24" s="3">
        <v>2394</v>
      </c>
      <c r="G24" s="3">
        <v>2511</v>
      </c>
      <c r="H24" s="53">
        <f>'Segment - CCB'!H41+'Segment - CIB'!H179+G195</f>
        <v>2555.305</v>
      </c>
      <c r="I24" s="1"/>
      <c r="J24" s="2" t="s">
        <v>695</v>
      </c>
    </row>
    <row r="25">
      <c r="A25" s="1"/>
      <c r="B25" s="51" t="s">
        <v>99</v>
      </c>
      <c r="C25" s="22">
        <f>IF(AND(ISNUMBER(C24),ISNUMBER(C205)),IF(OR(C205&lt;=0,C24&lt;0),"n.m.",C24/C205-1),"n.a.")</f>
        <v>0.220893970893971</v>
      </c>
      <c r="D25" s="22">
        <f>IF(AND(ISNUMBER(D24),ISNUMBER(D205)),IF(OR(D205&lt;=0,D24&lt;0),"n.m.",D24/D205-1),"n.a.")</f>
        <v>0.21106557377049184</v>
      </c>
      <c r="E25" s="22">
        <f>IF(AND(ISNUMBER(E24),ISNUMBER(E205)),IF(OR(E205&lt;=0,E24&lt;0),"n.m.",E24/E205-1),"n.a.")</f>
        <v>0.19550354982908225</v>
      </c>
      <c r="F25" s="22">
        <f>IF(AND(ISNUMBER(F24),ISNUMBER(F205)),IF(OR(F205&lt;=0,F24&lt;0),"n.m.",F24/F205-1),"n.a.")</f>
        <v>0.12288930581613511</v>
      </c>
      <c r="G25" s="22">
        <f>IF(AND(ISNUMBER(G24),ISNUMBER(G205)),IF(OR(G205&lt;=0,G24&lt;0),"n.m.",G24/G205-1),"n.a.")</f>
        <v>0.11699288256227769</v>
      </c>
      <c r="H25" s="39">
        <f>IF(AND(ISNUMBER(H24),ISNUMBER(C24)),IF(OR(C24&lt;=0,H24&lt;0),"n.m.",H24/C24-1),"n.a.")</f>
        <v>0.08782673478075775</v>
      </c>
      <c r="I25" s="1"/>
      <c r="J25" s="1"/>
    </row>
    <row r="26">
      <c r="A26" s="1"/>
      <c r="B26" s="51" t="s">
        <v>60</v>
      </c>
      <c r="C26" s="22">
        <f>IF(AND(ISNUMBER(C24),ISNUMBER(G205)),IF(OR(G205&lt;=0,C24&lt;0),"n.m.",C24/G205-1),"n.a.")</f>
        <v>0.04492882562277578</v>
      </c>
      <c r="D26" s="22">
        <f>IF(AND(ISNUMBER(D24),ISNUMBER(C24)),IF(OR(C24&lt;=0,D24&lt;0),"n.m.",D24/C24-1),"n.a.")</f>
        <v>0.0063856960408683605</v>
      </c>
      <c r="E26" s="1"/>
      <c r="F26" s="22">
        <f>IF(AND(ISNUMBER(F24),ISNUMBER(D24)),IF(OR(D24&lt;=0,F24&lt;0),"n.m.",F24/D24-1),"n.a.")</f>
        <v>0.012690355329949332</v>
      </c>
      <c r="G26" s="22">
        <f>IF(AND(ISNUMBER(G24),ISNUMBER(F24)),IF(OR(F24&lt;=0,G24&lt;0),"n.m.",G24/F24-1),"n.a.")</f>
        <v>0.048872180451127845</v>
      </c>
      <c r="H26" s="39">
        <f>IF(AND(ISNUMBER(H24),ISNUMBER(G24)),IF(OR(G24&lt;=0,H24&lt;0),"n.m.",H24/G24-1),"n.a.")</f>
        <v>0.01764436479490228</v>
      </c>
      <c r="I26" s="1"/>
      <c r="J26" s="1"/>
    </row>
    <row r="27">
      <c r="A27" s="1"/>
      <c r="B27" s="51" t="s">
        <v>693</v>
      </c>
      <c r="C27" s="22">
        <f>IFERROR(C24/C89,"n.a.")</f>
        <v>0.050595558618907105</v>
      </c>
      <c r="D27" s="22">
        <f>IFERROR(D24/D89,"n.a.")</f>
        <v>0.05161797458404297</v>
      </c>
      <c r="E27" s="22">
        <f>IFERROR(E24/E89,"n.a.")</f>
        <v>0.049839131364176996</v>
      </c>
      <c r="F27" s="22">
        <f>IFERROR(F24/F89,"n.a.")</f>
        <v>0.04803756320732001</v>
      </c>
      <c r="G27" s="22">
        <f>IFERROR(G24/G89,"n.a.")</f>
        <v>0.0437860742497428</v>
      </c>
      <c r="H27" s="39">
        <f>IFERROR(H24/H89,"n.a.")</f>
        <v>0.05007756786177181</v>
      </c>
      <c r="I27" s="1"/>
      <c r="J27" s="1"/>
    </row>
    <row r="28">
      <c r="A28" s="1"/>
      <c r="B28" s="51" t="s">
        <v>101</v>
      </c>
      <c r="C28" s="67" t="s">
        <v>35</v>
      </c>
      <c r="D28" s="67" t="s">
        <v>35</v>
      </c>
      <c r="E28" s="67" t="s">
        <v>35</v>
      </c>
      <c r="F28" s="67" t="s">
        <v>35</v>
      </c>
      <c r="G28" s="67" t="s">
        <v>35</v>
      </c>
      <c r="H28" s="68" t="s">
        <v>35</v>
      </c>
      <c r="I28" s="1"/>
      <c r="J28" s="1"/>
    </row>
    <row r="29">
      <c r="A29" s="1"/>
      <c r="B29" s="51" t="s">
        <v>102</v>
      </c>
      <c r="C29" s="67" t="s">
        <v>35</v>
      </c>
      <c r="D29" s="67" t="s">
        <v>35</v>
      </c>
      <c r="E29" s="67" t="s">
        <v>35</v>
      </c>
      <c r="F29" s="67" t="s">
        <v>35</v>
      </c>
      <c r="G29" s="67" t="s">
        <v>35</v>
      </c>
      <c r="H29" s="68" t="s">
        <v>35</v>
      </c>
      <c r="I29" s="1"/>
      <c r="J29" s="1"/>
    </row>
    <row r="30">
      <c r="A30" s="1"/>
      <c r="B30" s="51" t="s">
        <v>103</v>
      </c>
      <c r="C30" s="67" t="s">
        <v>35</v>
      </c>
      <c r="D30" s="67" t="s">
        <v>35</v>
      </c>
      <c r="E30" s="67" t="s">
        <v>35</v>
      </c>
      <c r="F30" s="67" t="s">
        <v>35</v>
      </c>
      <c r="G30" s="67" t="s">
        <v>35</v>
      </c>
      <c r="H30" s="68" t="s">
        <v>35</v>
      </c>
      <c r="I30" s="1"/>
      <c r="J30" s="1"/>
    </row>
    <row r="31">
      <c r="A31" s="1"/>
      <c r="B31" s="21" t="s">
        <v>203</v>
      </c>
      <c r="C31" s="3">
        <v>5120</v>
      </c>
      <c r="D31" s="3">
        <v>5701</v>
      </c>
      <c r="E31" s="3">
        <v>20327</v>
      </c>
      <c r="F31" s="3">
        <v>5515</v>
      </c>
      <c r="G31" s="3">
        <v>5658</v>
      </c>
      <c r="H31" s="53">
        <f>'Segment - CCB'!H48+'Segment - AWM'!H34+G196</f>
        <v>5968.565709369862</v>
      </c>
      <c r="I31" s="1"/>
      <c r="J31" s="2" t="s">
        <v>695</v>
      </c>
    </row>
    <row r="32">
      <c r="A32" s="1"/>
      <c r="B32" s="51" t="s">
        <v>99</v>
      </c>
      <c r="C32" s="22">
        <f>IF(AND(ISNUMBER(C31),ISNUMBER(C206)),IF(OR(C206&lt;=0,C31&lt;0),"n.m.",C31/C206-1),"n.a.")</f>
        <v>0.1431123018530922</v>
      </c>
      <c r="D32" s="22">
        <f>IF(AND(ISNUMBER(D31),ISNUMBER(D206)),IF(OR(D206&lt;=0,D31&lt;0),"n.m.",D31/D206-1),"n.a.")</f>
        <v>0.16967583093967997</v>
      </c>
      <c r="E32" s="22">
        <f>IF(AND(ISNUMBER(E31),ISNUMBER(E206)),IF(OR(E206&lt;=0,E31&lt;0),"n.m.",E31/E206-1),"n.a.")</f>
        <v>0.1419021403291949</v>
      </c>
      <c r="F32" s="22">
        <f>IF(AND(ISNUMBER(F31),ISNUMBER(F206)),IF(OR(F206&lt;=0,F31&lt;0),"n.m.",F31/F206-1),"n.a.")</f>
        <v>0.17340425531914883</v>
      </c>
      <c r="G32" s="22">
        <f>IF(AND(ISNUMBER(G31),ISNUMBER(G206)),IF(OR(G206&lt;=0,G31&lt;0),"n.m.",G31/G206-1),"n.a.")</f>
        <v>0.1772784019975031</v>
      </c>
      <c r="H32" s="39">
        <f>IF(AND(ISNUMBER(H31),ISNUMBER(C31)),IF(OR(C31&lt;=0,H31&lt;0),"n.m.",H31/C31-1),"n.a.")</f>
        <v>0.16573549011130106</v>
      </c>
      <c r="I32" s="1"/>
      <c r="J32" s="1"/>
    </row>
    <row r="33">
      <c r="A33" s="1"/>
      <c r="B33" s="51" t="s">
        <v>60</v>
      </c>
      <c r="C33" s="22">
        <f>IF(AND(ISNUMBER(C31),ISNUMBER(G206)),IF(OR(G206&lt;=0,C31&lt;0),"n.m.",C31/G206-1),"n.a.")</f>
        <v>0.06533499791926767</v>
      </c>
      <c r="D33" s="22">
        <f>IF(AND(ISNUMBER(D31),ISNUMBER(C31)),IF(OR(C31&lt;=0,D31&lt;0),"n.m.",D31/C31-1),"n.a.")</f>
        <v>0.11347656250000004</v>
      </c>
      <c r="E33" s="1"/>
      <c r="F33" s="22">
        <f>IF(AND(ISNUMBER(F31),ISNUMBER(D31)),IF(OR(D31&lt;=0,F31&lt;0),"n.m.",F31/D31-1),"n.a.")</f>
        <v>-0.03262585511313809</v>
      </c>
      <c r="G33" s="22">
        <f>IF(AND(ISNUMBER(G31),ISNUMBER(F31)),IF(OR(F31&lt;=0,G31&lt;0),"n.m.",G31/F31-1),"n.a.")</f>
        <v>0.02592928377153214</v>
      </c>
      <c r="H33" s="39">
        <f>IF(AND(ISNUMBER(H31),ISNUMBER(G31)),IF(OR(G31&lt;=0,H31&lt;0),"n.m.",H31/G31-1),"n.a.")</f>
        <v>0.054889662313514</v>
      </c>
      <c r="I33" s="1"/>
      <c r="J33" s="1"/>
    </row>
    <row r="34">
      <c r="A34" s="1"/>
      <c r="B34" s="51" t="s">
        <v>693</v>
      </c>
      <c r="C34" s="22">
        <f>IFERROR(C31/C89,"n.a.")</f>
        <v>0.11028065565296057</v>
      </c>
      <c r="D34" s="22">
        <f>IFERROR(D31/D89,"n.a.")</f>
        <v>0.12448141840255032</v>
      </c>
      <c r="E34" s="22">
        <f>IFERROR(E31/E89,"n.a.")</f>
        <v>0.11141317752552796</v>
      </c>
      <c r="F34" s="22">
        <f>IFERROR(F31/F89,"n.a.")</f>
        <v>0.11066297455654547</v>
      </c>
      <c r="G34" s="22">
        <f>IFERROR(G31/G89,"n.a.")</f>
        <v>0.09866252811829739</v>
      </c>
      <c r="H34" s="39">
        <f>IFERROR(H31/H89,"n.a.")</f>
        <v>0.11696891539304055</v>
      </c>
      <c r="I34" s="1"/>
      <c r="J34" s="1"/>
    </row>
    <row r="35">
      <c r="A35" s="1"/>
      <c r="B35" s="51" t="s">
        <v>101</v>
      </c>
      <c r="C35" s="67" t="s">
        <v>35</v>
      </c>
      <c r="D35" s="67" t="s">
        <v>35</v>
      </c>
      <c r="E35" s="67" t="s">
        <v>35</v>
      </c>
      <c r="F35" s="67" t="s">
        <v>35</v>
      </c>
      <c r="G35" s="67" t="s">
        <v>35</v>
      </c>
      <c r="H35" s="68" t="s">
        <v>35</v>
      </c>
      <c r="I35" s="1"/>
      <c r="J35" s="1"/>
    </row>
    <row r="36">
      <c r="A36" s="1"/>
      <c r="B36" s="51" t="s">
        <v>102</v>
      </c>
      <c r="C36" s="67" t="s">
        <v>35</v>
      </c>
      <c r="D36" s="67" t="s">
        <v>35</v>
      </c>
      <c r="E36" s="67" t="s">
        <v>35</v>
      </c>
      <c r="F36" s="67" t="s">
        <v>35</v>
      </c>
      <c r="G36" s="67" t="s">
        <v>35</v>
      </c>
      <c r="H36" s="68" t="s">
        <v>35</v>
      </c>
      <c r="I36" s="1"/>
      <c r="J36" s="1"/>
    </row>
    <row r="37">
      <c r="A37" s="1"/>
      <c r="B37" s="51" t="s">
        <v>103</v>
      </c>
      <c r="C37" s="67" t="s">
        <v>35</v>
      </c>
      <c r="D37" s="67" t="s">
        <v>35</v>
      </c>
      <c r="E37" s="67" t="s">
        <v>35</v>
      </c>
      <c r="F37" s="67" t="s">
        <v>35</v>
      </c>
      <c r="G37" s="67" t="s">
        <v>35</v>
      </c>
      <c r="H37" s="68" t="s">
        <v>35</v>
      </c>
      <c r="I37" s="1"/>
      <c r="J37" s="1"/>
    </row>
    <row r="38">
      <c r="A38" s="1"/>
      <c r="B38" s="21" t="s">
        <v>452</v>
      </c>
      <c r="C38" s="3">
        <v>2204</v>
      </c>
      <c r="D38" s="3">
        <v>2108</v>
      </c>
      <c r="E38" s="3">
        <v>8539</v>
      </c>
      <c r="F38" s="3">
        <v>2482</v>
      </c>
      <c r="G38" s="3">
        <v>2614</v>
      </c>
      <c r="H38" s="53">
        <f>'Segment - CIB'!H187+'Segment - AWM'!H44+G197</f>
        <v>2569</v>
      </c>
      <c r="I38" s="1"/>
      <c r="J38" s="2" t="s">
        <v>695</v>
      </c>
    </row>
    <row r="39">
      <c r="A39" s="1"/>
      <c r="B39" s="51" t="s">
        <v>99</v>
      </c>
      <c r="C39" s="22">
        <f>IF(AND(ISNUMBER(C38),ISNUMBER(C207)),IF(OR(C207&lt;=0,C38&lt;0),"n.m.",C38/C207-1),"n.a.")</f>
        <v>0.13842975206611574</v>
      </c>
      <c r="D39" s="22">
        <f>IF(AND(ISNUMBER(D38),ISNUMBER(D207)),IF(OR(D207&lt;=0,D38&lt;0),"n.m.",D38/D207-1),"n.a.")</f>
        <v>0.13029490616621975</v>
      </c>
      <c r="E39" s="22">
        <f>IF(AND(ISNUMBER(E38),ISNUMBER(E207)),IF(OR(E207&lt;=0,E38&lt;0),"n.m.",E38/E207-1),"n.a.")</f>
        <v>0.1339973439575033</v>
      </c>
      <c r="F39" s="22">
        <f>IF(AND(ISNUMBER(F38),ISNUMBER(F207)),IF(OR(F207&lt;=0,F38&lt;0),"n.m.",F38/F207-1),"n.a.")</f>
        <v>0.22085587801278894</v>
      </c>
      <c r="G39" s="22">
        <f>IF(AND(ISNUMBER(G38),ISNUMBER(G207)),IF(OR(G207&lt;=0,G38&lt;0),"n.m.",G38/G207-1),"n.a.")</f>
        <v>0.19143117593436654</v>
      </c>
      <c r="H39" s="39">
        <f>IF(AND(ISNUMBER(H38),ISNUMBER(C38)),IF(OR(C38&lt;=0,H38&lt;0),"n.m.",H38/C38-1),"n.a.")</f>
        <v>0.1656079854809438</v>
      </c>
      <c r="I39" s="1"/>
      <c r="J39" s="1"/>
    </row>
    <row r="40">
      <c r="A40" s="1"/>
      <c r="B40" s="51" t="s">
        <v>60</v>
      </c>
      <c r="C40" s="22">
        <f>IF(AND(ISNUMBER(C38),ISNUMBER(G207)),IF(OR(G207&lt;=0,C38&lt;0),"n.m.",C38/G207-1),"n.a.")</f>
        <v>0.004557885141294404</v>
      </c>
      <c r="D40" s="22">
        <f>IF(AND(ISNUMBER(D38),ISNUMBER(C38)),IF(OR(C38&lt;=0,D38&lt;0),"n.m.",D38/C38-1),"n.a.")</f>
        <v>-0.04355716878402904</v>
      </c>
      <c r="E40" s="1"/>
      <c r="F40" s="22">
        <f>IF(AND(ISNUMBER(F38),ISNUMBER(D38)),IF(OR(D38&lt;=0,F38&lt;0),"n.m.",F38/D38-1),"n.a.")</f>
        <v>0.17741935483870974</v>
      </c>
      <c r="G40" s="22">
        <f>IF(AND(ISNUMBER(G38),ISNUMBER(F38)),IF(OR(F38&lt;=0,G38&lt;0),"n.m.",G38/F38-1),"n.a.")</f>
        <v>0.053182917002417396</v>
      </c>
      <c r="H40" s="39">
        <f>IF(AND(ISNUMBER(H38),ISNUMBER(G38)),IF(OR(G38&lt;=0,H38&lt;0),"n.m.",H38/G38-1),"n.a.")</f>
        <v>-0.01721499617444533</v>
      </c>
      <c r="I40" s="1"/>
      <c r="J40" s="1"/>
    </row>
    <row r="41">
      <c r="A41" s="1"/>
      <c r="B41" s="51" t="s">
        <v>693</v>
      </c>
      <c r="C41" s="22">
        <f>IFERROR(C38/C89,"n.a.")</f>
        <v>0.04747237598811037</v>
      </c>
      <c r="D41" s="22">
        <f>IFERROR(D38/D89,"n.a.")</f>
        <v>0.04602821083890126</v>
      </c>
      <c r="E41" s="22">
        <f>IFERROR(E38/E89,"n.a.")</f>
        <v>0.046802633093446316</v>
      </c>
      <c r="F41" s="22">
        <f>IFERROR(F38/F89,"n.a.")</f>
        <v>0.049803355004414476</v>
      </c>
      <c r="G41" s="22">
        <f>IFERROR(G38/G89,"n.a.")</f>
        <v>0.04558215774146861</v>
      </c>
      <c r="H41" s="39">
        <f>IFERROR(H38/H89,"n.a.")</f>
        <v>0.05034595550703019</v>
      </c>
      <c r="I41" s="1"/>
      <c r="J41" s="1"/>
    </row>
    <row r="42">
      <c r="A42" s="1"/>
      <c r="B42" s="51" t="s">
        <v>101</v>
      </c>
      <c r="C42" s="67" t="s">
        <v>35</v>
      </c>
      <c r="D42" s="67" t="s">
        <v>35</v>
      </c>
      <c r="E42" s="67" t="s">
        <v>35</v>
      </c>
      <c r="F42" s="67" t="s">
        <v>35</v>
      </c>
      <c r="G42" s="67" t="s">
        <v>35</v>
      </c>
      <c r="H42" s="68" t="s">
        <v>35</v>
      </c>
      <c r="I42" s="1"/>
      <c r="J42" s="1"/>
    </row>
    <row r="43">
      <c r="A43" s="1"/>
      <c r="B43" s="51" t="s">
        <v>102</v>
      </c>
      <c r="C43" s="67" t="s">
        <v>35</v>
      </c>
      <c r="D43" s="67" t="s">
        <v>35</v>
      </c>
      <c r="E43" s="67" t="s">
        <v>35</v>
      </c>
      <c r="F43" s="67" t="s">
        <v>35</v>
      </c>
      <c r="G43" s="67" t="s">
        <v>35</v>
      </c>
      <c r="H43" s="68" t="s">
        <v>35</v>
      </c>
      <c r="I43" s="1"/>
      <c r="J43" s="1"/>
    </row>
    <row r="44">
      <c r="A44" s="1"/>
      <c r="B44" s="51" t="s">
        <v>103</v>
      </c>
      <c r="C44" s="67" t="s">
        <v>35</v>
      </c>
      <c r="D44" s="67" t="s">
        <v>35</v>
      </c>
      <c r="E44" s="67" t="s">
        <v>35</v>
      </c>
      <c r="F44" s="67" t="s">
        <v>35</v>
      </c>
      <c r="G44" s="67" t="s">
        <v>35</v>
      </c>
      <c r="H44" s="68" t="s">
        <v>35</v>
      </c>
      <c r="I44" s="1"/>
      <c r="J44" s="1"/>
    </row>
    <row r="45">
      <c r="A45" s="1"/>
      <c r="B45" s="21" t="s">
        <v>642</v>
      </c>
      <c r="C45" s="3">
        <v>105</v>
      </c>
      <c r="D45" s="3">
        <v>-71</v>
      </c>
      <c r="E45" s="3">
        <v>-57</v>
      </c>
      <c r="F45" s="3">
        <v>64</v>
      </c>
      <c r="G45" s="3">
        <v>-395</v>
      </c>
      <c r="H45" s="53">
        <f>'Segment - Corporate'!H41+G198</f>
        <v>-75</v>
      </c>
      <c r="I45" s="1"/>
      <c r="J45" s="2" t="s">
        <v>695</v>
      </c>
    </row>
    <row r="46">
      <c r="A46" s="1"/>
      <c r="B46" s="20" t="s">
        <v>131</v>
      </c>
      <c r="C46" s="10">
        <f>C45-C208</f>
        <v>121</v>
      </c>
      <c r="D46" s="10">
        <f>D45-D208</f>
        <v>21</v>
      </c>
      <c r="E46" s="10">
        <f>E45-E208</f>
        <v>964</v>
      </c>
      <c r="F46" s="10">
        <f>F45-F208</f>
        <v>101</v>
      </c>
      <c r="G46" s="10">
        <f>G45-G208</f>
        <v>-341</v>
      </c>
      <c r="H46" s="29">
        <f>H45-C45</f>
        <v>-180</v>
      </c>
      <c r="I46" s="1"/>
      <c r="J46" s="1"/>
    </row>
    <row r="47">
      <c r="A47" s="1"/>
      <c r="B47" s="20" t="s">
        <v>114</v>
      </c>
      <c r="C47" s="10">
        <f>C45-G208</f>
        <v>159</v>
      </c>
      <c r="D47" s="10">
        <f>D45-C45</f>
        <v>-176</v>
      </c>
      <c r="E47" s="1"/>
      <c r="F47" s="10">
        <f>F45-D45</f>
        <v>135</v>
      </c>
      <c r="G47" s="10">
        <f>G45-F45</f>
        <v>-459</v>
      </c>
      <c r="H47" s="29">
        <f>H45-G45</f>
        <v>320</v>
      </c>
      <c r="I47" s="1"/>
      <c r="J47" s="1"/>
    </row>
    <row r="48">
      <c r="A48" s="1"/>
      <c r="B48" s="21" t="s">
        <v>209</v>
      </c>
      <c r="C48" s="3">
        <v>383</v>
      </c>
      <c r="D48" s="3">
        <v>357</v>
      </c>
      <c r="E48" s="3">
        <v>1381</v>
      </c>
      <c r="F48" s="3">
        <v>309</v>
      </c>
      <c r="G48" s="3">
        <v>336</v>
      </c>
      <c r="H48" s="53">
        <f>'Segment - CCB'!H70+G199</f>
        <v>336</v>
      </c>
      <c r="I48" s="1"/>
      <c r="J48" s="2" t="s">
        <v>695</v>
      </c>
    </row>
    <row r="49">
      <c r="A49" s="1"/>
      <c r="B49" s="51" t="s">
        <v>99</v>
      </c>
      <c r="C49" s="22">
        <f>IF(AND(ISNUMBER(C48),ISNUMBER(C209)),IF(OR(C209&lt;=0,C48&lt;0),"n.m.",C48/C209-1),"n.a.")</f>
        <v>-0.04726368159203975</v>
      </c>
      <c r="D49" s="22">
        <f>IF(AND(ISNUMBER(D48),ISNUMBER(D209)),IF(OR(D209&lt;=0,D48&lt;0),"n.m.",D48/D209-1),"n.a.")</f>
        <v>-0.05053191489361697</v>
      </c>
      <c r="E49" s="22">
        <f>IF(AND(ISNUMBER(E48),ISNUMBER(E209)),IF(OR(E209&lt;=0,E48&lt;0),"n.m.",E48/E209-1),"n.a.")</f>
        <v>-0.014275517487508882</v>
      </c>
      <c r="F49" s="22">
        <f>IF(AND(ISNUMBER(F48),ISNUMBER(F209)),IF(OR(F209&lt;=0,F48&lt;0),"n.m.",F48/F209-1),"n.a.")</f>
        <v>0.11151079136690645</v>
      </c>
      <c r="G49" s="22">
        <f>IF(AND(ISNUMBER(G48),ISNUMBER(G209)),IF(OR(G209&lt;=0,G48&lt;0),"n.m.",G48/G209-1),"n.a.")</f>
        <v>-0.07438016528925617</v>
      </c>
      <c r="H49" s="39">
        <f>IF(AND(ISNUMBER(H48),ISNUMBER(C48)),IF(OR(C48&lt;=0,H48&lt;0),"n.m.",H48/C48-1),"n.a.")</f>
        <v>-0.12271540469973885</v>
      </c>
      <c r="I49" s="1"/>
      <c r="J49" s="1"/>
    </row>
    <row r="50">
      <c r="A50" s="1"/>
      <c r="B50" s="51" t="s">
        <v>60</v>
      </c>
      <c r="C50" s="22">
        <f>IF(AND(ISNUMBER(C48),ISNUMBER(G209)),IF(OR(G209&lt;=0,C48&lt;0),"n.m.",C48/G209-1),"n.a.")</f>
        <v>0.05509641873278226</v>
      </c>
      <c r="D50" s="22">
        <f>IF(AND(ISNUMBER(D48),ISNUMBER(C48)),IF(OR(C48&lt;=0,D48&lt;0),"n.m.",D48/C48-1),"n.a.")</f>
        <v>-0.06788511749347259</v>
      </c>
      <c r="E50" s="1"/>
      <c r="F50" s="22">
        <f>IF(AND(ISNUMBER(F48),ISNUMBER(D48)),IF(OR(D48&lt;=0,F48&lt;0),"n.m.",F48/D48-1),"n.a.")</f>
        <v>-0.134453781512605</v>
      </c>
      <c r="G50" s="22">
        <f>IF(AND(ISNUMBER(G48),ISNUMBER(F48)),IF(OR(F48&lt;=0,G48&lt;0),"n.m.",G48/F48-1),"n.a.")</f>
        <v>0.08737864077669899</v>
      </c>
      <c r="H50" s="39">
        <f>IF(AND(ISNUMBER(H48),ISNUMBER(G48)),IF(OR(G48&lt;=0,H48&lt;0),"n.m.",H48/G48-1),"n.a.")</f>
        <v>0</v>
      </c>
      <c r="I50" s="1"/>
      <c r="J50" s="1"/>
    </row>
    <row r="51">
      <c r="A51" s="1"/>
      <c r="B51" s="51" t="s">
        <v>693</v>
      </c>
      <c r="C51" s="22">
        <f>IFERROR(C48/C89,"n.a.")</f>
        <v>0.008249509983414824</v>
      </c>
      <c r="D51" s="22">
        <f>IFERROR(D48/D89,"n.a.")</f>
        <v>0.0077951002227171495</v>
      </c>
      <c r="E51" s="22">
        <f>IFERROR(E48/E89,"n.a.")</f>
        <v>0.007569321501586762</v>
      </c>
      <c r="F51" s="22">
        <f>IFERROR(F48/F89,"n.a.")</f>
        <v>0.006200337105706718</v>
      </c>
      <c r="G51" s="22">
        <f>IFERROR(G48/G89,"n.a.")</f>
        <v>0.005859068477862835</v>
      </c>
      <c r="H51" s="39">
        <f>IFERROR(H48/H89,"n.a.")</f>
        <v>0.0065847571235352845</v>
      </c>
      <c r="I51" s="1"/>
      <c r="J51" s="1"/>
    </row>
    <row r="52">
      <c r="A52" s="1"/>
      <c r="B52" s="51" t="s">
        <v>101</v>
      </c>
      <c r="C52" s="67" t="s">
        <v>35</v>
      </c>
      <c r="D52" s="67" t="s">
        <v>35</v>
      </c>
      <c r="E52" s="67" t="s">
        <v>35</v>
      </c>
      <c r="F52" s="67" t="s">
        <v>35</v>
      </c>
      <c r="G52" s="67" t="s">
        <v>35</v>
      </c>
      <c r="H52" s="68" t="s">
        <v>35</v>
      </c>
      <c r="I52" s="1"/>
      <c r="J52" s="1"/>
    </row>
    <row r="53">
      <c r="A53" s="1"/>
      <c r="B53" s="51" t="s">
        <v>102</v>
      </c>
      <c r="C53" s="67" t="s">
        <v>35</v>
      </c>
      <c r="D53" s="67" t="s">
        <v>35</v>
      </c>
      <c r="E53" s="67" t="s">
        <v>35</v>
      </c>
      <c r="F53" s="67" t="s">
        <v>35</v>
      </c>
      <c r="G53" s="67" t="s">
        <v>35</v>
      </c>
      <c r="H53" s="68" t="s">
        <v>35</v>
      </c>
      <c r="I53" s="1"/>
      <c r="J53" s="1"/>
    </row>
    <row r="54">
      <c r="A54" s="1"/>
      <c r="B54" s="51" t="s">
        <v>103</v>
      </c>
      <c r="C54" s="67" t="s">
        <v>35</v>
      </c>
      <c r="D54" s="67" t="s">
        <v>35</v>
      </c>
      <c r="E54" s="67" t="s">
        <v>35</v>
      </c>
      <c r="F54" s="67" t="s">
        <v>35</v>
      </c>
      <c r="G54" s="67" t="s">
        <v>35</v>
      </c>
      <c r="H54" s="68" t="s">
        <v>35</v>
      </c>
      <c r="I54" s="1"/>
      <c r="J54" s="1"/>
    </row>
    <row r="55">
      <c r="A55" s="1"/>
      <c r="B55" s="21" t="s">
        <v>210</v>
      </c>
      <c r="C55" s="3">
        <v>1140</v>
      </c>
      <c r="D55" s="3">
        <v>1020</v>
      </c>
      <c r="E55" s="3">
        <v>4720</v>
      </c>
      <c r="F55" s="3">
        <v>1190</v>
      </c>
      <c r="G55" s="3">
        <v>1348</v>
      </c>
      <c r="H55" s="53">
        <f>'Segment - CCB'!H77+'Segment - CIB'!H194+G200</f>
        <v>1204.79</v>
      </c>
      <c r="I55" s="1"/>
      <c r="J55" s="2" t="s">
        <v>695</v>
      </c>
    </row>
    <row r="56">
      <c r="A56" s="1"/>
      <c r="B56" s="51" t="s">
        <v>99</v>
      </c>
      <c r="C56" s="22">
        <f>IF(AND(ISNUMBER(C55),ISNUMBER(C210)),IF(OR(C210&lt;=0,C55&lt;0),"n.m.",C55/C210-1),"n.a.")</f>
        <v>-0.15241635687732347</v>
      </c>
      <c r="D56" s="22">
        <f>IF(AND(ISNUMBER(D55),ISNUMBER(D210)),IF(OR(D210&lt;=0,D55&lt;0),"n.m.",D55/D210-1),"n.a.")</f>
        <v>-0.36329588014981273</v>
      </c>
      <c r="E56" s="22">
        <f>IF(AND(ISNUMBER(E55),ISNUMBER(E210)),IF(OR(E210&lt;=0,E55&lt;0),"n.m.",E55/E210-1),"n.a.")</f>
        <v>-0.141349827178461</v>
      </c>
      <c r="F56" s="22">
        <f>IF(AND(ISNUMBER(F55),ISNUMBER(F210)),IF(OR(F210&lt;=0,F55&lt;0),"n.m.",F55/F210-1),"n.a.")</f>
        <v>-0.021381578947368474</v>
      </c>
      <c r="G56" s="22">
        <f>IF(AND(ISNUMBER(G55),ISNUMBER(G210)),IF(OR(G210&lt;=0,G55&lt;0),"n.m.",G55/G210-1),"n.a.")</f>
        <v>0.0029761904761904656</v>
      </c>
      <c r="H56" s="39">
        <f>IF(AND(ISNUMBER(H55),ISNUMBER(C55)),IF(OR(C55&lt;=0,H55&lt;0),"n.m.",H55/C55-1),"n.a.")</f>
        <v>0.05683333333333329</v>
      </c>
      <c r="I56" s="1"/>
      <c r="J56" s="1"/>
    </row>
    <row r="57">
      <c r="A57" s="1"/>
      <c r="B57" s="51" t="s">
        <v>60</v>
      </c>
      <c r="C57" s="22">
        <f>IF(AND(ISNUMBER(C55),ISNUMBER(G210)),IF(OR(G210&lt;=0,C55&lt;0),"n.m.",C55/G210-1),"n.a.")</f>
        <v>-0.1517857142857143</v>
      </c>
      <c r="D57" s="22">
        <f>IF(AND(ISNUMBER(D55),ISNUMBER(C55)),IF(OR(C55&lt;=0,D55&lt;0),"n.m.",D55/C55-1),"n.a.")</f>
        <v>-0.10526315789473684</v>
      </c>
      <c r="E57" s="1"/>
      <c r="F57" s="22">
        <f>IF(AND(ISNUMBER(F55),ISNUMBER(D55)),IF(OR(D55&lt;=0,F55&lt;0),"n.m.",F55/D55-1),"n.a.")</f>
        <v>0.16666666666666674</v>
      </c>
      <c r="G57" s="22">
        <f>IF(AND(ISNUMBER(G55),ISNUMBER(F55)),IF(OR(F55&lt;=0,G55&lt;0),"n.m.",G55/F55-1),"n.a.")</f>
        <v>0.13277310924369745</v>
      </c>
      <c r="H57" s="39">
        <f>IF(AND(ISNUMBER(H55),ISNUMBER(G55)),IF(OR(G55&lt;=0,H55&lt;0),"n.m.",H55/G55-1),"n.a.")</f>
        <v>-0.10623887240356089</v>
      </c>
      <c r="I57" s="1"/>
      <c r="J57" s="1"/>
    </row>
    <row r="58">
      <c r="A58" s="1"/>
      <c r="B58" s="51" t="s">
        <v>693</v>
      </c>
      <c r="C58" s="22">
        <f>IFERROR(C55/C89,"n.a.")</f>
        <v>0.0245546772352295</v>
      </c>
      <c r="D58" s="22">
        <f>IFERROR(D55/D89,"n.a.")</f>
        <v>0.022271714922048998</v>
      </c>
      <c r="E58" s="22">
        <f>IFERROR(E55/E89,"n.a.")</f>
        <v>0.025870526783120577</v>
      </c>
      <c r="F58" s="22">
        <f>IFERROR(F55/F89,"n.a.")</f>
        <v>0.02387832089252749</v>
      </c>
      <c r="G58" s="22">
        <f>IFERROR(G55/G89,"n.a.")</f>
        <v>0.023506024726663993</v>
      </c>
      <c r="H58" s="39">
        <f>IFERROR(H55/H89,"n.a.")</f>
        <v>0.023610861710904985</v>
      </c>
      <c r="I58" s="1"/>
      <c r="J58" s="1"/>
    </row>
    <row r="59">
      <c r="A59" s="1"/>
      <c r="B59" s="51" t="s">
        <v>101</v>
      </c>
      <c r="C59" s="67" t="s">
        <v>35</v>
      </c>
      <c r="D59" s="67" t="s">
        <v>35</v>
      </c>
      <c r="E59" s="67" t="s">
        <v>35</v>
      </c>
      <c r="F59" s="67" t="s">
        <v>35</v>
      </c>
      <c r="G59" s="67" t="s">
        <v>35</v>
      </c>
      <c r="H59" s="68" t="s">
        <v>35</v>
      </c>
      <c r="I59" s="1"/>
      <c r="J59" s="1"/>
    </row>
    <row r="60">
      <c r="A60" s="1"/>
      <c r="B60" s="51" t="s">
        <v>102</v>
      </c>
      <c r="C60" s="67" t="s">
        <v>35</v>
      </c>
      <c r="D60" s="67" t="s">
        <v>35</v>
      </c>
      <c r="E60" s="67" t="s">
        <v>35</v>
      </c>
      <c r="F60" s="67" t="s">
        <v>35</v>
      </c>
      <c r="G60" s="67" t="s">
        <v>35</v>
      </c>
      <c r="H60" s="68" t="s">
        <v>35</v>
      </c>
      <c r="I60" s="1"/>
      <c r="J60" s="1"/>
    </row>
    <row r="61">
      <c r="A61" s="1"/>
      <c r="B61" s="51" t="s">
        <v>103</v>
      </c>
      <c r="C61" s="67" t="s">
        <v>35</v>
      </c>
      <c r="D61" s="67" t="s">
        <v>35</v>
      </c>
      <c r="E61" s="67" t="s">
        <v>35</v>
      </c>
      <c r="F61" s="67" t="s">
        <v>35</v>
      </c>
      <c r="G61" s="67" t="s">
        <v>35</v>
      </c>
      <c r="H61" s="68" t="s">
        <v>35</v>
      </c>
      <c r="I61" s="1"/>
      <c r="J61" s="1"/>
    </row>
    <row r="62" ht="39">
      <c r="A62" s="1"/>
      <c r="B62" s="21" t="s">
        <v>696</v>
      </c>
      <c r="C62" s="3">
        <v>1439</v>
      </c>
      <c r="D62" s="3">
        <v>1658</v>
      </c>
      <c r="E62" s="3">
        <v>6174</v>
      </c>
      <c r="F62" s="3">
        <v>1671</v>
      </c>
      <c r="G62" s="3">
        <v>7549</v>
      </c>
      <c r="H62" s="53">
        <f>'Revenue summary'!H47-H82-H10-H17-H24-H31-H38-H45-H48-H55</f>
        <v>1743.7403369845997</v>
      </c>
      <c r="I62" s="1"/>
      <c r="J62" s="125" t="s">
        <v>697</v>
      </c>
    </row>
    <row r="63">
      <c r="A63" s="1"/>
      <c r="B63" s="51" t="s">
        <v>99</v>
      </c>
      <c r="C63" s="22">
        <f>IF(AND(ISNUMBER(C62),ISNUMBER(C211)),IF(OR(C211&lt;=0,C62&lt;0),"n.m.",C62/C211-1),"n.a.")</f>
        <v>0.4989583333333334</v>
      </c>
      <c r="D63" s="22">
        <f>IF(AND(ISNUMBER(D62),ISNUMBER(D211)),IF(OR(D211&lt;=0,D62&lt;0),"n.m.",D62/D211-1),"n.a.")</f>
        <v>0.35346938775510206</v>
      </c>
      <c r="E63" s="22">
        <f>IF(AND(ISNUMBER(E62),ISNUMBER(E211)),IF(OR(E211&lt;=0,E62&lt;0),"n.m.",E62/E211-1),"n.a.")</f>
        <v>-0.5045739046701974</v>
      </c>
      <c r="F63" s="22">
        <f>IF(AND(ISNUMBER(F62),ISNUMBER(F211)),IF(OR(F211&lt;=0,F62&lt;0),"n.m.",F62/F211-1),"n.a.")</f>
        <v>-0.13104524180967236</v>
      </c>
      <c r="G63" s="22">
        <f>IF(AND(ISNUMBER(G62),ISNUMBER(G211)),IF(OR(G211&lt;=0,G62&lt;0),"n.m.",G62/G211-1),"n.a.")</f>
        <v>5.54159445407279</v>
      </c>
      <c r="H63" s="39">
        <f>IF(AND(ISNUMBER(H62),ISNUMBER(C62)),IF(OR(C62&lt;=0,H62&lt;0),"n.m.",H62/C62-1),"n.a.")</f>
        <v>0.21177229811299503</v>
      </c>
      <c r="I63" s="1"/>
      <c r="J63" s="1"/>
    </row>
    <row r="64">
      <c r="A64" s="1"/>
      <c r="B64" s="51" t="s">
        <v>60</v>
      </c>
      <c r="C64" s="22">
        <f>IF(AND(ISNUMBER(C62),ISNUMBER(G211)),IF(OR(G211&lt;=0,C62&lt;0),"n.m.",C62/G211-1),"n.a.")</f>
        <v>0.2469670710571923</v>
      </c>
      <c r="D64" s="22">
        <f>IF(AND(ISNUMBER(D62),ISNUMBER(C62)),IF(OR(C62&lt;=0,D62&lt;0),"n.m.",D62/C62-1),"n.a.")</f>
        <v>0.15218902015288394</v>
      </c>
      <c r="E64" s="1"/>
      <c r="F64" s="22">
        <f>IF(AND(ISNUMBER(F62),ISNUMBER(D62)),IF(OR(D62&lt;=0,F62&lt;0),"n.m.",F62/D62-1),"n.a.")</f>
        <v>0.007840772014475306</v>
      </c>
      <c r="G64" s="22">
        <f>IF(AND(ISNUMBER(G62),ISNUMBER(F62)),IF(OR(F62&lt;=0,G62&lt;0),"n.m.",G62/F62-1),"n.a.")</f>
        <v>3.517654099341711</v>
      </c>
      <c r="H64" s="39">
        <f>IF(AND(ISNUMBER(H62),ISNUMBER(G62)),IF(OR(G62&lt;=0,H62&lt;0),"n.m.",H62/G62-1),"n.a.")</f>
        <v>-0.7690104203226122</v>
      </c>
      <c r="I64" s="1"/>
      <c r="J64" s="1"/>
    </row>
    <row r="65">
      <c r="A65" s="1"/>
      <c r="B65" s="51" t="s">
        <v>693</v>
      </c>
      <c r="C65" s="22">
        <f>IFERROR(C62/C89,"n.a.")</f>
        <v>0.030994895211837938</v>
      </c>
      <c r="D65" s="22">
        <f>IFERROR(D62/D89,"n.a.")</f>
        <v>0.03620245425564435</v>
      </c>
      <c r="E65" s="22">
        <f>IFERROR(E62/E89,"n.a.")</f>
        <v>0.03383996448283611</v>
      </c>
      <c r="F65" s="22">
        <f>IFERROR(F62/F89,"n.a.")</f>
        <v>0.03352997832891885</v>
      </c>
      <c r="G65" s="22">
        <f>IFERROR(G62/G89,"n.a.")</f>
        <v>0.131637226010079</v>
      </c>
      <c r="H65" s="39">
        <f>IFERROR(H62/H89,"n.a.")</f>
        <v>0.03417293632605702</v>
      </c>
      <c r="I65" s="1"/>
      <c r="J65" s="1"/>
    </row>
    <row r="66">
      <c r="A66" s="1"/>
      <c r="B66" s="51" t="s">
        <v>101</v>
      </c>
      <c r="C66" s="67" t="s">
        <v>35</v>
      </c>
      <c r="D66" s="67" t="s">
        <v>35</v>
      </c>
      <c r="E66" s="67" t="s">
        <v>35</v>
      </c>
      <c r="F66" s="67" t="s">
        <v>35</v>
      </c>
      <c r="G66" s="67" t="s">
        <v>35</v>
      </c>
      <c r="H66" s="68" t="s">
        <v>35</v>
      </c>
      <c r="I66" s="1"/>
      <c r="J66" s="1"/>
    </row>
    <row r="67">
      <c r="A67" s="1"/>
      <c r="B67" s="51" t="s">
        <v>102</v>
      </c>
      <c r="C67" s="67" t="s">
        <v>35</v>
      </c>
      <c r="D67" s="67" t="s">
        <v>35</v>
      </c>
      <c r="E67" s="67" t="s">
        <v>35</v>
      </c>
      <c r="F67" s="67" t="s">
        <v>35</v>
      </c>
      <c r="G67" s="67" t="s">
        <v>35</v>
      </c>
      <c r="H67" s="68" t="s">
        <v>35</v>
      </c>
      <c r="I67" s="1"/>
      <c r="J67" s="1"/>
    </row>
    <row r="68">
      <c r="A68" s="1"/>
      <c r="B68" s="51" t="s">
        <v>103</v>
      </c>
      <c r="C68" s="67" t="s">
        <v>35</v>
      </c>
      <c r="D68" s="67" t="s">
        <v>35</v>
      </c>
      <c r="E68" s="67" t="s">
        <v>35</v>
      </c>
      <c r="F68" s="67" t="s">
        <v>35</v>
      </c>
      <c r="G68" s="67" t="s">
        <v>35</v>
      </c>
      <c r="H68" s="68" t="s">
        <v>35</v>
      </c>
      <c r="I68" s="1"/>
      <c r="J68" s="1"/>
    </row>
    <row r="69">
      <c r="A69" s="1"/>
      <c r="B69" s="31" t="s">
        <v>216</v>
      </c>
      <c r="C69" s="43">
        <f>C10+C17+C24+C31+C38+C45+C48+C55+C62</f>
        <v>22461</v>
      </c>
      <c r="D69" s="43">
        <f>D10+D17+D24+D31+D38+D45+D48+D55+D62</f>
        <v>20803</v>
      </c>
      <c r="E69" s="43">
        <f>E10+E17+E24+E31+E38+E45+E48+E55+E62</f>
        <v>87004</v>
      </c>
      <c r="F69" s="43">
        <f>F10+F17+F24+F31+F38+F45+F48+F55+F62</f>
        <v>24470</v>
      </c>
      <c r="G69" s="43">
        <f>G10+G17+G24+G31+G38+G45+G48+G55+G62</f>
        <v>31836</v>
      </c>
      <c r="H69" s="45">
        <f>H10+H17+H24+H31+H38+H45+H48+H55+H62</f>
        <v>24359.55448899725</v>
      </c>
      <c r="I69" s="1"/>
      <c r="J69" s="1"/>
    </row>
    <row r="70">
      <c r="A70" s="1"/>
      <c r="B70" s="36" t="s">
        <v>99</v>
      </c>
      <c r="C70" s="22">
        <f>IF(AND(ISNUMBER(C69),ISNUMBER(C212)),IF(OR(C212&lt;=0,C69&lt;0),"n.m.",C69/C212-1),"n.a.")</f>
        <v>0.166865811210972</v>
      </c>
      <c r="D70" s="22">
        <f>IF(AND(ISNUMBER(D69),ISNUMBER(D212)),IF(OR(D212&lt;=0,D69&lt;0),"n.m.",D69/D212-1),"n.a.")</f>
        <v>0.07132557420949626</v>
      </c>
      <c r="E70" s="22">
        <f>IF(AND(ISNUMBER(E69),ISNUMBER(E212)),IF(OR(E212&lt;=0,E69&lt;0),"n.m.",E69/E212-1),"n.a.")</f>
        <v>0.023901709954926798</v>
      </c>
      <c r="F70" s="22">
        <f>IF(AND(ISNUMBER(F69),ISNUMBER(F212)),IF(OR(F212&lt;=0,F69&lt;0),"n.m.",F69/F212-1),"n.a.")</f>
        <v>0.11040522757181104</v>
      </c>
      <c r="G70" s="22">
        <f>IF(AND(ISNUMBER(G69),ISNUMBER(G212)),IF(OR(G212&lt;=0,G69&lt;0),"n.m.",G69/G212-1),"n.a.")</f>
        <v>0.46689397779108877</v>
      </c>
      <c r="H70" s="39">
        <f>IF(AND(ISNUMBER(H69),ISNUMBER(C69)),IF(OR(C69&lt;=0,H69&lt;0),"n.m.",H69/C69-1),"n.a.")</f>
        <v>0.08452671247928634</v>
      </c>
      <c r="I70" s="1"/>
      <c r="J70" s="1"/>
    </row>
    <row r="71">
      <c r="A71" s="1"/>
      <c r="B71" s="36" t="s">
        <v>60</v>
      </c>
      <c r="C71" s="22">
        <f>IF(AND(ISNUMBER(C69),ISNUMBER(G212)),IF(OR(G212&lt;=0,C69&lt;0),"n.m.",C69/G212-1),"n.a.")</f>
        <v>0.03492604709026392</v>
      </c>
      <c r="D71" s="22">
        <f>IF(AND(ISNUMBER(D69),ISNUMBER(C69)),IF(OR(C69&lt;=0,D69&lt;0),"n.m.",D69/C69-1),"n.a.")</f>
        <v>-0.07381683807488537</v>
      </c>
      <c r="E71" s="1"/>
      <c r="F71" s="22">
        <f>IF(AND(ISNUMBER(F69),ISNUMBER(D69)),IF(OR(D69&lt;=0,F69&lt;0),"n.m.",F69/D69-1),"n.a.")</f>
        <v>0.17627265298274297</v>
      </c>
      <c r="G71" s="22">
        <f>IF(AND(ISNUMBER(G69),ISNUMBER(F69)),IF(OR(F69&lt;=0,G69&lt;0),"n.m.",G69/F69-1),"n.a.")</f>
        <v>0.3010216591744994</v>
      </c>
      <c r="H71" s="39">
        <f>IF(AND(ISNUMBER(H69),ISNUMBER(G69)),IF(OR(G69&lt;=0,H69&lt;0),"n.m.",H69/G69-1),"n.a.")</f>
        <v>-0.23484248997998325</v>
      </c>
      <c r="I71" s="1"/>
      <c r="J71" s="1"/>
    </row>
    <row r="72">
      <c r="A72" s="1"/>
      <c r="B72" s="36" t="s">
        <v>693</v>
      </c>
      <c r="C72" s="22">
        <f>IFERROR(C69/C89,"n.a.")</f>
        <v>0.48379175910569283</v>
      </c>
      <c r="D72" s="22">
        <f>IFERROR(D69/D89,"n.a.")</f>
        <v>0.45423380933665225</v>
      </c>
      <c r="E72" s="22">
        <f>IFERROR(E69/E89,"n.a.")</f>
        <v>0.476872735643776</v>
      </c>
      <c r="F72" s="22">
        <f>IFERROR(F69/F89,"n.a.")</f>
        <v>0.4910105144875191</v>
      </c>
      <c r="G72" s="22">
        <f>IFERROR(G69/G89,"n.a.")</f>
        <v>0.5551467382775036</v>
      </c>
      <c r="H72" s="39">
        <f>IFERROR(H69/H89,"n.a.")</f>
        <v>0.47738616055824573</v>
      </c>
      <c r="I72" s="1"/>
      <c r="J72" s="1"/>
    </row>
    <row r="73">
      <c r="A73" s="1"/>
      <c r="B73" s="36" t="s">
        <v>101</v>
      </c>
      <c r="C73" s="67" t="s">
        <v>35</v>
      </c>
      <c r="D73" s="67" t="s">
        <v>35</v>
      </c>
      <c r="E73" s="67" t="s">
        <v>35</v>
      </c>
      <c r="F73" s="67" t="s">
        <v>35</v>
      </c>
      <c r="G73" s="67" t="s">
        <v>35</v>
      </c>
      <c r="H73" s="68" t="s">
        <v>35</v>
      </c>
      <c r="I73" s="1"/>
      <c r="J73" s="1"/>
    </row>
    <row r="74">
      <c r="A74" s="1"/>
      <c r="B74" s="36" t="s">
        <v>102</v>
      </c>
      <c r="C74" s="67" t="s">
        <v>35</v>
      </c>
      <c r="D74" s="67" t="s">
        <v>35</v>
      </c>
      <c r="E74" s="67" t="s">
        <v>35</v>
      </c>
      <c r="F74" s="67" t="s">
        <v>35</v>
      </c>
      <c r="G74" s="67" t="s">
        <v>35</v>
      </c>
      <c r="H74" s="68" t="s">
        <v>35</v>
      </c>
      <c r="I74" s="1"/>
      <c r="J74" s="1"/>
    </row>
    <row r="75">
      <c r="A75" s="1"/>
      <c r="B75" s="36" t="s">
        <v>103</v>
      </c>
      <c r="C75" s="67" t="s">
        <v>35</v>
      </c>
      <c r="D75" s="67" t="s">
        <v>35</v>
      </c>
      <c r="E75" s="67" t="s">
        <v>35</v>
      </c>
      <c r="F75" s="67" t="s">
        <v>35</v>
      </c>
      <c r="G75" s="67" t="s">
        <v>35</v>
      </c>
      <c r="H75" s="68" t="s">
        <v>35</v>
      </c>
      <c r="I75" s="1"/>
      <c r="J75" s="1"/>
    </row>
    <row r="76">
      <c r="A76" s="1"/>
      <c r="B76" s="21" t="s">
        <v>698</v>
      </c>
      <c r="C76" s="3">
        <v>49439</v>
      </c>
      <c r="D76" s="3">
        <v>48808</v>
      </c>
      <c r="E76" s="3">
        <v>193341</v>
      </c>
      <c r="F76" s="3">
        <v>49191</v>
      </c>
      <c r="G76" s="3">
        <v>50624</v>
      </c>
      <c r="H76" s="29">
        <f>H82+H79</f>
        <v>52031.514500000005</v>
      </c>
      <c r="I76" s="1"/>
      <c r="J76" s="2" t="s">
        <v>695</v>
      </c>
    </row>
    <row r="77">
      <c r="A77" s="1"/>
      <c r="B77" s="51" t="s">
        <v>58</v>
      </c>
      <c r="C77" s="22">
        <f>IF(AND(ISNUMBER(C76),ISNUMBER(C213)),IF(OR(C213&lt;=0,C76&lt;0),"n.m.",C76/C213-1),"n.a.")</f>
        <v>-0.019378768644874644</v>
      </c>
      <c r="D77" s="22">
        <f>IF(AND(ISNUMBER(D76),ISNUMBER(D213)),IF(OR(D213&lt;=0,D76&lt;0),"n.m.",D76/D213-1),"n.a.")</f>
        <v>0.026111087751755413</v>
      </c>
      <c r="E77" s="22">
        <f>IF(AND(ISNUMBER(E76),ISNUMBER(E213)),IF(OR(E213&lt;=0,E76&lt;0),"n.m.",E76/E213-1),"n.a.")</f>
        <v>-0.0030526006404273387</v>
      </c>
      <c r="F77" s="22">
        <f>IF(AND(ISNUMBER(F76),ISNUMBER(F213)),IF(OR(F213&lt;=0,F76&lt;0),"n.m.",F76/F213-1),"n.a.")</f>
        <v>0.049900753420272004</v>
      </c>
      <c r="G77" s="22">
        <f>IF(AND(ISNUMBER(G76),ISNUMBER(G213)),IF(OR(G213&lt;=0,G76&lt;0),"n.m.",G76/G213-1),"n.a.")</f>
        <v>0.04939781513650221</v>
      </c>
      <c r="H77" s="39">
        <f>IF(AND(ISNUMBER(H76),ISNUMBER(C76)),IF(OR(C76&lt;=0,H76&lt;0),"n.m.",H76/C76-1),"n.a.")</f>
        <v>0.05243865167175721</v>
      </c>
      <c r="I77" s="1"/>
      <c r="J77" s="1"/>
    </row>
    <row r="78">
      <c r="A78" s="1"/>
      <c r="B78" s="51" t="s">
        <v>60</v>
      </c>
      <c r="C78" s="22">
        <f>IF(AND(ISNUMBER(C76),ISNUMBER(G213)),IF(OR(G213&lt;=0,C76&lt;0),"n.m.",C76/G213-1),"n.a.")</f>
        <v>0.024833647727037222</v>
      </c>
      <c r="D78" s="22">
        <f>IF(AND(ISNUMBER(D76),ISNUMBER(C76)),IF(OR(C76&lt;=0,D76&lt;0),"n.m.",D76/C76-1),"n.a.")</f>
        <v>-0.012763203139222079</v>
      </c>
      <c r="E78" s="1"/>
      <c r="F78" s="22">
        <f>IF(AND(ISNUMBER(F76),ISNUMBER(D76)),IF(OR(D76&lt;=0,F76&lt;0),"n.m.",F76/D76-1),"n.a.")</f>
        <v>0.007847074250122876</v>
      </c>
      <c r="G78" s="22">
        <f>IF(AND(ISNUMBER(G76),ISNUMBER(F76)),IF(OR(F76&lt;=0,G76&lt;0),"n.m.",G76/F76-1),"n.a.")</f>
        <v>0.0291313451647659</v>
      </c>
      <c r="H78" s="39">
        <f>IF(AND(ISNUMBER(H76),ISNUMBER(G76)),IF(OR(G76&lt;=0,H76&lt;0),"n.m.",H76/G76-1),"n.a.")</f>
        <v>0.02780330475663728</v>
      </c>
      <c r="I78" s="1"/>
      <c r="J78" s="1"/>
    </row>
    <row r="79">
      <c r="A79" s="1"/>
      <c r="B79" s="21" t="s">
        <v>699</v>
      </c>
      <c r="C79" s="3">
        <v>25473</v>
      </c>
      <c r="D79" s="3">
        <v>23813</v>
      </c>
      <c r="E79" s="3">
        <v>97898</v>
      </c>
      <c r="F79" s="3">
        <v>23825</v>
      </c>
      <c r="G79" s="3">
        <v>25113</v>
      </c>
      <c r="H79" s="29">
        <f>G79*(1+H81)</f>
        <v>25364.13</v>
      </c>
      <c r="I79" s="1"/>
      <c r="J79" s="2" t="s">
        <v>700</v>
      </c>
    </row>
    <row r="80">
      <c r="A80" s="1"/>
      <c r="B80" s="51" t="s">
        <v>58</v>
      </c>
      <c r="C80" s="22">
        <f>IF(AND(ISNUMBER(C79),ISNUMBER(C214)),IF(OR(C214&lt;=0,C79&lt;0),"n.m.",C79/C214-1),"n.a.")</f>
        <v>-0.05693976528081157</v>
      </c>
      <c r="D80" s="22">
        <f>IF(AND(ISNUMBER(D79),ISNUMBER(D214)),IF(OR(D214&lt;=0,D79&lt;0),"n.m.",D79/D214-1),"n.a.")</f>
        <v>-0.016641889659729125</v>
      </c>
      <c r="E80" s="22">
        <f>IF(AND(ISNUMBER(E79),ISNUMBER(E214)),IF(OR(E214&lt;=0,E79&lt;0),"n.m.",E79/E214-1),"n.a.")</f>
        <v>-0.03406018746916628</v>
      </c>
      <c r="F80" s="22">
        <f>IF(AND(ISNUMBER(F79),ISNUMBER(F214)),IF(OR(F214&lt;=0,F79&lt;0),"n.m.",F79/F214-1),"n.a.")</f>
        <v>0.010390161153519983</v>
      </c>
      <c r="G80" s="22">
        <f>IF(AND(ISNUMBER(G79),ISNUMBER(G214)),IF(OR(G214&lt;=0,G79&lt;0),"n.m.",G79/G214-1),"n.a.")</f>
        <v>0.0032358581016298515</v>
      </c>
      <c r="H80" s="39">
        <f>IF(AND(ISNUMBER(H79),ISNUMBER(C79)),IF(OR(C79&lt;=0,H79&lt;0),"n.m.",H79/C79-1),"n.a.")</f>
        <v>-0.004273937109880999</v>
      </c>
      <c r="I80" s="1"/>
      <c r="J80" s="1"/>
    </row>
    <row r="81">
      <c r="A81" s="1"/>
      <c r="B81" s="51" t="s">
        <v>701</v>
      </c>
      <c r="C81" s="22">
        <f>IF(AND(ISNUMBER(C79),ISNUMBER(G214)),IF(OR(G214&lt;=0,C79&lt;0),"n.m.",C79/G214-1),"n.a.")</f>
        <v>0.017617449664429463</v>
      </c>
      <c r="D81" s="22">
        <f>IF(AND(ISNUMBER(D79),ISNUMBER(C79)),IF(OR(C79&lt;=0,D79&lt;0),"n.m.",D79/C79-1),"n.a.")</f>
        <v>-0.06516703961056802</v>
      </c>
      <c r="E81" s="1"/>
      <c r="F81" s="22">
        <f>IF(AND(ISNUMBER(F79),ISNUMBER(D79)),IF(OR(D79&lt;=0,F79&lt;0),"n.m.",F79/D79-1),"n.a.")</f>
        <v>0.0005039264267416854</v>
      </c>
      <c r="G81" s="22">
        <f>IF(AND(ISNUMBER(G79),ISNUMBER(F79)),IF(OR(F79&lt;=0,G79&lt;0),"n.m.",G79/F79-1),"n.a.")</f>
        <v>0.054060860440713565</v>
      </c>
      <c r="H81" s="72">
        <v>0.01</v>
      </c>
      <c r="I81" s="1"/>
      <c r="J81" s="2" t="s">
        <v>702</v>
      </c>
    </row>
    <row r="82">
      <c r="A82" s="1"/>
      <c r="B82" s="31" t="s">
        <v>217</v>
      </c>
      <c r="C82" s="43">
        <f>C76-C79</f>
        <v>23966</v>
      </c>
      <c r="D82" s="43">
        <f>D76-D79</f>
        <v>24995</v>
      </c>
      <c r="E82" s="43">
        <f>E76-E79</f>
        <v>95443</v>
      </c>
      <c r="F82" s="43">
        <f>F76-F79</f>
        <v>25366</v>
      </c>
      <c r="G82" s="43">
        <f>G76-G79</f>
        <v>25511</v>
      </c>
      <c r="H82" s="52">
        <f>'Revenue summary'!H64-'Revenue summary'!H70</f>
        <v>26667.3845</v>
      </c>
      <c r="I82" s="1"/>
      <c r="J82" s="2" t="s">
        <v>703</v>
      </c>
    </row>
    <row r="83">
      <c r="A83" s="1"/>
      <c r="B83" s="36" t="s">
        <v>99</v>
      </c>
      <c r="C83" s="22">
        <f>IF(AND(ISNUMBER(C82),ISNUMBER(C215)),IF(OR(C215&lt;=0,C82&lt;0),"n.m.",C82/C215-1),"n.a.")</f>
        <v>0.02396923734244827</v>
      </c>
      <c r="D83" s="22">
        <f>IF(AND(ISNUMBER(D82),ISNUMBER(D215)),IF(OR(D215&lt;=0,D82&lt;0),"n.m.",D82/D215-1),"n.a.")</f>
        <v>0.07044967880085662</v>
      </c>
      <c r="E83" s="22">
        <f>IF(AND(ISNUMBER(E82),ISNUMBER(E215)),IF(OR(E215&lt;=0,E82&lt;0),"n.m.",E82/E215-1),"n.a.")</f>
        <v>0.030891200328353907</v>
      </c>
      <c r="F83" s="22">
        <f>IF(AND(ISNUMBER(F82),ISNUMBER(F215)),IF(OR(F215&lt;=0,F82&lt;0),"n.m.",F82/F215-1),"n.a.")</f>
        <v>0.08993253985304861</v>
      </c>
      <c r="G83" s="22">
        <f>IF(AND(ISNUMBER(G82),ISNUMBER(G215)),IF(OR(G215&lt;=0,G82&lt;0),"n.m.",G82/G215-1),"n.a.")</f>
        <v>0.09918566073505963</v>
      </c>
      <c r="H83" s="39">
        <f>IF(AND(ISNUMBER(H82),ISNUMBER(C82)),IF(OR(C82&lt;=0,H82&lt;0),"n.m.",H82/C82-1),"n.a.")</f>
        <v>0.1127173704414588</v>
      </c>
      <c r="I83" s="1"/>
      <c r="J83" s="1"/>
    </row>
    <row r="84">
      <c r="A84" s="1"/>
      <c r="B84" s="36" t="s">
        <v>60</v>
      </c>
      <c r="C84" s="22">
        <f>IF(AND(ISNUMBER(C82),ISNUMBER(G215)),IF(OR(G215&lt;=0,C82&lt;0),"n.m.",C82/G215-1),"n.a.")</f>
        <v>0.032616657331207666</v>
      </c>
      <c r="D84" s="22">
        <f>IF(AND(ISNUMBER(D82),ISNUMBER(C82)),IF(OR(C82&lt;=0,D82&lt;0),"n.m.",D82/C82-1),"n.a.")</f>
        <v>0.04293582575315025</v>
      </c>
      <c r="E84" s="1"/>
      <c r="F84" s="22">
        <f>IF(AND(ISNUMBER(F82),ISNUMBER(D82)),IF(OR(D82&lt;=0,F82&lt;0),"n.m.",F82/D82-1),"n.a.")</f>
        <v>0.014842968593718808</v>
      </c>
      <c r="G84" s="22">
        <f>IF(AND(ISNUMBER(G82),ISNUMBER(F82)),IF(OR(F82&lt;=0,G82&lt;0),"n.m.",G82/F82-1),"n.a.")</f>
        <v>0.005716313175116339</v>
      </c>
      <c r="H84" s="39">
        <f>IF(AND(ISNUMBER(H82),ISNUMBER(G82)),IF(OR(G82&lt;=0,H82&lt;0),"n.m.",H82/G82-1),"n.a.")</f>
        <v>0.04532885813962606</v>
      </c>
      <c r="I84" s="1"/>
      <c r="J84" s="1"/>
    </row>
    <row r="85">
      <c r="A85" s="1"/>
      <c r="B85" s="36" t="s">
        <v>693</v>
      </c>
      <c r="C85" s="22">
        <f>IFERROR(C82/C89,"n.a.")</f>
        <v>0.5162082408943072</v>
      </c>
      <c r="D85" s="22">
        <f>IFERROR(D82/D89,"n.a.")</f>
        <v>0.5457661906633477</v>
      </c>
      <c r="E85" s="22">
        <f>IFERROR(E82/E89,"n.a.")</f>
        <v>0.523127264356224</v>
      </c>
      <c r="F85" s="22">
        <f>IFERROR(F82/F89,"n.a.")</f>
        <v>0.5089894855124809</v>
      </c>
      <c r="G85" s="22">
        <f>IFERROR(G82/G89,"n.a.")</f>
        <v>0.4448532617224964</v>
      </c>
      <c r="H85" s="39">
        <f>IFERROR(H82/H89,"n.a.")</f>
        <v>0.5226138394417542</v>
      </c>
      <c r="I85" s="1"/>
      <c r="J85" s="1"/>
    </row>
    <row r="86">
      <c r="A86" s="1"/>
      <c r="B86" s="36" t="s">
        <v>101</v>
      </c>
      <c r="C86" s="67" t="s">
        <v>35</v>
      </c>
      <c r="D86" s="67" t="s">
        <v>35</v>
      </c>
      <c r="E86" s="67" t="s">
        <v>35</v>
      </c>
      <c r="F86" s="67" t="s">
        <v>35</v>
      </c>
      <c r="G86" s="67" t="s">
        <v>35</v>
      </c>
      <c r="H86" s="68" t="s">
        <v>35</v>
      </c>
      <c r="I86" s="1"/>
      <c r="J86" s="1"/>
    </row>
    <row r="87">
      <c r="A87" s="1"/>
      <c r="B87" s="36" t="s">
        <v>102</v>
      </c>
      <c r="C87" s="67" t="s">
        <v>35</v>
      </c>
      <c r="D87" s="67" t="s">
        <v>35</v>
      </c>
      <c r="E87" s="67" t="s">
        <v>35</v>
      </c>
      <c r="F87" s="67" t="s">
        <v>35</v>
      </c>
      <c r="G87" s="67" t="s">
        <v>35</v>
      </c>
      <c r="H87" s="68" t="s">
        <v>35</v>
      </c>
      <c r="I87" s="1"/>
      <c r="J87" s="1"/>
    </row>
    <row r="88">
      <c r="A88" s="1"/>
      <c r="B88" s="36" t="s">
        <v>103</v>
      </c>
      <c r="C88" s="67" t="s">
        <v>35</v>
      </c>
      <c r="D88" s="67" t="s">
        <v>35</v>
      </c>
      <c r="E88" s="67" t="s">
        <v>35</v>
      </c>
      <c r="F88" s="67" t="s">
        <v>35</v>
      </c>
      <c r="G88" s="67" t="s">
        <v>35</v>
      </c>
      <c r="H88" s="68" t="s">
        <v>35</v>
      </c>
      <c r="I88" s="1"/>
      <c r="J88" s="1"/>
    </row>
    <row r="89">
      <c r="A89" s="1"/>
      <c r="B89" s="31" t="s">
        <v>704</v>
      </c>
      <c r="C89" s="43">
        <f>C69+C82</f>
        <v>46427</v>
      </c>
      <c r="D89" s="43">
        <f>D69+D82</f>
        <v>45798</v>
      </c>
      <c r="E89" s="43">
        <f>E69+E82</f>
        <v>182447</v>
      </c>
      <c r="F89" s="43">
        <f>F69+F82</f>
        <v>49836</v>
      </c>
      <c r="G89" s="43">
        <f>G69+G82</f>
        <v>57347</v>
      </c>
      <c r="H89" s="45">
        <f>H69+H82</f>
        <v>51026.93898899725</v>
      </c>
      <c r="I89" s="1"/>
      <c r="J89" s="1"/>
    </row>
    <row r="90">
      <c r="A90" s="1"/>
      <c r="B90" s="36" t="s">
        <v>99</v>
      </c>
      <c r="C90" s="22">
        <f>IF(AND(ISNUMBER(C89),ISNUMBER(C216)),IF(OR(C216&lt;=0,C89&lt;0),"n.m.",C89/C216-1),"n.a.")</f>
        <v>0.08845594785952082</v>
      </c>
      <c r="D90" s="22">
        <f>IF(AND(ISNUMBER(D89),ISNUMBER(D216)),IF(OR(D216&lt;=0,D89&lt;0),"n.m.",D89/D216-1),"n.a.")</f>
        <v>0.07084736251402912</v>
      </c>
      <c r="E90" s="22">
        <f>IF(AND(ISNUMBER(E89),ISNUMBER(E216)),IF(OR(E216&lt;=0,E89&lt;0),"n.m.",E89/E216-1),"n.a.")</f>
        <v>0.027546238933068956</v>
      </c>
      <c r="F90" s="22">
        <f>IF(AND(ISNUMBER(F89),ISNUMBER(F216)),IF(OR(F216&lt;=0,F89&lt;0),"n.m.",F89/F216-1),"n.a.")</f>
        <v>0.09988964908408748</v>
      </c>
      <c r="G90" s="22">
        <f>IF(AND(ISNUMBER(G89),ISNUMBER(G216)),IF(OR(G216&lt;=0,G89&lt;0),"n.m.",G89/G216-1),"n.a.")</f>
        <v>0.2768747773423583</v>
      </c>
      <c r="H90" s="39">
        <f>IF(AND(ISNUMBER(H89),ISNUMBER(C89)),IF(OR(C89&lt;=0,H89&lt;0),"n.m.",H89/C89-1),"n.a.")</f>
        <v>0.09907896243559255</v>
      </c>
      <c r="I90" s="1"/>
      <c r="J90" s="1"/>
    </row>
    <row r="91">
      <c r="A91" s="1"/>
      <c r="B91" s="36" t="s">
        <v>60</v>
      </c>
      <c r="C91" s="22">
        <f>IF(AND(ISNUMBER(C89),ISNUMBER(G216)),IF(OR(G216&lt;=0,C89&lt;0),"n.m.",C89/G216-1),"n.a.")</f>
        <v>0.033732632703954435</v>
      </c>
      <c r="D91" s="22">
        <f>IF(AND(ISNUMBER(D89),ISNUMBER(C89)),IF(OR(C89&lt;=0,D89&lt;0),"n.m.",D89/C89-1),"n.a.")</f>
        <v>-0.01354815086049066</v>
      </c>
      <c r="E91" s="1"/>
      <c r="F91" s="22">
        <f>IF(AND(ISNUMBER(F89),ISNUMBER(D89)),IF(OR(D89&lt;=0,F89&lt;0),"n.m.",F89/D89-1),"n.a.")</f>
        <v>0.08816978907375872</v>
      </c>
      <c r="G91" s="22">
        <f>IF(AND(ISNUMBER(G89),ISNUMBER(F89)),IF(OR(F89&lt;=0,G89&lt;0),"n.m.",G89/F89-1),"n.a.")</f>
        <v>0.15071434304518827</v>
      </c>
      <c r="H91" s="39">
        <f>IF(AND(ISNUMBER(H89),ISNUMBER(G89)),IF(OR(G89&lt;=0,H89&lt;0),"n.m.",H89/G89-1),"n.a.")</f>
        <v>-0.11020735192778608</v>
      </c>
      <c r="I91" s="1"/>
      <c r="J91" s="1"/>
    </row>
    <row r="92">
      <c r="A92" s="1"/>
      <c r="B92" s="36" t="s">
        <v>101</v>
      </c>
      <c r="C92" s="67" t="s">
        <v>35</v>
      </c>
      <c r="D92" s="67" t="s">
        <v>35</v>
      </c>
      <c r="E92" s="67" t="s">
        <v>35</v>
      </c>
      <c r="F92" s="67" t="s">
        <v>35</v>
      </c>
      <c r="G92" s="67" t="s">
        <v>35</v>
      </c>
      <c r="H92" s="68" t="s">
        <v>35</v>
      </c>
      <c r="I92" s="1"/>
      <c r="J92" s="1"/>
    </row>
    <row r="93">
      <c r="A93" s="1"/>
      <c r="B93" s="36" t="s">
        <v>102</v>
      </c>
      <c r="C93" s="67" t="s">
        <v>35</v>
      </c>
      <c r="D93" s="67" t="s">
        <v>35</v>
      </c>
      <c r="E93" s="67" t="s">
        <v>35</v>
      </c>
      <c r="F93" s="67" t="s">
        <v>35</v>
      </c>
      <c r="G93" s="67" t="s">
        <v>35</v>
      </c>
      <c r="H93" s="68" t="s">
        <v>35</v>
      </c>
      <c r="I93" s="1"/>
      <c r="J93" s="1"/>
    </row>
    <row r="94">
      <c r="A94" s="1"/>
      <c r="B94" s="36" t="s">
        <v>103</v>
      </c>
      <c r="C94" s="67" t="s">
        <v>35</v>
      </c>
      <c r="D94" s="67" t="s">
        <v>35</v>
      </c>
      <c r="E94" s="67" t="s">
        <v>35</v>
      </c>
      <c r="F94" s="67" t="s">
        <v>35</v>
      </c>
      <c r="G94" s="67" t="s">
        <v>35</v>
      </c>
      <c r="H94" s="68" t="s">
        <v>35</v>
      </c>
      <c r="I94" s="1"/>
      <c r="J94" s="1"/>
    </row>
    <row r="95">
      <c r="A95" s="1"/>
      <c r="B95" s="1" t="s">
        <v>312</v>
      </c>
      <c r="C95" s="3">
        <v>3403</v>
      </c>
      <c r="D95" s="3">
        <v>4655</v>
      </c>
      <c r="E95" s="3">
        <v>14212</v>
      </c>
      <c r="F95" s="3">
        <v>2507</v>
      </c>
      <c r="G95" s="3">
        <v>2515</v>
      </c>
      <c r="H95" s="53">
        <f>'Segment - CCB'!H269+'Segment - CIB'!H268+'Segment - AWM'!H186+'Segment - Corporate'!H92</f>
        <v>2842.741143276712</v>
      </c>
      <c r="I95" s="1"/>
      <c r="J95" s="2" t="s">
        <v>705</v>
      </c>
    </row>
    <row r="96">
      <c r="A96" s="1"/>
      <c r="B96" s="36" t="s">
        <v>58</v>
      </c>
      <c r="C96" s="22">
        <f>IF(AND(ISNUMBER(C95),ISNUMBER(C217)),IF(OR(C217&lt;=0,C95&lt;0),"n.m.",C95/C217-1),"n.a.")</f>
        <v>0.09386049501767912</v>
      </c>
      <c r="D96" s="22">
        <f>IF(AND(ISNUMBER(D95),ISNUMBER(D217)),IF(OR(D217&lt;=0,D95&lt;0),"n.m.",D95/D217-1),"n.a.")</f>
        <v>0.7692892436335994</v>
      </c>
      <c r="E96" s="22">
        <f>IF(AND(ISNUMBER(E95),ISNUMBER(E217)),IF(OR(E217&lt;=0,E95&lt;0),"n.m.",E95/E217-1),"n.a.")</f>
        <v>0.3309608540925266</v>
      </c>
      <c r="F96" s="22">
        <f>IF(AND(ISNUMBER(F95),ISNUMBER(F217)),IF(OR(F217&lt;=0,F95&lt;0),"n.m.",F95/F217-1),"n.a.")</f>
        <v>-0.24145234493192136</v>
      </c>
      <c r="G96" s="22">
        <f>IF(AND(ISNUMBER(G95),ISNUMBER(G217)),IF(OR(G217&lt;=0,G95&lt;0),"n.m.",G95/G217-1),"n.a.")</f>
        <v>-0.11723411723411725</v>
      </c>
      <c r="H96" s="39">
        <f>IF(AND(ISNUMBER(H95),ISNUMBER(C95)),IF(OR(C95&lt;=0,H95&lt;0),"n.m.",H95/C95-1),"n.a.")</f>
        <v>-0.1646367489636461</v>
      </c>
      <c r="I96" s="1"/>
      <c r="J96" s="1"/>
    </row>
    <row r="97">
      <c r="A97" s="1"/>
      <c r="B97" s="36" t="s">
        <v>60</v>
      </c>
      <c r="C97" s="22">
        <f>IF(AND(ISNUMBER(C95),ISNUMBER(G217)),IF(OR(G217&lt;=0,C95&lt;0),"n.m.",C95/G217-1),"n.a.")</f>
        <v>0.19445419445419443</v>
      </c>
      <c r="D97" s="22">
        <f>IF(AND(ISNUMBER(D95),ISNUMBER(C95)),IF(OR(C95&lt;=0,D95&lt;0),"n.m.",D95/C95-1),"n.a.")</f>
        <v>0.36791066705847775</v>
      </c>
      <c r="E97" s="1"/>
      <c r="F97" s="22">
        <f>IF(AND(ISNUMBER(F95),ISNUMBER(D95)),IF(OR(D95&lt;=0,F95&lt;0),"n.m.",F95/D95-1),"n.a.")</f>
        <v>-0.4614393125671321</v>
      </c>
      <c r="G97" s="22">
        <f>IF(AND(ISNUMBER(G95),ISNUMBER(F95)),IF(OR(F95&lt;=0,G95&lt;0),"n.m.",G95/F95-1),"n.a.")</f>
        <v>0.0031910650179496347</v>
      </c>
      <c r="H97" s="39">
        <f>IF(AND(ISNUMBER(H95),ISNUMBER(G95)),IF(OR(G95&lt;=0,H95&lt;0),"n.m.",H95/G95-1),"n.a.")</f>
        <v>0.13031456989133683</v>
      </c>
      <c r="I97" s="1"/>
      <c r="J97" s="1"/>
    </row>
    <row r="98">
      <c r="A98" s="1"/>
      <c r="B98" s="1"/>
      <c r="C98" s="1"/>
      <c r="D98" s="1"/>
      <c r="E98" s="1"/>
      <c r="F98" s="1"/>
      <c r="G98" s="1"/>
      <c r="H98" s="30"/>
      <c r="I98" s="1"/>
      <c r="J98" s="1"/>
    </row>
    <row r="99">
      <c r="A99" s="1"/>
      <c r="B99" s="31" t="s">
        <v>706</v>
      </c>
      <c r="C99" s="1"/>
      <c r="D99" s="1"/>
      <c r="E99" s="1"/>
      <c r="F99" s="1"/>
      <c r="G99" s="1"/>
      <c r="H99" s="30"/>
      <c r="I99" s="1"/>
      <c r="J99" s="1"/>
    </row>
    <row r="100">
      <c r="A100" s="1"/>
      <c r="B100" s="21" t="s">
        <v>707</v>
      </c>
      <c r="C100" s="3">
        <v>13566</v>
      </c>
      <c r="D100" s="3">
        <v>13118</v>
      </c>
      <c r="E100" s="3">
        <v>54487</v>
      </c>
      <c r="F100" s="3">
        <v>15339</v>
      </c>
      <c r="G100" s="3">
        <v>15159</v>
      </c>
      <c r="H100" s="29">
        <f>H118-H103-H106-H109-H112-H115</f>
        <v>14859.97711281096</v>
      </c>
      <c r="I100" s="1"/>
      <c r="J100" s="2" t="s">
        <v>708</v>
      </c>
    </row>
    <row r="101">
      <c r="A101" s="1"/>
      <c r="B101" s="51" t="s">
        <v>58</v>
      </c>
      <c r="C101" s="22">
        <f>IF(AND(ISNUMBER(C100),ISNUMBER(C218)),IF(OR(C218&lt;=0,C100&lt;0),"n.m.",C100/C218-1),"n.a.")</f>
        <v>0.058438012015292085</v>
      </c>
      <c r="D101" s="22">
        <f>IF(AND(ISNUMBER(D100),ISNUMBER(D218)),IF(OR(D218&lt;=0,D100&lt;0),"n.m.",D100/D218-1),"n.a.")</f>
        <v>0.0520490817226722</v>
      </c>
      <c r="E101" s="22">
        <f>IF(AND(ISNUMBER(E100),ISNUMBER(E218)),IF(OR(E218&lt;=0,E100&lt;0),"n.m.",E100/E218-1),"n.a.")</f>
        <v>0.0609459275269193</v>
      </c>
      <c r="F101" s="22">
        <f>IF(AND(ISNUMBER(F100),ISNUMBER(F218)),IF(OR(F218&lt;=0,F100&lt;0),"n.m.",F100/F218-1),"n.a.")</f>
        <v>0.08841268714964867</v>
      </c>
      <c r="G101" s="22">
        <f>IF(AND(ISNUMBER(G100),ISNUMBER(G218)),IF(OR(G218&lt;=0,G100&lt;0),"n.m.",G100/G218-1),"n.a.")</f>
        <v>0.10568927789934346</v>
      </c>
      <c r="H101" s="39">
        <f>IF(AND(ISNUMBER(H100),ISNUMBER(C100)),IF(OR(C100&lt;=0,H100&lt;0),"n.m.",H100/C100-1),"n.a.")</f>
        <v>0.09538383553080942</v>
      </c>
      <c r="I101" s="1"/>
      <c r="J101" s="1"/>
    </row>
    <row r="102">
      <c r="A102" s="1"/>
      <c r="B102" s="51" t="s">
        <v>60</v>
      </c>
      <c r="C102" s="22">
        <f>IF(AND(ISNUMBER(C100),ISNUMBER(G218)),IF(OR(G218&lt;=0,C100&lt;0),"n.m.",C100/G218-1),"n.a.")</f>
        <v>-0.010503282275711179</v>
      </c>
      <c r="D102" s="22">
        <f>IF(AND(ISNUMBER(D100),ISNUMBER(C100)),IF(OR(C100&lt;=0,D100&lt;0),"n.m.",D100/C100-1),"n.a.")</f>
        <v>-0.03302373581011353</v>
      </c>
      <c r="E102" s="1"/>
      <c r="F102" s="22">
        <f>IF(AND(ISNUMBER(F100),ISNUMBER(D100)),IF(OR(D100&lt;=0,F100&lt;0),"n.m.",F100/D100-1),"n.a.")</f>
        <v>0.16930934593688063</v>
      </c>
      <c r="G102" s="22">
        <f>IF(AND(ISNUMBER(G100),ISNUMBER(F100)),IF(OR(F100&lt;=0,G100&lt;0),"n.m.",G100/F100-1),"n.a.")</f>
        <v>-0.011734793663211396</v>
      </c>
      <c r="H102" s="39">
        <f>IF(AND(ISNUMBER(H100),ISNUMBER(G100)),IF(OR(G100&lt;=0,H100&lt;0),"n.m.",H100/G100-1),"n.a.")</f>
        <v>-0.019725766026059688</v>
      </c>
      <c r="I102" s="1"/>
      <c r="J102" s="1"/>
    </row>
    <row r="103">
      <c r="A103" s="1"/>
      <c r="B103" s="21" t="s">
        <v>709</v>
      </c>
      <c r="C103" s="3">
        <v>1420</v>
      </c>
      <c r="D103" s="3">
        <v>1475</v>
      </c>
      <c r="E103" s="3">
        <v>5461</v>
      </c>
      <c r="F103" s="3">
        <v>1447</v>
      </c>
      <c r="G103" s="3">
        <v>1482</v>
      </c>
      <c r="H103" s="29">
        <f>G103*(1+H105)</f>
        <v>1496.82</v>
      </c>
      <c r="I103" s="1"/>
      <c r="J103" s="2" t="s">
        <v>700</v>
      </c>
    </row>
    <row r="104">
      <c r="A104" s="1"/>
      <c r="B104" s="51" t="s">
        <v>58</v>
      </c>
      <c r="C104" s="22">
        <f>IF(AND(ISNUMBER(C103),ISNUMBER(C219)),IF(OR(C219&lt;=0,C103&lt;0),"n.m.",C103/C219-1),"n.a.")</f>
        <v>0.12877583465818754</v>
      </c>
      <c r="D104" s="22">
        <f>IF(AND(ISNUMBER(D103),ISNUMBER(D219)),IF(OR(D219&lt;=0,D103&lt;0),"n.m.",D103/D219-1),"n.a.")</f>
        <v>0.12681436210847985</v>
      </c>
      <c r="E104" s="22">
        <f>IF(AND(ISNUMBER(E103),ISNUMBER(E219)),IF(OR(E219&lt;=0,E103&lt;0),"n.m.",E103/E219-1),"n.a.")</f>
        <v>0.08654994031038599</v>
      </c>
      <c r="F104" s="22">
        <f>IF(AND(ISNUMBER(F103),ISNUMBER(F219)),IF(OR(F219&lt;=0,F103&lt;0),"n.m.",F103/F219-1),"n.a.")</f>
        <v>0.11136712749615985</v>
      </c>
      <c r="G104" s="22">
        <f>IF(AND(ISNUMBER(G103),ISNUMBER(G219)),IF(OR(G219&lt;=0,G103&lt;0),"n.m.",G103/G219-1),"n.a.")</f>
        <v>0.17246835443037978</v>
      </c>
      <c r="H104" s="39">
        <f>IF(AND(ISNUMBER(H103),ISNUMBER(C103)),IF(OR(C103&lt;=0,H103&lt;0),"n.m.",H103/C103-1),"n.a.")</f>
        <v>0.05409859154929575</v>
      </c>
      <c r="I104" s="1"/>
      <c r="J104" s="1"/>
    </row>
    <row r="105">
      <c r="A105" s="1"/>
      <c r="B105" s="51" t="s">
        <v>710</v>
      </c>
      <c r="C105" s="22">
        <f>IF(AND(ISNUMBER(C103),ISNUMBER(G219)),IF(OR(G219&lt;=0,C103&lt;0),"n.m.",C103/G219-1),"n.a.")</f>
        <v>0.12341772151898733</v>
      </c>
      <c r="D105" s="22">
        <f>IF(AND(ISNUMBER(D103),ISNUMBER(C103)),IF(OR(C103&lt;=0,D103&lt;0),"n.m.",D103/C103-1),"n.a.")</f>
        <v>0.03873239436619724</v>
      </c>
      <c r="E105" s="1"/>
      <c r="F105" s="22">
        <f>IF(AND(ISNUMBER(F103),ISNUMBER(D103)),IF(OR(D103&lt;=0,F103&lt;0),"n.m.",F103/D103-1),"n.a.")</f>
        <v>-0.01898305084745766</v>
      </c>
      <c r="G105" s="22">
        <f>IF(AND(ISNUMBER(G103),ISNUMBER(F103)),IF(OR(F103&lt;=0,G103&lt;0),"n.m.",G103/F103-1),"n.a.")</f>
        <v>0.024187975120939953</v>
      </c>
      <c r="H105" s="72">
        <v>0.01</v>
      </c>
      <c r="I105" s="1"/>
      <c r="J105" s="2" t="s">
        <v>711</v>
      </c>
    </row>
    <row r="106">
      <c r="A106" s="1"/>
      <c r="B106" s="21" t="s">
        <v>712</v>
      </c>
      <c r="C106" s="3">
        <v>2839</v>
      </c>
      <c r="D106" s="3">
        <v>2908</v>
      </c>
      <c r="E106" s="3">
        <v>11029</v>
      </c>
      <c r="F106" s="3">
        <v>3021</v>
      </c>
      <c r="G106" s="3">
        <v>3107</v>
      </c>
      <c r="H106" s="29">
        <f>G106*(1+H108)</f>
        <v>3169.14</v>
      </c>
      <c r="I106" s="1"/>
      <c r="J106" s="2" t="s">
        <v>700</v>
      </c>
    </row>
    <row r="107">
      <c r="A107" s="1"/>
      <c r="B107" s="51" t="s">
        <v>58</v>
      </c>
      <c r="C107" s="22">
        <f>IF(AND(ISNUMBER(C106),ISNUMBER(C220)),IF(OR(C220&lt;=0,C106&lt;0),"n.m.",C106/C220-1),"n.a.")</f>
        <v>0.16019615856150393</v>
      </c>
      <c r="D107" s="22">
        <f>IF(AND(ISNUMBER(D106),ISNUMBER(D220)),IF(OR(D220&lt;=0,D106&lt;0),"n.m.",D106/D220-1),"n.a.")</f>
        <v>0.15580286168521473</v>
      </c>
      <c r="E107" s="22">
        <f>IF(AND(ISNUMBER(E106),ISNUMBER(E220)),IF(OR(E220&lt;=0,E106&lt;0),"n.m.",E106/E220-1),"n.a.")</f>
        <v>0.12185942427016583</v>
      </c>
      <c r="F107" s="22">
        <f>IF(AND(ISNUMBER(F106),ISNUMBER(F220)),IF(OR(F220&lt;=0,F106&lt;0),"n.m.",F106/F220-1),"n.a.")</f>
        <v>0.17183863460046545</v>
      </c>
      <c r="G107" s="22">
        <f>IF(AND(ISNUMBER(G106),ISNUMBER(G220)),IF(OR(G220&lt;=0,G106&lt;0),"n.m.",G106/G220-1),"n.a.")</f>
        <v>0.14903846153846145</v>
      </c>
      <c r="H107" s="39">
        <f>IF(AND(ISNUMBER(H106),ISNUMBER(C106)),IF(OR(C106&lt;=0,H106&lt;0),"n.m.",H106/C106-1),"n.a.")</f>
        <v>0.11628742514970059</v>
      </c>
      <c r="I107" s="1"/>
      <c r="J107" s="1"/>
    </row>
    <row r="108" ht="26.25">
      <c r="A108" s="1"/>
      <c r="B108" s="119" t="s">
        <v>713</v>
      </c>
      <c r="C108" s="22">
        <f>IF(AND(ISNUMBER(C106),ISNUMBER(G220)),IF(OR(G220&lt;=0,C106&lt;0),"n.m.",C106/G220-1),"n.a.")</f>
        <v>0.04992603550295849</v>
      </c>
      <c r="D108" s="22">
        <f>IF(AND(ISNUMBER(D106),ISNUMBER(C106)),IF(OR(C106&lt;=0,D106&lt;0),"n.m.",D106/C106-1),"n.a.")</f>
        <v>0.02430433251144759</v>
      </c>
      <c r="E108" s="1"/>
      <c r="F108" s="22">
        <f>IF(AND(ISNUMBER(F106),ISNUMBER(D106)),IF(OR(D106&lt;=0,F106&lt;0),"n.m.",F106/D106-1),"n.a.")</f>
        <v>0.038858321870701484</v>
      </c>
      <c r="G108" s="22">
        <f>IF(AND(ISNUMBER(G106),ISNUMBER(F106)),IF(OR(F106&lt;=0,G106&lt;0),"n.m.",G106/F106-1),"n.a.")</f>
        <v>0.028467394902350174</v>
      </c>
      <c r="H108" s="72">
        <v>0.02</v>
      </c>
      <c r="I108" s="1"/>
      <c r="J108" s="2" t="s">
        <v>714</v>
      </c>
    </row>
    <row r="109">
      <c r="A109" s="1"/>
      <c r="B109" s="21" t="s">
        <v>715</v>
      </c>
      <c r="C109" s="3">
        <v>3173</v>
      </c>
      <c r="D109" s="3">
        <v>3338</v>
      </c>
      <c r="E109" s="3">
        <v>12356</v>
      </c>
      <c r="F109" s="3">
        <v>3483</v>
      </c>
      <c r="G109" s="3">
        <v>3855</v>
      </c>
      <c r="H109" s="29">
        <f>G109*(1+H111)</f>
        <v>3855</v>
      </c>
      <c r="I109" s="1"/>
      <c r="J109" s="2" t="s">
        <v>700</v>
      </c>
    </row>
    <row r="110">
      <c r="A110" s="1"/>
      <c r="B110" s="51" t="s">
        <v>58</v>
      </c>
      <c r="C110" s="22">
        <f>IF(AND(ISNUMBER(C109),ISNUMBER(C221)),IF(OR(C221&lt;=0,C109&lt;0),"n.m.",C109/C221-1),"n.a.")</f>
        <v>0.1413669064748202</v>
      </c>
      <c r="D110" s="22">
        <f>IF(AND(ISNUMBER(D109),ISNUMBER(D221)),IF(OR(D221&lt;=0,D109&lt;0),"n.m.",D109/D221-1),"n.a.")</f>
        <v>0.11007648819421356</v>
      </c>
      <c r="E110" s="22">
        <f>IF(AND(ISNUMBER(E109),ISNUMBER(E221)),IF(OR(E221&lt;=0,E109&lt;0),"n.m.",E109/E221-1),"n.a.")</f>
        <v>0.11748213801211893</v>
      </c>
      <c r="F110" s="22">
        <f>IF(AND(ISNUMBER(F109),ISNUMBER(F221)),IF(OR(F221&lt;=0,F109&lt;0),"n.m.",F109/F221-1),"n.a.")</f>
        <v>0.22684043677351173</v>
      </c>
      <c r="G110" s="22">
        <f>IF(AND(ISNUMBER(G109),ISNUMBER(G221)),IF(OR(G221&lt;=0,G109&lt;0),"n.m.",G109/G221-1),"n.a.")</f>
        <v>0.282435129740519</v>
      </c>
      <c r="H110" s="39">
        <f>IF(AND(ISNUMBER(H109),ISNUMBER(C109)),IF(OR(C109&lt;=0,H109&lt;0),"n.m.",H109/C109-1),"n.a.")</f>
        <v>0.21493854396470224</v>
      </c>
      <c r="I110" s="1"/>
      <c r="J110" s="1"/>
    </row>
    <row r="111" ht="26.25">
      <c r="A111" s="1"/>
      <c r="B111" s="119" t="s">
        <v>716</v>
      </c>
      <c r="C111" s="22">
        <f>IF(AND(ISNUMBER(C109),ISNUMBER(G221)),IF(OR(G221&lt;=0,C109&lt;0),"n.m.",C109/G221-1),"n.a.")</f>
        <v>0.05555555555555558</v>
      </c>
      <c r="D111" s="22">
        <f>IF(AND(ISNUMBER(D109),ISNUMBER(C109)),IF(OR(C109&lt;=0,D109&lt;0),"n.m.",D109/C109-1),"n.a.")</f>
        <v>0.05200126063662158</v>
      </c>
      <c r="E111" s="1"/>
      <c r="F111" s="22">
        <f>IF(AND(ISNUMBER(F109),ISNUMBER(D109)),IF(OR(D109&lt;=0,F109&lt;0),"n.m.",F109/D109-1),"n.a.")</f>
        <v>0.043439185140802916</v>
      </c>
      <c r="G111" s="22">
        <f>IF(AND(ISNUMBER(G109),ISNUMBER(F109)),IF(OR(F109&lt;=0,G109&lt;0),"n.m.",G109/F109-1),"n.a.")</f>
        <v>0.10680447889750222</v>
      </c>
      <c r="H111" s="72">
        <v>0</v>
      </c>
      <c r="I111" s="1"/>
      <c r="J111" s="2" t="s">
        <v>717</v>
      </c>
    </row>
    <row r="112">
      <c r="A112" s="1"/>
      <c r="B112" s="21" t="s">
        <v>718</v>
      </c>
      <c r="C112" s="3">
        <v>1480</v>
      </c>
      <c r="D112" s="3">
        <v>1468</v>
      </c>
      <c r="E112" s="3">
        <v>5531</v>
      </c>
      <c r="F112" s="3">
        <v>1604</v>
      </c>
      <c r="G112" s="3">
        <v>1670</v>
      </c>
      <c r="H112" s="29">
        <f>G112*(1+H114)</f>
        <v>1695.0499999999997</v>
      </c>
      <c r="I112" s="1"/>
      <c r="J112" s="2" t="s">
        <v>700</v>
      </c>
    </row>
    <row r="113">
      <c r="A113" s="1"/>
      <c r="B113" s="51" t="s">
        <v>58</v>
      </c>
      <c r="C113" s="22">
        <f>IF(AND(ISNUMBER(C112),ISNUMBER(C222)),IF(OR(C222&lt;=0,C112&lt;0),"n.m.",C112/C222-1),"n.a.")</f>
        <v>0.17647058823529416</v>
      </c>
      <c r="D113" s="22">
        <f>IF(AND(ISNUMBER(D112),ISNUMBER(D222)),IF(OR(D222&lt;=0,D112&lt;0),"n.m.",D112/D222-1),"n.a.")</f>
        <v>0.09962546816479412</v>
      </c>
      <c r="E113" s="22">
        <f>IF(AND(ISNUMBER(E112),ISNUMBER(E222)),IF(OR(E222&lt;=0,E112&lt;0),"n.m.",E112/E222-1),"n.a.")</f>
        <v>0.11198230800160847</v>
      </c>
      <c r="F113" s="22">
        <f>IF(AND(ISNUMBER(F112),ISNUMBER(F222)),IF(OR(F222&lt;=0,F112&lt;0),"n.m.",F112/F222-1),"n.a.")</f>
        <v>0.23006134969325154</v>
      </c>
      <c r="G113" s="22">
        <f>IF(AND(ISNUMBER(G112),ISNUMBER(G222)),IF(OR(G222&lt;=0,G112&lt;0),"n.m.",G112/G222-1),"n.a.")</f>
        <v>0.30570758405003917</v>
      </c>
      <c r="H113" s="39">
        <f>IF(AND(ISNUMBER(H112),ISNUMBER(C112)),IF(OR(C112&lt;=0,H112&lt;0),"n.m.",H112/C112-1),"n.a.")</f>
        <v>0.14530405405405378</v>
      </c>
      <c r="I113" s="1"/>
      <c r="J113" s="1"/>
    </row>
    <row r="114">
      <c r="A114" s="1"/>
      <c r="B114" s="51" t="s">
        <v>719</v>
      </c>
      <c r="C114" s="22">
        <f>IF(AND(ISNUMBER(C112),ISNUMBER(G222)),IF(OR(G222&lt;=0,C112&lt;0),"n.m.",C112/G222-1),"n.a.")</f>
        <v>0.15715402658326827</v>
      </c>
      <c r="D114" s="22">
        <f>IF(AND(ISNUMBER(D112),ISNUMBER(C112)),IF(OR(C112&lt;=0,D112&lt;0),"n.m.",D112/C112-1),"n.a.")</f>
        <v>-0.008108108108108136</v>
      </c>
      <c r="E114" s="1"/>
      <c r="F114" s="22">
        <f>IF(AND(ISNUMBER(F112),ISNUMBER(D112)),IF(OR(D112&lt;=0,F112&lt;0),"n.m.",F112/D112-1),"n.a.")</f>
        <v>0.0926430517711172</v>
      </c>
      <c r="G114" s="22">
        <f>IF(AND(ISNUMBER(G112),ISNUMBER(F112)),IF(OR(F112&lt;=0,G112&lt;0),"n.m.",G112/F112-1),"n.a.")</f>
        <v>0.041147132169575995</v>
      </c>
      <c r="H114" s="72">
        <v>0.015</v>
      </c>
      <c r="I114" s="1"/>
      <c r="J114" s="2" t="s">
        <v>720</v>
      </c>
    </row>
    <row r="115">
      <c r="A115" s="1"/>
      <c r="B115" s="21" t="s">
        <v>721</v>
      </c>
      <c r="C115" s="3">
        <v>1803</v>
      </c>
      <c r="D115" s="3">
        <v>1676</v>
      </c>
      <c r="E115" s="3">
        <v>6776</v>
      </c>
      <c r="F115" s="3">
        <v>1956</v>
      </c>
      <c r="G115" s="3">
        <v>2043</v>
      </c>
      <c r="H115" s="29">
        <f>G115*(1+H117)</f>
        <v>2043</v>
      </c>
      <c r="I115" s="1"/>
      <c r="J115" s="2" t="s">
        <v>700</v>
      </c>
    </row>
    <row r="116">
      <c r="A116" s="1"/>
      <c r="B116" s="51" t="s">
        <v>58</v>
      </c>
      <c r="C116" s="22">
        <f>IF(AND(ISNUMBER(C115),ISNUMBER(C223)),IF(OR(C223&lt;=0,C115&lt;0),"n.m.",C115/C223-1),"n.a.")</f>
        <v>-0.10074812967581048</v>
      </c>
      <c r="D116" s="22">
        <f>IF(AND(ISNUMBER(D115),ISNUMBER(D223)),IF(OR(D223&lt;=0,D115&lt;0),"n.m.",D115/D223-1),"n.a.")</f>
        <v>-0.2116650987770461</v>
      </c>
      <c r="E116" s="22">
        <f>IF(AND(ISNUMBER(E115),ISNUMBER(E223)),IF(OR(E223&lt;=0,E115&lt;0),"n.m.",E115/E223-1),"n.a.")</f>
        <v>-0.29061976549413737</v>
      </c>
      <c r="F116" s="22">
        <f>IF(AND(ISNUMBER(F115),ISNUMBER(F223)),IF(OR(F223&lt;=0,F115&lt;0),"n.m.",F115/F223-1),"n.a.")</f>
        <v>0.3207292370020256</v>
      </c>
      <c r="G116" s="22">
        <f>IF(AND(ISNUMBER(G115),ISNUMBER(G223)),IF(OR(G223&lt;=0,G115&lt;0),"n.m.",G115/G223-1),"n.a.")</f>
        <v>0.125</v>
      </c>
      <c r="H116" s="39">
        <f>IF(AND(ISNUMBER(H115),ISNUMBER(C115)),IF(OR(C115&lt;=0,H115&lt;0),"n.m.",H115/C115-1),"n.a.")</f>
        <v>0.13311148086522473</v>
      </c>
      <c r="I116" s="1"/>
      <c r="J116" s="1"/>
    </row>
    <row r="117" ht="26.25">
      <c r="A117" s="1"/>
      <c r="B117" s="119" t="s">
        <v>722</v>
      </c>
      <c r="C117" s="22">
        <f>IF(AND(ISNUMBER(C115),ISNUMBER(G223)),IF(OR(G223&lt;=0,C115&lt;0),"n.m.",C115/G223-1),"n.a.")</f>
        <v>-0.007158590308370072</v>
      </c>
      <c r="D117" s="22">
        <f>IF(AND(ISNUMBER(D115),ISNUMBER(C115)),IF(OR(C115&lt;=0,D115&lt;0),"n.m.",D115/C115-1),"n.a.")</f>
        <v>-0.07043815862451475</v>
      </c>
      <c r="E117" s="1"/>
      <c r="F117" s="22">
        <f>IF(AND(ISNUMBER(F115),ISNUMBER(D115)),IF(OR(D115&lt;=0,F115&lt;0),"n.m.",F115/D115-1),"n.a.")</f>
        <v>0.16706443914081137</v>
      </c>
      <c r="G117" s="22">
        <f>IF(AND(ISNUMBER(G115),ISNUMBER(F115)),IF(OR(F115&lt;=0,G115&lt;0),"n.m.",G115/F115-1),"n.a.")</f>
        <v>0.04447852760736204</v>
      </c>
      <c r="H117" s="72">
        <v>0</v>
      </c>
      <c r="I117" s="1"/>
      <c r="J117" s="2" t="s">
        <v>723</v>
      </c>
    </row>
    <row r="118">
      <c r="A118" s="1"/>
      <c r="B118" s="31" t="s">
        <v>724</v>
      </c>
      <c r="C118" s="43">
        <f>C100+C103+C106+C109+C112+C115</f>
        <v>24281</v>
      </c>
      <c r="D118" s="43">
        <f>D100+D103+D106+D109+D112+D115</f>
        <v>23983</v>
      </c>
      <c r="E118" s="43">
        <f>E100+E103+E106+E109+E112+E115</f>
        <v>95640</v>
      </c>
      <c r="F118" s="43">
        <f>F100+F103+F106+F109+F112+F115</f>
        <v>26850</v>
      </c>
      <c r="G118" s="43">
        <f>G100+G103+G106+G109+G112+G115</f>
        <v>27316</v>
      </c>
      <c r="H118" s="52">
        <f>'Segment - CCB'!H276+'Segment - CIB'!H279+'Segment - AWM'!H181+'Segment - Corporate'!H89</f>
        <v>27118.98711281096</v>
      </c>
      <c r="I118" s="1"/>
      <c r="J118" s="2" t="s">
        <v>725</v>
      </c>
    </row>
    <row r="119">
      <c r="A119" s="1"/>
      <c r="B119" s="36" t="s">
        <v>58</v>
      </c>
      <c r="C119" s="22">
        <f>IF(AND(ISNUMBER(C118),ISNUMBER(C224)),IF(OR(C224&lt;=0,C118&lt;0),"n.m.",C118/C224-1),"n.a.")</f>
        <v>0.07604697540438732</v>
      </c>
      <c r="D119" s="22">
        <f>IF(AND(ISNUMBER(D118),ISNUMBER(D224)),IF(OR(D224&lt;=0,D118&lt;0),"n.m.",D118/D224-1),"n.a.")</f>
        <v>0.05364203497056508</v>
      </c>
      <c r="E119" s="22">
        <f>IF(AND(ISNUMBER(E118),ISNUMBER(E224)),IF(OR(E224&lt;=0,E118&lt;0),"n.m.",E118/E224-1),"n.a.")</f>
        <v>0.041864113206314</v>
      </c>
      <c r="F119" s="22">
        <f>IF(AND(ISNUMBER(F118),ISNUMBER(F224)),IF(OR(F224&lt;=0,F118&lt;0),"n.m.",F118/F224-1),"n.a.")</f>
        <v>0.1378565071831166</v>
      </c>
      <c r="G119" s="22">
        <f>IF(AND(ISNUMBER(G118),ISNUMBER(G224)),IF(OR(G224&lt;=0,G118&lt;0),"n.m.",G118/G224-1),"n.a.")</f>
        <v>0.14874469069346907</v>
      </c>
      <c r="H119" s="39">
        <f>IF(AND(ISNUMBER(H118),ISNUMBER(C118)),IF(OR(C118&lt;=0,H118&lt;0),"n.m.",H118/C118-1),"n.a.")</f>
        <v>0.11688098154157411</v>
      </c>
      <c r="I119" s="1"/>
      <c r="J119" s="1"/>
    </row>
    <row r="120">
      <c r="A120" s="1"/>
      <c r="B120" s="36" t="s">
        <v>60</v>
      </c>
      <c r="C120" s="22">
        <f>IF(AND(ISNUMBER(C118),ISNUMBER(G224)),IF(OR(G224&lt;=0,C118&lt;0),"n.m.",C118/G224-1),"n.a.")</f>
        <v>0.021111064384540912</v>
      </c>
      <c r="D120" s="22">
        <f>IF(AND(ISNUMBER(D118),ISNUMBER(C118)),IF(OR(C118&lt;=0,D118&lt;0),"n.m.",D118/C118-1),"n.a.")</f>
        <v>-0.012272970635476277</v>
      </c>
      <c r="E120" s="1"/>
      <c r="F120" s="22">
        <f>IF(AND(ISNUMBER(F118),ISNUMBER(D118)),IF(OR(D118&lt;=0,F118&lt;0),"n.m.",F118/D118-1),"n.a.")</f>
        <v>0.11954300963182263</v>
      </c>
      <c r="G120" s="22">
        <f>IF(AND(ISNUMBER(G118),ISNUMBER(F118)),IF(OR(F118&lt;=0,G118&lt;0),"n.m.",G118/F118-1),"n.a.")</f>
        <v>0.017355679702048432</v>
      </c>
      <c r="H120" s="39">
        <f>IF(AND(ISNUMBER(H118),ISNUMBER(G118)),IF(OR(G118&lt;=0,H118&lt;0),"n.m.",H118/G118-1),"n.a.")</f>
        <v>-0.00721236224883004</v>
      </c>
      <c r="I120" s="1"/>
      <c r="J120" s="1"/>
    </row>
    <row r="121">
      <c r="A121" s="1"/>
      <c r="B121" s="21" t="s">
        <v>726</v>
      </c>
      <c r="C121" s="3">
        <v>62</v>
      </c>
      <c r="D121" s="3">
        <v>60</v>
      </c>
      <c r="E121" s="3">
        <v>361</v>
      </c>
      <c r="F121" s="3">
        <v>223</v>
      </c>
      <c r="G121" s="3">
        <v>116</v>
      </c>
      <c r="H121" s="44">
        <v>100</v>
      </c>
      <c r="I121" s="1"/>
      <c r="J121" s="2" t="s">
        <v>727</v>
      </c>
    </row>
    <row r="122">
      <c r="A122" s="1"/>
      <c r="B122" s="21" t="s">
        <v>728</v>
      </c>
      <c r="C122" s="10">
        <f>C118-C121</f>
        <v>24219</v>
      </c>
      <c r="D122" s="10">
        <f>D118-D121</f>
        <v>23923</v>
      </c>
      <c r="E122" s="10">
        <f>E118-E121</f>
        <v>95279</v>
      </c>
      <c r="F122" s="10">
        <f>F118-F121</f>
        <v>26627</v>
      </c>
      <c r="G122" s="10">
        <f>G118-G121</f>
        <v>27200</v>
      </c>
      <c r="H122" s="29">
        <f>H118-H121</f>
        <v>27018.98711281096</v>
      </c>
      <c r="I122" s="1"/>
      <c r="J122" s="2" t="s">
        <v>729</v>
      </c>
    </row>
    <row r="123">
      <c r="A123" s="1"/>
      <c r="B123" s="1"/>
      <c r="C123" s="1"/>
      <c r="D123" s="1"/>
      <c r="E123" s="1"/>
      <c r="F123" s="1"/>
      <c r="G123" s="1"/>
      <c r="H123" s="30"/>
      <c r="I123" s="1"/>
      <c r="J123" s="1"/>
    </row>
    <row r="124">
      <c r="A124" s="1"/>
      <c r="B124" s="31" t="s">
        <v>730</v>
      </c>
      <c r="C124" s="1"/>
      <c r="D124" s="1"/>
      <c r="E124" s="1"/>
      <c r="F124" s="1"/>
      <c r="G124" s="1"/>
      <c r="H124" s="30"/>
      <c r="I124" s="1"/>
      <c r="J124" s="1"/>
    </row>
    <row r="125">
      <c r="A125" s="1"/>
      <c r="B125" s="31" t="s">
        <v>320</v>
      </c>
      <c r="C125" s="43">
        <f>C89-C95-C118</f>
        <v>18743</v>
      </c>
      <c r="D125" s="43">
        <f>D89-D95-D118</f>
        <v>17160</v>
      </c>
      <c r="E125" s="43">
        <f>E89-E95-E118</f>
        <v>72595</v>
      </c>
      <c r="F125" s="43">
        <f>F89-F95-F118</f>
        <v>20479</v>
      </c>
      <c r="G125" s="43">
        <f>G89-G95-G118</f>
        <v>27516</v>
      </c>
      <c r="H125" s="45">
        <f>H89-H95-H118</f>
        <v>21065.21073290958</v>
      </c>
      <c r="I125" s="1"/>
      <c r="J125" s="1"/>
    </row>
    <row r="126">
      <c r="A126" s="1"/>
      <c r="B126" s="36" t="s">
        <v>58</v>
      </c>
      <c r="C126" s="22">
        <f>IF(AND(ISNUMBER(C125),ISNUMBER(C225)),IF(OR(C225&lt;=0,C125&lt;0),"n.m.",C125/C225-1),"n.a.")</f>
        <v>0.10395806337613389</v>
      </c>
      <c r="D126" s="22">
        <f>IF(AND(ISNUMBER(D125),ISNUMBER(D225)),IF(OR(D225&lt;=0,D125&lt;0),"n.m.",D125/D225-1),"n.a.")</f>
        <v>-0.012374100719424463</v>
      </c>
      <c r="E126" s="22">
        <f>IF(AND(ISNUMBER(E125),ISNUMBER(E225)),IF(OR(E225&lt;=0,E125&lt;0),"n.m.",E125/E225-1),"n.a.")</f>
        <v>-0.03311090688722851</v>
      </c>
      <c r="F126" s="22">
        <f>IF(AND(ISNUMBER(F125),ISNUMBER(F225)),IF(OR(F225&lt;=0,F125&lt;0),"n.m.",F125/F225-1),"n.a.")</f>
        <v>0.11250543242068667</v>
      </c>
      <c r="G126" s="22">
        <f>IF(AND(ISNUMBER(G125),ISNUMBER(G225)),IF(OR(G225&lt;=0,G125&lt;0),"n.m.",G125/G225-1),"n.a.")</f>
        <v>0.504922336469044</v>
      </c>
      <c r="H126" s="39">
        <f>IF(AND(ISNUMBER(H125),ISNUMBER(C125)),IF(OR(C125&lt;=0,H125&lt;0),"n.m.",H125/C125-1),"n.a.")</f>
        <v>0.12389749415299489</v>
      </c>
      <c r="I126" s="1"/>
      <c r="J126" s="1"/>
    </row>
    <row r="127">
      <c r="A127" s="1"/>
      <c r="B127" s="36" t="s">
        <v>60</v>
      </c>
      <c r="C127" s="22">
        <f>IF(AND(ISNUMBER(C125),ISNUMBER(G225)),IF(OR(G225&lt;=0,C125&lt;0),"n.m.",C125/G225-1),"n.a.")</f>
        <v>0.02510391599212425</v>
      </c>
      <c r="D127" s="22">
        <f>IF(AND(ISNUMBER(D125),ISNUMBER(C125)),IF(OR(C125&lt;=0,D125&lt;0),"n.m.",D125/C125-1),"n.a.")</f>
        <v>-0.08445819772715146</v>
      </c>
      <c r="E127" s="1"/>
      <c r="F127" s="22">
        <f>IF(AND(ISNUMBER(F125),ISNUMBER(D125)),IF(OR(D125&lt;=0,F125&lt;0),"n.m.",F125/D125-1),"n.a.")</f>
        <v>0.1934149184149183</v>
      </c>
      <c r="G127" s="22">
        <f>IF(AND(ISNUMBER(G125),ISNUMBER(F125)),IF(OR(F125&lt;=0,G125&lt;0),"n.m.",G125/F125-1),"n.a.")</f>
        <v>0.343620293959666</v>
      </c>
      <c r="H127" s="39">
        <f>IF(AND(ISNUMBER(H125),ISNUMBER(G125)),IF(OR(G125&lt;=0,H125&lt;0),"n.m.",H125/G125-1),"n.a.")</f>
        <v>-0.2344377550185499</v>
      </c>
      <c r="I127" s="1"/>
      <c r="J127" s="1"/>
    </row>
    <row r="128">
      <c r="A128" s="1"/>
      <c r="B128" s="1" t="s">
        <v>321</v>
      </c>
      <c r="C128" s="3">
        <v>4350</v>
      </c>
      <c r="D128" s="3">
        <v>4135</v>
      </c>
      <c r="E128" s="3">
        <v>15547</v>
      </c>
      <c r="F128" s="3">
        <v>3985</v>
      </c>
      <c r="G128" s="3">
        <v>6361</v>
      </c>
      <c r="H128" s="29">
        <f>H125*H131</f>
        <v>4844.998468569204</v>
      </c>
      <c r="I128" s="1"/>
      <c r="J128" s="2" t="s">
        <v>695</v>
      </c>
    </row>
    <row r="129">
      <c r="A129" s="1"/>
      <c r="B129" s="36" t="s">
        <v>58</v>
      </c>
      <c r="C129" s="22">
        <f>IF(AND(ISNUMBER(C128),ISNUMBER(C226)),IF(OR(C226&lt;=0,C128&lt;0),"n.m.",C128/C226-1),"n.a.")</f>
        <v>0.06617647058823528</v>
      </c>
      <c r="D129" s="22">
        <f>IF(AND(ISNUMBER(D128),ISNUMBER(D226)),IF(OR(D226&lt;=0,D128&lt;0),"n.m.",D128/D226-1),"n.a.")</f>
        <v>0.22700296735905034</v>
      </c>
      <c r="E129" s="22">
        <f>IF(AND(ISNUMBER(E128),ISNUMBER(E226)),IF(OR(E226&lt;=0,E128&lt;0),"n.m.",E128/E226-1),"n.a.")</f>
        <v>-0.06399759181216136</v>
      </c>
      <c r="F129" s="22">
        <f>IF(AND(ISNUMBER(F128),ISNUMBER(F226)),IF(OR(F226&lt;=0,F128&lt;0),"n.m.",F128/F226-1),"n.a.")</f>
        <v>0.05843293492695878</v>
      </c>
      <c r="G129" s="22">
        <f>IF(AND(ISNUMBER(G128),ISNUMBER(G226)),IF(OR(G226&lt;=0,G128&lt;0),"n.m.",G128/G226-1),"n.a.")</f>
        <v>0.9293296936609039</v>
      </c>
      <c r="H129" s="39">
        <f>IF(AND(ISNUMBER(H128),ISNUMBER(C128)),IF(OR(C128&lt;=0,H128&lt;0),"n.m.",H128/C128-1),"n.a.")</f>
        <v>0.11379275139521927</v>
      </c>
      <c r="I129" s="1"/>
      <c r="J129" s="1"/>
    </row>
    <row r="130">
      <c r="A130" s="1"/>
      <c r="B130" s="21" t="s">
        <v>114</v>
      </c>
      <c r="C130" s="10">
        <f>C128-G226</f>
        <v>1053</v>
      </c>
      <c r="D130" s="10">
        <f>D128-C128</f>
        <v>-215</v>
      </c>
      <c r="E130" s="1"/>
      <c r="F130" s="10">
        <f>F128-D128</f>
        <v>-150</v>
      </c>
      <c r="G130" s="10">
        <f>G128-F128</f>
        <v>2376</v>
      </c>
      <c r="H130" s="29">
        <f>H128-G128</f>
        <v>-1516.0015314307957</v>
      </c>
      <c r="I130" s="1"/>
      <c r="J130" s="1"/>
    </row>
    <row r="131">
      <c r="A131" s="1"/>
      <c r="B131" s="36" t="s">
        <v>322</v>
      </c>
      <c r="C131" s="22">
        <f>C128/C125</f>
        <v>0.23208664568105425</v>
      </c>
      <c r="D131" s="22">
        <f>D128/D125</f>
        <v>0.24096736596736595</v>
      </c>
      <c r="E131" s="22">
        <f>E128/E125</f>
        <v>0.21416075487292513</v>
      </c>
      <c r="F131" s="22">
        <f>F128/F125</f>
        <v>0.1945895795693149</v>
      </c>
      <c r="G131" s="22">
        <f>G128/G125</f>
        <v>0.23117458932984444</v>
      </c>
      <c r="H131" s="72">
        <v>0.23</v>
      </c>
      <c r="I131" s="1"/>
      <c r="J131" s="2" t="s">
        <v>731</v>
      </c>
    </row>
    <row r="132">
      <c r="A132" s="1"/>
      <c r="B132" s="20" t="s">
        <v>153</v>
      </c>
      <c r="C132" s="25">
        <f>(C131-C227)*10000</f>
        <v>-82.2434501278485</v>
      </c>
      <c r="D132" s="25">
        <f>(D131-D227)*10000</f>
        <v>470.10531434991844</v>
      </c>
      <c r="E132" s="25">
        <f>(E131-E227)*10000</f>
        <v>-70.66985833778294</v>
      </c>
      <c r="F132" s="25">
        <f>(F131-F227)*10000</f>
        <v>-99.41059283357839</v>
      </c>
      <c r="G132" s="25">
        <f>(G131-G227)*10000</f>
        <v>508.52996680533556</v>
      </c>
      <c r="H132" s="58">
        <f>(H131-C131)*10000</f>
        <v>-20.866456810542388</v>
      </c>
      <c r="I132" s="1"/>
      <c r="J132" s="1"/>
    </row>
    <row r="133">
      <c r="A133" s="1"/>
      <c r="B133" s="20" t="s">
        <v>154</v>
      </c>
      <c r="C133" s="25">
        <f>(C131-G227)*10000</f>
        <v>517.6505303174337</v>
      </c>
      <c r="D133" s="25">
        <f>(D131-C131)*10000</f>
        <v>88.80720286311706</v>
      </c>
      <c r="E133" s="1"/>
      <c r="F133" s="25">
        <f>(F131-D131)*10000</f>
        <v>-463.7778639805104</v>
      </c>
      <c r="G133" s="25">
        <f>(G131-F131)*10000</f>
        <v>365.8500976052953</v>
      </c>
      <c r="H133" s="58">
        <f>(H131-G131)*10000</f>
        <v>-11.745893298444333</v>
      </c>
      <c r="I133" s="1"/>
      <c r="J133" s="1"/>
    </row>
    <row r="134">
      <c r="A134" s="1"/>
      <c r="B134" s="31" t="s">
        <v>732</v>
      </c>
      <c r="C134" s="43">
        <f>C125-C128</f>
        <v>14393</v>
      </c>
      <c r="D134" s="43">
        <f>D125-D128</f>
        <v>13025</v>
      </c>
      <c r="E134" s="43">
        <f>E125-E128</f>
        <v>57048</v>
      </c>
      <c r="F134" s="43">
        <f>F125-F128</f>
        <v>16494</v>
      </c>
      <c r="G134" s="43">
        <f>G125-G128</f>
        <v>21155</v>
      </c>
      <c r="H134" s="45">
        <f>H125-H128</f>
        <v>16220.212264340378</v>
      </c>
      <c r="I134" s="1"/>
      <c r="J134" s="1"/>
    </row>
    <row r="135">
      <c r="A135" s="1"/>
      <c r="B135" s="36" t="s">
        <v>58</v>
      </c>
      <c r="C135" s="22">
        <f>IF(AND(ISNUMBER(C134),ISNUMBER(C228)),IF(OR(C228&lt;=0,C134&lt;0),"n.m.",C134/C228-1),"n.a.")</f>
        <v>0.11590944332454645</v>
      </c>
      <c r="D135" s="22">
        <f>IF(AND(ISNUMBER(D134),ISNUMBER(D228)),IF(OR(D228&lt;=0,D134&lt;0),"n.m.",D134/D228-1),"n.a.")</f>
        <v>-0.06997500892538377</v>
      </c>
      <c r="E135" s="22">
        <f>IF(AND(ISNUMBER(E134),ISNUMBER(E228)),IF(OR(E228&lt;=0,E134&lt;0),"n.m.",E134/E228-1),"n.a.")</f>
        <v>-0.02433685074652392</v>
      </c>
      <c r="F135" s="22">
        <f>IF(AND(ISNUMBER(F134),ISNUMBER(F228)),IF(OR(F228&lt;=0,F134&lt;0),"n.m.",F134/F228-1),"n.a.")</f>
        <v>0.12640852284367954</v>
      </c>
      <c r="G135" s="22">
        <f>IF(AND(ISNUMBER(G134),ISNUMBER(G228)),IF(OR(G228&lt;=0,G134&lt;0),"n.m.",G134/G228-1),"n.a.")</f>
        <v>0.4115566824581305</v>
      </c>
      <c r="H135" s="39">
        <f>IF(AND(ISNUMBER(H134),ISNUMBER(C134)),IF(OR(C134&lt;=0,H134&lt;0),"n.m.",H134/C134-1),"n.a.")</f>
        <v>0.12695145309111222</v>
      </c>
      <c r="I135" s="1"/>
      <c r="J135" s="1"/>
    </row>
    <row r="136">
      <c r="A136" s="1"/>
      <c r="B136" s="36" t="s">
        <v>60</v>
      </c>
      <c r="C136" s="22">
        <f>IF(AND(ISNUMBER(C134),ISNUMBER(G228)),IF(OR(G228&lt;=0,C134&lt;0),"n.m.",C134/G228-1),"n.a.")</f>
        <v>-0.039634349769800514</v>
      </c>
      <c r="D136" s="22">
        <f>IF(AND(ISNUMBER(D134),ISNUMBER(C134)),IF(OR(C134&lt;=0,D134&lt;0),"n.m.",D134/C134-1),"n.a.")</f>
        <v>-0.09504620301535471</v>
      </c>
      <c r="E136" s="1"/>
      <c r="F136" s="22">
        <f>IF(AND(ISNUMBER(F134),ISNUMBER(D134)),IF(OR(D134&lt;=0,F134&lt;0),"n.m.",F134/D134-1),"n.a.")</f>
        <v>0.26633397312859874</v>
      </c>
      <c r="G136" s="22">
        <f>IF(AND(ISNUMBER(G134),ISNUMBER(F134)),IF(OR(F134&lt;=0,G134&lt;0),"n.m.",G134/F134-1),"n.a.")</f>
        <v>0.2825876076148903</v>
      </c>
      <c r="H136" s="39">
        <f>IF(AND(ISNUMBER(H134),ISNUMBER(G134)),IF(OR(G134&lt;=0,H134&lt;0),"n.m.",H134/G134-1),"n.a.")</f>
        <v>-0.2332681510593062</v>
      </c>
      <c r="I136" s="1"/>
      <c r="J136" s="1"/>
    </row>
    <row r="137">
      <c r="A137" s="1"/>
      <c r="B137" s="21" t="s">
        <v>733</v>
      </c>
      <c r="C137" s="3">
        <v>282</v>
      </c>
      <c r="D137" s="3">
        <v>280</v>
      </c>
      <c r="E137" s="3">
        <v>1099</v>
      </c>
      <c r="F137" s="3">
        <v>276</v>
      </c>
      <c r="G137" s="3">
        <v>308</v>
      </c>
      <c r="H137" s="44">
        <v>300</v>
      </c>
      <c r="I137" s="1"/>
      <c r="J137" s="2" t="s">
        <v>734</v>
      </c>
    </row>
    <row r="138">
      <c r="A138" s="1"/>
      <c r="B138" s="20" t="s">
        <v>131</v>
      </c>
      <c r="C138" s="10">
        <f>C137-C229</f>
        <v>-4</v>
      </c>
      <c r="D138" s="10">
        <f>D137-D229</f>
        <v>21</v>
      </c>
      <c r="E138" s="10">
        <f>E137-E229</f>
        <v>-160</v>
      </c>
      <c r="F138" s="10">
        <f>F137-F229</f>
        <v>21</v>
      </c>
      <c r="G138" s="10">
        <f>G137-G229</f>
        <v>26</v>
      </c>
      <c r="H138" s="29">
        <f>H137-C137</f>
        <v>18</v>
      </c>
      <c r="I138" s="1"/>
      <c r="J138" s="1"/>
    </row>
    <row r="139">
      <c r="A139" s="1"/>
      <c r="B139" s="20" t="s">
        <v>114</v>
      </c>
      <c r="C139" s="10">
        <f>C137-G229</f>
        <v>0</v>
      </c>
      <c r="D139" s="10">
        <f>D137-C137</f>
        <v>-2</v>
      </c>
      <c r="E139" s="1"/>
      <c r="F139" s="10">
        <f>F137-D137</f>
        <v>-4</v>
      </c>
      <c r="G139" s="10">
        <f>G137-F137</f>
        <v>32</v>
      </c>
      <c r="H139" s="29">
        <f>H137-G137</f>
        <v>-8</v>
      </c>
      <c r="I139" s="1"/>
      <c r="J139" s="1"/>
    </row>
    <row r="140">
      <c r="A140" s="1"/>
      <c r="B140" s="31" t="s">
        <v>735</v>
      </c>
      <c r="C140" s="43">
        <f>C134-C137</f>
        <v>14111</v>
      </c>
      <c r="D140" s="43">
        <f>D134-D137</f>
        <v>12745</v>
      </c>
      <c r="E140" s="43">
        <f>E134-E137</f>
        <v>55949</v>
      </c>
      <c r="F140" s="43">
        <f>F134-F137</f>
        <v>16218</v>
      </c>
      <c r="G140" s="43">
        <f>G134-G137</f>
        <v>20847</v>
      </c>
      <c r="H140" s="45">
        <f>H134-H137</f>
        <v>15920.212264340378</v>
      </c>
      <c r="I140" s="1"/>
      <c r="J140" s="1"/>
    </row>
    <row r="141" ht="39">
      <c r="A141" s="1"/>
      <c r="B141" s="21" t="s">
        <v>736</v>
      </c>
      <c r="C141" s="3">
        <v>68</v>
      </c>
      <c r="D141" s="3">
        <v>56</v>
      </c>
      <c r="E141" s="3">
        <v>268</v>
      </c>
      <c r="F141" s="3">
        <v>70</v>
      </c>
      <c r="G141" s="3">
        <v>95</v>
      </c>
      <c r="H141" s="29">
        <f>H140*H144</f>
        <v>71.98331148052789</v>
      </c>
      <c r="I141" s="1"/>
      <c r="J141" s="125" t="s">
        <v>737</v>
      </c>
    </row>
    <row r="142">
      <c r="A142" s="1"/>
      <c r="B142" s="20" t="s">
        <v>131</v>
      </c>
      <c r="C142" s="10">
        <f>C141-C231</f>
        <v>-7</v>
      </c>
      <c r="D142" s="10">
        <f>D141-D231</f>
        <v>-21</v>
      </c>
      <c r="E142" s="10">
        <f>E141-E231</f>
        <v>-76</v>
      </c>
      <c r="F142" s="10">
        <f>F141-F231</f>
        <v>-1</v>
      </c>
      <c r="G142" s="10">
        <f>G141-G231</f>
        <v>20</v>
      </c>
      <c r="H142" s="29">
        <f>H141-C141</f>
        <v>3.983311480527888</v>
      </c>
      <c r="I142" s="1"/>
      <c r="J142" s="1"/>
    </row>
    <row r="143">
      <c r="A143" s="1"/>
      <c r="B143" s="20" t="s">
        <v>114</v>
      </c>
      <c r="C143" s="10">
        <f>C141-G231</f>
        <v>-7</v>
      </c>
      <c r="D143" s="10">
        <f>D141-C141</f>
        <v>-12</v>
      </c>
      <c r="E143" s="1"/>
      <c r="F143" s="10">
        <f>F141-D141</f>
        <v>14</v>
      </c>
      <c r="G143" s="10">
        <f>G141-F141</f>
        <v>25</v>
      </c>
      <c r="H143" s="29">
        <f>H141-G141</f>
        <v>-23.016688519472112</v>
      </c>
      <c r="I143" s="1"/>
      <c r="J143" s="1"/>
    </row>
    <row r="144">
      <c r="A144" s="1"/>
      <c r="B144" s="51" t="s">
        <v>738</v>
      </c>
      <c r="C144" s="22">
        <f>C141/C140</f>
        <v>0.004818935582169938</v>
      </c>
      <c r="D144" s="22">
        <f>D141/D140</f>
        <v>0.0043938799529227145</v>
      </c>
      <c r="E144" s="22">
        <f>E141/E140</f>
        <v>0.004790076676973672</v>
      </c>
      <c r="F144" s="22">
        <f>F141/F140</f>
        <v>0.004316191885559255</v>
      </c>
      <c r="G144" s="22">
        <f>G141/G140</f>
        <v>0.004557010601045714</v>
      </c>
      <c r="H144" s="39">
        <f>AVERAGE(C144,D144,F144,G144)</f>
        <v>0.004521504505424405</v>
      </c>
      <c r="I144" s="1"/>
      <c r="J144" s="2" t="s">
        <v>739</v>
      </c>
    </row>
    <row r="145">
      <c r="A145" s="1"/>
      <c r="B145" s="78" t="s">
        <v>153</v>
      </c>
      <c r="C145" s="25">
        <f>(C144-C232)*10000</f>
        <v>-11.277818298186439</v>
      </c>
      <c r="D145" s="25">
        <f>(D144-D232)*10000</f>
        <v>-12.077496120416388</v>
      </c>
      <c r="E145" s="25">
        <f>(E144-E232)*10000</f>
        <v>-12.22647926256419</v>
      </c>
      <c r="F145" s="25">
        <f>(F144-F232)*10000</f>
        <v>-6.184758931452213</v>
      </c>
      <c r="G145" s="25">
        <f>(G144-G232)*10000</f>
        <v>-5.432954173153871</v>
      </c>
      <c r="H145" s="58">
        <f>(H144-C144)*10000</f>
        <v>-2.974310767455326</v>
      </c>
      <c r="I145" s="1"/>
      <c r="J145" s="1"/>
    </row>
    <row r="146">
      <c r="A146" s="1"/>
      <c r="B146" s="78" t="s">
        <v>154</v>
      </c>
      <c r="C146" s="25">
        <f>(C144-G232)*10000</f>
        <v>-2.8137043619116344</v>
      </c>
      <c r="D146" s="25">
        <f>(D144-C144)*10000</f>
        <v>-4.250556292472234</v>
      </c>
      <c r="E146" s="1"/>
      <c r="F146" s="25">
        <f>(F144-D144)*10000</f>
        <v>-0.7768806736345967</v>
      </c>
      <c r="G146" s="25">
        <f>(G144-F144)*10000</f>
        <v>2.4081871548645943</v>
      </c>
      <c r="H146" s="58">
        <f>(H144-G144)*10000</f>
        <v>-0.35506095621308864</v>
      </c>
      <c r="I146" s="1"/>
      <c r="J146" s="1"/>
    </row>
    <row r="147">
      <c r="A147" s="1"/>
      <c r="B147" s="31" t="s">
        <v>740</v>
      </c>
      <c r="C147" s="43">
        <f>C140-C141</f>
        <v>14043</v>
      </c>
      <c r="D147" s="43">
        <f>D140-D141</f>
        <v>12689</v>
      </c>
      <c r="E147" s="43">
        <f>E140-E141</f>
        <v>55681</v>
      </c>
      <c r="F147" s="43">
        <f>F140-F141</f>
        <v>16148</v>
      </c>
      <c r="G147" s="43">
        <f>G140-G141</f>
        <v>20752</v>
      </c>
      <c r="H147" s="45">
        <f>H140-H141</f>
        <v>15848.22895285985</v>
      </c>
      <c r="I147" s="1"/>
      <c r="J147" s="1"/>
    </row>
    <row r="148">
      <c r="A148" s="1"/>
      <c r="B148" s="36" t="s">
        <v>58</v>
      </c>
      <c r="C148" s="22">
        <f>IF(AND(ISNUMBER(C147),ISNUMBER(C233)),IF(OR(C233&lt;=0,C147&lt;0),"n.m.",C147/C233-1),"n.a.")</f>
        <v>0.12012443168222053</v>
      </c>
      <c r="D148" s="22">
        <f>IF(AND(ISNUMBER(D147),ISNUMBER(D233)),IF(OR(D233&lt;=0,D147&lt;0),"n.m.",D147/D233-1),"n.a.")</f>
        <v>-0.0716950764503621</v>
      </c>
      <c r="E148" s="22">
        <f>IF(AND(ISNUMBER(E147),ISNUMBER(E233)),IF(OR(E233&lt;=0,E147&lt;0),"n.m.",E147/E233-1),"n.a.")</f>
        <v>-0.020872898642470328</v>
      </c>
      <c r="F148" s="22">
        <f>IF(AND(ISNUMBER(F147),ISNUMBER(F233)),IF(OR(F233&lt;=0,F147&lt;0),"n.m.",F147/F233-1),"n.a.")</f>
        <v>0.12788992107285035</v>
      </c>
      <c r="G148" s="22">
        <f>IF(AND(ISNUMBER(G147),ISNUMBER(G233)),IF(OR(G233&lt;=0,G147&lt;0),"n.m.",G147/G233-1),"n.a.")</f>
        <v>0.41845522898154486</v>
      </c>
      <c r="H148" s="39">
        <f>IF(AND(ISNUMBER(H147),ISNUMBER(C147)),IF(OR(C147&lt;=0,H147&lt;0),"n.m.",H147/C147-1),"n.a.")</f>
        <v>0.12855009277646157</v>
      </c>
      <c r="I148" s="1"/>
      <c r="J148" s="1"/>
    </row>
    <row r="149">
      <c r="A149" s="1"/>
      <c r="B149" s="1" t="s">
        <v>741</v>
      </c>
      <c r="C149" s="23">
        <f>'Share Count'!C23</f>
        <v>2762.4</v>
      </c>
      <c r="D149" s="23">
        <f>'Share Count'!D23</f>
        <v>2735.3</v>
      </c>
      <c r="E149" s="23">
        <f>'Share Count'!E23</f>
        <v>2776.5</v>
      </c>
      <c r="F149" s="23">
        <f>'Share Count'!F23</f>
        <v>2716.2</v>
      </c>
      <c r="G149" s="23">
        <f>'Share Count'!G23</f>
        <v>2689.9</v>
      </c>
      <c r="H149" s="53">
        <f>'Share Count'!H23</f>
        <v>2673.5933823529413</v>
      </c>
      <c r="I149" s="1"/>
      <c r="J149" s="1"/>
    </row>
    <row r="150">
      <c r="A150" s="1"/>
      <c r="B150" s="1" t="s">
        <v>69</v>
      </c>
      <c r="C150" s="23">
        <f>'Share Count'!C29</f>
        <v>2767.6</v>
      </c>
      <c r="D150" s="23">
        <f>'Share Count'!D29</f>
        <v>2740.5</v>
      </c>
      <c r="E150" s="23">
        <f>'Share Count'!E29</f>
        <v>2781.5</v>
      </c>
      <c r="F150" s="23">
        <f>'Share Count'!F29</f>
        <v>2720.2</v>
      </c>
      <c r="G150" s="23">
        <f>'Share Count'!G29</f>
        <v>2694.2000000000003</v>
      </c>
      <c r="H150" s="53">
        <f>'Share Count'!H29</f>
        <v>2677.8933823529414</v>
      </c>
      <c r="I150" s="1"/>
      <c r="J150" s="1"/>
    </row>
    <row r="151">
      <c r="A151" s="1"/>
      <c r="B151" s="1" t="s">
        <v>742</v>
      </c>
      <c r="C151" s="40">
        <f>C147/C149</f>
        <v>5.08362293657689</v>
      </c>
      <c r="D151" s="40">
        <f>D147/D149</f>
        <v>4.63897927101232</v>
      </c>
      <c r="E151" s="40">
        <f>E147/E149</f>
        <v>20.05438501710787</v>
      </c>
      <c r="F151" s="40">
        <f>F147/F149</f>
        <v>5.945070318827774</v>
      </c>
      <c r="G151" s="40">
        <f>G147/G149</f>
        <v>7.714784936242983</v>
      </c>
      <c r="H151" s="57">
        <f>H147/H149</f>
        <v>5.9276885772781</v>
      </c>
      <c r="I151" s="1"/>
      <c r="J151" s="1"/>
    </row>
    <row r="152">
      <c r="A152" s="1"/>
      <c r="B152" s="31" t="s">
        <v>41</v>
      </c>
      <c r="C152" s="77">
        <f>C147/C150</f>
        <v>5.074071397600809</v>
      </c>
      <c r="D152" s="77">
        <f>D147/D150</f>
        <v>4.630176975004561</v>
      </c>
      <c r="E152" s="77">
        <f>E147/E150</f>
        <v>20.0183354305231</v>
      </c>
      <c r="F152" s="77">
        <f>F147/F150</f>
        <v>5.936328211160944</v>
      </c>
      <c r="G152" s="77">
        <f>G147/G150</f>
        <v>7.702471976839135</v>
      </c>
      <c r="H152" s="85">
        <f>H147/H150</f>
        <v>5.918170251772587</v>
      </c>
      <c r="I152" s="1"/>
      <c r="J152" s="1"/>
    </row>
    <row r="153">
      <c r="A153" s="1"/>
      <c r="B153" s="36" t="s">
        <v>58</v>
      </c>
      <c r="C153" s="22">
        <f>IF(AND(ISNUMBER(C152),ISNUMBER(C234)),IF(OR(C234&lt;=0,C152&lt;0),"n.m.",C152/C234-1),"n.a.")</f>
        <v>0.16111473629309137</v>
      </c>
      <c r="D153" s="22">
        <f>IF(AND(ISNUMBER(D152),ISNUMBER(D234)),IF(OR(D234&lt;=0,D152&lt;0),"n.m.",D152/D234-1),"n.a.")</f>
        <v>-0.037385244281795904</v>
      </c>
      <c r="E153" s="22">
        <f>IF(AND(ISNUMBER(E152),ISNUMBER(E234)),IF(OR(E234&lt;=0,E152&lt;0),"n.m.",E152/E234-1),"n.a.")</f>
        <v>0.013586604077118869</v>
      </c>
      <c r="F153" s="22">
        <f>IF(AND(ISNUMBER(F152),ISNUMBER(F234)),IF(OR(F234&lt;=0,F152&lt;0),"n.m.",F152/F234-1),"n.a.")</f>
        <v>0.17087341443016646</v>
      </c>
      <c r="G153" s="22">
        <f>IF(AND(ISNUMBER(G152),ISNUMBER(G234)),IF(OR(G234&lt;=0,G152&lt;0),"n.m.",G152/G234-1),"n.a.")</f>
        <v>0.4699374001601402</v>
      </c>
      <c r="H153" s="39">
        <f>IF(AND(ISNUMBER(H152),ISNUMBER(C152)),IF(OR(C152&lt;=0,H152&lt;0),"n.m.",H152/C152-1),"n.a.")</f>
        <v>0.16635533638152888</v>
      </c>
      <c r="I153" s="1"/>
      <c r="J153" s="1"/>
    </row>
    <row r="154" ht="27">
      <c r="A154" s="1"/>
      <c r="B154" s="21" t="s">
        <v>743</v>
      </c>
      <c r="C154" s="41">
        <v>5.07</v>
      </c>
      <c r="D154" s="41">
        <v>4.63</v>
      </c>
      <c r="E154" s="41">
        <v>20.02</v>
      </c>
      <c r="F154" s="41">
        <v>5.94</v>
      </c>
      <c r="G154" s="41">
        <v>7.7</v>
      </c>
      <c r="H154" s="57">
        <f>H152</f>
        <v>5.918170251772587</v>
      </c>
      <c r="I154" s="1"/>
      <c r="J154" s="125" t="s">
        <v>744</v>
      </c>
    </row>
    <row r="155">
      <c r="A155" s="1"/>
      <c r="B155" s="24" t="s">
        <v>745</v>
      </c>
      <c r="C155" s="83">
        <f>C152-C154</f>
        <v>0.004071397600808879</v>
      </c>
      <c r="D155" s="83">
        <f>D152-D154</f>
        <v>0.00017697500456126392</v>
      </c>
      <c r="E155" s="83">
        <f>E152-E154</f>
        <v>-0.0016645694769010788</v>
      </c>
      <c r="F155" s="83">
        <f>F152-F154</f>
        <v>-0.003671788839056056</v>
      </c>
      <c r="G155" s="83">
        <f>G152-G154</f>
        <v>0.002471976839134804</v>
      </c>
      <c r="H155" s="88">
        <f>H152-H154</f>
        <v>0</v>
      </c>
      <c r="I155" s="1"/>
      <c r="J155" s="2" t="s">
        <v>746</v>
      </c>
    </row>
    <row r="156">
      <c r="A156" s="1"/>
      <c r="B156" s="1"/>
      <c r="C156" s="1"/>
      <c r="D156" s="1"/>
      <c r="E156" s="1"/>
      <c r="F156" s="1"/>
      <c r="G156" s="1"/>
      <c r="H156" s="30"/>
      <c r="I156" s="1"/>
      <c r="J156" s="1"/>
    </row>
    <row r="157">
      <c r="A157" s="1"/>
      <c r="B157" s="31" t="s">
        <v>747</v>
      </c>
      <c r="C157" s="1"/>
      <c r="D157" s="1"/>
      <c r="E157" s="1"/>
      <c r="F157" s="1"/>
      <c r="G157" s="1"/>
      <c r="H157" s="30"/>
      <c r="I157" s="1"/>
      <c r="J157" s="1"/>
    </row>
    <row r="158">
      <c r="A158" s="1"/>
      <c r="B158" s="24" t="s">
        <v>325</v>
      </c>
      <c r="C158" s="22">
        <f>C125/C89</f>
        <v>0.40370904861395307</v>
      </c>
      <c r="D158" s="22">
        <f>D125/D89</f>
        <v>0.3746888510415302</v>
      </c>
      <c r="E158" s="22">
        <f>E125/E89</f>
        <v>0.3978963753857285</v>
      </c>
      <c r="F158" s="22">
        <f>F125/F89</f>
        <v>0.41092784332610965</v>
      </c>
      <c r="G158" s="22">
        <f>G125/G89</f>
        <v>0.4798158578478386</v>
      </c>
      <c r="H158" s="39">
        <f>H125/H89</f>
        <v>0.4128252870008878</v>
      </c>
      <c r="I158" s="1"/>
      <c r="J158" s="1"/>
    </row>
    <row r="159">
      <c r="A159" s="1"/>
      <c r="B159" s="21" t="s">
        <v>153</v>
      </c>
      <c r="C159" s="25">
        <f>(C158-C235)*10000</f>
        <v>56.690054761465156</v>
      </c>
      <c r="D159" s="25">
        <f>(D158-D235)*10000</f>
        <v>-315.72839942382967</v>
      </c>
      <c r="E159" s="25">
        <f>(E158-E235)*10000</f>
        <v>-249.61765144583092</v>
      </c>
      <c r="F159" s="25">
        <f>(F158-F235)*10000</f>
        <v>46.59911302273834</v>
      </c>
      <c r="G159" s="25">
        <f>(G158-G235)*10000</f>
        <v>727.086259276391</v>
      </c>
      <c r="H159" s="58">
        <f>(H158-C158)*10000</f>
        <v>91.16238386934705</v>
      </c>
      <c r="I159" s="1"/>
      <c r="J159" s="1"/>
    </row>
    <row r="160">
      <c r="A160" s="1"/>
      <c r="B160" s="21" t="s">
        <v>154</v>
      </c>
      <c r="C160" s="25">
        <f>(C158-G235)*10000</f>
        <v>-33.98183306246416</v>
      </c>
      <c r="D160" s="25">
        <f>(D158-C158)*10000</f>
        <v>-290.2019757242286</v>
      </c>
      <c r="E160" s="1"/>
      <c r="F160" s="25">
        <f>(F158-D158)*10000</f>
        <v>362.3899228457944</v>
      </c>
      <c r="G160" s="25">
        <f>(G158-F158)*10000</f>
        <v>688.8801452172894</v>
      </c>
      <c r="H160" s="58">
        <f>(H158-G158)*10000</f>
        <v>-669.9057084695081</v>
      </c>
      <c r="I160" s="1"/>
      <c r="J160" s="1"/>
    </row>
    <row r="161">
      <c r="A161" s="1"/>
      <c r="B161" s="24" t="s">
        <v>748</v>
      </c>
      <c r="C161" s="22">
        <f>C118/C89</f>
        <v>0.5229930859198312</v>
      </c>
      <c r="D161" s="22">
        <f>D118/D89</f>
        <v>0.5236691558583344</v>
      </c>
      <c r="E161" s="22">
        <f>E118/E89</f>
        <v>0.5242070299867907</v>
      </c>
      <c r="F161" s="22">
        <f>F118/F89</f>
        <v>0.538767156272574</v>
      </c>
      <c r="G161" s="22">
        <f>G118/G89</f>
        <v>0.47632831708720597</v>
      </c>
      <c r="H161" s="39">
        <f>H118/H89</f>
        <v>0.5314641177801891</v>
      </c>
      <c r="I161" s="1"/>
      <c r="J161" s="1"/>
    </row>
    <row r="162">
      <c r="A162" s="1"/>
      <c r="B162" s="21" t="s">
        <v>153</v>
      </c>
      <c r="C162" s="25">
        <f>(C161-C236)*10000</f>
        <v>-60.31155651885389</v>
      </c>
      <c r="D162" s="25">
        <f>(D161-D236)*10000</f>
        <v>-85.51195806461686</v>
      </c>
      <c r="E162" s="25">
        <f>(E161-E236)*10000</f>
        <v>72.03943636568843</v>
      </c>
      <c r="F162" s="25">
        <f>(F161-F236)*10000</f>
        <v>179.77043714639706</v>
      </c>
      <c r="G162" s="25">
        <f>(G161-G236)*10000</f>
        <v>-531.2928889783147</v>
      </c>
      <c r="H162" s="58">
        <f>(H161-C161)*10000</f>
        <v>84.71031860357914</v>
      </c>
      <c r="I162" s="1"/>
      <c r="J162" s="1"/>
    </row>
    <row r="163">
      <c r="A163" s="1"/>
      <c r="B163" s="21" t="s">
        <v>154</v>
      </c>
      <c r="C163" s="25">
        <f>(C161-G236)*10000</f>
        <v>-64.64520065206258</v>
      </c>
      <c r="D163" s="25">
        <f>(D161-C161)*10000</f>
        <v>6.7606993850322095</v>
      </c>
      <c r="E163" s="1"/>
      <c r="F163" s="25">
        <f>(F161-D161)*10000</f>
        <v>150.98000414239587</v>
      </c>
      <c r="G163" s="25">
        <f>(G161-F161)*10000</f>
        <v>-624.3883918536802</v>
      </c>
      <c r="H163" s="58">
        <f>(H161-G161)*10000</f>
        <v>551.3580069298313</v>
      </c>
      <c r="I163" s="1"/>
      <c r="J163" s="1"/>
    </row>
    <row r="164">
      <c r="A164" s="1"/>
      <c r="B164" s="24" t="s">
        <v>749</v>
      </c>
      <c r="C164" s="22">
        <f>C134/C89</f>
        <v>0.31001356969005106</v>
      </c>
      <c r="D164" s="22">
        <f>D134/D89</f>
        <v>0.2844010655487139</v>
      </c>
      <c r="E164" s="22">
        <f>E134/E89</f>
        <v>0.31268258727192005</v>
      </c>
      <c r="F164" s="22">
        <f>F134/F89</f>
        <v>0.33096556705995667</v>
      </c>
      <c r="G164" s="22">
        <f>G134/G89</f>
        <v>0.3688946239559175</v>
      </c>
      <c r="H164" s="39">
        <f>H134/H89</f>
        <v>0.3178754709906836</v>
      </c>
      <c r="I164" s="1"/>
      <c r="J164" s="1"/>
    </row>
    <row r="165">
      <c r="A165" s="1"/>
      <c r="B165" s="21" t="s">
        <v>153</v>
      </c>
      <c r="C165" s="25">
        <f>(C164-C237)*10000</f>
        <v>76.26923654509233</v>
      </c>
      <c r="D165" s="25">
        <f>(D164-D237)*10000</f>
        <v>-430.6339386018993</v>
      </c>
      <c r="E165" s="25">
        <f>(E164-E237)*10000</f>
        <v>-166.2760218943299</v>
      </c>
      <c r="F165" s="25">
        <f>(F164-F237)*10000</f>
        <v>77.91874718310221</v>
      </c>
      <c r="G165" s="25">
        <f>(G164-G237)*10000</f>
        <v>351.9761647462072</v>
      </c>
      <c r="H165" s="58">
        <f>(H164-C164)*10000</f>
        <v>78.61901300632523</v>
      </c>
      <c r="I165" s="1"/>
      <c r="J165" s="1"/>
    </row>
    <row r="166">
      <c r="A166" s="1"/>
      <c r="B166" s="21" t="s">
        <v>154</v>
      </c>
      <c r="C166" s="25">
        <f>(C164-G237)*10000</f>
        <v>-236.8343779124571</v>
      </c>
      <c r="D166" s="25">
        <f>(D164-C164)*10000</f>
        <v>-256.12504141337143</v>
      </c>
      <c r="E166" s="1"/>
      <c r="F166" s="25">
        <f>(F164-D164)*10000</f>
        <v>465.64501511242753</v>
      </c>
      <c r="G166" s="25">
        <f>(G164-F164)*10000</f>
        <v>379.2905689596082</v>
      </c>
      <c r="H166" s="58">
        <f>(H164-G164)*10000</f>
        <v>-510.19152965233906</v>
      </c>
      <c r="I166" s="1"/>
      <c r="J166" s="1"/>
    </row>
    <row r="167">
      <c r="A167" s="1"/>
      <c r="B167" s="1" t="s">
        <v>750</v>
      </c>
      <c r="C167" s="3">
        <v>336335</v>
      </c>
      <c r="D167" s="3">
        <v>340321</v>
      </c>
      <c r="E167" s="3">
        <v>332754</v>
      </c>
      <c r="F167" s="3">
        <v>341050</v>
      </c>
      <c r="G167" s="3">
        <v>343146</v>
      </c>
      <c r="H167" s="29">
        <f>G167*(1+H170)</f>
        <v>346577.46</v>
      </c>
      <c r="I167" s="1"/>
      <c r="J167" s="2" t="s">
        <v>148</v>
      </c>
    </row>
    <row r="168">
      <c r="A168" s="1"/>
      <c r="B168" s="36" t="s">
        <v>58</v>
      </c>
      <c r="C168" s="22">
        <f>IF(AND(ISNUMBER(C167),ISNUMBER(C238)),IF(OR(C238&lt;=0,C167&lt;0),"n.m.",C167/C238-1),"n.a.")</f>
        <v>0.044862594518692456</v>
      </c>
      <c r="D168" s="22">
        <f>IF(AND(ISNUMBER(D167),ISNUMBER(D238)),IF(OR(D238&lt;=0,D167&lt;0),"n.m.",D167/D238-1),"n.a.")</f>
        <v>0.06892793426640198</v>
      </c>
      <c r="E168" s="22">
        <f>IF(AND(ISNUMBER(E167),ISNUMBER(E238)),IF(OR(E238&lt;=0,E167&lt;0),"n.m.",E167/E238-1),"n.a.")</f>
        <v>0.065255946473733</v>
      </c>
      <c r="F168" s="22">
        <f>IF(AND(ISNUMBER(F167),ISNUMBER(F238)),IF(OR(F238&lt;=0,F167&lt;0),"n.m.",F167/F238-1),"n.a.")</f>
        <v>0.05150379996608545</v>
      </c>
      <c r="G168" s="22">
        <f>IF(AND(ISNUMBER(G167),ISNUMBER(G238)),IF(OR(G238&lt;=0,G167&lt;0),"n.m.",G167/G238-1),"n.a.")</f>
        <v>0.04047641427908677</v>
      </c>
      <c r="H168" s="39">
        <f>IF(AND(ISNUMBER(H167),ISNUMBER(C167)),IF(OR(C167&lt;=0,H167&lt;0),"n.m.",H167/C167-1),"n.a.")</f>
        <v>0.030453149389745304</v>
      </c>
      <c r="I168" s="1"/>
      <c r="J168" s="1"/>
    </row>
    <row r="169">
      <c r="A169" s="1"/>
      <c r="B169" s="21" t="s">
        <v>114</v>
      </c>
      <c r="C169" s="10">
        <f>C167-G238</f>
        <v>6538</v>
      </c>
      <c r="D169" s="10">
        <f>D167-C167</f>
        <v>3986</v>
      </c>
      <c r="E169" s="1"/>
      <c r="F169" s="10">
        <f>F167-D167</f>
        <v>729</v>
      </c>
      <c r="G169" s="10">
        <f>G167-F167</f>
        <v>2096</v>
      </c>
      <c r="H169" s="29">
        <f>H167-G167</f>
        <v>3431.460000000021</v>
      </c>
      <c r="I169" s="1"/>
      <c r="J169" s="1"/>
    </row>
    <row r="170">
      <c r="A170" s="1"/>
      <c r="B170" s="51" t="s">
        <v>146</v>
      </c>
      <c r="C170" s="22">
        <f>IF(AND(ISNUMBER(C167),ISNUMBER(G238)),IF(OR(G238&lt;=0,C167&lt;0),"n.m.",C167/G238-1),"n.a.")</f>
        <v>0.019824316170250267</v>
      </c>
      <c r="D170" s="22">
        <f>IF(AND(ISNUMBER(D167),ISNUMBER(C167)),IF(OR(C167&lt;=0,D167&lt;0),"n.m.",D167/C167-1),"n.a.")</f>
        <v>0.011851279230528977</v>
      </c>
      <c r="E170" s="1"/>
      <c r="F170" s="22">
        <f>IF(AND(ISNUMBER(F167),ISNUMBER(D167)),IF(OR(D167&lt;=0,F167&lt;0),"n.m.",F167/D167-1),"n.a.")</f>
        <v>0.002142095257124943</v>
      </c>
      <c r="G170" s="22">
        <f>IF(AND(ISNUMBER(G167),ISNUMBER(F167)),IF(OR(F167&lt;=0,G167&lt;0),"n.m.",G167/F167-1),"n.a.")</f>
        <v>0.006145726433074428</v>
      </c>
      <c r="H170" s="72">
        <v>0.01</v>
      </c>
      <c r="I170" s="1"/>
      <c r="J170" s="1"/>
    </row>
    <row r="171">
      <c r="A171" s="1"/>
      <c r="B171" s="24" t="s">
        <v>751</v>
      </c>
      <c r="C171" s="22">
        <f>C140*365/C7/C167</f>
        <v>0.1664526697954485</v>
      </c>
      <c r="D171" s="22">
        <f>D140*365/D7/D167</f>
        <v>0.14857855428819566</v>
      </c>
      <c r="E171" s="22">
        <f>E140*365/E7/E167</f>
        <v>0.1681392259747441</v>
      </c>
      <c r="F171" s="22">
        <f>F140*365/F7/F167</f>
        <v>0.19285442017299517</v>
      </c>
      <c r="G171" s="22">
        <f>G140*365/G7/G167</f>
        <v>0.24367787446768405</v>
      </c>
      <c r="H171" s="39">
        <f>H140*365/H7/H167</f>
        <v>0.18224414161531344</v>
      </c>
      <c r="I171" s="1"/>
      <c r="J171" s="1"/>
    </row>
    <row r="172">
      <c r="A172" s="1"/>
      <c r="B172" s="21" t="s">
        <v>153</v>
      </c>
      <c r="C172" s="25">
        <f>(C171-C239)*10000</f>
        <v>110.0789875145644</v>
      </c>
      <c r="D172" s="25">
        <f>(D171-D239)*10000</f>
        <v>-227.15013284627716</v>
      </c>
      <c r="E172" s="25">
        <f>(E171-E239)*10000</f>
        <v>-150.15366335657032</v>
      </c>
      <c r="F172" s="25">
        <f>(F171-F239)*10000</f>
        <v>129.49278014696642</v>
      </c>
      <c r="G172" s="25">
        <f>(G171-G239)*10000</f>
        <v>648.3575823681048</v>
      </c>
      <c r="H172" s="58">
        <f>(H171-C171)*10000</f>
        <v>157.91471819864927</v>
      </c>
      <c r="I172" s="1"/>
      <c r="J172" s="1"/>
    </row>
    <row r="173">
      <c r="A173" s="1"/>
      <c r="B173" s="21" t="s">
        <v>154</v>
      </c>
      <c r="C173" s="25">
        <f>(C171-G239)*10000</f>
        <v>-123.89446435425056</v>
      </c>
      <c r="D173" s="25">
        <f>(D171-C171)*10000</f>
        <v>-178.74115507252847</v>
      </c>
      <c r="E173" s="1"/>
      <c r="F173" s="25">
        <f>(F171-D171)*10000</f>
        <v>442.7586588479951</v>
      </c>
      <c r="G173" s="25">
        <f>(G171-F171)*10000</f>
        <v>508.2345429468887</v>
      </c>
      <c r="H173" s="58">
        <f>(H171-G171)*10000</f>
        <v>-614.3373285237061</v>
      </c>
      <c r="I173" s="1"/>
      <c r="J173" s="1"/>
    </row>
    <row r="174">
      <c r="A174" s="1"/>
      <c r="B174" s="1"/>
      <c r="C174" s="1"/>
      <c r="D174" s="1"/>
      <c r="E174" s="1"/>
      <c r="F174" s="1"/>
      <c r="G174" s="1"/>
      <c r="H174" s="30"/>
      <c r="I174" s="1"/>
      <c r="J174" s="1"/>
    </row>
    <row r="175">
      <c r="A175" s="1"/>
      <c r="B175" s="31" t="s">
        <v>752</v>
      </c>
      <c r="C175" s="1"/>
      <c r="D175" s="1"/>
      <c r="E175" s="1"/>
      <c r="F175" s="1"/>
      <c r="G175" s="1"/>
      <c r="H175" s="30"/>
      <c r="I175" s="1"/>
      <c r="J175" s="1"/>
    </row>
    <row r="176">
      <c r="A176" s="1"/>
      <c r="B176" s="1" t="s">
        <v>753</v>
      </c>
      <c r="C176" s="10">
        <f>C134</f>
        <v>14393</v>
      </c>
      <c r="D176" s="10">
        <f>D134</f>
        <v>13025</v>
      </c>
      <c r="E176" s="10">
        <f>E134</f>
        <v>57048</v>
      </c>
      <c r="F176" s="10">
        <f>F134</f>
        <v>16494</v>
      </c>
      <c r="G176" s="10">
        <f>G134</f>
        <v>21155</v>
      </c>
      <c r="H176" s="29">
        <f>H134</f>
        <v>16220.212264340378</v>
      </c>
      <c r="I176" s="1"/>
      <c r="J176" s="1"/>
    </row>
    <row r="177">
      <c r="A177" s="1"/>
      <c r="B177" s="21" t="s">
        <v>754</v>
      </c>
      <c r="C177" s="23">
        <f>-'Segment - Corporate'!C69</f>
        <v>0</v>
      </c>
      <c r="D177" s="23">
        <f>-'Segment - Corporate'!D69</f>
        <v>0</v>
      </c>
      <c r="E177" s="23">
        <f>-'Segment - Corporate'!E69</f>
        <v>0</v>
      </c>
      <c r="F177" s="23">
        <f>-'Segment - Corporate'!F69</f>
        <v>0</v>
      </c>
      <c r="G177" s="23">
        <f>-'Segment - Corporate'!G69</f>
        <v>-4600</v>
      </c>
      <c r="H177" s="53">
        <f>-'Segment - Corporate'!H69</f>
        <v>0</v>
      </c>
      <c r="I177" s="1"/>
      <c r="J177" s="2" t="s">
        <v>755</v>
      </c>
    </row>
    <row r="178">
      <c r="A178" s="1"/>
      <c r="B178" s="21" t="s">
        <v>756</v>
      </c>
      <c r="C178" s="23">
        <f>-('Segment - Corporate'!C70+'Segment - CIB'!C125)</f>
        <v>0</v>
      </c>
      <c r="D178" s="23">
        <f>-('Segment - Corporate'!D70+'Segment - CIB'!D125)</f>
        <v>0</v>
      </c>
      <c r="E178" s="23">
        <f>-('Segment - Corporate'!E70+'Segment - CIB'!E125)</f>
        <v>0</v>
      </c>
      <c r="F178" s="23">
        <f>-('Segment - Corporate'!F70+'Segment - CIB'!F125)</f>
        <v>0</v>
      </c>
      <c r="G178" s="23">
        <f>-('Segment - Corporate'!G70+'Segment - CIB'!G125)</f>
        <v>-1026</v>
      </c>
      <c r="H178" s="53">
        <f>-('Segment - Corporate'!H70+'Segment - CIB'!H125)</f>
        <v>0</v>
      </c>
      <c r="I178" s="1"/>
      <c r="J178" s="2" t="s">
        <v>757</v>
      </c>
    </row>
    <row r="179">
      <c r="A179" s="1"/>
      <c r="B179" s="21" t="s">
        <v>758</v>
      </c>
      <c r="C179" s="3">
        <v>0</v>
      </c>
      <c r="D179" s="3">
        <v>2200</v>
      </c>
      <c r="E179" s="10">
        <f>D179</f>
        <v>2200</v>
      </c>
      <c r="F179" s="3">
        <v>0</v>
      </c>
      <c r="G179" s="3">
        <v>0</v>
      </c>
      <c r="H179" s="44">
        <v>0</v>
      </c>
      <c r="I179" s="1"/>
      <c r="J179" s="2" t="s">
        <v>759</v>
      </c>
    </row>
    <row r="180">
      <c r="A180" s="1"/>
      <c r="B180" s="21" t="s">
        <v>760</v>
      </c>
      <c r="C180" s="23">
        <f>-'Segment - Corporate'!C71</f>
        <v>0</v>
      </c>
      <c r="D180" s="23">
        <f>-'Segment - Corporate'!D71</f>
        <v>0</v>
      </c>
      <c r="E180" s="23">
        <f>-'Segment - Corporate'!E71</f>
        <v>-588</v>
      </c>
      <c r="F180" s="23">
        <f>-'Segment - Corporate'!F71</f>
        <v>0</v>
      </c>
      <c r="G180" s="23">
        <f>-'Segment - Corporate'!G71</f>
        <v>0</v>
      </c>
      <c r="H180" s="53">
        <f>-'Segment - Corporate'!H71</f>
        <v>0</v>
      </c>
      <c r="I180" s="1"/>
      <c r="J180" s="2" t="s">
        <v>761</v>
      </c>
    </row>
    <row r="181" ht="51">
      <c r="A181" s="1"/>
      <c r="B181" s="21" t="s">
        <v>762</v>
      </c>
      <c r="C181" s="96" t="s">
        <v>31</v>
      </c>
      <c r="D181" s="96" t="s">
        <v>31</v>
      </c>
      <c r="E181" s="96" t="s">
        <v>31</v>
      </c>
      <c r="F181" s="96" t="s">
        <v>31</v>
      </c>
      <c r="G181" s="96" t="s">
        <v>31</v>
      </c>
      <c r="H181" s="109">
        <f>'Segment - Corporate'!H82</f>
        <v>108.86939287067534</v>
      </c>
      <c r="I181" s="1"/>
      <c r="J181" s="125" t="s">
        <v>763</v>
      </c>
    </row>
    <row r="182">
      <c r="A182" s="1"/>
      <c r="B182" s="31" t="s">
        <v>764</v>
      </c>
      <c r="C182" s="43">
        <f>C177+C178+C179+C180</f>
        <v>0</v>
      </c>
      <c r="D182" s="43">
        <f>D177+D178+D179+D180</f>
        <v>2200</v>
      </c>
      <c r="E182" s="43">
        <f>E177+E178+E179+E180</f>
        <v>1612</v>
      </c>
      <c r="F182" s="43">
        <f>F177+F178+F179+F180</f>
        <v>0</v>
      </c>
      <c r="G182" s="43">
        <f>G177+G178+G179+G180</f>
        <v>-5626</v>
      </c>
      <c r="H182" s="45">
        <f>H177+H178+H179+H180</f>
        <v>0</v>
      </c>
      <c r="I182" s="1"/>
      <c r="J182" s="1" t="s">
        <v>765</v>
      </c>
    </row>
    <row r="183" ht="27">
      <c r="A183" s="1"/>
      <c r="B183" s="21" t="s">
        <v>766</v>
      </c>
      <c r="C183" s="10">
        <f>C185-C176-C182</f>
        <v>0</v>
      </c>
      <c r="D183" s="10">
        <f>D185-D176-D182</f>
        <v>-525</v>
      </c>
      <c r="E183" s="10">
        <f>E185-E176-E182</f>
        <v>-1160</v>
      </c>
      <c r="F183" s="10">
        <f>F185-F176-F182</f>
        <v>0</v>
      </c>
      <c r="G183" s="10">
        <f>G185-G176-G182</f>
        <v>1371</v>
      </c>
      <c r="H183" s="29">
        <f>-H182*H131</f>
        <v>0</v>
      </c>
      <c r="I183" s="1"/>
      <c r="J183" s="125" t="s">
        <v>767</v>
      </c>
    </row>
    <row r="184">
      <c r="A184" s="1"/>
      <c r="B184" s="31" t="s">
        <v>768</v>
      </c>
      <c r="C184" s="43">
        <f>C176+C182+C183</f>
        <v>14393</v>
      </c>
      <c r="D184" s="43">
        <f>D176+D182+D183</f>
        <v>14700</v>
      </c>
      <c r="E184" s="43">
        <f>E176+E182+E183</f>
        <v>57500</v>
      </c>
      <c r="F184" s="43">
        <f>F176+F182+F183</f>
        <v>16494</v>
      </c>
      <c r="G184" s="43">
        <f>G176+G182+G183</f>
        <v>16900</v>
      </c>
      <c r="H184" s="45">
        <f>H176+H182+H183</f>
        <v>16220.212264340378</v>
      </c>
      <c r="I184" s="1"/>
      <c r="J184" s="1"/>
    </row>
    <row r="185" ht="27">
      <c r="A185" s="1"/>
      <c r="B185" s="21" t="s">
        <v>769</v>
      </c>
      <c r="C185" s="10">
        <f>C134</f>
        <v>14393</v>
      </c>
      <c r="D185" s="3">
        <v>14700</v>
      </c>
      <c r="E185" s="3">
        <v>57500</v>
      </c>
      <c r="F185" s="10">
        <f>F134</f>
        <v>16494</v>
      </c>
      <c r="G185" s="3">
        <v>16900</v>
      </c>
      <c r="H185" s="29">
        <f>H184</f>
        <v>16220.212264340378</v>
      </c>
      <c r="I185" s="1"/>
      <c r="J185" s="125" t="s">
        <v>770</v>
      </c>
    </row>
    <row r="186">
      <c r="A186" s="1"/>
      <c r="B186" s="21" t="s">
        <v>771</v>
      </c>
      <c r="C186" s="10">
        <f>(C184-C137)*(1-C144)</f>
        <v>14043</v>
      </c>
      <c r="D186" s="10">
        <f>(D184-D137)*(1-D144)</f>
        <v>14356.640251078854</v>
      </c>
      <c r="E186" s="10">
        <f>(E184-E137)*(1-E144)</f>
        <v>56130.83488534201</v>
      </c>
      <c r="F186" s="10">
        <f>(F184-F137)*(1-F144)</f>
        <v>16148</v>
      </c>
      <c r="G186" s="10">
        <f>(G184-G137)*(1-G144)</f>
        <v>16516.39008010745</v>
      </c>
      <c r="H186" s="29">
        <f>(H184-H137)*(1-H144)</f>
        <v>15848.22895285985</v>
      </c>
      <c r="I186" s="1"/>
      <c r="J186" s="1"/>
    </row>
    <row r="187" ht="39">
      <c r="A187" s="1"/>
      <c r="B187" s="113" t="s">
        <v>772</v>
      </c>
      <c r="C187" s="77">
        <f>C186/C150</f>
        <v>5.074071397600809</v>
      </c>
      <c r="D187" s="77">
        <f>D186/D150</f>
        <v>5.238693760656396</v>
      </c>
      <c r="E187" s="77">
        <f>E186/E150</f>
        <v>20.180059279288876</v>
      </c>
      <c r="F187" s="77">
        <f>F186/F150</f>
        <v>5.936328211160944</v>
      </c>
      <c r="G187" s="77">
        <f>G186/G150</f>
        <v>6.13035041203602</v>
      </c>
      <c r="H187" s="85">
        <f>H186/H150</f>
        <v>5.918170251772587</v>
      </c>
      <c r="I187" s="1"/>
      <c r="J187" s="125" t="s">
        <v>773</v>
      </c>
    </row>
    <row r="188" ht="39">
      <c r="A188" s="1"/>
      <c r="B188" s="124" t="s">
        <v>774</v>
      </c>
      <c r="C188" s="22" t="str">
        <f>IF(AND(ISNUMBER(C190),ISNUMBER(C240)),IF(OR(C240&lt;=0,C190&lt;0),"n.m.",C190/C240-1),"n.a.")</f>
        <v>n.a.</v>
      </c>
      <c r="D188" s="22" t="str">
        <f>IF(AND(ISNUMBER(D190),ISNUMBER(D240)),IF(OR(D240&lt;=0,D190&lt;0),"n.m.",D190/D240-1),"n.a.")</f>
        <v>n.a.</v>
      </c>
      <c r="E188" s="22" t="str">
        <f>IF(AND(ISNUMBER(E190),ISNUMBER(E240)),IF(OR(E240&lt;=0,E190&lt;0),"n.m.",E190/E240-1),"n.a.")</f>
        <v>n.a.</v>
      </c>
      <c r="F188" s="22">
        <f>IF(AND(ISNUMBER(F190),ISNUMBER(F240)),IF(OR(F240&lt;=0,F190&lt;0),"n.m.",F190/F240-1),"n.a.")</f>
        <v>0.17159763313609466</v>
      </c>
      <c r="G188" s="22">
        <f>IF(AND(ISNUMBER(G190),ISNUMBER(G240)),IF(OR(G240&lt;=0,G190&lt;0),"n.m.",G190/G240-1),"n.a.")</f>
        <v>0.2379032258064515</v>
      </c>
      <c r="H188" s="39">
        <f>IF(AND(ISNUMBER(H187),ISNUMBER(H240)),IF(OR(H240&lt;=0,H187&lt;0),"n.m.",H187/H240-1),"n.a.")</f>
        <v>0.1672919628742775</v>
      </c>
      <c r="I188" s="1"/>
      <c r="J188" s="126" t="s">
        <v>775</v>
      </c>
    </row>
    <row r="189" ht="27">
      <c r="A189" s="1"/>
      <c r="B189" s="21" t="s">
        <v>776</v>
      </c>
      <c r="C189" s="40">
        <f>C154</f>
        <v>5.07</v>
      </c>
      <c r="D189" s="41">
        <v>5.23</v>
      </c>
      <c r="E189" s="41">
        <v>20.18</v>
      </c>
      <c r="F189" s="40">
        <f>F154</f>
        <v>5.94</v>
      </c>
      <c r="G189" s="41">
        <v>6.14</v>
      </c>
      <c r="H189" s="57">
        <f>H187</f>
        <v>5.918170251772587</v>
      </c>
      <c r="I189" s="1"/>
      <c r="J189" s="125" t="s">
        <v>777</v>
      </c>
    </row>
    <row r="190" ht="27">
      <c r="A190" s="1"/>
      <c r="B190" s="21" t="s">
        <v>778</v>
      </c>
      <c r="C190" s="63">
        <f>Inputs!E101</f>
        <v>5.07</v>
      </c>
      <c r="D190" s="63">
        <f>Inputs!E102</f>
        <v>4.63</v>
      </c>
      <c r="E190" s="1"/>
      <c r="F190" s="63">
        <f>Inputs!E103</f>
        <v>5.94</v>
      </c>
      <c r="G190" s="63">
        <f>Inputs!E104</f>
        <v>6.14</v>
      </c>
      <c r="H190" s="30"/>
      <c r="I190" s="1"/>
      <c r="J190" s="125" t="s">
        <v>779</v>
      </c>
    </row>
    <row r="191">
      <c r="A191" s="1"/>
      <c r="B191" s="1" t="s">
        <v>780</v>
      </c>
      <c r="C191" s="40">
        <f>C152</f>
        <v>5.074071397600809</v>
      </c>
      <c r="D191" s="40">
        <f>D152</f>
        <v>4.630176975004561</v>
      </c>
      <c r="E191" s="40">
        <f>E152</f>
        <v>20.0183354305231</v>
      </c>
      <c r="F191" s="40">
        <f>F152</f>
        <v>5.936328211160944</v>
      </c>
      <c r="G191" s="40">
        <f>G152</f>
        <v>7.702471976839135</v>
      </c>
      <c r="H191" s="57">
        <f>H152</f>
        <v>5.918170251772587</v>
      </c>
      <c r="I191" s="1"/>
      <c r="J191" s="1"/>
    </row>
    <row r="192" ht="39">
      <c r="A192" s="1"/>
      <c r="B192" s="111" t="s">
        <v>781</v>
      </c>
      <c r="C192" s="108">
        <f>C187-C189</f>
        <v>0.004071397600808879</v>
      </c>
      <c r="D192" s="108">
        <f>D187-D189</f>
        <v>0.00869376065639571</v>
      </c>
      <c r="E192" s="108">
        <f>E187-E189</f>
        <v>0.00005927928887672351</v>
      </c>
      <c r="F192" s="108">
        <f>F187-F189</f>
        <v>-0.003671788839056056</v>
      </c>
      <c r="G192" s="108">
        <f>G187-G189</f>
        <v>-0.0096495879639793</v>
      </c>
      <c r="H192" s="110" t="s">
        <v>31</v>
      </c>
      <c r="I192" s="95"/>
      <c r="J192" s="125" t="s">
        <v>782</v>
      </c>
    </row>
    <row r="193">
      <c r="A193" s="1"/>
      <c r="B193" s="31" t="s">
        <v>783</v>
      </c>
      <c r="C193" s="1"/>
      <c r="D193" s="1"/>
      <c r="E193" s="1"/>
      <c r="F193" s="1"/>
      <c r="G193" s="1"/>
      <c r="H193" s="30"/>
      <c r="I193" s="1"/>
      <c r="J193" s="1"/>
    </row>
    <row r="194">
      <c r="A194" s="1"/>
      <c r="B194" s="21" t="s">
        <v>784</v>
      </c>
      <c r="C194" s="23">
        <f>C10-'Segment - CIB'!C118</f>
        <v>-15</v>
      </c>
      <c r="D194" s="23">
        <f>D10-'Segment - CIB'!D118</f>
        <v>-21</v>
      </c>
      <c r="E194" s="23">
        <f>E10-'Segment - CIB'!E118</f>
        <v>-120</v>
      </c>
      <c r="F194" s="23">
        <f>F10-'Segment - CIB'!F118</f>
        <v>-25</v>
      </c>
      <c r="G194" s="23">
        <f>G10-'Segment - CIB'!G118</f>
        <v>-69</v>
      </c>
      <c r="H194" s="53">
        <f>H10-'Segment - CIB'!H118</f>
        <v>-69</v>
      </c>
      <c r="I194" s="1"/>
      <c r="J194" s="1"/>
    </row>
    <row r="195">
      <c r="A195" s="1"/>
      <c r="B195" s="21" t="s">
        <v>785</v>
      </c>
      <c r="C195" s="23">
        <f>C24-'Segment - CCB'!C41-'Segment - CIB'!C179</f>
        <v>65</v>
      </c>
      <c r="D195" s="23">
        <f>D24-'Segment - CCB'!D41-'Segment - CIB'!D179</f>
        <v>55</v>
      </c>
      <c r="E195" s="23">
        <f>E24-'Segment - CCB'!E41-'Segment - CIB'!E179</f>
        <v>247</v>
      </c>
      <c r="F195" s="23">
        <f>F24-'Segment - CCB'!F41-'Segment - CIB'!F179</f>
        <v>53</v>
      </c>
      <c r="G195" s="23">
        <f>G24-'Segment - CCB'!G41-'Segment - CIB'!G179</f>
        <v>53</v>
      </c>
      <c r="H195" s="53">
        <f>H24-'Segment - CCB'!H41-'Segment - CIB'!H179</f>
        <v>52.99999999999977</v>
      </c>
      <c r="I195" s="1"/>
      <c r="J195" s="1"/>
    </row>
    <row r="196">
      <c r="A196" s="1"/>
      <c r="B196" s="21" t="s">
        <v>786</v>
      </c>
      <c r="C196" s="23">
        <f>C31-'Segment - CCB'!C48-'Segment - AWM'!C34</f>
        <v>46</v>
      </c>
      <c r="D196" s="23">
        <f>D31-'Segment - CCB'!D48-'Segment - AWM'!D34</f>
        <v>52</v>
      </c>
      <c r="E196" s="23">
        <f>E31-'Segment - CCB'!E48-'Segment - AWM'!E34</f>
        <v>164</v>
      </c>
      <c r="F196" s="23">
        <f>F31-'Segment - CCB'!F48-'Segment - AWM'!F34</f>
        <v>87</v>
      </c>
      <c r="G196" s="23">
        <f>G31-'Segment - CCB'!G48-'Segment - AWM'!G34</f>
        <v>52</v>
      </c>
      <c r="H196" s="53">
        <f>H31-'Segment - CCB'!H48-'Segment - AWM'!H34</f>
        <v>52</v>
      </c>
      <c r="I196" s="1"/>
      <c r="J196" s="1"/>
    </row>
    <row r="197">
      <c r="A197" s="1"/>
      <c r="B197" s="21" t="s">
        <v>787</v>
      </c>
      <c r="C197" s="23">
        <f>C38-'Segment - CIB'!C187-'Segment - AWM'!C44</f>
        <v>415</v>
      </c>
      <c r="D197" s="23">
        <f>D38-'Segment - CIB'!D187-'Segment - AWM'!D44</f>
        <v>245</v>
      </c>
      <c r="E197" s="23">
        <f>E38-'Segment - CIB'!E187-'Segment - AWM'!E44</f>
        <v>1370</v>
      </c>
      <c r="F197" s="23">
        <f>F38-'Segment - CIB'!F187-'Segment - AWM'!F44</f>
        <v>399</v>
      </c>
      <c r="G197" s="23">
        <f>G38-'Segment - CIB'!G187-'Segment - AWM'!G44</f>
        <v>421</v>
      </c>
      <c r="H197" s="53">
        <f>H38-'Segment - CIB'!H187-'Segment - AWM'!H44</f>
        <v>421</v>
      </c>
      <c r="I197" s="1"/>
      <c r="J197" s="1"/>
    </row>
    <row r="198">
      <c r="A198" s="1"/>
      <c r="B198" s="21" t="s">
        <v>788</v>
      </c>
      <c r="C198" s="23">
        <f>C45-'Segment - Corporate'!C41</f>
        <v>0</v>
      </c>
      <c r="D198" s="23">
        <f>D45-'Segment - Corporate'!D41</f>
        <v>1</v>
      </c>
      <c r="E198" s="23">
        <f>E45-'Segment - Corporate'!E41</f>
        <v>1</v>
      </c>
      <c r="F198" s="23">
        <f>F45-'Segment - Corporate'!F41</f>
        <v>4</v>
      </c>
      <c r="G198" s="23">
        <f>G45-'Segment - Corporate'!G41</f>
        <v>0</v>
      </c>
      <c r="H198" s="53">
        <f>H45-'Segment - Corporate'!H41</f>
        <v>0</v>
      </c>
      <c r="I198" s="1"/>
      <c r="J198" s="1"/>
    </row>
    <row r="199">
      <c r="A199" s="1"/>
      <c r="B199" s="21" t="s">
        <v>789</v>
      </c>
      <c r="C199" s="23">
        <f>C48-'Segment - CCB'!C70</f>
        <v>11</v>
      </c>
      <c r="D199" s="23">
        <f>D48-'Segment - CCB'!D70</f>
        <v>13</v>
      </c>
      <c r="E199" s="23">
        <f>E48-'Segment - CCB'!E70</f>
        <v>55</v>
      </c>
      <c r="F199" s="23">
        <f>F48-'Segment - CCB'!F70</f>
        <v>6</v>
      </c>
      <c r="G199" s="23">
        <f>G48-'Segment - CCB'!G70</f>
        <v>11</v>
      </c>
      <c r="H199" s="53">
        <f>H48-'Segment - CCB'!H70</f>
        <v>11</v>
      </c>
      <c r="I199" s="1"/>
      <c r="J199" s="1"/>
    </row>
    <row r="200">
      <c r="A200" s="1"/>
      <c r="B200" s="21" t="s">
        <v>790</v>
      </c>
      <c r="C200" s="23">
        <f>C55-'Segment - CCB'!C77-'Segment - CIB'!C194</f>
        <v>13</v>
      </c>
      <c r="D200" s="23">
        <f>D55-'Segment - CCB'!D77-'Segment - CIB'!D194</f>
        <v>17</v>
      </c>
      <c r="E200" s="23">
        <f>E55-'Segment - CCB'!E77-'Segment - CIB'!E194</f>
        <v>54</v>
      </c>
      <c r="F200" s="23">
        <f>F55-'Segment - CCB'!F77-'Segment - CIB'!F194</f>
        <v>13</v>
      </c>
      <c r="G200" s="23">
        <f>G55-'Segment - CCB'!G77-'Segment - CIB'!G194</f>
        <v>8</v>
      </c>
      <c r="H200" s="53">
        <f>H55-'Segment - CCB'!H77-'Segment - CIB'!H194</f>
        <v>7.999999999999886</v>
      </c>
      <c r="I200" s="1"/>
      <c r="J200" s="1"/>
    </row>
    <row r="201">
      <c r="A201" s="1"/>
      <c r="B201" s="1"/>
      <c r="C201" s="1"/>
      <c r="D201" s="1"/>
      <c r="E201" s="1"/>
      <c r="F201" s="1"/>
      <c r="G201" s="1"/>
      <c r="H201" s="30"/>
      <c r="I201" s="1"/>
      <c r="J201" s="1"/>
    </row>
    <row r="202" ht="39">
      <c r="A202" s="1"/>
      <c r="B202" s="113" t="s">
        <v>158</v>
      </c>
      <c r="C202" s="116" t="s">
        <v>159</v>
      </c>
      <c r="D202" s="116" t="s">
        <v>160</v>
      </c>
      <c r="E202" s="116" t="s">
        <v>161</v>
      </c>
      <c r="F202" s="116" t="s">
        <v>162</v>
      </c>
      <c r="G202" s="116" t="s">
        <v>163</v>
      </c>
      <c r="H202" s="117" t="s">
        <v>57</v>
      </c>
      <c r="I202" s="1"/>
      <c r="J202" s="125" t="s">
        <v>164</v>
      </c>
    </row>
    <row r="203">
      <c r="A203" s="1"/>
      <c r="B203" s="21" t="s">
        <v>505</v>
      </c>
      <c r="C203" s="3">
        <v>2231</v>
      </c>
      <c r="D203" s="3">
        <v>2421</v>
      </c>
      <c r="E203" s="3">
        <v>8910</v>
      </c>
      <c r="F203" s="3">
        <v>2178</v>
      </c>
      <c r="G203" s="3">
        <v>2499</v>
      </c>
      <c r="H203" s="29">
        <f>C10</f>
        <v>2612</v>
      </c>
      <c r="I203" s="1"/>
      <c r="J203" s="1"/>
    </row>
    <row r="204">
      <c r="A204" s="1"/>
      <c r="B204" s="21" t="s">
        <v>506</v>
      </c>
      <c r="C204" s="3">
        <v>5988</v>
      </c>
      <c r="D204" s="3">
        <v>5195</v>
      </c>
      <c r="E204" s="3">
        <v>24787</v>
      </c>
      <c r="F204" s="3">
        <v>7614</v>
      </c>
      <c r="G204" s="3">
        <v>7149</v>
      </c>
      <c r="H204" s="29">
        <f>C17</f>
        <v>7109</v>
      </c>
      <c r="I204" s="1"/>
      <c r="J204" s="1"/>
    </row>
    <row r="205">
      <c r="A205" s="1"/>
      <c r="B205" s="21" t="s">
        <v>330</v>
      </c>
      <c r="C205" s="3">
        <v>1924</v>
      </c>
      <c r="D205" s="3">
        <v>1952</v>
      </c>
      <c r="E205" s="3">
        <v>7606</v>
      </c>
      <c r="F205" s="3">
        <v>2132</v>
      </c>
      <c r="G205" s="3">
        <v>2248</v>
      </c>
      <c r="H205" s="29">
        <f>C24</f>
        <v>2349</v>
      </c>
      <c r="I205" s="1"/>
      <c r="J205" s="1"/>
    </row>
    <row r="206">
      <c r="A206" s="1"/>
      <c r="B206" s="21" t="s">
        <v>331</v>
      </c>
      <c r="C206" s="3">
        <v>4479</v>
      </c>
      <c r="D206" s="3">
        <v>4874</v>
      </c>
      <c r="E206" s="3">
        <v>17801</v>
      </c>
      <c r="F206" s="3">
        <v>4700</v>
      </c>
      <c r="G206" s="3">
        <v>4806</v>
      </c>
      <c r="H206" s="29">
        <f>C31</f>
        <v>5120</v>
      </c>
      <c r="I206" s="1"/>
      <c r="J206" s="1"/>
    </row>
    <row r="207">
      <c r="A207" s="1"/>
      <c r="B207" s="21" t="s">
        <v>507</v>
      </c>
      <c r="C207" s="3">
        <v>1936</v>
      </c>
      <c r="D207" s="3">
        <v>1865</v>
      </c>
      <c r="E207" s="3">
        <v>7530</v>
      </c>
      <c r="F207" s="3">
        <v>2033</v>
      </c>
      <c r="G207" s="3">
        <v>2194</v>
      </c>
      <c r="H207" s="29">
        <f>C38</f>
        <v>2204</v>
      </c>
      <c r="I207" s="1"/>
      <c r="J207" s="1"/>
    </row>
    <row r="208">
      <c r="A208" s="1"/>
      <c r="B208" s="21" t="s">
        <v>681</v>
      </c>
      <c r="C208" s="3">
        <v>-16</v>
      </c>
      <c r="D208" s="3">
        <v>-92</v>
      </c>
      <c r="E208" s="3">
        <v>-1021</v>
      </c>
      <c r="F208" s="3">
        <v>-37</v>
      </c>
      <c r="G208" s="3">
        <v>-54</v>
      </c>
      <c r="H208" s="29">
        <f>C45</f>
        <v>105</v>
      </c>
      <c r="I208" s="1"/>
      <c r="J208" s="1"/>
    </row>
    <row r="209">
      <c r="A209" s="1"/>
      <c r="B209" s="21" t="s">
        <v>334</v>
      </c>
      <c r="C209" s="3">
        <v>402</v>
      </c>
      <c r="D209" s="3">
        <v>376</v>
      </c>
      <c r="E209" s="3">
        <v>1401</v>
      </c>
      <c r="F209" s="3">
        <v>278</v>
      </c>
      <c r="G209" s="3">
        <v>363</v>
      </c>
      <c r="H209" s="29">
        <f>C48</f>
        <v>383</v>
      </c>
      <c r="I209" s="1"/>
      <c r="J209" s="1"/>
    </row>
    <row r="210">
      <c r="A210" s="1"/>
      <c r="B210" s="21" t="s">
        <v>335</v>
      </c>
      <c r="C210" s="3">
        <v>1345</v>
      </c>
      <c r="D210" s="3">
        <v>1602</v>
      </c>
      <c r="E210" s="3">
        <v>5497</v>
      </c>
      <c r="F210" s="3">
        <v>1216</v>
      </c>
      <c r="G210" s="3">
        <v>1344</v>
      </c>
      <c r="H210" s="29">
        <f>C55</f>
        <v>1140</v>
      </c>
      <c r="I210" s="1"/>
      <c r="J210" s="1"/>
    </row>
    <row r="211">
      <c r="A211" s="1"/>
      <c r="B211" s="21" t="s">
        <v>791</v>
      </c>
      <c r="C211" s="3">
        <v>960</v>
      </c>
      <c r="D211" s="3">
        <v>1225</v>
      </c>
      <c r="E211" s="3">
        <v>12462</v>
      </c>
      <c r="F211" s="3">
        <v>1923</v>
      </c>
      <c r="G211" s="3">
        <v>1154</v>
      </c>
      <c r="H211" s="29">
        <f>C62</f>
        <v>1439</v>
      </c>
      <c r="I211" s="1"/>
      <c r="J211" s="1"/>
    </row>
    <row r="212">
      <c r="A212" s="1"/>
      <c r="B212" s="21" t="s">
        <v>337</v>
      </c>
      <c r="C212" s="10">
        <f>C203+C204+C205+C206+C207+C208+C209+C210+C211</f>
        <v>19249</v>
      </c>
      <c r="D212" s="10">
        <f>D203+D204+D205+D206+D207+D208+D209+D210+D211</f>
        <v>19418</v>
      </c>
      <c r="E212" s="10">
        <f>E203+E204+E205+E206+E207+E208+E209+E210+E211</f>
        <v>84973</v>
      </c>
      <c r="F212" s="10">
        <f>F203+F204+F205+F206+F207+F208+F209+F210+F211</f>
        <v>22037</v>
      </c>
      <c r="G212" s="10">
        <f>G203+G204+G205+G206+G207+G208+G209+G210+G211</f>
        <v>21703</v>
      </c>
      <c r="H212" s="29">
        <f>C69</f>
        <v>22461</v>
      </c>
      <c r="I212" s="1"/>
      <c r="J212" s="1"/>
    </row>
    <row r="213">
      <c r="A213" s="1"/>
      <c r="B213" s="21" t="s">
        <v>792</v>
      </c>
      <c r="C213" s="3">
        <v>50416</v>
      </c>
      <c r="D213" s="3">
        <v>47566</v>
      </c>
      <c r="E213" s="3">
        <v>193933</v>
      </c>
      <c r="F213" s="3">
        <v>46853</v>
      </c>
      <c r="G213" s="3">
        <v>48241</v>
      </c>
      <c r="H213" s="29">
        <f>C76</f>
        <v>49439</v>
      </c>
      <c r="I213" s="1"/>
      <c r="J213" s="1"/>
    </row>
    <row r="214">
      <c r="A214" s="1"/>
      <c r="B214" s="21" t="s">
        <v>793</v>
      </c>
      <c r="C214" s="3">
        <v>27011</v>
      </c>
      <c r="D214" s="3">
        <v>24216</v>
      </c>
      <c r="E214" s="3">
        <v>101350</v>
      </c>
      <c r="F214" s="3">
        <v>23580</v>
      </c>
      <c r="G214" s="3">
        <v>25032</v>
      </c>
      <c r="H214" s="29">
        <f>C79</f>
        <v>25473</v>
      </c>
      <c r="I214" s="1"/>
      <c r="J214" s="1"/>
    </row>
    <row r="215">
      <c r="A215" s="1"/>
      <c r="B215" s="21" t="s">
        <v>338</v>
      </c>
      <c r="C215" s="10">
        <f>C213-C214</f>
        <v>23405</v>
      </c>
      <c r="D215" s="10">
        <f>D213-D214</f>
        <v>23350</v>
      </c>
      <c r="E215" s="10">
        <f>E213-E214</f>
        <v>92583</v>
      </c>
      <c r="F215" s="10">
        <f>F213-F214</f>
        <v>23273</v>
      </c>
      <c r="G215" s="10">
        <f>G213-G214</f>
        <v>23209</v>
      </c>
      <c r="H215" s="29">
        <f>C82</f>
        <v>23966</v>
      </c>
      <c r="I215" s="1"/>
      <c r="J215" s="1"/>
    </row>
    <row r="216">
      <c r="A216" s="1"/>
      <c r="B216" s="21" t="s">
        <v>794</v>
      </c>
      <c r="C216" s="10">
        <f>C212+C215</f>
        <v>42654</v>
      </c>
      <c r="D216" s="10">
        <f>D212+D215</f>
        <v>42768</v>
      </c>
      <c r="E216" s="10">
        <f>E212+E215</f>
        <v>177556</v>
      </c>
      <c r="F216" s="10">
        <f>F212+F215</f>
        <v>45310</v>
      </c>
      <c r="G216" s="10">
        <f>G212+G215</f>
        <v>44912</v>
      </c>
      <c r="H216" s="29">
        <f>C89</f>
        <v>46427</v>
      </c>
      <c r="I216" s="1"/>
      <c r="J216" s="1"/>
    </row>
    <row r="217">
      <c r="A217" s="1"/>
      <c r="B217" s="21" t="s">
        <v>383</v>
      </c>
      <c r="C217" s="3">
        <v>3111</v>
      </c>
      <c r="D217" s="3">
        <v>2631</v>
      </c>
      <c r="E217" s="3">
        <v>10678</v>
      </c>
      <c r="F217" s="3">
        <v>3305</v>
      </c>
      <c r="G217" s="3">
        <v>2849</v>
      </c>
      <c r="H217" s="29">
        <f>C95</f>
        <v>3403</v>
      </c>
      <c r="I217" s="1"/>
      <c r="J217" s="1"/>
    </row>
    <row r="218">
      <c r="A218" s="1"/>
      <c r="B218" s="21" t="s">
        <v>795</v>
      </c>
      <c r="C218" s="3">
        <v>12817</v>
      </c>
      <c r="D218" s="3">
        <v>12469</v>
      </c>
      <c r="E218" s="3">
        <v>51357</v>
      </c>
      <c r="F218" s="3">
        <v>14093</v>
      </c>
      <c r="G218" s="3">
        <v>13710</v>
      </c>
      <c r="H218" s="29">
        <f>C100</f>
        <v>13566</v>
      </c>
      <c r="I218" s="1"/>
      <c r="J218" s="1"/>
    </row>
    <row r="219">
      <c r="A219" s="1"/>
      <c r="B219" s="21" t="s">
        <v>796</v>
      </c>
      <c r="C219" s="3">
        <v>1258</v>
      </c>
      <c r="D219" s="3">
        <v>1309</v>
      </c>
      <c r="E219" s="3">
        <v>5026</v>
      </c>
      <c r="F219" s="3">
        <v>1302</v>
      </c>
      <c r="G219" s="3">
        <v>1264</v>
      </c>
      <c r="H219" s="29">
        <f>C103</f>
        <v>1420</v>
      </c>
      <c r="I219" s="1"/>
      <c r="J219" s="1"/>
    </row>
    <row r="220">
      <c r="A220" s="1"/>
      <c r="B220" s="21" t="s">
        <v>797</v>
      </c>
      <c r="C220" s="3">
        <v>2447</v>
      </c>
      <c r="D220" s="3">
        <v>2516</v>
      </c>
      <c r="E220" s="3">
        <v>9831</v>
      </c>
      <c r="F220" s="3">
        <v>2578</v>
      </c>
      <c r="G220" s="3">
        <v>2704</v>
      </c>
      <c r="H220" s="29">
        <f>C106</f>
        <v>2839</v>
      </c>
      <c r="I220" s="1"/>
      <c r="J220" s="1"/>
    </row>
    <row r="221">
      <c r="A221" s="1"/>
      <c r="B221" s="21" t="s">
        <v>798</v>
      </c>
      <c r="C221" s="3">
        <v>2780</v>
      </c>
      <c r="D221" s="3">
        <v>3007</v>
      </c>
      <c r="E221" s="3">
        <v>11057</v>
      </c>
      <c r="F221" s="3">
        <v>2839</v>
      </c>
      <c r="G221" s="3">
        <v>3006</v>
      </c>
      <c r="H221" s="29">
        <f>C109</f>
        <v>3173</v>
      </c>
      <c r="I221" s="1"/>
      <c r="J221" s="1"/>
    </row>
    <row r="222">
      <c r="A222" s="1"/>
      <c r="B222" s="21" t="s">
        <v>799</v>
      </c>
      <c r="C222" s="3">
        <v>1258</v>
      </c>
      <c r="D222" s="3">
        <v>1335</v>
      </c>
      <c r="E222" s="3">
        <v>4974</v>
      </c>
      <c r="F222" s="3">
        <v>1304</v>
      </c>
      <c r="G222" s="3">
        <v>1279</v>
      </c>
      <c r="H222" s="29">
        <f>C112</f>
        <v>1480</v>
      </c>
      <c r="I222" s="1"/>
      <c r="J222" s="1"/>
    </row>
    <row r="223">
      <c r="A223" s="1"/>
      <c r="B223" s="21" t="s">
        <v>800</v>
      </c>
      <c r="C223" s="3">
        <v>2005</v>
      </c>
      <c r="D223" s="3">
        <v>2126</v>
      </c>
      <c r="E223" s="3">
        <v>9552</v>
      </c>
      <c r="F223" s="3">
        <v>1481</v>
      </c>
      <c r="G223" s="3">
        <v>1816</v>
      </c>
      <c r="H223" s="29">
        <f>C115</f>
        <v>1803</v>
      </c>
      <c r="I223" s="1"/>
      <c r="J223" s="1"/>
    </row>
    <row r="224">
      <c r="A224" s="1"/>
      <c r="B224" s="21" t="s">
        <v>801</v>
      </c>
      <c r="C224" s="10">
        <f>C218+C219+C220+C221+C222+C223</f>
        <v>22565</v>
      </c>
      <c r="D224" s="10">
        <f>D218+D219+D220+D221+D222+D223</f>
        <v>22762</v>
      </c>
      <c r="E224" s="10">
        <f>E218+E219+E220+E221+E222+E223</f>
        <v>91797</v>
      </c>
      <c r="F224" s="10">
        <f>F218+F219+F220+F221+F222+F223</f>
        <v>23597</v>
      </c>
      <c r="G224" s="10">
        <f>G218+G219+G220+G221+G222+G223</f>
        <v>23779</v>
      </c>
      <c r="H224" s="29">
        <f>C118</f>
        <v>24281</v>
      </c>
      <c r="I224" s="1"/>
      <c r="J224" s="1"/>
    </row>
    <row r="225">
      <c r="A225" s="1"/>
      <c r="B225" s="21" t="s">
        <v>387</v>
      </c>
      <c r="C225" s="10">
        <f>C216-C217-C224</f>
        <v>16978</v>
      </c>
      <c r="D225" s="10">
        <f>D216-D217-D224</f>
        <v>17375</v>
      </c>
      <c r="E225" s="10">
        <f>E216-E217-E224</f>
        <v>75081</v>
      </c>
      <c r="F225" s="10">
        <f>F216-F217-F224</f>
        <v>18408</v>
      </c>
      <c r="G225" s="10">
        <f>G216-G217-G224</f>
        <v>18284</v>
      </c>
      <c r="H225" s="29">
        <f>C125</f>
        <v>18743</v>
      </c>
      <c r="I225" s="1"/>
      <c r="J225" s="1"/>
    </row>
    <row r="226">
      <c r="A226" s="1"/>
      <c r="B226" s="21" t="s">
        <v>388</v>
      </c>
      <c r="C226" s="3">
        <v>4080</v>
      </c>
      <c r="D226" s="3">
        <v>3370</v>
      </c>
      <c r="E226" s="3">
        <v>16610</v>
      </c>
      <c r="F226" s="3">
        <v>3765</v>
      </c>
      <c r="G226" s="3">
        <v>3297</v>
      </c>
      <c r="H226" s="29">
        <f>C128</f>
        <v>4350</v>
      </c>
      <c r="I226" s="1"/>
      <c r="J226" s="1"/>
    </row>
    <row r="227">
      <c r="A227" s="1"/>
      <c r="B227" s="21" t="s">
        <v>389</v>
      </c>
      <c r="C227" s="12">
        <f>C226/C225</f>
        <v>0.2403109906938391</v>
      </c>
      <c r="D227" s="12">
        <f>D226/D225</f>
        <v>0.1939568345323741</v>
      </c>
      <c r="E227" s="12">
        <f>E226/E225</f>
        <v>0.22122774070670342</v>
      </c>
      <c r="F227" s="12">
        <f>F226/F225</f>
        <v>0.20453063885267275</v>
      </c>
      <c r="G227" s="12">
        <f>G226/G225</f>
        <v>0.18032159264931089</v>
      </c>
      <c r="H227" s="62">
        <f>C131</f>
        <v>0.23208664568105425</v>
      </c>
      <c r="I227" s="1"/>
      <c r="J227" s="1"/>
    </row>
    <row r="228">
      <c r="A228" s="1"/>
      <c r="B228" s="21" t="s">
        <v>802</v>
      </c>
      <c r="C228" s="10">
        <f>C225-C226</f>
        <v>12898</v>
      </c>
      <c r="D228" s="10">
        <f>D225-D226</f>
        <v>14005</v>
      </c>
      <c r="E228" s="10">
        <f>E225-E226</f>
        <v>58471</v>
      </c>
      <c r="F228" s="10">
        <f>F225-F226</f>
        <v>14643</v>
      </c>
      <c r="G228" s="10">
        <f>G225-G226</f>
        <v>14987</v>
      </c>
      <c r="H228" s="29">
        <f>C134</f>
        <v>14393</v>
      </c>
      <c r="I228" s="1"/>
      <c r="J228" s="1"/>
    </row>
    <row r="229">
      <c r="A229" s="1"/>
      <c r="B229" s="21" t="s">
        <v>803</v>
      </c>
      <c r="C229" s="3">
        <v>286</v>
      </c>
      <c r="D229" s="3">
        <v>259</v>
      </c>
      <c r="E229" s="3">
        <v>1259</v>
      </c>
      <c r="F229" s="3">
        <v>255</v>
      </c>
      <c r="G229" s="3">
        <v>282</v>
      </c>
      <c r="H229" s="29">
        <f>C137</f>
        <v>282</v>
      </c>
      <c r="I229" s="1"/>
      <c r="J229" s="1"/>
    </row>
    <row r="230">
      <c r="A230" s="1"/>
      <c r="B230" s="21" t="s">
        <v>804</v>
      </c>
      <c r="C230" s="10">
        <f>C228-C229</f>
        <v>12612</v>
      </c>
      <c r="D230" s="10">
        <f>D228-D229</f>
        <v>13746</v>
      </c>
      <c r="E230" s="10">
        <f>E228-E229</f>
        <v>57212</v>
      </c>
      <c r="F230" s="10">
        <f>F228-F229</f>
        <v>14388</v>
      </c>
      <c r="G230" s="10">
        <f>G228-G229</f>
        <v>14705</v>
      </c>
      <c r="H230" s="29">
        <f>C140</f>
        <v>14111</v>
      </c>
      <c r="I230" s="1"/>
      <c r="J230" s="1"/>
    </row>
    <row r="231">
      <c r="A231" s="1"/>
      <c r="B231" s="21" t="s">
        <v>805</v>
      </c>
      <c r="C231" s="3">
        <v>75</v>
      </c>
      <c r="D231" s="3">
        <v>77</v>
      </c>
      <c r="E231" s="3">
        <v>344</v>
      </c>
      <c r="F231" s="3">
        <v>71</v>
      </c>
      <c r="G231" s="3">
        <v>75</v>
      </c>
      <c r="H231" s="29">
        <f>C141</f>
        <v>68</v>
      </c>
      <c r="I231" s="1"/>
      <c r="J231" s="1"/>
    </row>
    <row r="232">
      <c r="A232" s="1"/>
      <c r="B232" s="21" t="s">
        <v>806</v>
      </c>
      <c r="C232" s="12">
        <f>C231/C230</f>
        <v>0.005946717411988582</v>
      </c>
      <c r="D232" s="12">
        <f>D231/D230</f>
        <v>0.005601629564964353</v>
      </c>
      <c r="E232" s="12">
        <f>E231/E230</f>
        <v>0.006012724603230091</v>
      </c>
      <c r="F232" s="12">
        <f>F231/F230</f>
        <v>0.004934667778704476</v>
      </c>
      <c r="G232" s="12">
        <f>G231/G230</f>
        <v>0.0051003060183611015</v>
      </c>
      <c r="H232" s="62">
        <f>C144</f>
        <v>0.004818935582169938</v>
      </c>
      <c r="I232" s="1"/>
      <c r="J232" s="1"/>
    </row>
    <row r="233">
      <c r="A233" s="1"/>
      <c r="B233" s="21" t="s">
        <v>807</v>
      </c>
      <c r="C233" s="10">
        <f>C230-C231</f>
        <v>12537</v>
      </c>
      <c r="D233" s="10">
        <f>D230-D231</f>
        <v>13669</v>
      </c>
      <c r="E233" s="10">
        <f>E230-E231</f>
        <v>56868</v>
      </c>
      <c r="F233" s="10">
        <f>F230-F231</f>
        <v>14317</v>
      </c>
      <c r="G233" s="10">
        <f>G230-G231</f>
        <v>14630</v>
      </c>
      <c r="H233" s="29">
        <f>C147</f>
        <v>14043</v>
      </c>
      <c r="I233" s="1"/>
      <c r="J233" s="1"/>
    </row>
    <row r="234">
      <c r="A234" s="1"/>
      <c r="B234" s="21" t="s">
        <v>808</v>
      </c>
      <c r="C234" s="41">
        <v>4.37</v>
      </c>
      <c r="D234" s="41">
        <v>4.81</v>
      </c>
      <c r="E234" s="41">
        <v>19.75</v>
      </c>
      <c r="F234" s="41">
        <v>5.07</v>
      </c>
      <c r="G234" s="41">
        <v>5.24</v>
      </c>
      <c r="H234" s="57">
        <f>C152</f>
        <v>5.074071397600809</v>
      </c>
      <c r="I234" s="1"/>
      <c r="J234" s="1"/>
    </row>
    <row r="235">
      <c r="A235" s="1"/>
      <c r="B235" s="21" t="s">
        <v>392</v>
      </c>
      <c r="C235" s="12">
        <f>C225/C216</f>
        <v>0.39804004313780655</v>
      </c>
      <c r="D235" s="12">
        <f>D225/D216</f>
        <v>0.4062616909839132</v>
      </c>
      <c r="E235" s="12">
        <f>E225/E216</f>
        <v>0.42285814053031157</v>
      </c>
      <c r="F235" s="12">
        <f>F225/F216</f>
        <v>0.4062679320238358</v>
      </c>
      <c r="G235" s="12">
        <f>G225/G216</f>
        <v>0.4071072319201995</v>
      </c>
      <c r="H235" s="62">
        <f>C158</f>
        <v>0.40370904861395307</v>
      </c>
      <c r="I235" s="1"/>
      <c r="J235" s="1"/>
    </row>
    <row r="236">
      <c r="A236" s="1"/>
      <c r="B236" s="21" t="s">
        <v>809</v>
      </c>
      <c r="C236" s="12">
        <f>C224/C216</f>
        <v>0.5290242415717166</v>
      </c>
      <c r="D236" s="12">
        <f>D224/D216</f>
        <v>0.5322203516647961</v>
      </c>
      <c r="E236" s="12">
        <f>E224/E216</f>
        <v>0.5170030863502219</v>
      </c>
      <c r="F236" s="12">
        <f>F224/F216</f>
        <v>0.5207901125579343</v>
      </c>
      <c r="G236" s="12">
        <f>G224/G216</f>
        <v>0.5294576059850374</v>
      </c>
      <c r="H236" s="62">
        <f>C161</f>
        <v>0.5229930859198312</v>
      </c>
      <c r="I236" s="1"/>
      <c r="J236" s="1"/>
    </row>
    <row r="237">
      <c r="A237" s="1"/>
      <c r="B237" s="21" t="s">
        <v>810</v>
      </c>
      <c r="C237" s="12">
        <f>C228/C216</f>
        <v>0.30238664603554183</v>
      </c>
      <c r="D237" s="12">
        <f>D228/D216</f>
        <v>0.32746445940890384</v>
      </c>
      <c r="E237" s="12">
        <f>E228/E216</f>
        <v>0.32931018946135304</v>
      </c>
      <c r="F237" s="12">
        <f>F228/F216</f>
        <v>0.32317369234164645</v>
      </c>
      <c r="G237" s="12">
        <f>G228/G216</f>
        <v>0.33369700748129677</v>
      </c>
      <c r="H237" s="62">
        <f>C164</f>
        <v>0.31001356969005106</v>
      </c>
      <c r="I237" s="1"/>
      <c r="J237" s="1"/>
    </row>
    <row r="238">
      <c r="A238" s="1"/>
      <c r="B238" s="21" t="s">
        <v>811</v>
      </c>
      <c r="C238" s="3">
        <v>321894</v>
      </c>
      <c r="D238" s="3">
        <v>318376</v>
      </c>
      <c r="E238" s="3">
        <v>312370</v>
      </c>
      <c r="F238" s="3">
        <v>324345</v>
      </c>
      <c r="G238" s="3">
        <v>329797</v>
      </c>
      <c r="H238" s="29">
        <f>C167</f>
        <v>336335</v>
      </c>
      <c r="I238" s="1"/>
      <c r="J238" s="1"/>
    </row>
    <row r="239">
      <c r="A239" s="1"/>
      <c r="B239" s="21" t="s">
        <v>812</v>
      </c>
      <c r="C239" s="12">
        <f>C230*365/C7/C238</f>
        <v>0.15544477104399207</v>
      </c>
      <c r="D239" s="12">
        <f>D230*365/D7/D238</f>
        <v>0.17129356757282338</v>
      </c>
      <c r="E239" s="12">
        <f>E230*365/E7/E238</f>
        <v>0.18315459231040113</v>
      </c>
      <c r="F239" s="12">
        <f>F230*365/F7/F238</f>
        <v>0.17990514215829853</v>
      </c>
      <c r="G239" s="12">
        <f>G230*365/G7/G238</f>
        <v>0.17884211623087357</v>
      </c>
      <c r="H239" s="62">
        <f>C171</f>
        <v>0.1664526697954485</v>
      </c>
      <c r="I239" s="1"/>
      <c r="J239" s="1"/>
    </row>
    <row r="240" ht="27">
      <c r="A240" s="1"/>
      <c r="B240" s="21" t="s">
        <v>813</v>
      </c>
      <c r="C240" s="1"/>
      <c r="D240" s="1"/>
      <c r="E240" s="1"/>
      <c r="F240" s="63">
        <f>Inputs!E99</f>
        <v>5.07</v>
      </c>
      <c r="G240" s="63">
        <f>Inputs!E100</f>
        <v>4.96</v>
      </c>
      <c r="H240" s="57">
        <f>C190</f>
        <v>5.07</v>
      </c>
      <c r="I240" s="1"/>
      <c r="J240" s="126" t="s">
        <v>814</v>
      </c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</row>
  </sheetData>
</worksheet>
</file>

<file path=xl/worksheets/sheet8.xml><?xml version="1.0" encoding="utf-8"?>
<worksheet xmlns="http://schemas.openxmlformats.org/spreadsheetml/2006/main" xmlns:r="http://schemas.openxmlformats.org/officeDocument/2006/relationships">
  <dimension ref="A1:J159"/>
  <sheetViews>
    <sheetView showGridLines="0" workbookViewId="0"/>
  </sheetViews>
  <sheetFormatPr defaultColWidth="8.42578125" defaultRowHeight="15"/>
  <cols>
    <col min="1" max="1" width="2" customWidth="1"/>
    <col min="2" max="2" width="38" customWidth="1"/>
    <col min="3" max="8" width="12" customWidth="1"/>
    <col min="9" max="9" width="2" customWidth="1"/>
    <col min="10" max="10" width="7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</row>
    <row r="2">
      <c r="A2" s="1"/>
      <c r="B2" s="38" t="s">
        <v>0</v>
      </c>
      <c r="C2" s="1"/>
      <c r="D2" s="1"/>
      <c r="E2" s="1"/>
      <c r="F2" s="1"/>
      <c r="G2" s="1"/>
      <c r="H2" s="1"/>
      <c r="I2" s="1"/>
      <c r="J2" s="1"/>
    </row>
    <row r="3">
      <c r="A3" s="1"/>
      <c r="B3" s="31" t="s">
        <v>815</v>
      </c>
      <c r="C3" s="1"/>
      <c r="D3" s="1"/>
      <c r="E3" s="1"/>
      <c r="F3" s="1"/>
      <c r="G3" s="1"/>
      <c r="H3" s="1"/>
      <c r="I3" s="1"/>
      <c r="J3" s="1"/>
    </row>
    <row r="4">
      <c r="A4" s="1"/>
      <c r="B4" s="24" t="s">
        <v>2</v>
      </c>
      <c r="C4" s="1"/>
      <c r="D4" s="1"/>
      <c r="E4" s="1"/>
      <c r="F4" s="1"/>
      <c r="G4" s="1"/>
      <c r="H4" s="1"/>
      <c r="I4" s="1"/>
      <c r="J4" s="1"/>
    </row>
    <row r="5">
      <c r="A5" s="1"/>
      <c r="B5" s="14" t="s">
        <v>89</v>
      </c>
      <c r="C5" s="11" t="s">
        <v>57</v>
      </c>
      <c r="D5" s="11" t="s">
        <v>90</v>
      </c>
      <c r="E5" s="11" t="s">
        <v>91</v>
      </c>
      <c r="F5" s="11" t="s">
        <v>92</v>
      </c>
      <c r="G5" s="11" t="s">
        <v>59</v>
      </c>
      <c r="H5" s="11" t="s">
        <v>56</v>
      </c>
      <c r="I5" s="14"/>
      <c r="J5" s="14" t="s">
        <v>93</v>
      </c>
    </row>
    <row r="6">
      <c r="A6" s="1"/>
      <c r="B6" s="19" t="s">
        <v>94</v>
      </c>
      <c r="C6" s="13">
        <v>45930</v>
      </c>
      <c r="D6" s="13">
        <v>46022</v>
      </c>
      <c r="E6" s="13">
        <v>46022</v>
      </c>
      <c r="F6" s="13">
        <v>46112</v>
      </c>
      <c r="G6" s="13">
        <v>46203</v>
      </c>
      <c r="H6" s="13">
        <v>46295</v>
      </c>
      <c r="I6" s="19"/>
      <c r="J6" s="19"/>
    </row>
    <row r="7">
      <c r="A7" s="1"/>
      <c r="B7" s="28" t="s">
        <v>95</v>
      </c>
      <c r="C7" s="9">
        <v>92</v>
      </c>
      <c r="D7" s="9">
        <v>92</v>
      </c>
      <c r="E7" s="9">
        <v>365</v>
      </c>
      <c r="F7" s="9">
        <v>90</v>
      </c>
      <c r="G7" s="9">
        <v>91</v>
      </c>
      <c r="H7" s="9">
        <v>92</v>
      </c>
      <c r="I7" s="28"/>
      <c r="J7" s="28"/>
    </row>
    <row r="8">
      <c r="A8" s="1"/>
      <c r="B8" s="1"/>
      <c r="C8" s="1"/>
      <c r="D8" s="1"/>
      <c r="E8" s="1"/>
      <c r="F8" s="1"/>
      <c r="G8" s="1"/>
      <c r="H8" s="30"/>
      <c r="I8" s="1"/>
      <c r="J8" s="1"/>
    </row>
    <row r="9">
      <c r="A9" s="1"/>
      <c r="B9" s="31" t="s">
        <v>816</v>
      </c>
      <c r="C9" s="1"/>
      <c r="D9" s="1"/>
      <c r="E9" s="1"/>
      <c r="F9" s="1"/>
      <c r="G9" s="1"/>
      <c r="H9" s="30"/>
      <c r="I9" s="1"/>
      <c r="J9" s="1"/>
    </row>
    <row r="10">
      <c r="A10" s="1"/>
      <c r="B10" s="21" t="s">
        <v>817</v>
      </c>
      <c r="C10" s="3">
        <v>21821</v>
      </c>
      <c r="D10" s="3">
        <v>21742</v>
      </c>
      <c r="E10" s="10">
        <f>D10</f>
        <v>21742</v>
      </c>
      <c r="F10" s="3">
        <v>22039</v>
      </c>
      <c r="G10" s="3">
        <v>24720</v>
      </c>
      <c r="H10" s="29">
        <f>G10</f>
        <v>24720</v>
      </c>
      <c r="I10" s="1"/>
      <c r="J10" s="2" t="s">
        <v>818</v>
      </c>
    </row>
    <row r="11">
      <c r="A11" s="1"/>
      <c r="B11" s="51" t="s">
        <v>58</v>
      </c>
      <c r="C11" s="22">
        <f>IF(AND(ISNUMBER(C10),ISNUMBER(C124)),IF(OR(C124&lt;=0,C10&lt;0),"n.m.",C10/C124-1),"n.a.")</f>
        <v>-0.04695143256464007</v>
      </c>
      <c r="D11" s="22">
        <f>IF(AND(ISNUMBER(D10),ISNUMBER(D124)),IF(OR(D124&lt;=0,D10&lt;0),"n.m.",D10/D124-1),"n.a.")</f>
        <v>-0.06974157111073076</v>
      </c>
      <c r="E11" s="22">
        <f>IF(AND(ISNUMBER(E10),ISNUMBER(E124)),IF(OR(E124&lt;=0,E10&lt;0),"n.m.",E10/E124-1),"n.a.")</f>
        <v>-0.06974157111073076</v>
      </c>
      <c r="F11" s="22">
        <f>IF(AND(ISNUMBER(F10),ISNUMBER(F124)),IF(OR(F124&lt;=0,F10&lt;0),"n.m.",F10/F124-1),"n.a.")</f>
        <v>-0.0012236019215081662</v>
      </c>
      <c r="G11" s="22">
        <f>IF(AND(ISNUMBER(G10),ISNUMBER(G124)),IF(OR(G124&lt;=0,G10&lt;0),"n.m.",G10/G124-1),"n.a.")</f>
        <v>0.04044783029588794</v>
      </c>
      <c r="H11" s="39">
        <f>IF(AND(ISNUMBER(H10),ISNUMBER(C10)),IF(OR(C10&lt;=0,H10&lt;0),"n.m.",H10/C10-1),"n.a.")</f>
        <v>0.13285367306722873</v>
      </c>
      <c r="I11" s="1"/>
      <c r="J11" s="1"/>
    </row>
    <row r="12">
      <c r="A12" s="1"/>
      <c r="B12" s="20" t="s">
        <v>114</v>
      </c>
      <c r="C12" s="10">
        <f>C10-G124</f>
        <v>-1938</v>
      </c>
      <c r="D12" s="10">
        <f>D10-C10</f>
        <v>-79</v>
      </c>
      <c r="E12" s="1"/>
      <c r="F12" s="10">
        <f>F10-D10</f>
        <v>297</v>
      </c>
      <c r="G12" s="10">
        <f>G10-F10</f>
        <v>2681</v>
      </c>
      <c r="H12" s="29">
        <f>H10-G10</f>
        <v>0</v>
      </c>
      <c r="I12" s="1"/>
      <c r="J12" s="1"/>
    </row>
    <row r="13">
      <c r="A13" s="1"/>
      <c r="B13" s="21" t="s">
        <v>819</v>
      </c>
      <c r="C13" s="3">
        <v>281615</v>
      </c>
      <c r="D13" s="3">
        <v>321596</v>
      </c>
      <c r="E13" s="10">
        <f>D13</f>
        <v>321596</v>
      </c>
      <c r="F13" s="3">
        <v>290103</v>
      </c>
      <c r="G13" s="3">
        <v>285091</v>
      </c>
      <c r="H13" s="29">
        <f>H116-H10-H16-H19-H22-H25-H34-H44-H47-H50-H53-H56</f>
        <v>294163.56285257614</v>
      </c>
      <c r="I13" s="1"/>
      <c r="J13" s="2" t="s">
        <v>820</v>
      </c>
    </row>
    <row r="14">
      <c r="A14" s="1"/>
      <c r="B14" s="51" t="s">
        <v>58</v>
      </c>
      <c r="C14" s="22">
        <f>IF(AND(ISNUMBER(C13),ISNUMBER(C125)),IF(OR(C125&lt;=0,C13&lt;0),"n.m.",C13/C125-1),"n.a.")</f>
        <v>-0.315411654884725</v>
      </c>
      <c r="D14" s="22">
        <f>IF(AND(ISNUMBER(D13),ISNUMBER(D125)),IF(OR(D125&lt;=0,D13&lt;0),"n.m.",D13/D125-1),"n.a.")</f>
        <v>-0.27884380360806826</v>
      </c>
      <c r="E14" s="22">
        <f>IF(AND(ISNUMBER(E13),ISNUMBER(E125)),IF(OR(E125&lt;=0,E13&lt;0),"n.m.",E13/E125-1),"n.a.")</f>
        <v>-0.27884380360806826</v>
      </c>
      <c r="F14" s="22">
        <f>IF(AND(ISNUMBER(F13),ISNUMBER(F125)),IF(OR(F125&lt;=0,F13&lt;0),"n.m.",F13/F125-1),"n.a.")</f>
        <v>-0.2816334313101573</v>
      </c>
      <c r="G14" s="22">
        <f>IF(AND(ISNUMBER(G13),ISNUMBER(G125)),IF(OR(G125&lt;=0,G13&lt;0),"n.m.",G13/G125-1),"n.a.")</f>
        <v>-0.2811043755421516</v>
      </c>
      <c r="H14" s="39">
        <f>IF(AND(ISNUMBER(H13),ISNUMBER(C13)),IF(OR(C13&lt;=0,H13&lt;0),"n.m.",H13/C13-1),"n.a.")</f>
        <v>0.044559284315736525</v>
      </c>
      <c r="I14" s="1"/>
      <c r="J14" s="1"/>
    </row>
    <row r="15">
      <c r="A15" s="1"/>
      <c r="B15" s="20" t="s">
        <v>114</v>
      </c>
      <c r="C15" s="10">
        <f>C13-G125</f>
        <v>-114953</v>
      </c>
      <c r="D15" s="10">
        <f>D13-C13</f>
        <v>39981</v>
      </c>
      <c r="E15" s="1"/>
      <c r="F15" s="10">
        <f>F13-D13</f>
        <v>-31493</v>
      </c>
      <c r="G15" s="10">
        <f>G13-F13</f>
        <v>-5012</v>
      </c>
      <c r="H15" s="29">
        <f>H13-G13</f>
        <v>9072.562852576142</v>
      </c>
      <c r="I15" s="1"/>
      <c r="J15" s="1"/>
    </row>
    <row r="16">
      <c r="A16" s="1"/>
      <c r="B16" s="21" t="s">
        <v>821</v>
      </c>
      <c r="C16" s="3">
        <v>425815</v>
      </c>
      <c r="D16" s="3">
        <v>336426</v>
      </c>
      <c r="E16" s="10">
        <f>D16</f>
        <v>336426</v>
      </c>
      <c r="F16" s="3">
        <v>482704</v>
      </c>
      <c r="G16" s="3">
        <v>446143</v>
      </c>
      <c r="H16" s="29">
        <f>G16</f>
        <v>446143</v>
      </c>
      <c r="I16" s="1"/>
      <c r="J16" s="2" t="s">
        <v>818</v>
      </c>
    </row>
    <row r="17">
      <c r="A17" s="1"/>
      <c r="B17" s="51" t="s">
        <v>58</v>
      </c>
      <c r="C17" s="22">
        <f>IF(AND(ISNUMBER(C16),ISNUMBER(C126)),IF(OR(C126&lt;=0,C16&lt;0),"n.m.",C16/C126-1),"n.a.")</f>
        <v>0.08953971255382909</v>
      </c>
      <c r="D17" s="22">
        <f>IF(AND(ISNUMBER(D16),ISNUMBER(D126)),IF(OR(D126&lt;=0,D16&lt;0),"n.m.",D16/D126-1),"n.a.")</f>
        <v>0.14042325280253287</v>
      </c>
      <c r="E17" s="22">
        <f>IF(AND(ISNUMBER(E16),ISNUMBER(E126)),IF(OR(E126&lt;=0,E16&lt;0),"n.m.",E16/E126-1),"n.a.")</f>
        <v>0.14042325280253287</v>
      </c>
      <c r="F17" s="22">
        <f>IF(AND(ISNUMBER(F16),ISNUMBER(F126)),IF(OR(F126&lt;=0,F16&lt;0),"n.m.",F16/F126-1),"n.a.")</f>
        <v>0.12385857240643894</v>
      </c>
      <c r="G17" s="22">
        <f>IF(AND(ISNUMBER(G16),ISNUMBER(G126)),IF(OR(G126&lt;=0,G16&lt;0),"n.m.",G16/G126-1),"n.a.")</f>
        <v>-0.05194766558504338</v>
      </c>
      <c r="H17" s="39">
        <f>IF(AND(ISNUMBER(H16),ISNUMBER(C16)),IF(OR(C16&lt;=0,H16&lt;0),"n.m.",H16/C16-1),"n.a.")</f>
        <v>0.047739041602573806</v>
      </c>
      <c r="I17" s="1"/>
      <c r="J17" s="1"/>
    </row>
    <row r="18">
      <c r="A18" s="1"/>
      <c r="B18" s="20" t="s">
        <v>114</v>
      </c>
      <c r="C18" s="10">
        <f>C16-G126</f>
        <v>-44774</v>
      </c>
      <c r="D18" s="10">
        <f>D16-C16</f>
        <v>-89389</v>
      </c>
      <c r="E18" s="1"/>
      <c r="F18" s="10">
        <f>F16-D16</f>
        <v>146278</v>
      </c>
      <c r="G18" s="10">
        <f>G16-F16</f>
        <v>-36561</v>
      </c>
      <c r="H18" s="29">
        <f>H16-G16</f>
        <v>0</v>
      </c>
      <c r="I18" s="1"/>
      <c r="J18" s="1"/>
    </row>
    <row r="19">
      <c r="A19" s="1"/>
      <c r="B19" s="21" t="s">
        <v>822</v>
      </c>
      <c r="C19" s="3">
        <v>248368</v>
      </c>
      <c r="D19" s="3">
        <v>286191</v>
      </c>
      <c r="E19" s="10">
        <f>D19</f>
        <v>286191</v>
      </c>
      <c r="F19" s="3">
        <v>284524</v>
      </c>
      <c r="G19" s="3">
        <v>362487</v>
      </c>
      <c r="H19" s="29">
        <f>G19</f>
        <v>362487</v>
      </c>
      <c r="I19" s="1"/>
      <c r="J19" s="2" t="s">
        <v>818</v>
      </c>
    </row>
    <row r="20">
      <c r="A20" s="1"/>
      <c r="B20" s="51" t="s">
        <v>58</v>
      </c>
      <c r="C20" s="22">
        <f>IF(AND(ISNUMBER(C19),ISNUMBER(C127)),IF(OR(C127&lt;=0,C19&lt;0),"n.m.",C19/C127-1),"n.a.")</f>
        <v>-0.016107180490742112</v>
      </c>
      <c r="D20" s="22">
        <f>IF(AND(ISNUMBER(D19),ISNUMBER(D127)),IF(OR(D127&lt;=0,D19&lt;0),"n.m.",D19/D127-1),"n.a.")</f>
        <v>0.3035582520291875</v>
      </c>
      <c r="E20" s="22">
        <f>IF(AND(ISNUMBER(E19),ISNUMBER(E127)),IF(OR(E127&lt;=0,E19&lt;0),"n.m.",E19/E127-1),"n.a.")</f>
        <v>0.3035582520291875</v>
      </c>
      <c r="F20" s="22">
        <f>IF(AND(ISNUMBER(F19),ISNUMBER(F127)),IF(OR(F127&lt;=0,F19&lt;0),"n.m.",F19/F127-1),"n.a.")</f>
        <v>0.19196320097862607</v>
      </c>
      <c r="G20" s="22">
        <f>IF(AND(ISNUMBER(G19),ISNUMBER(G127)),IF(OR(G127&lt;=0,G19&lt;0),"n.m.",G19/G127-1),"n.a.")</f>
        <v>0.6184189377433296</v>
      </c>
      <c r="H20" s="39">
        <f>IF(AND(ISNUMBER(H19),ISNUMBER(C19)),IF(OR(C19&lt;=0,H19&lt;0),"n.m.",H19/C19-1),"n.a.")</f>
        <v>0.45947545577530113</v>
      </c>
      <c r="I20" s="1"/>
      <c r="J20" s="1"/>
    </row>
    <row r="21">
      <c r="A21" s="1"/>
      <c r="B21" s="20" t="s">
        <v>114</v>
      </c>
      <c r="C21" s="10">
        <f>C19-G127</f>
        <v>24392</v>
      </c>
      <c r="D21" s="10">
        <f>D19-C19</f>
        <v>37823</v>
      </c>
      <c r="E21" s="1"/>
      <c r="F21" s="10">
        <f>F19-D19</f>
        <v>-1667</v>
      </c>
      <c r="G21" s="10">
        <f>G19-F19</f>
        <v>77963</v>
      </c>
      <c r="H21" s="29">
        <f>H19-G19</f>
        <v>0</v>
      </c>
      <c r="I21" s="1"/>
      <c r="J21" s="1"/>
    </row>
    <row r="22">
      <c r="A22" s="1"/>
      <c r="B22" s="21" t="s">
        <v>823</v>
      </c>
      <c r="C22" s="3">
        <v>892928</v>
      </c>
      <c r="D22" s="3">
        <v>745096</v>
      </c>
      <c r="E22" s="10">
        <f>D22</f>
        <v>745096</v>
      </c>
      <c r="F22" s="3">
        <v>997751</v>
      </c>
      <c r="G22" s="3">
        <v>994305</v>
      </c>
      <c r="H22" s="29">
        <f>G22</f>
        <v>994305</v>
      </c>
      <c r="I22" s="1"/>
      <c r="J22" s="2" t="s">
        <v>818</v>
      </c>
    </row>
    <row r="23">
      <c r="A23" s="1"/>
      <c r="B23" s="51" t="s">
        <v>58</v>
      </c>
      <c r="C23" s="22">
        <f>IF(AND(ISNUMBER(C22),ISNUMBER(C128)),IF(OR(C128&lt;=0,C22&lt;0),"n.m.",C22/C128-1),"n.a.")</f>
        <v>0.21498704635011867</v>
      </c>
      <c r="D23" s="22">
        <f>IF(AND(ISNUMBER(D22),ISNUMBER(D128)),IF(OR(D128&lt;=0,D22&lt;0),"n.m.",D22/D128-1),"n.a.")</f>
        <v>0.291737240754</v>
      </c>
      <c r="E23" s="22">
        <f>IF(AND(ISNUMBER(E22),ISNUMBER(E128)),IF(OR(E128&lt;=0,E22&lt;0),"n.m.",E22/E128-1),"n.a.")</f>
        <v>0.291737240754</v>
      </c>
      <c r="F23" s="22">
        <f>IF(AND(ISNUMBER(F22),ISNUMBER(F128)),IF(OR(F128&lt;=0,F22&lt;0),"n.m.",F22/F128-1),"n.a.")</f>
        <v>0.22473927901564328</v>
      </c>
      <c r="G23" s="22">
        <f>IF(AND(ISNUMBER(G22),ISNUMBER(G128)),IF(OR(G128&lt;=0,G22&lt;0),"n.m.",G22/G128-1),"n.a.")</f>
        <v>0.19866547720943695</v>
      </c>
      <c r="H23" s="39">
        <f>IF(AND(ISNUMBER(H22),ISNUMBER(C22)),IF(OR(C22&lt;=0,H22&lt;0),"n.m.",H22/C22-1),"n.a.")</f>
        <v>0.11353323000286708</v>
      </c>
      <c r="I23" s="1"/>
      <c r="J23" s="1"/>
    </row>
    <row r="24">
      <c r="A24" s="1"/>
      <c r="B24" s="20" t="s">
        <v>114</v>
      </c>
      <c r="C24" s="10">
        <f>C22-G128</f>
        <v>63418</v>
      </c>
      <c r="D24" s="10">
        <f>D22-C22</f>
        <v>-147832</v>
      </c>
      <c r="E24" s="1"/>
      <c r="F24" s="10">
        <f>F22-D22</f>
        <v>252655</v>
      </c>
      <c r="G24" s="10">
        <f>G22-F22</f>
        <v>-3446</v>
      </c>
      <c r="H24" s="29">
        <f>H22-G22</f>
        <v>0</v>
      </c>
      <c r="I24" s="1"/>
      <c r="J24" s="1"/>
    </row>
    <row r="25">
      <c r="A25" s="1"/>
      <c r="B25" s="21" t="s">
        <v>824</v>
      </c>
      <c r="C25" s="3">
        <v>59849</v>
      </c>
      <c r="D25" s="3">
        <v>57777</v>
      </c>
      <c r="E25" s="10">
        <f>D25</f>
        <v>57777</v>
      </c>
      <c r="F25" s="3">
        <v>71584</v>
      </c>
      <c r="G25" s="3">
        <v>67767</v>
      </c>
      <c r="H25" s="29">
        <f>G25</f>
        <v>67767</v>
      </c>
      <c r="I25" s="1"/>
      <c r="J25" s="2" t="s">
        <v>818</v>
      </c>
    </row>
    <row r="26">
      <c r="A26" s="1"/>
      <c r="B26" s="51" t="s">
        <v>58</v>
      </c>
      <c r="C26" s="22">
        <f>IF(AND(ISNUMBER(C25),ISNUMBER(C129)),IF(OR(C129&lt;=0,C25&lt;0),"n.m.",C25/C129-1),"n.a.")</f>
        <v>0.13865794029793954</v>
      </c>
      <c r="D26" s="22">
        <f>IF(AND(ISNUMBER(D25),ISNUMBER(D129)),IF(OR(D129&lt;=0,D25&lt;0),"n.m.",D25/D129-1),"n.a.")</f>
        <v>-0.05232338806239445</v>
      </c>
      <c r="E26" s="22">
        <f>IF(AND(ISNUMBER(E25),ISNUMBER(E129)),IF(OR(E129&lt;=0,E25&lt;0),"n.m.",E25/E129-1),"n.a.")</f>
        <v>-0.05232338806239445</v>
      </c>
      <c r="F26" s="22">
        <f>IF(AND(ISNUMBER(F25),ISNUMBER(F129)),IF(OR(F129&lt;=0,F25&lt;0),"n.m.",F25/F129-1),"n.a.")</f>
        <v>0.18244437470060615</v>
      </c>
      <c r="G26" s="22">
        <f>IF(AND(ISNUMBER(G25),ISNUMBER(G129)),IF(OR(G129&lt;=0,G25&lt;0),"n.m.",G25/G129-1),"n.a.")</f>
        <v>0.1229741822158883</v>
      </c>
      <c r="H26" s="39">
        <f>IF(AND(ISNUMBER(H25),ISNUMBER(C25)),IF(OR(C25&lt;=0,H25&lt;0),"n.m.",H25/C25-1),"n.a.")</f>
        <v>0.13229962071212542</v>
      </c>
      <c r="I26" s="1"/>
      <c r="J26" s="1"/>
    </row>
    <row r="27">
      <c r="A27" s="1"/>
      <c r="B27" s="20" t="s">
        <v>114</v>
      </c>
      <c r="C27" s="10">
        <f>C25-G129</f>
        <v>-497</v>
      </c>
      <c r="D27" s="10">
        <f>D25-C25</f>
        <v>-2072</v>
      </c>
      <c r="E27" s="1"/>
      <c r="F27" s="10">
        <f>F25-D25</f>
        <v>13807</v>
      </c>
      <c r="G27" s="10">
        <f>G25-F25</f>
        <v>-3817</v>
      </c>
      <c r="H27" s="29">
        <f>H25-G25</f>
        <v>0</v>
      </c>
      <c r="I27" s="1"/>
      <c r="J27" s="1"/>
    </row>
    <row r="28">
      <c r="A28" s="1"/>
      <c r="B28" s="20" t="s">
        <v>825</v>
      </c>
      <c r="C28" s="3">
        <v>490499</v>
      </c>
      <c r="D28" s="3">
        <v>507198</v>
      </c>
      <c r="E28" s="10">
        <f>D28</f>
        <v>507198</v>
      </c>
      <c r="F28" s="3">
        <v>549037</v>
      </c>
      <c r="G28" s="3">
        <v>536048</v>
      </c>
      <c r="H28" s="29">
        <f>G28</f>
        <v>536048</v>
      </c>
      <c r="I28" s="1"/>
      <c r="J28" s="2" t="s">
        <v>826</v>
      </c>
    </row>
    <row r="29">
      <c r="A29" s="1"/>
      <c r="B29" s="74" t="s">
        <v>58</v>
      </c>
      <c r="C29" s="22">
        <f>IF(AND(ISNUMBER(C28),ISNUMBER(C130)),IF(OR(C130&lt;=0,C28&lt;0),"n.m.",C28/C130-1),"n.a.")</f>
        <v>0.46615433360833114</v>
      </c>
      <c r="D29" s="22">
        <f>IF(AND(ISNUMBER(D28),ISNUMBER(D130)),IF(OR(D130&lt;=0,D28&lt;0),"n.m.",D28/D130-1),"n.a.")</f>
        <v>0.24664005584340254</v>
      </c>
      <c r="E29" s="22">
        <f>IF(AND(ISNUMBER(E28),ISNUMBER(E130)),IF(OR(E130&lt;=0,E28&lt;0),"n.m.",E28/E130-1),"n.a.")</f>
        <v>0.24664005584340254</v>
      </c>
      <c r="F29" s="22">
        <f>IF(AND(ISNUMBER(F28),ISNUMBER(F130)),IF(OR(F130&lt;=0,F28&lt;0),"n.m.",F28/F130-1),"n.a.")</f>
        <v>0.374781840080328</v>
      </c>
      <c r="G29" s="22">
        <f>IF(AND(ISNUMBER(G28),ISNUMBER(G130)),IF(OR(G130&lt;=0,G28&lt;0),"n.m.",G28/G130-1),"n.a.")</f>
        <v>0.10438831431043716</v>
      </c>
      <c r="H29" s="39">
        <f>IF(AND(ISNUMBER(H28),ISNUMBER(C28)),IF(OR(C28&lt;=0,H28&lt;0),"n.m.",H28/C28-1),"n.a.")</f>
        <v>0.09286257464337333</v>
      </c>
      <c r="I29" s="1"/>
      <c r="J29" s="1"/>
    </row>
    <row r="30">
      <c r="A30" s="1"/>
      <c r="B30" s="78" t="s">
        <v>114</v>
      </c>
      <c r="C30" s="10">
        <f>C28-G130</f>
        <v>5119</v>
      </c>
      <c r="D30" s="10">
        <f>D28-C28</f>
        <v>16699</v>
      </c>
      <c r="E30" s="1"/>
      <c r="F30" s="10">
        <f>F28-D28</f>
        <v>41839</v>
      </c>
      <c r="G30" s="10">
        <f>G28-F28</f>
        <v>-12989</v>
      </c>
      <c r="H30" s="29">
        <f>H28-G28</f>
        <v>0</v>
      </c>
      <c r="I30" s="1"/>
      <c r="J30" s="1"/>
    </row>
    <row r="31">
      <c r="A31" s="1"/>
      <c r="B31" s="20" t="s">
        <v>827</v>
      </c>
      <c r="C31" s="3">
        <v>293446</v>
      </c>
      <c r="D31" s="3">
        <v>270134</v>
      </c>
      <c r="E31" s="10">
        <f>D31</f>
        <v>270134</v>
      </c>
      <c r="F31" s="3">
        <v>272142</v>
      </c>
      <c r="G31" s="3">
        <v>268474</v>
      </c>
      <c r="H31" s="29">
        <f>G31</f>
        <v>268474</v>
      </c>
      <c r="I31" s="1"/>
      <c r="J31" s="2" t="s">
        <v>826</v>
      </c>
    </row>
    <row r="32">
      <c r="A32" s="1"/>
      <c r="B32" s="74" t="s">
        <v>58</v>
      </c>
      <c r="C32" s="22">
        <f>IF(AND(ISNUMBER(C31),ISNUMBER(C131)),IF(OR(C131&lt;=0,C31&lt;0),"n.m.",C31/C131-1),"n.a.")</f>
        <v>-0.021696660154557068</v>
      </c>
      <c r="D32" s="22">
        <f>IF(AND(ISNUMBER(D31),ISNUMBER(D131)),IF(OR(D131&lt;=0,D31&lt;0),"n.m.",D31/D131-1),"n.a.")</f>
        <v>-0.015790547531952748</v>
      </c>
      <c r="E32" s="22">
        <f>IF(AND(ISNUMBER(E31),ISNUMBER(E131)),IF(OR(E131&lt;=0,E31&lt;0),"n.m.",E31/E131-1),"n.a.")</f>
        <v>-0.015790547531952748</v>
      </c>
      <c r="F32" s="22">
        <f>IF(AND(ISNUMBER(F31),ISNUMBER(F131)),IF(OR(F131&lt;=0,F31&lt;0),"n.m.",F31/F131-1),"n.a.")</f>
        <v>0.026625522475894448</v>
      </c>
      <c r="G32" s="22">
        <f>IF(AND(ISNUMBER(G31),ISNUMBER(G131)),IF(OR(G131&lt;=0,G31&lt;0),"n.m.",G31/G131-1),"n.a.")</f>
        <v>0.030376997148438445</v>
      </c>
      <c r="H32" s="39">
        <f>IF(AND(ISNUMBER(H31),ISNUMBER(C31)),IF(OR(C31&lt;=0,H31&lt;0),"n.m.",H31/C31-1),"n.a.")</f>
        <v>-0.08509913237870004</v>
      </c>
      <c r="I32" s="1"/>
      <c r="J32" s="1"/>
    </row>
    <row r="33">
      <c r="A33" s="1"/>
      <c r="B33" s="78" t="s">
        <v>114</v>
      </c>
      <c r="C33" s="10">
        <f>C31-G131</f>
        <v>32887</v>
      </c>
      <c r="D33" s="10">
        <f>D31-C31</f>
        <v>-23312</v>
      </c>
      <c r="E33" s="1"/>
      <c r="F33" s="10">
        <f>F31-D31</f>
        <v>2008</v>
      </c>
      <c r="G33" s="10">
        <f>G31-F31</f>
        <v>-3668</v>
      </c>
      <c r="H33" s="29">
        <f>H31-G31</f>
        <v>0</v>
      </c>
      <c r="I33" s="1"/>
      <c r="J33" s="1"/>
    </row>
    <row r="34">
      <c r="A34" s="1"/>
      <c r="B34" s="76" t="s">
        <v>828</v>
      </c>
      <c r="C34" s="43">
        <f>C28+C31</f>
        <v>783945</v>
      </c>
      <c r="D34" s="43">
        <f>D28+D31</f>
        <v>777332</v>
      </c>
      <c r="E34" s="43">
        <f>E28+E31</f>
        <v>777332</v>
      </c>
      <c r="F34" s="43">
        <f>F28+F31</f>
        <v>821179</v>
      </c>
      <c r="G34" s="43">
        <f>G28+G31</f>
        <v>804522</v>
      </c>
      <c r="H34" s="45">
        <f>H28+H31</f>
        <v>804522</v>
      </c>
      <c r="I34" s="1"/>
      <c r="J34" s="1"/>
    </row>
    <row r="35">
      <c r="A35" s="1"/>
      <c r="B35" s="51" t="s">
        <v>58</v>
      </c>
      <c r="C35" s="22">
        <f>IF(AND(ISNUMBER(C34),ISNUMBER(C132)),IF(OR(C132&lt;=0,C34&lt;0),"n.m.",C34/C132-1),"n.a.")</f>
        <v>0.235528020400251</v>
      </c>
      <c r="D35" s="22">
        <f>IF(AND(ISNUMBER(D34),ISNUMBER(D132)),IF(OR(D132&lt;=0,D34&lt;0),"n.m.",D34/D132-1),"n.a.")</f>
        <v>0.14092056596019487</v>
      </c>
      <c r="E35" s="22">
        <f>IF(AND(ISNUMBER(E34),ISNUMBER(E132)),IF(OR(E132&lt;=0,E34&lt;0),"n.m.",E34/E132-1),"n.a.")</f>
        <v>0.14092056596019487</v>
      </c>
      <c r="F35" s="22">
        <f>IF(AND(ISNUMBER(F34),ISNUMBER(F132)),IF(OR(F132&lt;=0,F34&lt;0),"n.m.",F34/F132-1),"n.a.")</f>
        <v>0.23588337369270995</v>
      </c>
      <c r="G35" s="22">
        <f>IF(AND(ISNUMBER(G34),ISNUMBER(G132)),IF(OR(G132&lt;=0,G34&lt;0),"n.m.",G34/G132-1),"n.a.")</f>
        <v>0.07853591245396752</v>
      </c>
      <c r="H35" s="39">
        <f>IF(AND(ISNUMBER(H34),ISNUMBER(C34)),IF(OR(C34&lt;=0,H34&lt;0),"n.m.",H34/C34-1),"n.a.")</f>
        <v>0.02624801484798045</v>
      </c>
      <c r="I35" s="1"/>
      <c r="J35" s="1"/>
    </row>
    <row r="36">
      <c r="A36" s="1"/>
      <c r="B36" s="20" t="s">
        <v>114</v>
      </c>
      <c r="C36" s="10">
        <f>C34-G132</f>
        <v>38006</v>
      </c>
      <c r="D36" s="10">
        <f>D34-C34</f>
        <v>-6613</v>
      </c>
      <c r="E36" s="1"/>
      <c r="F36" s="10">
        <f>F34-D34</f>
        <v>43847</v>
      </c>
      <c r="G36" s="10">
        <f>G34-F34</f>
        <v>-16657</v>
      </c>
      <c r="H36" s="29">
        <f>H34-G34</f>
        <v>0</v>
      </c>
      <c r="I36" s="1"/>
      <c r="J36" s="1"/>
    </row>
    <row r="37">
      <c r="A37" s="1"/>
      <c r="B37" s="51" t="s">
        <v>829</v>
      </c>
      <c r="C37" s="22">
        <f>IF(AND(ISNUMBER(C38),ISNUMBER(G133)),IF(OR(G133&lt;=0,C38&lt;0),"n.m.",C38/G133-1),"n.a.")</f>
        <v>0.016468931835307954</v>
      </c>
      <c r="D37" s="22">
        <f>IF(AND(ISNUMBER(D38),ISNUMBER(C38)),IF(OR(C38&lt;=0,D38&lt;0),"n.m.",D38/C38-1),"n.a.")</f>
        <v>0.040538695108712997</v>
      </c>
      <c r="E37" s="1"/>
      <c r="F37" s="22">
        <f>IF(AND(ISNUMBER(F38),ISNUMBER(D38)),IF(OR(D38&lt;=0,F38&lt;0),"n.m.",F38/D38-1),"n.a.")</f>
        <v>0.006756933205395166</v>
      </c>
      <c r="G37" s="22">
        <f>IF(AND(ISNUMBER(G38),ISNUMBER(F38)),IF(OR(F38&lt;=0,G38&lt;0),"n.m.",G38/F38-1),"n.a.")</f>
        <v>0.02590055336809627</v>
      </c>
      <c r="H37" s="72">
        <v>0.015</v>
      </c>
      <c r="I37" s="1"/>
      <c r="J37" s="2" t="s">
        <v>830</v>
      </c>
    </row>
    <row r="38">
      <c r="A38" s="1"/>
      <c r="B38" s="21" t="s">
        <v>831</v>
      </c>
      <c r="C38" s="3">
        <v>1435246</v>
      </c>
      <c r="D38" s="3">
        <v>1493429</v>
      </c>
      <c r="E38" s="10">
        <f>D38</f>
        <v>1493429</v>
      </c>
      <c r="F38" s="3">
        <v>1503520</v>
      </c>
      <c r="G38" s="3">
        <v>1542462</v>
      </c>
      <c r="H38" s="29">
        <f>G38*(1+H37)</f>
        <v>1565598.93</v>
      </c>
      <c r="I38" s="1"/>
      <c r="J38" s="2" t="s">
        <v>832</v>
      </c>
    </row>
    <row r="39">
      <c r="A39" s="1"/>
      <c r="B39" s="51" t="s">
        <v>58</v>
      </c>
      <c r="C39" s="22">
        <f>IF(AND(ISNUMBER(C38),ISNUMBER(C133)),IF(OR(C133&lt;=0,C38&lt;0),"n.m.",C38/C133-1),"n.a.")</f>
        <v>0.07107031210937831</v>
      </c>
      <c r="D39" s="22">
        <f>IF(AND(ISNUMBER(D38),ISNUMBER(D133)),IF(OR(D133&lt;=0,D38&lt;0),"n.m.",D38/D133-1),"n.a.")</f>
        <v>0.1078948774024695</v>
      </c>
      <c r="E39" s="22">
        <f>IF(AND(ISNUMBER(E38),ISNUMBER(E133)),IF(OR(E133&lt;=0,E38&lt;0),"n.m.",E38/E133-1),"n.a.")</f>
        <v>0.1078948774024695</v>
      </c>
      <c r="F39" s="22">
        <f>IF(AND(ISNUMBER(F38),ISNUMBER(F133)),IF(OR(F133&lt;=0,F38&lt;0),"n.m.",F38/F133-1),"n.a.")</f>
        <v>0.10904001268721952</v>
      </c>
      <c r="G39" s="22">
        <f>IF(AND(ISNUMBER(G38),ISNUMBER(G133)),IF(OR(G133&lt;=0,G38&lt;0),"n.m.",G38/G133-1),"n.a.")</f>
        <v>0.09240137337888599</v>
      </c>
      <c r="H39" s="39">
        <f>IF(AND(ISNUMBER(H38),ISNUMBER(C38)),IF(OR(C38&lt;=0,H38&lt;0),"n.m.",H38/C38-1),"n.a.")</f>
        <v>0.09082270913836377</v>
      </c>
      <c r="I39" s="1"/>
      <c r="J39" s="1"/>
    </row>
    <row r="40">
      <c r="A40" s="1"/>
      <c r="B40" s="20" t="s">
        <v>114</v>
      </c>
      <c r="C40" s="10">
        <f>C38-G133</f>
        <v>23254</v>
      </c>
      <c r="D40" s="10">
        <f>D38-C38</f>
        <v>58183</v>
      </c>
      <c r="E40" s="1"/>
      <c r="F40" s="10">
        <f>F38-D38</f>
        <v>10091</v>
      </c>
      <c r="G40" s="10">
        <f>G38-F38</f>
        <v>38942</v>
      </c>
      <c r="H40" s="29">
        <f>H38-G38</f>
        <v>23136.929999999935</v>
      </c>
      <c r="I40" s="1"/>
      <c r="J40" s="1"/>
    </row>
    <row r="41" ht="39">
      <c r="A41" s="1"/>
      <c r="B41" s="20" t="s">
        <v>833</v>
      </c>
      <c r="C41" s="3">
        <v>25735</v>
      </c>
      <c r="D41" s="3">
        <v>25765</v>
      </c>
      <c r="E41" s="10">
        <f>D41</f>
        <v>25765</v>
      </c>
      <c r="F41" s="3">
        <v>25928</v>
      </c>
      <c r="G41" s="3">
        <v>26152</v>
      </c>
      <c r="H41" s="53">
        <f>G41+'Segment - CCB'!H266+'Segment - CIB'!H265+('Segment - AWM'!H186-'Segment - AWM'!H173)+'Segment - Corporate'!H92</f>
        <v>26657</v>
      </c>
      <c r="I41" s="1"/>
      <c r="J41" s="125" t="s">
        <v>834</v>
      </c>
    </row>
    <row r="42">
      <c r="A42" s="1"/>
      <c r="B42" s="74" t="s">
        <v>58</v>
      </c>
      <c r="C42" s="22">
        <f>IF(AND(ISNUMBER(C41),ISNUMBER(C134)),IF(OR(C134&lt;=0,C41&lt;0),"n.m.",C41/C134-1),"n.a.")</f>
        <v>0.07457513883669464</v>
      </c>
      <c r="D42" s="22">
        <f>IF(AND(ISNUMBER(D41),ISNUMBER(D134)),IF(OR(D134&lt;=0,D41&lt;0),"n.m.",D41/D134-1),"n.a.")</f>
        <v>0.058328198808790255</v>
      </c>
      <c r="E42" s="22">
        <f>IF(AND(ISNUMBER(E41),ISNUMBER(E134)),IF(OR(E134&lt;=0,E41&lt;0),"n.m.",E41/E134-1),"n.a.")</f>
        <v>0.058328198808790255</v>
      </c>
      <c r="F42" s="22">
        <f>IF(AND(ISNUMBER(F41),ISNUMBER(F134)),IF(OR(F134&lt;=0,F41&lt;0),"n.m.",F41/F134-1),"n.a.")</f>
        <v>0.028562361155188842</v>
      </c>
      <c r="G42" s="22">
        <f>IF(AND(ISNUMBER(G41),ISNUMBER(G134)),IF(OR(G134&lt;=0,G41&lt;0),"n.m.",G41/G134-1),"n.a.")</f>
        <v>0.0480503346291028</v>
      </c>
      <c r="H42" s="39">
        <f>IF(AND(ISNUMBER(H41),ISNUMBER(C41)),IF(OR(C41&lt;=0,H41&lt;0),"n.m.",H41/C41-1),"n.a.")</f>
        <v>0.03582669516223036</v>
      </c>
      <c r="I42" s="1"/>
      <c r="J42" s="1"/>
    </row>
    <row r="43">
      <c r="A43" s="1"/>
      <c r="B43" s="78" t="s">
        <v>114</v>
      </c>
      <c r="C43" s="10">
        <f>C41-G134</f>
        <v>782</v>
      </c>
      <c r="D43" s="10">
        <f>D41-C41</f>
        <v>30</v>
      </c>
      <c r="E43" s="1"/>
      <c r="F43" s="10">
        <f>F41-D41</f>
        <v>163</v>
      </c>
      <c r="G43" s="10">
        <f>G41-F41</f>
        <v>224</v>
      </c>
      <c r="H43" s="29">
        <f>H41-G41</f>
        <v>505</v>
      </c>
      <c r="I43" s="1"/>
      <c r="J43" s="1"/>
    </row>
    <row r="44">
      <c r="A44" s="1"/>
      <c r="B44" s="76" t="s">
        <v>835</v>
      </c>
      <c r="C44" s="43">
        <f>C38-C41</f>
        <v>1409511</v>
      </c>
      <c r="D44" s="43">
        <f>D38-D41</f>
        <v>1467664</v>
      </c>
      <c r="E44" s="43">
        <f>E38-E41</f>
        <v>1467664</v>
      </c>
      <c r="F44" s="43">
        <f>F38-F41</f>
        <v>1477592</v>
      </c>
      <c r="G44" s="43">
        <f>G38-G41</f>
        <v>1516310</v>
      </c>
      <c r="H44" s="45">
        <f>H38-H41</f>
        <v>1538941.93</v>
      </c>
      <c r="I44" s="1"/>
      <c r="J44" s="1"/>
    </row>
    <row r="45">
      <c r="A45" s="1"/>
      <c r="B45" s="51" t="s">
        <v>58</v>
      </c>
      <c r="C45" s="22">
        <f>IF(AND(ISNUMBER(C44),ISNUMBER(C135)),IF(OR(C135&lt;=0,C44&lt;0),"n.m.",C44/C135-1),"n.a.")</f>
        <v>0.07100653312685878</v>
      </c>
      <c r="D45" s="22">
        <f>IF(AND(ISNUMBER(D44),ISNUMBER(D135)),IF(OR(D135&lt;=0,D44&lt;0),"n.m.",D44/D135-1),"n.a.")</f>
        <v>0.10880652864858575</v>
      </c>
      <c r="E45" s="22">
        <f>IF(AND(ISNUMBER(E44),ISNUMBER(E135)),IF(OR(E135&lt;=0,E44&lt;0),"n.m.",E44/E135-1),"n.a.")</f>
        <v>0.10880652864858575</v>
      </c>
      <c r="F45" s="22">
        <f>IF(AND(ISNUMBER(F44),ISNUMBER(F135)),IF(OR(F135&lt;=0,F44&lt;0),"n.m.",F44/F135-1),"n.a.")</f>
        <v>0.11056477816017751</v>
      </c>
      <c r="G45" s="22">
        <f>IF(AND(ISNUMBER(G44),ISNUMBER(G135)),IF(OR(G135&lt;=0,G44&lt;0),"n.m.",G44/G135-1),"n.a.")</f>
        <v>0.09319925395032147</v>
      </c>
      <c r="H45" s="39">
        <f>IF(AND(ISNUMBER(H44),ISNUMBER(C44)),IF(OR(C44&lt;=0,H44&lt;0),"n.m.",H44/C44-1),"n.a.")</f>
        <v>0.09182683214249465</v>
      </c>
      <c r="I45" s="1"/>
      <c r="J45" s="1"/>
    </row>
    <row r="46">
      <c r="A46" s="1"/>
      <c r="B46" s="20" t="s">
        <v>114</v>
      </c>
      <c r="C46" s="10">
        <f>C44-G135</f>
        <v>22472</v>
      </c>
      <c r="D46" s="10">
        <f>D44-C44</f>
        <v>58153</v>
      </c>
      <c r="E46" s="1"/>
      <c r="F46" s="10">
        <f>F44-D44</f>
        <v>9928</v>
      </c>
      <c r="G46" s="10">
        <f>G44-F44</f>
        <v>38718</v>
      </c>
      <c r="H46" s="29">
        <f>H44-G44</f>
        <v>22631.929999999935</v>
      </c>
      <c r="I46" s="1"/>
      <c r="J46" s="1"/>
    </row>
    <row r="47">
      <c r="A47" s="1"/>
      <c r="B47" s="21" t="s">
        <v>836</v>
      </c>
      <c r="C47" s="3">
        <v>141876</v>
      </c>
      <c r="D47" s="3">
        <v>111599</v>
      </c>
      <c r="E47" s="10">
        <f>D47</f>
        <v>111599</v>
      </c>
      <c r="F47" s="3">
        <v>142334</v>
      </c>
      <c r="G47" s="3">
        <v>179939</v>
      </c>
      <c r="H47" s="29">
        <f>G47</f>
        <v>179939</v>
      </c>
      <c r="I47" s="1"/>
      <c r="J47" s="2" t="s">
        <v>818</v>
      </c>
    </row>
    <row r="48">
      <c r="A48" s="1"/>
      <c r="B48" s="51" t="s">
        <v>58</v>
      </c>
      <c r="C48" s="22">
        <f>IF(AND(ISNUMBER(C47),ISNUMBER(C136)),IF(OR(C136&lt;=0,C47&lt;0),"n.m.",C47/C136-1),"n.a.")</f>
        <v>0.1575572145392241</v>
      </c>
      <c r="D48" s="22">
        <f>IF(AND(ISNUMBER(D47),ISNUMBER(D136)),IF(OR(D136&lt;=0,D47&lt;0),"n.m.",D47/D136-1),"n.a.")</f>
        <v>0.10250634737164477</v>
      </c>
      <c r="E48" s="22">
        <f>IF(AND(ISNUMBER(E47),ISNUMBER(E136)),IF(OR(E136&lt;=0,E47&lt;0),"n.m.",E47/E136-1),"n.a.")</f>
        <v>0.10250634737164477</v>
      </c>
      <c r="F48" s="22">
        <f>IF(AND(ISNUMBER(F47),ISNUMBER(F136)),IF(OR(F136&lt;=0,F47&lt;0),"n.m.",F47/F136-1),"n.a.")</f>
        <v>0.207806864949722</v>
      </c>
      <c r="G48" s="22">
        <f>IF(AND(ISNUMBER(G47),ISNUMBER(G136)),IF(OR(G136&lt;=0,G47&lt;0),"n.m.",G47/G136-1),"n.a.")</f>
        <v>0.44572282525730533</v>
      </c>
      <c r="H48" s="39">
        <f>IF(AND(ISNUMBER(H47),ISNUMBER(C47)),IF(OR(C47&lt;=0,H47&lt;0),"n.m.",H47/C47-1),"n.a.")</f>
        <v>0.2682835715695395</v>
      </c>
      <c r="I48" s="1"/>
      <c r="J48" s="1"/>
    </row>
    <row r="49">
      <c r="A49" s="1"/>
      <c r="B49" s="20" t="s">
        <v>114</v>
      </c>
      <c r="C49" s="10">
        <f>C47-G136</f>
        <v>17413</v>
      </c>
      <c r="D49" s="10">
        <f>D47-C47</f>
        <v>-30277</v>
      </c>
      <c r="E49" s="1"/>
      <c r="F49" s="10">
        <f>F47-D47</f>
        <v>30735</v>
      </c>
      <c r="G49" s="10">
        <f>G47-F47</f>
        <v>37605</v>
      </c>
      <c r="H49" s="29">
        <f>H47-G47</f>
        <v>0</v>
      </c>
      <c r="I49" s="1"/>
      <c r="J49" s="1"/>
    </row>
    <row r="50">
      <c r="A50" s="1"/>
      <c r="B50" s="21" t="s">
        <v>837</v>
      </c>
      <c r="C50" s="3">
        <v>35063</v>
      </c>
      <c r="D50" s="3">
        <v>36244</v>
      </c>
      <c r="E50" s="10">
        <f>D50</f>
        <v>36244</v>
      </c>
      <c r="F50" s="3">
        <v>36771</v>
      </c>
      <c r="G50" s="3">
        <v>37701</v>
      </c>
      <c r="H50" s="29">
        <f>G50</f>
        <v>37701</v>
      </c>
      <c r="I50" s="1"/>
      <c r="J50" s="2" t="s">
        <v>818</v>
      </c>
    </row>
    <row r="51">
      <c r="A51" s="1"/>
      <c r="B51" s="51" t="s">
        <v>58</v>
      </c>
      <c r="C51" s="22">
        <f>IF(AND(ISNUMBER(C50),ISNUMBER(C137)),IF(OR(C137&lt;=0,C50&lt;0),"n.m.",C50/C137-1),"n.a.")</f>
        <v>0.11222839016653441</v>
      </c>
      <c r="D51" s="22">
        <f>IF(AND(ISNUMBER(D50),ISNUMBER(D137)),IF(OR(D137&lt;=0,D50&lt;0),"n.m.",D50/D137-1),"n.a.")</f>
        <v>0.12478664308102916</v>
      </c>
      <c r="E51" s="22">
        <f>IF(AND(ISNUMBER(E50),ISNUMBER(E137)),IF(OR(E137&lt;=0,E50&lt;0),"n.m.",E50/E137-1),"n.a.")</f>
        <v>0.12478664308102916</v>
      </c>
      <c r="F51" s="22">
        <f>IF(AND(ISNUMBER(F50),ISNUMBER(F137)),IF(OR(F137&lt;=0,F50&lt;0),"n.m.",F50/F137-1),"n.a.")</f>
        <v>0.12069123159915884</v>
      </c>
      <c r="G51" s="22">
        <f>IF(AND(ISNUMBER(G50),ISNUMBER(G137)),IF(OR(G137&lt;=0,G50&lt;0),"n.m.",G50/G137-1),"n.a.")</f>
        <v>0.12332399737798694</v>
      </c>
      <c r="H51" s="39">
        <f>IF(AND(ISNUMBER(H50),ISNUMBER(C50)),IF(OR(C50&lt;=0,H50&lt;0),"n.m.",H50/C50-1),"n.a.")</f>
        <v>0.07523600376465223</v>
      </c>
      <c r="I51" s="1"/>
      <c r="J51" s="1"/>
    </row>
    <row r="52">
      <c r="A52" s="1"/>
      <c r="B52" s="20" t="s">
        <v>114</v>
      </c>
      <c r="C52" s="10">
        <f>C50-G137</f>
        <v>1501</v>
      </c>
      <c r="D52" s="10">
        <f>D50-C50</f>
        <v>1181</v>
      </c>
      <c r="E52" s="1"/>
      <c r="F52" s="10">
        <f>F50-D50</f>
        <v>527</v>
      </c>
      <c r="G52" s="10">
        <f>G50-F50</f>
        <v>930</v>
      </c>
      <c r="H52" s="29">
        <f>H50-G50</f>
        <v>0</v>
      </c>
      <c r="I52" s="1"/>
      <c r="J52" s="1"/>
    </row>
    <row r="53">
      <c r="A53" s="1"/>
      <c r="B53" s="21" t="s">
        <v>838</v>
      </c>
      <c r="C53" s="3">
        <v>64442</v>
      </c>
      <c r="D53" s="3">
        <v>64458</v>
      </c>
      <c r="E53" s="10">
        <f>D53</f>
        <v>64458</v>
      </c>
      <c r="F53" s="3">
        <v>64289</v>
      </c>
      <c r="G53" s="3">
        <v>64304</v>
      </c>
      <c r="H53" s="29">
        <f>G53</f>
        <v>64304</v>
      </c>
      <c r="I53" s="1"/>
      <c r="J53" s="2" t="s">
        <v>818</v>
      </c>
    </row>
    <row r="54">
      <c r="A54" s="1"/>
      <c r="B54" s="51" t="s">
        <v>58</v>
      </c>
      <c r="C54" s="22">
        <f>IF(AND(ISNUMBER(C53),ISNUMBER(C138)),IF(OR(C138&lt;=0,C53&lt;0),"n.m.",C53/C138-1),"n.a.")</f>
        <v>-0.00020169110231949006</v>
      </c>
      <c r="D54" s="22">
        <f>IF(AND(ISNUMBER(D53),ISNUMBER(D138)),IF(OR(D138&lt;=0,D53&lt;0),"n.m.",D53/D138-1),"n.a.")</f>
        <v>-0.0015799256505576453</v>
      </c>
      <c r="E54" s="22">
        <f>IF(AND(ISNUMBER(E53),ISNUMBER(E138)),IF(OR(E138&lt;=0,E53&lt;0),"n.m.",E53/E138-1),"n.a.")</f>
        <v>-0.0015799256505576453</v>
      </c>
      <c r="F54" s="22">
        <f>IF(AND(ISNUMBER(F53),ISNUMBER(F138)),IF(OR(F138&lt;=0,F53&lt;0),"n.m.",F53/F138-1),"n.a.")</f>
        <v>-0.003657497094149531</v>
      </c>
      <c r="G54" s="22">
        <f>IF(AND(ISNUMBER(G53),ISNUMBER(G138)),IF(OR(G138&lt;=0,G53&lt;0),"n.m.",G53/G138-1),"n.a.")</f>
        <v>-0.0024974792523074774</v>
      </c>
      <c r="H54" s="39">
        <f>IF(AND(ISNUMBER(H53),ISNUMBER(C53)),IF(OR(C53&lt;=0,H53&lt;0),"n.m.",H53/C53-1),"n.a.")</f>
        <v>-0.002141460538158335</v>
      </c>
      <c r="I54" s="1"/>
      <c r="J54" s="1"/>
    </row>
    <row r="55">
      <c r="A55" s="1"/>
      <c r="B55" s="20" t="s">
        <v>114</v>
      </c>
      <c r="C55" s="10">
        <f>C53-G138</f>
        <v>-23</v>
      </c>
      <c r="D55" s="10">
        <f>D53-C53</f>
        <v>16</v>
      </c>
      <c r="E55" s="1"/>
      <c r="F55" s="10">
        <f>F53-D53</f>
        <v>-169</v>
      </c>
      <c r="G55" s="10">
        <f>G53-F53</f>
        <v>15</v>
      </c>
      <c r="H55" s="29">
        <f>H53-G53</f>
        <v>0</v>
      </c>
      <c r="I55" s="1"/>
      <c r="J55" s="1"/>
    </row>
    <row r="56">
      <c r="A56" s="1"/>
      <c r="B56" s="21" t="s">
        <v>839</v>
      </c>
      <c r="C56" s="3">
        <v>194972</v>
      </c>
      <c r="D56" s="3">
        <v>198775</v>
      </c>
      <c r="E56" s="10">
        <f>D56</f>
        <v>198775</v>
      </c>
      <c r="F56" s="3">
        <v>209605</v>
      </c>
      <c r="G56" s="3">
        <v>231780</v>
      </c>
      <c r="H56" s="29">
        <f>G56</f>
        <v>231780</v>
      </c>
      <c r="I56" s="1"/>
      <c r="J56" s="2" t="s">
        <v>818</v>
      </c>
    </row>
    <row r="57">
      <c r="A57" s="1"/>
      <c r="B57" s="51" t="s">
        <v>58</v>
      </c>
      <c r="C57" s="22">
        <f>IF(AND(ISNUMBER(C56),ISNUMBER(C139)),IF(OR(C139&lt;=0,C56&lt;0),"n.m.",C56/C139-1),"n.a.")</f>
        <v>0.10820473470315739</v>
      </c>
      <c r="D57" s="22">
        <f>IF(AND(ISNUMBER(D56),ISNUMBER(D139)),IF(OR(D139&lt;=0,D56&lt;0),"n.m.",D56/D139-1),"n.a.")</f>
        <v>0.11547893623349448</v>
      </c>
      <c r="E57" s="22">
        <f>IF(AND(ISNUMBER(E56),ISNUMBER(E139)),IF(OR(E139&lt;=0,E56&lt;0),"n.m.",E56/E139-1),"n.a.")</f>
        <v>0.11547893623349448</v>
      </c>
      <c r="F57" s="22">
        <f>IF(AND(ISNUMBER(F56),ISNUMBER(F139)),IF(OR(F139&lt;=0,F56&lt;0),"n.m.",F56/F139-1),"n.a.")</f>
        <v>0.17473812819808665</v>
      </c>
      <c r="G57" s="22">
        <f>IF(AND(ISNUMBER(G56),ISNUMBER(G139)),IF(OR(G139&lt;=0,G56&lt;0),"n.m.",G56/G139-1),"n.a.")</f>
        <v>0.20551735616281608</v>
      </c>
      <c r="H57" s="39">
        <f>IF(AND(ISNUMBER(H56),ISNUMBER(C56)),IF(OR(C56&lt;=0,H56&lt;0),"n.m.",H56/C56-1),"n.a.")</f>
        <v>0.18878608210409697</v>
      </c>
      <c r="I57" s="1"/>
      <c r="J57" s="1"/>
    </row>
    <row r="58">
      <c r="A58" s="1"/>
      <c r="B58" s="20" t="s">
        <v>114</v>
      </c>
      <c r="C58" s="10">
        <f>C56-G139</f>
        <v>2706</v>
      </c>
      <c r="D58" s="10">
        <f>D56-C56</f>
        <v>3803</v>
      </c>
      <c r="E58" s="1"/>
      <c r="F58" s="10">
        <f>F56-D56</f>
        <v>10830</v>
      </c>
      <c r="G58" s="10">
        <f>G56-F56</f>
        <v>22175</v>
      </c>
      <c r="H58" s="29">
        <f>H56-G56</f>
        <v>0</v>
      </c>
      <c r="I58" s="1"/>
      <c r="J58" s="1"/>
    </row>
    <row r="59">
      <c r="A59" s="1"/>
      <c r="B59" s="31" t="s">
        <v>840</v>
      </c>
      <c r="C59" s="43">
        <f>C10+C13+C16+C19+C22+C25+C34+C44+C47+C50+C53+C56</f>
        <v>4560205</v>
      </c>
      <c r="D59" s="43">
        <f>D10+D13+D16+D19+D22+D25+D34+D44+D47+D50+D53+D56</f>
        <v>4424900</v>
      </c>
      <c r="E59" s="43">
        <f>E10+E13+E16+E19+E22+E25+E34+E44+E47+E50+E53+E56</f>
        <v>4424900</v>
      </c>
      <c r="F59" s="43">
        <f>F10+F13+F16+F19+F22+F25+F34+F44+F47+F50+F53+F56</f>
        <v>4900475</v>
      </c>
      <c r="G59" s="43">
        <f>G10+G13+G16+G19+G22+G25+G34+G44+G47+G50+G53+G56</f>
        <v>5015069</v>
      </c>
      <c r="H59" s="45">
        <f>H10+H13+H16+H19+H22+H25+H34+H44+H47+H50+H53+H56</f>
        <v>5046773.492852576</v>
      </c>
      <c r="I59" s="1"/>
      <c r="J59" s="1"/>
    </row>
    <row r="60">
      <c r="A60" s="1"/>
      <c r="B60" s="36" t="s">
        <v>58</v>
      </c>
      <c r="C60" s="22">
        <f>IF(AND(ISNUMBER(C59),ISNUMBER(C140)),IF(OR(C140&lt;=0,C59&lt;0),"n.m.",C59/C140-1),"n.a.")</f>
        <v>0.08317173580918791</v>
      </c>
      <c r="D60" s="22">
        <f>IF(AND(ISNUMBER(D59),ISNUMBER(D140)),IF(OR(D140&lt;=0,D59&lt;0),"n.m.",D59/D140-1),"n.a.")</f>
        <v>0.1054473178119193</v>
      </c>
      <c r="E60" s="22">
        <f>IF(AND(ISNUMBER(E59),ISNUMBER(E140)),IF(OR(E140&lt;=0,E59&lt;0),"n.m.",E59/E140-1),"n.a.")</f>
        <v>0.1054473178119193</v>
      </c>
      <c r="F60" s="22">
        <f>IF(AND(ISNUMBER(F59),ISNUMBER(F140)),IF(OR(F140&lt;=0,F59&lt;0),"n.m.",F59/F140-1),"n.a.")</f>
        <v>0.12451512854027302</v>
      </c>
      <c r="G60" s="22">
        <f>IF(AND(ISNUMBER(G59),ISNUMBER(G140)),IF(OR(G140&lt;=0,G59&lt;0),"n.m.",G59/G140-1),"n.a.")</f>
        <v>0.10161204371593335</v>
      </c>
      <c r="H60" s="39">
        <f>IF(AND(ISNUMBER(H59),ISNUMBER(C59)),IF(OR(C59&lt;=0,H59&lt;0),"n.m.",H59/C59-1),"n.a.")</f>
        <v>0.106698820086504</v>
      </c>
      <c r="I60" s="1"/>
      <c r="J60" s="1"/>
    </row>
    <row r="61">
      <c r="A61" s="1"/>
      <c r="B61" s="21" t="s">
        <v>114</v>
      </c>
      <c r="C61" s="10">
        <f>C59-G140</f>
        <v>7723</v>
      </c>
      <c r="D61" s="10">
        <f>D59-C59</f>
        <v>-135305</v>
      </c>
      <c r="E61" s="1"/>
      <c r="F61" s="10">
        <f>F59-D59</f>
        <v>475575</v>
      </c>
      <c r="G61" s="10">
        <f>G59-F59</f>
        <v>114594</v>
      </c>
      <c r="H61" s="29">
        <f>H59-G59</f>
        <v>31704.492852576077</v>
      </c>
      <c r="I61" s="1"/>
      <c r="J61" s="1"/>
    </row>
    <row r="62">
      <c r="A62" s="1"/>
      <c r="B62" s="1"/>
      <c r="C62" s="1"/>
      <c r="D62" s="1"/>
      <c r="E62" s="1"/>
      <c r="F62" s="1"/>
      <c r="G62" s="1"/>
      <c r="H62" s="30"/>
      <c r="I62" s="1"/>
      <c r="J62" s="1"/>
    </row>
    <row r="63">
      <c r="A63" s="1"/>
      <c r="B63" s="31" t="s">
        <v>841</v>
      </c>
      <c r="C63" s="1"/>
      <c r="D63" s="1"/>
      <c r="E63" s="1"/>
      <c r="F63" s="1"/>
      <c r="G63" s="1"/>
      <c r="H63" s="30"/>
      <c r="I63" s="1"/>
      <c r="J63" s="1"/>
    </row>
    <row r="64">
      <c r="A64" s="1"/>
      <c r="B64" s="51" t="s">
        <v>842</v>
      </c>
      <c r="C64" s="22">
        <f>IF(AND(ISNUMBER(C65),ISNUMBER(G141)),IF(OR(G141&lt;=0,C65&lt;0),"n.m.",C65/G141-1),"n.a.")</f>
        <v>-0.005426205324737143</v>
      </c>
      <c r="D64" s="22">
        <f>IF(AND(ISNUMBER(D65),ISNUMBER(C65)),IF(OR(C65&lt;=0,D65&lt;0),"n.m.",D65/C65-1),"n.a.")</f>
        <v>0.004255092062864341</v>
      </c>
      <c r="E64" s="1"/>
      <c r="F64" s="22">
        <f>IF(AND(ISNUMBER(F65),ISNUMBER(D65)),IF(OR(D65&lt;=0,F65&lt;0),"n.m.",F65/D65-1),"n.a.")</f>
        <v>0.045402685088226535</v>
      </c>
      <c r="G64" s="22">
        <f>IF(AND(ISNUMBER(G65),ISNUMBER(F65)),IF(OR(F65&lt;=0,G65&lt;0),"n.m.",G65/F65-1),"n.a.")</f>
        <v>0.014270123191005846</v>
      </c>
      <c r="H64" s="72">
        <v>0.01</v>
      </c>
      <c r="I64" s="1"/>
      <c r="J64" s="1"/>
    </row>
    <row r="65">
      <c r="A65" s="1"/>
      <c r="B65" s="21" t="s">
        <v>843</v>
      </c>
      <c r="C65" s="3">
        <v>2548476</v>
      </c>
      <c r="D65" s="3">
        <v>2559320</v>
      </c>
      <c r="E65" s="10">
        <f>D65</f>
        <v>2559320</v>
      </c>
      <c r="F65" s="3">
        <v>2675520</v>
      </c>
      <c r="G65" s="3">
        <v>2713700</v>
      </c>
      <c r="H65" s="29">
        <f>G65*(1+H64)</f>
        <v>2740837</v>
      </c>
      <c r="I65" s="1"/>
      <c r="J65" s="2" t="s">
        <v>832</v>
      </c>
    </row>
    <row r="66">
      <c r="A66" s="1"/>
      <c r="B66" s="51" t="s">
        <v>58</v>
      </c>
      <c r="C66" s="22">
        <f>IF(AND(ISNUMBER(C65),ISNUMBER(C141)),IF(OR(C141&lt;=0,C65&lt;0),"n.m.",C65/C141-1),"n.a.")</f>
        <v>0.048422476480723065</v>
      </c>
      <c r="D66" s="22">
        <f>IF(AND(ISNUMBER(D65),ISNUMBER(D141)),IF(OR(D141&lt;=0,D65&lt;0),"n.m.",D65/D141-1),"n.a.")</f>
        <v>0.06370987584537535</v>
      </c>
      <c r="E66" s="22">
        <f>IF(AND(ISNUMBER(E65),ISNUMBER(E141)),IF(OR(E141&lt;=0,E65&lt;0),"n.m.",E65/E141-1),"n.a.")</f>
        <v>0.06370987584537535</v>
      </c>
      <c r="F66" s="22">
        <f>IF(AND(ISNUMBER(F65),ISNUMBER(F141)),IF(OR(F141&lt;=0,F65&lt;0),"n.m.",F65/F141-1),"n.a.")</f>
        <v>0.0719759026586646</v>
      </c>
      <c r="G66" s="22">
        <f>IF(AND(ISNUMBER(G65),ISNUMBER(G141)),IF(OR(G141&lt;=0,G65&lt;0),"n.m.",G65/G141-1),"n.a.")</f>
        <v>0.059054472794823454</v>
      </c>
      <c r="H66" s="39">
        <f>IF(AND(ISNUMBER(H65),ISNUMBER(C65)),IF(OR(C65&lt;=0,H65&lt;0),"n.m.",H65/C65-1),"n.a.")</f>
        <v>0.07548079715092482</v>
      </c>
      <c r="I66" s="1"/>
      <c r="J66" s="1"/>
    </row>
    <row r="67">
      <c r="A67" s="1"/>
      <c r="B67" s="20" t="s">
        <v>114</v>
      </c>
      <c r="C67" s="10">
        <f>C65-G141</f>
        <v>-13904</v>
      </c>
      <c r="D67" s="10">
        <f>D65-C65</f>
        <v>10844</v>
      </c>
      <c r="E67" s="1"/>
      <c r="F67" s="10">
        <f>F65-D65</f>
        <v>116200</v>
      </c>
      <c r="G67" s="10">
        <f>G65-F65</f>
        <v>38180</v>
      </c>
      <c r="H67" s="29">
        <f>H65-G65</f>
        <v>27137</v>
      </c>
      <c r="I67" s="1"/>
      <c r="J67" s="1"/>
    </row>
    <row r="68">
      <c r="A68" s="1"/>
      <c r="B68" s="21" t="s">
        <v>844</v>
      </c>
      <c r="C68" s="3">
        <v>567574</v>
      </c>
      <c r="D68" s="3">
        <v>442396</v>
      </c>
      <c r="E68" s="10">
        <f>D68</f>
        <v>442396</v>
      </c>
      <c r="F68" s="3">
        <v>716623</v>
      </c>
      <c r="G68" s="3">
        <v>704918</v>
      </c>
      <c r="H68" s="29">
        <f>G68</f>
        <v>704918</v>
      </c>
      <c r="I68" s="1"/>
      <c r="J68" s="2" t="s">
        <v>818</v>
      </c>
    </row>
    <row r="69">
      <c r="A69" s="1"/>
      <c r="B69" s="51" t="s">
        <v>58</v>
      </c>
      <c r="C69" s="22">
        <f>IF(AND(ISNUMBER(C68),ISNUMBER(C142)),IF(OR(C142&lt;=0,C68&lt;0),"n.m.",C68/C142-1),"n.a.")</f>
        <v>0.45779620226179385</v>
      </c>
      <c r="D69" s="22">
        <f>IF(AND(ISNUMBER(D68),ISNUMBER(D142)),IF(OR(D142&lt;=0,D68&lt;0),"n.m.",D68/D142-1),"n.a.")</f>
        <v>0.4903768086647464</v>
      </c>
      <c r="E69" s="22">
        <f>IF(AND(ISNUMBER(E68),ISNUMBER(E142)),IF(OR(E142&lt;=0,E68&lt;0),"n.m.",E68/E142-1),"n.a.")</f>
        <v>0.4903768086647464</v>
      </c>
      <c r="F69" s="22">
        <f>IF(AND(ISNUMBER(F68),ISNUMBER(F142)),IF(OR(F142&lt;=0,F68&lt;0),"n.m.",F68/F142-1),"n.a.")</f>
        <v>0.34439241641434326</v>
      </c>
      <c r="G69" s="22">
        <f>IF(AND(ISNUMBER(G68),ISNUMBER(G142)),IF(OR(G142&lt;=0,G68&lt;0),"n.m.",G68/G142-1),"n.a.")</f>
        <v>0.18405952900863376</v>
      </c>
      <c r="H69" s="39">
        <f>IF(AND(ISNUMBER(H68),ISNUMBER(C68)),IF(OR(C68&lt;=0,H68&lt;0),"n.m.",H68/C68-1),"n.a.")</f>
        <v>0.24198430513025615</v>
      </c>
      <c r="I69" s="1"/>
      <c r="J69" s="1"/>
    </row>
    <row r="70">
      <c r="A70" s="1"/>
      <c r="B70" s="20" t="s">
        <v>114</v>
      </c>
      <c r="C70" s="10">
        <f>C68-G142</f>
        <v>-27766</v>
      </c>
      <c r="D70" s="10">
        <f>D68-C68</f>
        <v>-125178</v>
      </c>
      <c r="E70" s="1"/>
      <c r="F70" s="10">
        <f>F68-D68</f>
        <v>274227</v>
      </c>
      <c r="G70" s="10">
        <f>G68-F68</f>
        <v>-11705</v>
      </c>
      <c r="H70" s="29">
        <f>H68-G68</f>
        <v>0</v>
      </c>
      <c r="I70" s="1"/>
      <c r="J70" s="1"/>
    </row>
    <row r="71">
      <c r="A71" s="1"/>
      <c r="B71" s="21" t="s">
        <v>845</v>
      </c>
      <c r="C71" s="3">
        <v>69355</v>
      </c>
      <c r="D71" s="3">
        <v>64776</v>
      </c>
      <c r="E71" s="10">
        <f>D71</f>
        <v>64776</v>
      </c>
      <c r="F71" s="3">
        <v>68048</v>
      </c>
      <c r="G71" s="3">
        <v>72430</v>
      </c>
      <c r="H71" s="29">
        <f>G71</f>
        <v>72430</v>
      </c>
      <c r="I71" s="1"/>
      <c r="J71" s="2" t="s">
        <v>818</v>
      </c>
    </row>
    <row r="72">
      <c r="A72" s="1"/>
      <c r="B72" s="51" t="s">
        <v>58</v>
      </c>
      <c r="C72" s="22">
        <f>IF(AND(ISNUMBER(C71),ISNUMBER(C143)),IF(OR(C143&lt;=0,C71&lt;0),"n.m.",C71/C143-1),"n.a.")</f>
        <v>0.36962360282791584</v>
      </c>
      <c r="D72" s="22">
        <f>IF(AND(ISNUMBER(D71),ISNUMBER(D143)),IF(OR(D143&lt;=0,D71&lt;0),"n.m.",D71/D143-1),"n.a.")</f>
        <v>0.22466110827519703</v>
      </c>
      <c r="E72" s="22">
        <f>IF(AND(ISNUMBER(E71),ISNUMBER(E143)),IF(OR(E143&lt;=0,E71&lt;0),"n.m.",E71/E143-1),"n.a.")</f>
        <v>0.22466110827519703</v>
      </c>
      <c r="F72" s="22">
        <f>IF(AND(ISNUMBER(F71),ISNUMBER(F143)),IF(OR(F143&lt;=0,F71&lt;0),"n.m.",F71/F143-1),"n.a.")</f>
        <v>0.04721452754693756</v>
      </c>
      <c r="G72" s="22">
        <f>IF(AND(ISNUMBER(G71),ISNUMBER(G143)),IF(OR(G143&lt;=0,G71&lt;0),"n.m.",G71/G143-1),"n.a.")</f>
        <v>0.1093072764308578</v>
      </c>
      <c r="H72" s="39">
        <f>IF(AND(ISNUMBER(H71),ISNUMBER(C71)),IF(OR(C71&lt;=0,H71&lt;0),"n.m.",H71/C71-1),"n.a.")</f>
        <v>0.0443371061927762</v>
      </c>
      <c r="I72" s="1"/>
      <c r="J72" s="1"/>
    </row>
    <row r="73">
      <c r="A73" s="1"/>
      <c r="B73" s="20" t="s">
        <v>114</v>
      </c>
      <c r="C73" s="10">
        <f>C71-G143</f>
        <v>4062</v>
      </c>
      <c r="D73" s="10">
        <f>D71-C71</f>
        <v>-4579</v>
      </c>
      <c r="E73" s="1"/>
      <c r="F73" s="10">
        <f>F71-D71</f>
        <v>3272</v>
      </c>
      <c r="G73" s="10">
        <f>G71-F71</f>
        <v>4382</v>
      </c>
      <c r="H73" s="29">
        <f>H71-G71</f>
        <v>0</v>
      </c>
      <c r="I73" s="1"/>
      <c r="J73" s="1"/>
    </row>
    <row r="74">
      <c r="A74" s="1"/>
      <c r="B74" s="21" t="s">
        <v>846</v>
      </c>
      <c r="C74" s="3">
        <v>195859</v>
      </c>
      <c r="D74" s="3">
        <v>169690</v>
      </c>
      <c r="E74" s="10">
        <f>D74</f>
        <v>169690</v>
      </c>
      <c r="F74" s="3">
        <v>196546</v>
      </c>
      <c r="G74" s="3">
        <v>208648</v>
      </c>
      <c r="H74" s="29">
        <f>G74</f>
        <v>208648</v>
      </c>
      <c r="I74" s="1"/>
      <c r="J74" s="2" t="s">
        <v>818</v>
      </c>
    </row>
    <row r="75">
      <c r="A75" s="1"/>
      <c r="B75" s="51" t="s">
        <v>58</v>
      </c>
      <c r="C75" s="22">
        <f>IF(AND(ISNUMBER(C74),ISNUMBER(C144)),IF(OR(C144&lt;=0,C74&lt;0),"n.m.",C74/C144-1),"n.a.")</f>
        <v>-0.04268963258762515</v>
      </c>
      <c r="D75" s="22">
        <f>IF(AND(ISNUMBER(D74),ISNUMBER(D144)),IF(OR(D144&lt;=0,D74&lt;0),"n.m.",D74/D144-1),"n.a.")</f>
        <v>0.10747803840179615</v>
      </c>
      <c r="E75" s="22">
        <f>IF(AND(ISNUMBER(E74),ISNUMBER(E144)),IF(OR(E144&lt;=0,E74&lt;0),"n.m.",E74/E144-1),"n.a.")</f>
        <v>0.10747803840179615</v>
      </c>
      <c r="F75" s="22">
        <f>IF(AND(ISNUMBER(F74),ISNUMBER(F144)),IF(OR(F144&lt;=0,F74&lt;0),"n.m.",F74/F144-1),"n.a.")</f>
        <v>0.3114345003369565</v>
      </c>
      <c r="G75" s="22">
        <f>IF(AND(ISNUMBER(G74),ISNUMBER(G144)),IF(OR(G144&lt;=0,G74&lt;0),"n.m.",G74/G144-1),"n.a.")</f>
        <v>0.20402557532950172</v>
      </c>
      <c r="H75" s="39">
        <f>IF(AND(ISNUMBER(H74),ISNUMBER(C74)),IF(OR(C74&lt;=0,H74&lt;0),"n.m.",H74/C74-1),"n.a.")</f>
        <v>0.06529697384342814</v>
      </c>
      <c r="I75" s="1"/>
      <c r="J75" s="1"/>
    </row>
    <row r="76">
      <c r="A76" s="1"/>
      <c r="B76" s="20" t="s">
        <v>114</v>
      </c>
      <c r="C76" s="10">
        <f>C74-G144</f>
        <v>22567</v>
      </c>
      <c r="D76" s="10">
        <f>D74-C74</f>
        <v>-26169</v>
      </c>
      <c r="E76" s="1"/>
      <c r="F76" s="10">
        <f>F74-D74</f>
        <v>26856</v>
      </c>
      <c r="G76" s="10">
        <f>G74-F74</f>
        <v>12102</v>
      </c>
      <c r="H76" s="29">
        <f>H74-G74</f>
        <v>0</v>
      </c>
      <c r="I76" s="1"/>
      <c r="J76" s="1"/>
    </row>
    <row r="77">
      <c r="A77" s="1"/>
      <c r="B77" s="21" t="s">
        <v>847</v>
      </c>
      <c r="C77" s="3">
        <v>46403</v>
      </c>
      <c r="D77" s="3">
        <v>46329</v>
      </c>
      <c r="E77" s="10">
        <f>D77</f>
        <v>46329</v>
      </c>
      <c r="F77" s="3">
        <v>51290</v>
      </c>
      <c r="G77" s="3">
        <v>66488</v>
      </c>
      <c r="H77" s="29">
        <f>G77</f>
        <v>66488</v>
      </c>
      <c r="I77" s="1"/>
      <c r="J77" s="2" t="s">
        <v>818</v>
      </c>
    </row>
    <row r="78">
      <c r="A78" s="1"/>
      <c r="B78" s="51" t="s">
        <v>58</v>
      </c>
      <c r="C78" s="22">
        <f>IF(AND(ISNUMBER(C77),ISNUMBER(C145)),IF(OR(C145&lt;=0,C77&lt;0),"n.m.",C77/C145-1),"n.a.")</f>
        <v>0.20012931591878957</v>
      </c>
      <c r="D78" s="22">
        <f>IF(AND(ISNUMBER(D77),ISNUMBER(D145)),IF(OR(D145&lt;=0,D77&lt;0),"n.m.",D77/D145-1),"n.a.")</f>
        <v>0.16812485817301637</v>
      </c>
      <c r="E78" s="22">
        <f>IF(AND(ISNUMBER(E77),ISNUMBER(E145)),IF(OR(E145&lt;=0,E77&lt;0),"n.m.",E77/E145-1),"n.a.")</f>
        <v>0.16812485817301637</v>
      </c>
      <c r="F78" s="22">
        <f>IF(AND(ISNUMBER(F77),ISNUMBER(F145)),IF(OR(F145&lt;=0,F77&lt;0),"n.m.",F77/F145-1),"n.a.")</f>
        <v>0.3775784271594327</v>
      </c>
      <c r="G78" s="22">
        <f>IF(AND(ISNUMBER(G77),ISNUMBER(G145)),IF(OR(G145&lt;=0,G77&lt;0),"n.m.",G77/G145-1),"n.a.")</f>
        <v>0.38199958428601133</v>
      </c>
      <c r="H78" s="39">
        <f>IF(AND(ISNUMBER(H77),ISNUMBER(C77)),IF(OR(C77&lt;=0,H77&lt;0),"n.m.",H77/C77-1),"n.a.")</f>
        <v>0.432838394069349</v>
      </c>
      <c r="I78" s="1"/>
      <c r="J78" s="1"/>
    </row>
    <row r="79">
      <c r="A79" s="1"/>
      <c r="B79" s="20" t="s">
        <v>114</v>
      </c>
      <c r="C79" s="10">
        <f>C77-G145</f>
        <v>-1707</v>
      </c>
      <c r="D79" s="10">
        <f>D77-C77</f>
        <v>-74</v>
      </c>
      <c r="E79" s="1"/>
      <c r="F79" s="10">
        <f>F77-D77</f>
        <v>4961</v>
      </c>
      <c r="G79" s="10">
        <f>G77-F77</f>
        <v>15198</v>
      </c>
      <c r="H79" s="29">
        <f>H77-G77</f>
        <v>0</v>
      </c>
      <c r="I79" s="1"/>
      <c r="J79" s="1"/>
    </row>
    <row r="80">
      <c r="A80" s="1"/>
      <c r="B80" s="21" t="s">
        <v>848</v>
      </c>
      <c r="C80" s="3">
        <v>316896</v>
      </c>
      <c r="D80" s="3">
        <v>316794</v>
      </c>
      <c r="E80" s="10">
        <f>D80</f>
        <v>316794</v>
      </c>
      <c r="F80" s="3">
        <v>352561</v>
      </c>
      <c r="G80" s="3">
        <v>384290</v>
      </c>
      <c r="H80" s="29">
        <f>G80</f>
        <v>384290</v>
      </c>
      <c r="I80" s="1"/>
      <c r="J80" s="2" t="s">
        <v>818</v>
      </c>
    </row>
    <row r="81">
      <c r="A81" s="1"/>
      <c r="B81" s="51" t="s">
        <v>58</v>
      </c>
      <c r="C81" s="22">
        <f>IF(AND(ISNUMBER(C80),ISNUMBER(C146)),IF(OR(C146&lt;=0,C80&lt;0),"n.m.",C80/C146-1),"n.a.")</f>
        <v>0.008080011197495907</v>
      </c>
      <c r="D81" s="22">
        <f>IF(AND(ISNUMBER(D80),ISNUMBER(D146)),IF(OR(D146&lt;=0,D80&lt;0),"n.m.",D80/D146-1),"n.a.")</f>
        <v>0.1286982670163037</v>
      </c>
      <c r="E81" s="22">
        <f>IF(AND(ISNUMBER(E80),ISNUMBER(E146)),IF(OR(E146&lt;=0,E80&lt;0),"n.m.",E80/E146-1),"n.a.")</f>
        <v>0.1286982670163037</v>
      </c>
      <c r="F81" s="22">
        <f>IF(AND(ISNUMBER(F80),ISNUMBER(F146)),IF(OR(F146&lt;=0,F80&lt;0),"n.m.",F80/F146-1),"n.a.")</f>
        <v>0.2010744775804154</v>
      </c>
      <c r="G81" s="22">
        <f>IF(AND(ISNUMBER(G80),ISNUMBER(G146)),IF(OR(G146&lt;=0,G80&lt;0),"n.m.",G80/G146-1),"n.a.")</f>
        <v>0.2656064233749724</v>
      </c>
      <c r="H81" s="39">
        <f>IF(AND(ISNUMBER(H80),ISNUMBER(C80)),IF(OR(C80&lt;=0,H80&lt;0),"n.m.",H80/C80-1),"n.a.")</f>
        <v>0.2126691406644452</v>
      </c>
      <c r="I81" s="1"/>
      <c r="J81" s="1"/>
    </row>
    <row r="82">
      <c r="A82" s="1"/>
      <c r="B82" s="20" t="s">
        <v>114</v>
      </c>
      <c r="C82" s="10">
        <f>C80-G146</f>
        <v>13255</v>
      </c>
      <c r="D82" s="10">
        <f>D80-C80</f>
        <v>-102</v>
      </c>
      <c r="E82" s="1"/>
      <c r="F82" s="10">
        <f>F80-D80</f>
        <v>35767</v>
      </c>
      <c r="G82" s="10">
        <f>G80-F80</f>
        <v>31729</v>
      </c>
      <c r="H82" s="29">
        <f>H80-G80</f>
        <v>0</v>
      </c>
      <c r="I82" s="1"/>
      <c r="J82" s="1"/>
    </row>
    <row r="83">
      <c r="A83" s="1"/>
      <c r="B83" s="21" t="s">
        <v>849</v>
      </c>
      <c r="C83" s="3">
        <v>28227</v>
      </c>
      <c r="D83" s="3">
        <v>27951</v>
      </c>
      <c r="E83" s="10">
        <f>D83</f>
        <v>27951</v>
      </c>
      <c r="F83" s="3">
        <v>27085</v>
      </c>
      <c r="G83" s="3">
        <v>29474</v>
      </c>
      <c r="H83" s="29">
        <f>G83</f>
        <v>29474</v>
      </c>
      <c r="I83" s="1"/>
      <c r="J83" s="2" t="s">
        <v>818</v>
      </c>
    </row>
    <row r="84">
      <c r="A84" s="1"/>
      <c r="B84" s="51" t="s">
        <v>58</v>
      </c>
      <c r="C84" s="22">
        <f>IF(AND(ISNUMBER(C83),ISNUMBER(C147)),IF(OR(C147&lt;=0,C83&lt;0),"n.m.",C83/C147-1),"n.a.")</f>
        <v>0.09858332684673465</v>
      </c>
      <c r="D84" s="22">
        <f>IF(AND(ISNUMBER(D83),ISNUMBER(D147)),IF(OR(D147&lt;=0,D83&lt;0),"n.m.",D83/D147-1),"n.a.")</f>
        <v>0.022984298942283043</v>
      </c>
      <c r="E84" s="22">
        <f>IF(AND(ISNUMBER(E83),ISNUMBER(E147)),IF(OR(E147&lt;=0,E83&lt;0),"n.m.",E83/E147-1),"n.a.")</f>
        <v>0.022984298942283043</v>
      </c>
      <c r="F84" s="22">
        <f>IF(AND(ISNUMBER(F83),ISNUMBER(F147)),IF(OR(F147&lt;=0,F83&lt;0),"n.m.",F83/F147-1),"n.a.")</f>
        <v>0.09798119020593488</v>
      </c>
      <c r="G84" s="22">
        <f>IF(AND(ISNUMBER(G83),ISNUMBER(G147)),IF(OR(G147&lt;=0,G83&lt;0),"n.m.",G83/G147-1),"n.a.")</f>
        <v>0.06404332129963897</v>
      </c>
      <c r="H84" s="39">
        <f>IF(AND(ISNUMBER(H83),ISNUMBER(C83)),IF(OR(C83&lt;=0,H83&lt;0),"n.m.",H83/C83-1),"n.a.")</f>
        <v>0.04417756049172783</v>
      </c>
      <c r="I84" s="1"/>
      <c r="J84" s="1"/>
    </row>
    <row r="85">
      <c r="A85" s="1"/>
      <c r="B85" s="20" t="s">
        <v>114</v>
      </c>
      <c r="C85" s="10">
        <f>C83-G147</f>
        <v>527</v>
      </c>
      <c r="D85" s="10">
        <f>D83-C83</f>
        <v>-276</v>
      </c>
      <c r="E85" s="1"/>
      <c r="F85" s="10">
        <f>F83-D83</f>
        <v>-866</v>
      </c>
      <c r="G85" s="10">
        <f>G83-F83</f>
        <v>2389</v>
      </c>
      <c r="H85" s="29">
        <f>H83-G83</f>
        <v>0</v>
      </c>
      <c r="I85" s="1"/>
      <c r="J85" s="1"/>
    </row>
    <row r="86">
      <c r="A86" s="1"/>
      <c r="B86" s="21" t="s">
        <v>850</v>
      </c>
      <c r="C86" s="3">
        <v>427203</v>
      </c>
      <c r="D86" s="3">
        <v>435206</v>
      </c>
      <c r="E86" s="10">
        <f>D86</f>
        <v>435206</v>
      </c>
      <c r="F86" s="3">
        <v>448764</v>
      </c>
      <c r="G86" s="3">
        <v>460523</v>
      </c>
      <c r="H86" s="29">
        <f>G86</f>
        <v>460523</v>
      </c>
      <c r="I86" s="1"/>
      <c r="J86" s="2" t="s">
        <v>818</v>
      </c>
    </row>
    <row r="87">
      <c r="A87" s="1"/>
      <c r="B87" s="51" t="s">
        <v>58</v>
      </c>
      <c r="C87" s="22">
        <f>IF(AND(ISNUMBER(C86),ISNUMBER(C148)),IF(OR(C148&lt;=0,C86&lt;0),"n.m.",C86/C148-1),"n.a.")</f>
        <v>0.04155969543369986</v>
      </c>
      <c r="D87" s="22">
        <f>IF(AND(ISNUMBER(D86),ISNUMBER(D148)),IF(OR(D148&lt;=0,D86&lt;0),"n.m.",D86/D148-1),"n.a.")</f>
        <v>0.08417161163674769</v>
      </c>
      <c r="E87" s="22">
        <f>IF(AND(ISNUMBER(E86),ISNUMBER(E148)),IF(OR(E148&lt;=0,E86&lt;0),"n.m.",E86/E148-1),"n.a.")</f>
        <v>0.08417161163674769</v>
      </c>
      <c r="F87" s="22">
        <f>IF(AND(ISNUMBER(F86),ISNUMBER(F148)),IF(OR(F148&lt;=0,F86&lt;0),"n.m.",F86/F148-1),"n.a.")</f>
        <v>0.10200774021177539</v>
      </c>
      <c r="G87" s="22">
        <f>IF(AND(ISNUMBER(G86),ISNUMBER(G148)),IF(OR(G148&lt;=0,G86&lt;0),"n.m.",G86/G148-1),"n.a.")</f>
        <v>0.09700049070752392</v>
      </c>
      <c r="H87" s="39">
        <f>IF(AND(ISNUMBER(H86),ISNUMBER(C86)),IF(OR(C86&lt;=0,H86&lt;0),"n.m.",H86/C86-1),"n.a.")</f>
        <v>0.07799570695898672</v>
      </c>
      <c r="I87" s="1"/>
      <c r="J87" s="1"/>
    </row>
    <row r="88">
      <c r="A88" s="1"/>
      <c r="B88" s="20" t="s">
        <v>114</v>
      </c>
      <c r="C88" s="10">
        <f>C86-G148</f>
        <v>7401</v>
      </c>
      <c r="D88" s="10">
        <f>D86-C86</f>
        <v>8003</v>
      </c>
      <c r="E88" s="1"/>
      <c r="F88" s="10">
        <f>F86-D86</f>
        <v>13558</v>
      </c>
      <c r="G88" s="10">
        <f>G86-F86</f>
        <v>11759</v>
      </c>
      <c r="H88" s="29">
        <f>H86-G86</f>
        <v>0</v>
      </c>
      <c r="I88" s="1"/>
      <c r="J88" s="1"/>
    </row>
    <row r="89">
      <c r="A89" s="1"/>
      <c r="B89" s="31" t="s">
        <v>851</v>
      </c>
      <c r="C89" s="43">
        <f>C65+C68+C71+C74+C77+C80+C83+C86</f>
        <v>4199993</v>
      </c>
      <c r="D89" s="43">
        <f>D65+D68+D71+D74+D77+D80+D83+D86</f>
        <v>4062462</v>
      </c>
      <c r="E89" s="43">
        <f>E65+E68+E71+E74+E77+E80+E83+E86</f>
        <v>4062462</v>
      </c>
      <c r="F89" s="43">
        <f>F65+F68+F71+F74+F77+F80+F83+F86</f>
        <v>4536437</v>
      </c>
      <c r="G89" s="43">
        <f>G65+G68+G71+G74+G77+G80+G83+G86</f>
        <v>4640471</v>
      </c>
      <c r="H89" s="45">
        <f>H65+H68+H71+H74+H77+H80+H83+H86</f>
        <v>4667608</v>
      </c>
      <c r="I89" s="1"/>
      <c r="J89" s="1"/>
    </row>
    <row r="90">
      <c r="A90" s="1"/>
      <c r="B90" s="36" t="s">
        <v>58</v>
      </c>
      <c r="C90" s="22">
        <f>IF(AND(ISNUMBER(C89),ISNUMBER(C149)),IF(OR(C149&lt;=0,C89&lt;0),"n.m.",C89/C149-1),"n.a.")</f>
        <v>0.08689507718520617</v>
      </c>
      <c r="D90" s="22">
        <f>IF(AND(ISNUMBER(D89),ISNUMBER(D149)),IF(OR(D149&lt;=0,D89&lt;0),"n.m.",D89/D149-1),"n.a.")</f>
        <v>0.11055216213201757</v>
      </c>
      <c r="E90" s="22">
        <f>IF(AND(ISNUMBER(E89),ISNUMBER(E149)),IF(OR(E149&lt;=0,E89&lt;0),"n.m.",E89/E149-1),"n.a.")</f>
        <v>0.11055216213201757</v>
      </c>
      <c r="F90" s="22">
        <f>IF(AND(ISNUMBER(F89),ISNUMBER(F149)),IF(OR(F149&lt;=0,F89&lt;0),"n.m.",F89/F149-1),"n.a.")</f>
        <v>0.1322873995740852</v>
      </c>
      <c r="G90" s="22">
        <f>IF(AND(ISNUMBER(G89),ISNUMBER(G149)),IF(OR(G149&lt;=0,G89&lt;0),"n.m.",G89/G149-1),"n.a.")</f>
        <v>0.10604382063124862</v>
      </c>
      <c r="H90" s="39">
        <f>IF(AND(ISNUMBER(H89),ISNUMBER(C89)),IF(OR(C89&lt;=0,H89&lt;0),"n.m.",H89/C89-1),"n.a.")</f>
        <v>0.11133709032372208</v>
      </c>
      <c r="I90" s="1"/>
      <c r="J90" s="1"/>
    </row>
    <row r="91">
      <c r="A91" s="1"/>
      <c r="B91" s="21" t="s">
        <v>114</v>
      </c>
      <c r="C91" s="10">
        <f>C89-G149</f>
        <v>4435</v>
      </c>
      <c r="D91" s="10">
        <f>D89-C89</f>
        <v>-137531</v>
      </c>
      <c r="E91" s="1"/>
      <c r="F91" s="10">
        <f>F89-D89</f>
        <v>473975</v>
      </c>
      <c r="G91" s="10">
        <f>G89-F89</f>
        <v>104034</v>
      </c>
      <c r="H91" s="29">
        <f>H89-G89</f>
        <v>27137</v>
      </c>
      <c r="I91" s="1"/>
      <c r="J91" s="1"/>
    </row>
    <row r="92">
      <c r="A92" s="1"/>
      <c r="B92" s="1"/>
      <c r="C92" s="1"/>
      <c r="D92" s="1"/>
      <c r="E92" s="1"/>
      <c r="F92" s="1"/>
      <c r="G92" s="1"/>
      <c r="H92" s="30"/>
      <c r="I92" s="1"/>
      <c r="J92" s="1"/>
    </row>
    <row r="93">
      <c r="A93" s="1"/>
      <c r="B93" s="31" t="s">
        <v>852</v>
      </c>
      <c r="C93" s="1"/>
      <c r="D93" s="1"/>
      <c r="E93" s="1"/>
      <c r="F93" s="1"/>
      <c r="G93" s="1"/>
      <c r="H93" s="30"/>
      <c r="I93" s="1"/>
      <c r="J93" s="1"/>
    </row>
    <row r="94">
      <c r="A94" s="1"/>
      <c r="B94" s="21" t="s">
        <v>853</v>
      </c>
      <c r="C94" s="3">
        <v>20045</v>
      </c>
      <c r="D94" s="3">
        <v>20045</v>
      </c>
      <c r="E94" s="10">
        <f>D94</f>
        <v>20045</v>
      </c>
      <c r="F94" s="3">
        <v>20045</v>
      </c>
      <c r="G94" s="3">
        <v>21040</v>
      </c>
      <c r="H94" s="29">
        <f>G94</f>
        <v>21040</v>
      </c>
      <c r="I94" s="1"/>
      <c r="J94" s="2" t="s">
        <v>826</v>
      </c>
    </row>
    <row r="95">
      <c r="A95" s="1"/>
      <c r="B95" s="51" t="s">
        <v>58</v>
      </c>
      <c r="C95" s="22">
        <f>IF(AND(ISNUMBER(C94),ISNUMBER(C150)),IF(OR(C150&lt;=0,C94&lt;0),"n.m.",C94/C150-1),"n.a.")</f>
        <v>-0.07413394919168592</v>
      </c>
      <c r="D95" s="22">
        <f>IF(AND(ISNUMBER(D94),ISNUMBER(D150)),IF(OR(D150&lt;=0,D94&lt;0),"n.m.",D94/D150-1),"n.a.")</f>
        <v>-0.00024937655860346464</v>
      </c>
      <c r="E95" s="22">
        <f>IF(AND(ISNUMBER(E94),ISNUMBER(E150)),IF(OR(E150&lt;=0,E94&lt;0),"n.m.",E94/E150-1),"n.a.")</f>
        <v>-0.00024937655860346464</v>
      </c>
      <c r="F95" s="22">
        <f>IF(AND(ISNUMBER(F94),ISNUMBER(F150)),IF(OR(F150&lt;=0,F94&lt;0),"n.m.",F94/F150-1),"n.a.")</f>
        <v>0</v>
      </c>
      <c r="G95" s="22">
        <f>IF(AND(ISNUMBER(G94),ISNUMBER(G150)),IF(OR(G150&lt;=0,G94&lt;0),"n.m.",G94/G150-1),"n.a.")</f>
        <v>0.04963831379396355</v>
      </c>
      <c r="H95" s="39">
        <f>IF(AND(ISNUMBER(H94),ISNUMBER(C94)),IF(OR(C94&lt;=0,H94&lt;0),"n.m.",H94/C94-1),"n.a.")</f>
        <v>0.04963831379396355</v>
      </c>
      <c r="I95" s="1"/>
      <c r="J95" s="1"/>
    </row>
    <row r="96">
      <c r="A96" s="1"/>
      <c r="B96" s="20" t="s">
        <v>114</v>
      </c>
      <c r="C96" s="10">
        <f>C94-G150</f>
        <v>0</v>
      </c>
      <c r="D96" s="10">
        <f>D94-C94</f>
        <v>0</v>
      </c>
      <c r="E96" s="1"/>
      <c r="F96" s="10">
        <f>F94-D94</f>
        <v>0</v>
      </c>
      <c r="G96" s="10">
        <f>G94-F94</f>
        <v>995</v>
      </c>
      <c r="H96" s="29">
        <f>H94-G94</f>
        <v>0</v>
      </c>
      <c r="I96" s="1"/>
      <c r="J96" s="1"/>
    </row>
    <row r="97">
      <c r="A97" s="1"/>
      <c r="B97" s="21" t="s">
        <v>854</v>
      </c>
      <c r="C97" s="3">
        <v>4105</v>
      </c>
      <c r="D97" s="3">
        <v>4105</v>
      </c>
      <c r="E97" s="10">
        <f>D97</f>
        <v>4105</v>
      </c>
      <c r="F97" s="3">
        <v>4105</v>
      </c>
      <c r="G97" s="3">
        <v>4105</v>
      </c>
      <c r="H97" s="29">
        <f>G97</f>
        <v>4105</v>
      </c>
      <c r="I97" s="1"/>
      <c r="J97" s="2" t="s">
        <v>832</v>
      </c>
    </row>
    <row r="98">
      <c r="A98" s="1"/>
      <c r="B98" s="20" t="s">
        <v>131</v>
      </c>
      <c r="C98" s="10">
        <f>C97-C151</f>
        <v>0</v>
      </c>
      <c r="D98" s="10">
        <f>D97-D151</f>
        <v>0</v>
      </c>
      <c r="E98" s="10">
        <f>E97-E151</f>
        <v>0</v>
      </c>
      <c r="F98" s="10">
        <f>F97-F151</f>
        <v>0</v>
      </c>
      <c r="G98" s="10">
        <f>G97-G151</f>
        <v>0</v>
      </c>
      <c r="H98" s="29">
        <f>H97-C97</f>
        <v>0</v>
      </c>
      <c r="I98" s="1"/>
      <c r="J98" s="1"/>
    </row>
    <row r="99">
      <c r="A99" s="1"/>
      <c r="B99" s="20" t="s">
        <v>114</v>
      </c>
      <c r="C99" s="10">
        <f>C97-G151</f>
        <v>0</v>
      </c>
      <c r="D99" s="10">
        <f>D97-C97</f>
        <v>0</v>
      </c>
      <c r="E99" s="1"/>
      <c r="F99" s="10">
        <f>F97-D97</f>
        <v>0</v>
      </c>
      <c r="G99" s="10">
        <f>G97-F97</f>
        <v>0</v>
      </c>
      <c r="H99" s="29">
        <f>H97-G97</f>
        <v>0</v>
      </c>
      <c r="I99" s="1"/>
      <c r="J99" s="1"/>
    </row>
    <row r="100">
      <c r="A100" s="1"/>
      <c r="B100" s="21" t="s">
        <v>855</v>
      </c>
      <c r="C100" s="3">
        <v>90865</v>
      </c>
      <c r="D100" s="3">
        <v>91114</v>
      </c>
      <c r="E100" s="10">
        <f>D100</f>
        <v>91114</v>
      </c>
      <c r="F100" s="3">
        <v>90087</v>
      </c>
      <c r="G100" s="3">
        <v>90559</v>
      </c>
      <c r="H100" s="29">
        <f>G100</f>
        <v>90559</v>
      </c>
      <c r="I100" s="1"/>
      <c r="J100" s="2" t="s">
        <v>826</v>
      </c>
    </row>
    <row r="101">
      <c r="A101" s="1"/>
      <c r="B101" s="20" t="s">
        <v>131</v>
      </c>
      <c r="C101" s="10">
        <f>C100-C152</f>
        <v>227</v>
      </c>
      <c r="D101" s="10">
        <f>D100-D152</f>
        <v>203</v>
      </c>
      <c r="E101" s="10">
        <f>E100-E152</f>
        <v>203</v>
      </c>
      <c r="F101" s="10">
        <f>F100-F152</f>
        <v>-136</v>
      </c>
      <c r="G101" s="10">
        <f>G100-G152</f>
        <v>-17</v>
      </c>
      <c r="H101" s="29">
        <f>H100-C100</f>
        <v>-306</v>
      </c>
      <c r="I101" s="1"/>
      <c r="J101" s="1"/>
    </row>
    <row r="102">
      <c r="A102" s="1"/>
      <c r="B102" s="20" t="s">
        <v>114</v>
      </c>
      <c r="C102" s="10">
        <f>C100-G152</f>
        <v>289</v>
      </c>
      <c r="D102" s="10">
        <f>D100-C100</f>
        <v>249</v>
      </c>
      <c r="E102" s="1"/>
      <c r="F102" s="10">
        <f>F100-D100</f>
        <v>-1027</v>
      </c>
      <c r="G102" s="10">
        <f>G100-F100</f>
        <v>472</v>
      </c>
      <c r="H102" s="29">
        <f>H100-G100</f>
        <v>0</v>
      </c>
      <c r="I102" s="1"/>
      <c r="J102" s="1"/>
    </row>
    <row r="103">
      <c r="A103" s="1"/>
      <c r="B103" s="21" t="s">
        <v>856</v>
      </c>
      <c r="C103" s="3">
        <v>407401</v>
      </c>
      <c r="D103" s="3">
        <v>416055</v>
      </c>
      <c r="E103" s="10">
        <f>D103</f>
        <v>416055</v>
      </c>
      <c r="F103" s="3">
        <v>428206</v>
      </c>
      <c r="G103" s="3">
        <v>445020</v>
      </c>
      <c r="H103" s="53">
        <f>G103+'Income Statement'!H134-'Income Statement'!H137-'Share Count'!H45</f>
        <v>456587.49285257567</v>
      </c>
      <c r="I103" s="1"/>
      <c r="J103" s="2" t="s">
        <v>857</v>
      </c>
    </row>
    <row r="104">
      <c r="A104" s="1"/>
      <c r="B104" s="51" t="s">
        <v>58</v>
      </c>
      <c r="C104" s="22">
        <f>IF(AND(ISNUMBER(C103),ISNUMBER(C153)),IF(OR(C153&lt;=0,C103&lt;0),"n.m.",C103/C153-1),"n.a.")</f>
        <v>0.11322090030221377</v>
      </c>
      <c r="D104" s="22">
        <f>IF(AND(ISNUMBER(D103),ISNUMBER(D153)),IF(OR(D153&lt;=0,D103&lt;0),"n.m.",D103/D153-1),"n.a.")</f>
        <v>0.10604095000611435</v>
      </c>
      <c r="E104" s="22">
        <f>IF(AND(ISNUMBER(E103),ISNUMBER(E153)),IF(OR(E153&lt;=0,E103&lt;0),"n.m.",E103/E153-1),"n.a.")</f>
        <v>0.10604095000611435</v>
      </c>
      <c r="F104" s="22">
        <f>IF(AND(ISNUMBER(F103),ISNUMBER(F153)),IF(OR(F153&lt;=0,F103&lt;0),"n.m.",F103/F153-1),"n.a.")</f>
        <v>0.10757444078879308</v>
      </c>
      <c r="G104" s="22">
        <f>IF(AND(ISNUMBER(G103),ISNUMBER(G153)),IF(OR(G153&lt;=0,G103&lt;0),"n.m.",G103/G153-1),"n.a.")</f>
        <v>0.11976126253069763</v>
      </c>
      <c r="H104" s="39">
        <f>IF(AND(ISNUMBER(H103),ISNUMBER(C103)),IF(OR(C103&lt;=0,H103&lt;0),"n.m.",H103/C103-1),"n.a.")</f>
        <v>0.12073238124740904</v>
      </c>
      <c r="I104" s="1"/>
      <c r="J104" s="1"/>
    </row>
    <row r="105">
      <c r="A105" s="1"/>
      <c r="B105" s="20" t="s">
        <v>114</v>
      </c>
      <c r="C105" s="10">
        <f>C103-G153</f>
        <v>9977</v>
      </c>
      <c r="D105" s="10">
        <f>D103-C103</f>
        <v>8654</v>
      </c>
      <c r="E105" s="1"/>
      <c r="F105" s="10">
        <f>F103-D103</f>
        <v>12151</v>
      </c>
      <c r="G105" s="10">
        <f>G103-F103</f>
        <v>16814</v>
      </c>
      <c r="H105" s="29">
        <f>H103-G103</f>
        <v>11567.49285257567</v>
      </c>
      <c r="I105" s="1"/>
      <c r="J105" s="1"/>
    </row>
    <row r="106">
      <c r="A106" s="1"/>
      <c r="B106" s="20" t="s">
        <v>858</v>
      </c>
      <c r="C106" s="10">
        <f>C107-G154</f>
        <v>1365</v>
      </c>
      <c r="D106" s="10">
        <f>D107-C107</f>
        <v>1588</v>
      </c>
      <c r="E106" s="1"/>
      <c r="F106" s="10">
        <f>F107-D107</f>
        <v>-2399</v>
      </c>
      <c r="G106" s="10">
        <f>G107-F107</f>
        <v>-1004</v>
      </c>
      <c r="H106" s="44">
        <v>0</v>
      </c>
      <c r="I106" s="1"/>
      <c r="J106" s="2" t="s">
        <v>859</v>
      </c>
    </row>
    <row r="107">
      <c r="A107" s="1"/>
      <c r="B107" s="21" t="s">
        <v>860</v>
      </c>
      <c r="C107" s="3">
        <v>-5878</v>
      </c>
      <c r="D107" s="3">
        <v>-4290</v>
      </c>
      <c r="E107" s="10">
        <f>D107</f>
        <v>-4290</v>
      </c>
      <c r="F107" s="3">
        <v>-6689</v>
      </c>
      <c r="G107" s="3">
        <v>-7693</v>
      </c>
      <c r="H107" s="29">
        <f>G107+H106</f>
        <v>-7693</v>
      </c>
      <c r="I107" s="1"/>
      <c r="J107" s="2" t="s">
        <v>832</v>
      </c>
    </row>
    <row r="108">
      <c r="A108" s="1"/>
      <c r="B108" s="51" t="s">
        <v>58</v>
      </c>
      <c r="C108" s="22" t="str">
        <f>IF(AND(ISNUMBER(C107),ISNUMBER(C154)),IF(OR(C154&lt;=0,C107&lt;0),"n.m.",C107/C154-1),"n.a.")</f>
        <v>n.m.</v>
      </c>
      <c r="D108" s="22" t="str">
        <f>IF(AND(ISNUMBER(D107),ISNUMBER(D154)),IF(OR(D154&lt;=0,D107&lt;0),"n.m.",D107/D154-1),"n.a.")</f>
        <v>n.m.</v>
      </c>
      <c r="E108" s="22" t="str">
        <f>IF(AND(ISNUMBER(E107),ISNUMBER(E154)),IF(OR(E154&lt;=0,E107&lt;0),"n.m.",E107/E154-1),"n.a.")</f>
        <v>n.m.</v>
      </c>
      <c r="F108" s="22" t="str">
        <f>IF(AND(ISNUMBER(F107),ISNUMBER(F154)),IF(OR(F154&lt;=0,F107&lt;0),"n.m.",F107/F154-1),"n.a.")</f>
        <v>n.m.</v>
      </c>
      <c r="G108" s="22" t="str">
        <f>IF(AND(ISNUMBER(G107),ISNUMBER(G154)),IF(OR(G154&lt;=0,G107&lt;0),"n.m.",G107/G154-1),"n.a.")</f>
        <v>n.m.</v>
      </c>
      <c r="H108" s="39" t="str">
        <f>IF(AND(ISNUMBER(H107),ISNUMBER(C107)),IF(OR(C107&lt;=0,H107&lt;0),"n.m.",H107/C107-1),"n.a.")</f>
        <v>n.m.</v>
      </c>
      <c r="I108" s="1"/>
      <c r="J108" s="1"/>
    </row>
    <row r="109">
      <c r="A109" s="1"/>
      <c r="B109" s="20" t="s">
        <v>114</v>
      </c>
      <c r="C109" s="10">
        <f>C107-G154</f>
        <v>1365</v>
      </c>
      <c r="D109" s="10">
        <f>D107-C107</f>
        <v>1588</v>
      </c>
      <c r="E109" s="1"/>
      <c r="F109" s="10">
        <f>F107-D107</f>
        <v>-2399</v>
      </c>
      <c r="G109" s="10">
        <f>G107-F107</f>
        <v>-1004</v>
      </c>
      <c r="H109" s="29">
        <f>H107-G107</f>
        <v>0</v>
      </c>
      <c r="I109" s="1"/>
      <c r="J109" s="1"/>
    </row>
    <row r="110">
      <c r="A110" s="1"/>
      <c r="B110" s="21" t="s">
        <v>861</v>
      </c>
      <c r="C110" s="3">
        <v>-156326</v>
      </c>
      <c r="D110" s="3">
        <v>-164591</v>
      </c>
      <c r="E110" s="10">
        <f>D110</f>
        <v>-164591</v>
      </c>
      <c r="F110" s="3">
        <v>-171716</v>
      </c>
      <c r="G110" s="3">
        <v>-178433</v>
      </c>
      <c r="H110" s="53">
        <f>G110-'Share Count'!H36</f>
        <v>-185433</v>
      </c>
      <c r="I110" s="1"/>
      <c r="J110" s="2" t="s">
        <v>862</v>
      </c>
    </row>
    <row r="111">
      <c r="A111" s="1"/>
      <c r="B111" s="51" t="s">
        <v>58</v>
      </c>
      <c r="C111" s="22" t="str">
        <f>IF(AND(ISNUMBER(C110),ISNUMBER(C155)),IF(OR(C155&lt;=0,C110&lt;0),"n.m.",C110/C155-1),"n.a.")</f>
        <v>n.m.</v>
      </c>
      <c r="D111" s="22" t="str">
        <f>IF(AND(ISNUMBER(D110),ISNUMBER(D155)),IF(OR(D155&lt;=0,D110&lt;0),"n.m.",D110/D155-1),"n.a.")</f>
        <v>n.m.</v>
      </c>
      <c r="E111" s="22" t="str">
        <f>IF(AND(ISNUMBER(E110),ISNUMBER(E155)),IF(OR(E155&lt;=0,E110&lt;0),"n.m.",E110/E155-1),"n.a.")</f>
        <v>n.m.</v>
      </c>
      <c r="F111" s="22" t="str">
        <f>IF(AND(ISNUMBER(F110),ISNUMBER(F155)),IF(OR(F155&lt;=0,F110&lt;0),"n.m.",F110/F155-1),"n.a.")</f>
        <v>n.m.</v>
      </c>
      <c r="G111" s="22" t="str">
        <f>IF(AND(ISNUMBER(G110),ISNUMBER(G155)),IF(OR(G155&lt;=0,G110&lt;0),"n.m.",G110/G155-1),"n.a.")</f>
        <v>n.m.</v>
      </c>
      <c r="H111" s="39" t="str">
        <f>IF(AND(ISNUMBER(H110),ISNUMBER(C110)),IF(OR(C110&lt;=0,H110&lt;0),"n.m.",H110/C110-1),"n.a.")</f>
        <v>n.m.</v>
      </c>
      <c r="I111" s="1"/>
      <c r="J111" s="1"/>
    </row>
    <row r="112">
      <c r="A112" s="1"/>
      <c r="B112" s="20" t="s">
        <v>114</v>
      </c>
      <c r="C112" s="10">
        <f>C110-G155</f>
        <v>-8343</v>
      </c>
      <c r="D112" s="10">
        <f>D110-C110</f>
        <v>-8265</v>
      </c>
      <c r="E112" s="1"/>
      <c r="F112" s="10">
        <f>F110-D110</f>
        <v>-7125</v>
      </c>
      <c r="G112" s="10">
        <f>G110-F110</f>
        <v>-6717</v>
      </c>
      <c r="H112" s="29">
        <f>H110-G110</f>
        <v>-7000</v>
      </c>
      <c r="I112" s="1"/>
      <c r="J112" s="1"/>
    </row>
    <row r="113">
      <c r="A113" s="1"/>
      <c r="B113" s="31" t="s">
        <v>863</v>
      </c>
      <c r="C113" s="43">
        <f>C94+C97+C100+C103+C107+C110</f>
        <v>360212</v>
      </c>
      <c r="D113" s="43">
        <f>D94+D97+D100+D103+D107+D110</f>
        <v>362438</v>
      </c>
      <c r="E113" s="43">
        <f>E94+E97+E100+E103+E107+E110</f>
        <v>362438</v>
      </c>
      <c r="F113" s="43">
        <f>F94+F97+F100+F103+F107+F110</f>
        <v>364038</v>
      </c>
      <c r="G113" s="43">
        <f>G94+G97+G100+G103+G107+G110</f>
        <v>374598</v>
      </c>
      <c r="H113" s="45">
        <f>H94+H97+H100+H103+H107+H110</f>
        <v>379165.4928525756</v>
      </c>
      <c r="I113" s="1"/>
      <c r="J113" s="1"/>
    </row>
    <row r="114">
      <c r="A114" s="1"/>
      <c r="B114" s="36" t="s">
        <v>58</v>
      </c>
      <c r="C114" s="22">
        <f>IF(AND(ISNUMBER(C113),ISNUMBER(C156)),IF(OR(C156&lt;=0,C113&lt;0),"n.m.",C113/C156-1),"n.a.")</f>
        <v>0.041568836095721595</v>
      </c>
      <c r="D114" s="22">
        <f>IF(AND(ISNUMBER(D113),ISNUMBER(D156)),IF(OR(D156&lt;=0,D113&lt;0),"n.m.",D113/D156-1),"n.a.")</f>
        <v>0.05128234877798343</v>
      </c>
      <c r="E114" s="22">
        <f>IF(AND(ISNUMBER(E113),ISNUMBER(E156)),IF(OR(E156&lt;=0,E113&lt;0),"n.m.",E113/E156-1),"n.a.")</f>
        <v>0.05128234877798343</v>
      </c>
      <c r="F114" s="22">
        <f>IF(AND(ISNUMBER(F113),ISNUMBER(F156)),IF(OR(F156&lt;=0,F113&lt;0),"n.m.",F113/F156-1),"n.a.")</f>
        <v>0.035905753798873175</v>
      </c>
      <c r="G114" s="22">
        <f>IF(AND(ISNUMBER(G113),ISNUMBER(G156)),IF(OR(G156&lt;=0,G113&lt;0),"n.m.",G113/G156-1),"n.a.")</f>
        <v>0.04951754435117839</v>
      </c>
      <c r="H114" s="39">
        <f>IF(AND(ISNUMBER(H113),ISNUMBER(C113)),IF(OR(C113&lt;=0,H113&lt;0),"n.m.",H113/C113-1),"n.a.")</f>
        <v>0.05261760533401327</v>
      </c>
      <c r="I114" s="1"/>
      <c r="J114" s="1"/>
    </row>
    <row r="115">
      <c r="A115" s="1"/>
      <c r="B115" s="21" t="s">
        <v>114</v>
      </c>
      <c r="C115" s="10">
        <f>C113-G156</f>
        <v>3288</v>
      </c>
      <c r="D115" s="10">
        <f>D113-C113</f>
        <v>2226</v>
      </c>
      <c r="E115" s="1"/>
      <c r="F115" s="10">
        <f>F113-D113</f>
        <v>1600</v>
      </c>
      <c r="G115" s="10">
        <f>G113-F113</f>
        <v>10560</v>
      </c>
      <c r="H115" s="29">
        <f>H113-G113</f>
        <v>4567.492852575611</v>
      </c>
      <c r="I115" s="1"/>
      <c r="J115" s="1"/>
    </row>
    <row r="116">
      <c r="A116" s="1"/>
      <c r="B116" s="31" t="s">
        <v>864</v>
      </c>
      <c r="C116" s="43">
        <f>C89+C113</f>
        <v>4560205</v>
      </c>
      <c r="D116" s="43">
        <f>D89+D113</f>
        <v>4424900</v>
      </c>
      <c r="E116" s="43">
        <f>E89+E113</f>
        <v>4424900</v>
      </c>
      <c r="F116" s="43">
        <f>F89+F113</f>
        <v>4900475</v>
      </c>
      <c r="G116" s="43">
        <f>G89+G113</f>
        <v>5015069</v>
      </c>
      <c r="H116" s="45">
        <f>H89+H113</f>
        <v>5046773.492852576</v>
      </c>
      <c r="I116" s="1"/>
      <c r="J116" s="1"/>
    </row>
    <row r="117">
      <c r="A117" s="1"/>
      <c r="B117" s="24" t="s">
        <v>865</v>
      </c>
      <c r="C117" s="34">
        <f>C59-C89-C113</f>
        <v>0</v>
      </c>
      <c r="D117" s="34">
        <f>D59-D89-D113</f>
        <v>0</v>
      </c>
      <c r="E117" s="34">
        <f>E59-E89-E113</f>
        <v>0</v>
      </c>
      <c r="F117" s="34">
        <f>F59-F89-F113</f>
        <v>0</v>
      </c>
      <c r="G117" s="34">
        <f>G59-G89-G113</f>
        <v>0</v>
      </c>
      <c r="H117" s="48">
        <f>H59-H89-H113</f>
        <v>0</v>
      </c>
      <c r="I117" s="1"/>
      <c r="J117" s="2" t="s">
        <v>866</v>
      </c>
    </row>
    <row r="118">
      <c r="A118" s="1"/>
      <c r="B118" s="24" t="s">
        <v>867</v>
      </c>
      <c r="C118" s="34">
        <f>C59-C119</f>
        <v>0</v>
      </c>
      <c r="D118" s="34">
        <f>D59-D119</f>
        <v>0</v>
      </c>
      <c r="E118" s="34">
        <f>E59-E119</f>
        <v>0</v>
      </c>
      <c r="F118" s="34">
        <f>F59-F119</f>
        <v>0</v>
      </c>
      <c r="G118" s="34">
        <f>G59-G119</f>
        <v>0</v>
      </c>
      <c r="H118" s="30"/>
      <c r="I118" s="1"/>
      <c r="J118" s="2" t="s">
        <v>118</v>
      </c>
    </row>
    <row r="119">
      <c r="A119" s="1"/>
      <c r="B119" s="21" t="s">
        <v>868</v>
      </c>
      <c r="C119" s="3">
        <v>4560205</v>
      </c>
      <c r="D119" s="3">
        <v>4424900</v>
      </c>
      <c r="E119" s="10">
        <f>D119</f>
        <v>4424900</v>
      </c>
      <c r="F119" s="3">
        <v>4900475</v>
      </c>
      <c r="G119" s="3">
        <v>5015069</v>
      </c>
      <c r="H119" s="30"/>
      <c r="I119" s="1"/>
      <c r="J119" s="2" t="s">
        <v>832</v>
      </c>
    </row>
    <row r="120">
      <c r="A120" s="1"/>
      <c r="B120" s="1" t="s">
        <v>869</v>
      </c>
      <c r="C120" s="81">
        <f>(C113-C94)/'Share Count'!C18</f>
        <v>124.96032620674455</v>
      </c>
      <c r="D120" s="81">
        <f>(D113-D94)/'Share Count'!D18</f>
        <v>126.99095022624435</v>
      </c>
      <c r="E120" s="81">
        <f>(E113-E94)/'Share Count'!E18</f>
        <v>126.99095022624435</v>
      </c>
      <c r="F120" s="81">
        <f>(F113-F94)/'Share Count'!F18</f>
        <v>128.3795484232133</v>
      </c>
      <c r="G120" s="81">
        <f>(G113-G94)/'Share Count'!G18</f>
        <v>133.0065457828606</v>
      </c>
      <c r="H120" s="80">
        <f>(H113-H94)/'Share Count'!H18</f>
        <v>135.75583613536455</v>
      </c>
      <c r="I120" s="1"/>
      <c r="J120" s="2" t="s">
        <v>870</v>
      </c>
    </row>
    <row r="121">
      <c r="A121" s="1"/>
      <c r="B121" s="36" t="s">
        <v>58</v>
      </c>
      <c r="C121" s="22">
        <f>IF(AND(ISNUMBER(C120),ISNUMBER(C157)),IF(OR(C157&lt;=0,C120&lt;0),"n.m.",C120/C157-1),"n.a.")</f>
        <v>0.08519605911198047</v>
      </c>
      <c r="D121" s="22">
        <f>IF(AND(ISNUMBER(D120),ISNUMBER(D157)),IF(OR(D157&lt;=0,D120&lt;0),"n.m.",D120/D157-1),"n.a.")</f>
        <v>0.09408934458726947</v>
      </c>
      <c r="E121" s="22">
        <f>IF(AND(ISNUMBER(E120),ISNUMBER(E157)),IF(OR(E157&lt;=0,E120&lt;0),"n.m.",E120/E157-1),"n.a.")</f>
        <v>0.09408934458726947</v>
      </c>
      <c r="F121" s="22">
        <f>IF(AND(ISNUMBER(F120),ISNUMBER(F157)),IF(OR(F157&lt;=0,F120&lt;0),"n.m.",F120/F157-1),"n.a.")</f>
        <v>0.076648343032651</v>
      </c>
      <c r="G121" s="22">
        <f>IF(AND(ISNUMBER(G120),ISNUMBER(G157)),IF(OR(G157&lt;=0,G120&lt;0),"n.m.",G120/G157-1),"n.a.")</f>
        <v>0.0856790938116121</v>
      </c>
      <c r="H121" s="39">
        <f>IF(AND(ISNUMBER(H120),ISNUMBER(C120)),IF(OR(C120&lt;=0,H120&lt;0),"n.m.",H120/C120-1),"n.a.")</f>
        <v>0.08639149925680423</v>
      </c>
      <c r="I121" s="1"/>
      <c r="J121" s="1"/>
    </row>
    <row r="122">
      <c r="A122" s="1"/>
      <c r="B122" s="1"/>
      <c r="C122" s="1"/>
      <c r="D122" s="1"/>
      <c r="E122" s="1"/>
      <c r="F122" s="1"/>
      <c r="G122" s="1"/>
      <c r="H122" s="30"/>
      <c r="I122" s="1"/>
      <c r="J122" s="1"/>
    </row>
    <row r="123" ht="39">
      <c r="A123" s="1"/>
      <c r="B123" s="113" t="s">
        <v>158</v>
      </c>
      <c r="C123" s="116" t="s">
        <v>159</v>
      </c>
      <c r="D123" s="116" t="s">
        <v>160</v>
      </c>
      <c r="E123" s="116" t="s">
        <v>161</v>
      </c>
      <c r="F123" s="116" t="s">
        <v>162</v>
      </c>
      <c r="G123" s="116" t="s">
        <v>163</v>
      </c>
      <c r="H123" s="117" t="s">
        <v>57</v>
      </c>
      <c r="I123" s="1"/>
      <c r="J123" s="125" t="s">
        <v>164</v>
      </c>
    </row>
    <row r="124">
      <c r="A124" s="1"/>
      <c r="B124" s="21" t="s">
        <v>871</v>
      </c>
      <c r="C124" s="3">
        <v>22896</v>
      </c>
      <c r="D124" s="3">
        <v>23372</v>
      </c>
      <c r="E124" s="3">
        <v>23372</v>
      </c>
      <c r="F124" s="3">
        <v>22066</v>
      </c>
      <c r="G124" s="3">
        <v>23759</v>
      </c>
      <c r="H124" s="29">
        <f>C10</f>
        <v>21821</v>
      </c>
      <c r="I124" s="1"/>
      <c r="J124" s="1"/>
    </row>
    <row r="125">
      <c r="A125" s="1"/>
      <c r="B125" s="21" t="s">
        <v>872</v>
      </c>
      <c r="C125" s="3">
        <v>411364</v>
      </c>
      <c r="D125" s="3">
        <v>445945</v>
      </c>
      <c r="E125" s="3">
        <v>445945</v>
      </c>
      <c r="F125" s="3">
        <v>403837</v>
      </c>
      <c r="G125" s="3">
        <v>396568</v>
      </c>
      <c r="H125" s="29">
        <f>C13</f>
        <v>281615</v>
      </c>
      <c r="I125" s="1"/>
      <c r="J125" s="1"/>
    </row>
    <row r="126">
      <c r="A126" s="1"/>
      <c r="B126" s="21" t="s">
        <v>873</v>
      </c>
      <c r="C126" s="3">
        <v>390821</v>
      </c>
      <c r="D126" s="3">
        <v>295001</v>
      </c>
      <c r="E126" s="3">
        <v>295001</v>
      </c>
      <c r="F126" s="3">
        <v>429506</v>
      </c>
      <c r="G126" s="3">
        <v>470589</v>
      </c>
      <c r="H126" s="29">
        <f>C16</f>
        <v>425815</v>
      </c>
      <c r="I126" s="1"/>
      <c r="J126" s="1"/>
    </row>
    <row r="127">
      <c r="A127" s="1"/>
      <c r="B127" s="21" t="s">
        <v>874</v>
      </c>
      <c r="C127" s="3">
        <v>252434</v>
      </c>
      <c r="D127" s="3">
        <v>219546</v>
      </c>
      <c r="E127" s="3">
        <v>219546</v>
      </c>
      <c r="F127" s="3">
        <v>238702</v>
      </c>
      <c r="G127" s="3">
        <v>223976</v>
      </c>
      <c r="H127" s="29">
        <f>C19</f>
        <v>248368</v>
      </c>
      <c r="I127" s="1"/>
      <c r="J127" s="1"/>
    </row>
    <row r="128">
      <c r="A128" s="1"/>
      <c r="B128" s="21" t="s">
        <v>875</v>
      </c>
      <c r="C128" s="3">
        <v>734928</v>
      </c>
      <c r="D128" s="3">
        <v>576817</v>
      </c>
      <c r="E128" s="3">
        <v>576817</v>
      </c>
      <c r="F128" s="3">
        <v>814664</v>
      </c>
      <c r="G128" s="3">
        <v>829510</v>
      </c>
      <c r="H128" s="29">
        <f>C22</f>
        <v>892928</v>
      </c>
      <c r="I128" s="1"/>
      <c r="J128" s="1"/>
    </row>
    <row r="129">
      <c r="A129" s="1"/>
      <c r="B129" s="21" t="s">
        <v>876</v>
      </c>
      <c r="C129" s="3">
        <v>52561</v>
      </c>
      <c r="D129" s="3">
        <v>60967</v>
      </c>
      <c r="E129" s="3">
        <v>60967</v>
      </c>
      <c r="F129" s="3">
        <v>60539</v>
      </c>
      <c r="G129" s="3">
        <v>60346</v>
      </c>
      <c r="H129" s="29">
        <f>C25</f>
        <v>59849</v>
      </c>
      <c r="I129" s="1"/>
      <c r="J129" s="1"/>
    </row>
    <row r="130">
      <c r="A130" s="1"/>
      <c r="B130" s="21" t="s">
        <v>877</v>
      </c>
      <c r="C130" s="3">
        <v>334548</v>
      </c>
      <c r="D130" s="3">
        <v>406852</v>
      </c>
      <c r="E130" s="3">
        <v>406852</v>
      </c>
      <c r="F130" s="3">
        <v>399363</v>
      </c>
      <c r="G130" s="3">
        <v>485380</v>
      </c>
      <c r="H130" s="29">
        <f>C28</f>
        <v>490499</v>
      </c>
      <c r="I130" s="1"/>
      <c r="J130" s="1"/>
    </row>
    <row r="131">
      <c r="A131" s="1"/>
      <c r="B131" s="21" t="s">
        <v>878</v>
      </c>
      <c r="C131" s="3">
        <v>299954</v>
      </c>
      <c r="D131" s="3">
        <v>274468</v>
      </c>
      <c r="E131" s="3">
        <v>274468</v>
      </c>
      <c r="F131" s="3">
        <v>265084</v>
      </c>
      <c r="G131" s="3">
        <v>260559</v>
      </c>
      <c r="H131" s="29">
        <f>C31</f>
        <v>293446</v>
      </c>
      <c r="I131" s="1"/>
      <c r="J131" s="1"/>
    </row>
    <row r="132">
      <c r="A132" s="1"/>
      <c r="B132" s="21" t="s">
        <v>879</v>
      </c>
      <c r="C132" s="10">
        <f>C130+C131</f>
        <v>634502</v>
      </c>
      <c r="D132" s="10">
        <f>D130+D131</f>
        <v>681320</v>
      </c>
      <c r="E132" s="10">
        <f>E130+E131</f>
        <v>681320</v>
      </c>
      <c r="F132" s="10">
        <f>F130+F131</f>
        <v>664447</v>
      </c>
      <c r="G132" s="10">
        <f>G130+G131</f>
        <v>745939</v>
      </c>
      <c r="H132" s="29">
        <f>C34</f>
        <v>783945</v>
      </c>
      <c r="I132" s="1"/>
      <c r="J132" s="1"/>
    </row>
    <row r="133">
      <c r="A133" s="1"/>
      <c r="B133" s="21" t="s">
        <v>880</v>
      </c>
      <c r="C133" s="3">
        <v>1340011</v>
      </c>
      <c r="D133" s="3">
        <v>1347988</v>
      </c>
      <c r="E133" s="3">
        <v>1347988</v>
      </c>
      <c r="F133" s="3">
        <v>1355695</v>
      </c>
      <c r="G133" s="3">
        <v>1411992</v>
      </c>
      <c r="H133" s="29">
        <f>C38</f>
        <v>1435246</v>
      </c>
      <c r="I133" s="1"/>
      <c r="J133" s="1"/>
    </row>
    <row r="134">
      <c r="A134" s="1"/>
      <c r="B134" s="21" t="s">
        <v>881</v>
      </c>
      <c r="C134" s="3">
        <v>23949</v>
      </c>
      <c r="D134" s="3">
        <v>24345</v>
      </c>
      <c r="E134" s="3">
        <v>24345</v>
      </c>
      <c r="F134" s="3">
        <v>25208</v>
      </c>
      <c r="G134" s="3">
        <v>24953</v>
      </c>
      <c r="H134" s="29">
        <f>C41</f>
        <v>25735</v>
      </c>
      <c r="I134" s="1"/>
      <c r="J134" s="1"/>
    </row>
    <row r="135">
      <c r="A135" s="1"/>
      <c r="B135" s="21" t="s">
        <v>882</v>
      </c>
      <c r="C135" s="10">
        <f>C133-C134</f>
        <v>1316062</v>
      </c>
      <c r="D135" s="10">
        <f>D133-D134</f>
        <v>1323643</v>
      </c>
      <c r="E135" s="10">
        <f>E133-E134</f>
        <v>1323643</v>
      </c>
      <c r="F135" s="10">
        <f>F133-F134</f>
        <v>1330487</v>
      </c>
      <c r="G135" s="10">
        <f>G133-G134</f>
        <v>1387039</v>
      </c>
      <c r="H135" s="29">
        <f>C44</f>
        <v>1409511</v>
      </c>
      <c r="I135" s="1"/>
      <c r="J135" s="1"/>
    </row>
    <row r="136">
      <c r="A136" s="1"/>
      <c r="B136" s="21" t="s">
        <v>883</v>
      </c>
      <c r="C136" s="3">
        <v>122565</v>
      </c>
      <c r="D136" s="3">
        <v>101223</v>
      </c>
      <c r="E136" s="3">
        <v>101223</v>
      </c>
      <c r="F136" s="3">
        <v>117845</v>
      </c>
      <c r="G136" s="3">
        <v>124463</v>
      </c>
      <c r="H136" s="29">
        <f>C47</f>
        <v>141876</v>
      </c>
      <c r="I136" s="1"/>
      <c r="J136" s="1"/>
    </row>
    <row r="137">
      <c r="A137" s="1"/>
      <c r="B137" s="21" t="s">
        <v>884</v>
      </c>
      <c r="C137" s="3">
        <v>31525</v>
      </c>
      <c r="D137" s="3">
        <v>32223</v>
      </c>
      <c r="E137" s="3">
        <v>32223</v>
      </c>
      <c r="F137" s="3">
        <v>32811</v>
      </c>
      <c r="G137" s="3">
        <v>33562</v>
      </c>
      <c r="H137" s="29">
        <f>C50</f>
        <v>35063</v>
      </c>
      <c r="I137" s="1"/>
      <c r="J137" s="1"/>
    </row>
    <row r="138">
      <c r="A138" s="1"/>
      <c r="B138" s="21" t="s">
        <v>885</v>
      </c>
      <c r="C138" s="3">
        <v>64455</v>
      </c>
      <c r="D138" s="3">
        <v>64560</v>
      </c>
      <c r="E138" s="3">
        <v>64560</v>
      </c>
      <c r="F138" s="3">
        <v>64525</v>
      </c>
      <c r="G138" s="3">
        <v>64465</v>
      </c>
      <c r="H138" s="29">
        <f>C53</f>
        <v>64442</v>
      </c>
      <c r="I138" s="1"/>
      <c r="J138" s="1"/>
    </row>
    <row r="139">
      <c r="A139" s="1"/>
      <c r="B139" s="21" t="s">
        <v>886</v>
      </c>
      <c r="C139" s="3">
        <v>175935</v>
      </c>
      <c r="D139" s="3">
        <v>178197</v>
      </c>
      <c r="E139" s="3">
        <v>178197</v>
      </c>
      <c r="F139" s="3">
        <v>178427</v>
      </c>
      <c r="G139" s="3">
        <v>192266</v>
      </c>
      <c r="H139" s="29">
        <f>C56</f>
        <v>194972</v>
      </c>
      <c r="I139" s="1"/>
      <c r="J139" s="1"/>
    </row>
    <row r="140">
      <c r="A140" s="1"/>
      <c r="B140" s="21" t="s">
        <v>887</v>
      </c>
      <c r="C140" s="10">
        <f>C124+C125+C126+C127+C128+C129+C132+C135+C136+C137+C138+C139</f>
        <v>4210048</v>
      </c>
      <c r="D140" s="10">
        <f>D124+D125+D126+D127+D128+D129+D132+D135+D136+D137+D138+D139</f>
        <v>4002814</v>
      </c>
      <c r="E140" s="10">
        <f>E124+E125+E126+E127+E128+E129+E132+E135+E136+E137+E138+E139</f>
        <v>4002814</v>
      </c>
      <c r="F140" s="10">
        <f>F124+F125+F126+F127+F128+F129+F132+F135+F136+F137+F138+F139</f>
        <v>4357856</v>
      </c>
      <c r="G140" s="10">
        <f>G124+G125+G126+G127+G128+G129+G132+G135+G136+G137+G138+G139</f>
        <v>4552482</v>
      </c>
      <c r="H140" s="29">
        <f>C59</f>
        <v>4560205</v>
      </c>
      <c r="I140" s="1"/>
      <c r="J140" s="1"/>
    </row>
    <row r="141">
      <c r="A141" s="1"/>
      <c r="B141" s="21" t="s">
        <v>888</v>
      </c>
      <c r="C141" s="3">
        <v>2430772</v>
      </c>
      <c r="D141" s="3">
        <v>2406032</v>
      </c>
      <c r="E141" s="3">
        <v>2406032</v>
      </c>
      <c r="F141" s="3">
        <v>2495877</v>
      </c>
      <c r="G141" s="3">
        <v>2562380</v>
      </c>
      <c r="H141" s="29">
        <f>C65</f>
        <v>2548476</v>
      </c>
      <c r="I141" s="1"/>
      <c r="J141" s="1"/>
    </row>
    <row r="142">
      <c r="A142" s="1"/>
      <c r="B142" s="21" t="s">
        <v>889</v>
      </c>
      <c r="C142" s="3">
        <v>389337</v>
      </c>
      <c r="D142" s="3">
        <v>296835</v>
      </c>
      <c r="E142" s="3">
        <v>296835</v>
      </c>
      <c r="F142" s="3">
        <v>533046</v>
      </c>
      <c r="G142" s="3">
        <v>595340</v>
      </c>
      <c r="H142" s="29">
        <f>C68</f>
        <v>567574</v>
      </c>
      <c r="I142" s="1"/>
      <c r="J142" s="1"/>
    </row>
    <row r="143">
      <c r="A143" s="1"/>
      <c r="B143" s="21" t="s">
        <v>890</v>
      </c>
      <c r="C143" s="3">
        <v>50638</v>
      </c>
      <c r="D143" s="3">
        <v>52893</v>
      </c>
      <c r="E143" s="3">
        <v>52893</v>
      </c>
      <c r="F143" s="3">
        <v>64980</v>
      </c>
      <c r="G143" s="3">
        <v>65293</v>
      </c>
      <c r="H143" s="29">
        <f>C71</f>
        <v>69355</v>
      </c>
      <c r="I143" s="1"/>
      <c r="J143" s="1"/>
    </row>
    <row r="144">
      <c r="A144" s="1"/>
      <c r="B144" s="21" t="s">
        <v>891</v>
      </c>
      <c r="C144" s="3">
        <v>204593</v>
      </c>
      <c r="D144" s="3">
        <v>153222</v>
      </c>
      <c r="E144" s="3">
        <v>153222</v>
      </c>
      <c r="F144" s="3">
        <v>149871</v>
      </c>
      <c r="G144" s="3">
        <v>173292</v>
      </c>
      <c r="H144" s="29">
        <f>C74</f>
        <v>195859</v>
      </c>
      <c r="I144" s="1"/>
      <c r="J144" s="1"/>
    </row>
    <row r="145">
      <c r="A145" s="1"/>
      <c r="B145" s="21" t="s">
        <v>892</v>
      </c>
      <c r="C145" s="3">
        <v>38665</v>
      </c>
      <c r="D145" s="3">
        <v>39661</v>
      </c>
      <c r="E145" s="3">
        <v>39661</v>
      </c>
      <c r="F145" s="3">
        <v>37232</v>
      </c>
      <c r="G145" s="3">
        <v>48110</v>
      </c>
      <c r="H145" s="29">
        <f>C77</f>
        <v>46403</v>
      </c>
      <c r="I145" s="1"/>
      <c r="J145" s="1"/>
    </row>
    <row r="146">
      <c r="A146" s="1"/>
      <c r="B146" s="21" t="s">
        <v>893</v>
      </c>
      <c r="C146" s="3">
        <v>314356</v>
      </c>
      <c r="D146" s="3">
        <v>280672</v>
      </c>
      <c r="E146" s="3">
        <v>280672</v>
      </c>
      <c r="F146" s="3">
        <v>293538</v>
      </c>
      <c r="G146" s="3">
        <v>303641</v>
      </c>
      <c r="H146" s="29">
        <f>C80</f>
        <v>316896</v>
      </c>
      <c r="I146" s="1"/>
      <c r="J146" s="1"/>
    </row>
    <row r="147">
      <c r="A147" s="1"/>
      <c r="B147" s="21" t="s">
        <v>894</v>
      </c>
      <c r="C147" s="3">
        <v>25694</v>
      </c>
      <c r="D147" s="3">
        <v>27323</v>
      </c>
      <c r="E147" s="3">
        <v>27323</v>
      </c>
      <c r="F147" s="3">
        <v>24668</v>
      </c>
      <c r="G147" s="3">
        <v>27700</v>
      </c>
      <c r="H147" s="29">
        <f>C83</f>
        <v>28227</v>
      </c>
      <c r="I147" s="1"/>
      <c r="J147" s="1"/>
    </row>
    <row r="148">
      <c r="A148" s="1"/>
      <c r="B148" s="21" t="s">
        <v>895</v>
      </c>
      <c r="C148" s="3">
        <v>410157</v>
      </c>
      <c r="D148" s="3">
        <v>401418</v>
      </c>
      <c r="E148" s="3">
        <v>401418</v>
      </c>
      <c r="F148" s="3">
        <v>407224</v>
      </c>
      <c r="G148" s="3">
        <v>419802</v>
      </c>
      <c r="H148" s="29">
        <f>C86</f>
        <v>427203</v>
      </c>
      <c r="I148" s="1"/>
      <c r="J148" s="1"/>
    </row>
    <row r="149">
      <c r="A149" s="1"/>
      <c r="B149" s="21" t="s">
        <v>896</v>
      </c>
      <c r="C149" s="10">
        <f>C141+C142+C143+C144+C145+C146+C147+C148</f>
        <v>3864212</v>
      </c>
      <c r="D149" s="10">
        <f>D141+D142+D143+D144+D145+D146+D147+D148</f>
        <v>3658056</v>
      </c>
      <c r="E149" s="10">
        <f>E141+E142+E143+E144+E145+E146+E147+E148</f>
        <v>3658056</v>
      </c>
      <c r="F149" s="10">
        <f>F141+F142+F143+F144+F145+F146+F147+F148</f>
        <v>4006436</v>
      </c>
      <c r="G149" s="10">
        <f>G141+G142+G143+G144+G145+G146+G147+G148</f>
        <v>4195558</v>
      </c>
      <c r="H149" s="29">
        <f>C89</f>
        <v>4199993</v>
      </c>
      <c r="I149" s="1"/>
      <c r="J149" s="1"/>
    </row>
    <row r="150">
      <c r="A150" s="1"/>
      <c r="B150" s="21" t="s">
        <v>897</v>
      </c>
      <c r="C150" s="3">
        <v>21650</v>
      </c>
      <c r="D150" s="3">
        <v>20050</v>
      </c>
      <c r="E150" s="3">
        <v>20050</v>
      </c>
      <c r="F150" s="3">
        <v>20045</v>
      </c>
      <c r="G150" s="3">
        <v>20045</v>
      </c>
      <c r="H150" s="29">
        <f>C94</f>
        <v>20045</v>
      </c>
      <c r="I150" s="1"/>
      <c r="J150" s="1"/>
    </row>
    <row r="151">
      <c r="A151" s="1"/>
      <c r="B151" s="21" t="s">
        <v>898</v>
      </c>
      <c r="C151" s="3">
        <v>4105</v>
      </c>
      <c r="D151" s="3">
        <v>4105</v>
      </c>
      <c r="E151" s="3">
        <v>4105</v>
      </c>
      <c r="F151" s="3">
        <v>4105</v>
      </c>
      <c r="G151" s="3">
        <v>4105</v>
      </c>
      <c r="H151" s="29">
        <f>C97</f>
        <v>4105</v>
      </c>
      <c r="I151" s="1"/>
      <c r="J151" s="1"/>
    </row>
    <row r="152">
      <c r="A152" s="1"/>
      <c r="B152" s="21" t="s">
        <v>899</v>
      </c>
      <c r="C152" s="3">
        <v>90638</v>
      </c>
      <c r="D152" s="3">
        <v>90911</v>
      </c>
      <c r="E152" s="3">
        <v>90911</v>
      </c>
      <c r="F152" s="3">
        <v>90223</v>
      </c>
      <c r="G152" s="3">
        <v>90576</v>
      </c>
      <c r="H152" s="29">
        <f>C100</f>
        <v>90865</v>
      </c>
      <c r="I152" s="1"/>
      <c r="J152" s="1"/>
    </row>
    <row r="153">
      <c r="A153" s="1"/>
      <c r="B153" s="21" t="s">
        <v>900</v>
      </c>
      <c r="C153" s="3">
        <v>365966</v>
      </c>
      <c r="D153" s="3">
        <v>376166</v>
      </c>
      <c r="E153" s="3">
        <v>376166</v>
      </c>
      <c r="F153" s="3">
        <v>386616</v>
      </c>
      <c r="G153" s="3">
        <v>397424</v>
      </c>
      <c r="H153" s="29">
        <f>C103</f>
        <v>407401</v>
      </c>
      <c r="I153" s="1"/>
      <c r="J153" s="1"/>
    </row>
    <row r="154">
      <c r="A154" s="1"/>
      <c r="B154" s="21" t="s">
        <v>901</v>
      </c>
      <c r="C154" s="3">
        <v>-6784</v>
      </c>
      <c r="D154" s="3">
        <v>-12456</v>
      </c>
      <c r="E154" s="3">
        <v>-12456</v>
      </c>
      <c r="F154" s="3">
        <v>-9111</v>
      </c>
      <c r="G154" s="3">
        <v>-7243</v>
      </c>
      <c r="H154" s="29">
        <f>C107</f>
        <v>-5878</v>
      </c>
      <c r="I154" s="1"/>
      <c r="J154" s="1"/>
    </row>
    <row r="155">
      <c r="A155" s="1"/>
      <c r="B155" s="21" t="s">
        <v>902</v>
      </c>
      <c r="C155" s="3">
        <v>-129739</v>
      </c>
      <c r="D155" s="3">
        <v>-134018</v>
      </c>
      <c r="E155" s="3">
        <v>-134018</v>
      </c>
      <c r="F155" s="3">
        <v>-140458</v>
      </c>
      <c r="G155" s="3">
        <v>-147983</v>
      </c>
      <c r="H155" s="29">
        <f>C110</f>
        <v>-156326</v>
      </c>
      <c r="I155" s="1"/>
      <c r="J155" s="1"/>
    </row>
    <row r="156">
      <c r="A156" s="1"/>
      <c r="B156" s="21" t="s">
        <v>903</v>
      </c>
      <c r="C156" s="10">
        <f>C150+C151+C152+C153+C154+C155</f>
        <v>345836</v>
      </c>
      <c r="D156" s="10">
        <f>D150+D151+D152+D153+D154+D155</f>
        <v>344758</v>
      </c>
      <c r="E156" s="10">
        <f>E150+E151+E152+E153+E154+E155</f>
        <v>344758</v>
      </c>
      <c r="F156" s="10">
        <f>F150+F151+F152+F153+F154+F155</f>
        <v>351420</v>
      </c>
      <c r="G156" s="10">
        <f>G150+G151+G152+G153+G154+G155</f>
        <v>356924</v>
      </c>
      <c r="H156" s="29">
        <f>C113</f>
        <v>360212</v>
      </c>
      <c r="I156" s="1"/>
      <c r="J156" s="1"/>
    </row>
    <row r="157">
      <c r="A157" s="1"/>
      <c r="B157" s="21" t="s">
        <v>904</v>
      </c>
      <c r="C157" s="35">
        <v>115.15</v>
      </c>
      <c r="D157" s="35">
        <v>116.07</v>
      </c>
      <c r="E157" s="35">
        <v>116.07</v>
      </c>
      <c r="F157" s="35">
        <v>119.24</v>
      </c>
      <c r="G157" s="35">
        <v>122.51</v>
      </c>
      <c r="H157" s="50">
        <f>C120</f>
        <v>124.96032620674455</v>
      </c>
      <c r="I157" s="1"/>
      <c r="J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</row>
  </sheetData>
</worksheet>
</file>

<file path=xl/worksheets/sheet9.xml><?xml version="1.0" encoding="utf-8"?>
<worksheet xmlns="http://schemas.openxmlformats.org/spreadsheetml/2006/main" xmlns:r="http://schemas.openxmlformats.org/officeDocument/2006/relationships">
  <dimension ref="A1:J42"/>
  <sheetViews>
    <sheetView showGridLines="0" workbookViewId="0"/>
  </sheetViews>
  <sheetFormatPr defaultColWidth="8.42578125" defaultRowHeight="15"/>
  <cols>
    <col min="1" max="1" width="2" customWidth="1"/>
    <col min="2" max="2" width="38" customWidth="1"/>
    <col min="3" max="8" width="12" customWidth="1"/>
    <col min="9" max="9" width="2" customWidth="1"/>
    <col min="10" max="10" width="7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</row>
    <row r="2">
      <c r="A2" s="1"/>
      <c r="B2" s="38" t="s">
        <v>0</v>
      </c>
      <c r="C2" s="1"/>
      <c r="D2" s="1"/>
      <c r="E2" s="1"/>
      <c r="F2" s="1"/>
      <c r="G2" s="1"/>
      <c r="H2" s="1"/>
      <c r="I2" s="1"/>
      <c r="J2" s="1"/>
    </row>
    <row r="3">
      <c r="A3" s="1"/>
      <c r="B3" s="31" t="s">
        <v>905</v>
      </c>
      <c r="C3" s="1"/>
      <c r="D3" s="1"/>
      <c r="E3" s="1"/>
      <c r="F3" s="1"/>
      <c r="G3" s="1"/>
      <c r="H3" s="1"/>
      <c r="I3" s="1"/>
      <c r="J3" s="1"/>
    </row>
    <row r="4">
      <c r="A4" s="1"/>
      <c r="B4" s="24" t="s">
        <v>2</v>
      </c>
      <c r="C4" s="1"/>
      <c r="D4" s="1"/>
      <c r="E4" s="1"/>
      <c r="F4" s="1"/>
      <c r="G4" s="1"/>
      <c r="H4" s="1"/>
      <c r="I4" s="1"/>
      <c r="J4" s="1"/>
    </row>
    <row r="5">
      <c r="A5" s="1"/>
      <c r="B5" s="14" t="s">
        <v>89</v>
      </c>
      <c r="C5" s="11" t="s">
        <v>57</v>
      </c>
      <c r="D5" s="11" t="s">
        <v>90</v>
      </c>
      <c r="E5" s="11" t="s">
        <v>91</v>
      </c>
      <c r="F5" s="11" t="s">
        <v>92</v>
      </c>
      <c r="G5" s="11" t="s">
        <v>59</v>
      </c>
      <c r="H5" s="11" t="s">
        <v>56</v>
      </c>
      <c r="I5" s="14"/>
      <c r="J5" s="14" t="s">
        <v>93</v>
      </c>
    </row>
    <row r="6">
      <c r="A6" s="1"/>
      <c r="B6" s="19" t="s">
        <v>94</v>
      </c>
      <c r="C6" s="13">
        <v>45930</v>
      </c>
      <c r="D6" s="13">
        <v>46022</v>
      </c>
      <c r="E6" s="13">
        <v>46022</v>
      </c>
      <c r="F6" s="13">
        <v>46112</v>
      </c>
      <c r="G6" s="13">
        <v>46203</v>
      </c>
      <c r="H6" s="13">
        <v>46295</v>
      </c>
      <c r="I6" s="19"/>
      <c r="J6" s="19"/>
    </row>
    <row r="7">
      <c r="A7" s="1"/>
      <c r="B7" s="28" t="s">
        <v>95</v>
      </c>
      <c r="C7" s="9">
        <v>92</v>
      </c>
      <c r="D7" s="9">
        <v>92</v>
      </c>
      <c r="E7" s="9">
        <v>365</v>
      </c>
      <c r="F7" s="9">
        <v>90</v>
      </c>
      <c r="G7" s="9">
        <v>91</v>
      </c>
      <c r="H7" s="9">
        <v>92</v>
      </c>
      <c r="I7" s="28"/>
      <c r="J7" s="28"/>
    </row>
    <row r="8">
      <c r="A8" s="1"/>
      <c r="B8" s="1"/>
      <c r="C8" s="1"/>
      <c r="D8" s="1"/>
      <c r="E8" s="1"/>
      <c r="F8" s="1"/>
      <c r="G8" s="1"/>
      <c r="H8" s="30"/>
      <c r="I8" s="1"/>
      <c r="J8" s="1"/>
    </row>
    <row r="9">
      <c r="A9" s="1"/>
      <c r="B9" s="31" t="s">
        <v>906</v>
      </c>
      <c r="C9" s="1"/>
      <c r="D9" s="1"/>
      <c r="E9" s="1"/>
      <c r="F9" s="1"/>
      <c r="G9" s="1"/>
      <c r="H9" s="30"/>
      <c r="I9" s="1"/>
      <c r="J9" s="1"/>
    </row>
    <row r="10">
      <c r="A10" s="1"/>
      <c r="B10" s="1" t="s">
        <v>907</v>
      </c>
      <c r="C10" s="3">
        <v>-267506</v>
      </c>
      <c r="D10" s="3">
        <v>-147782</v>
      </c>
      <c r="E10" s="10">
        <f>D10</f>
        <v>-147782</v>
      </c>
      <c r="F10" s="3">
        <v>-211761</v>
      </c>
      <c r="G10" s="3">
        <v>-237044</v>
      </c>
      <c r="H10" s="30"/>
      <c r="I10" s="1"/>
      <c r="J10" s="2" t="s">
        <v>908</v>
      </c>
    </row>
    <row r="11">
      <c r="A11" s="1"/>
      <c r="B11" s="20" t="s">
        <v>909</v>
      </c>
      <c r="C11" s="3">
        <v>-222292</v>
      </c>
      <c r="D11" s="10">
        <f>C10</f>
        <v>-267506</v>
      </c>
      <c r="E11" s="3">
        <v>0</v>
      </c>
      <c r="F11" s="3">
        <v>0</v>
      </c>
      <c r="G11" s="10">
        <f>F10</f>
        <v>-211761</v>
      </c>
      <c r="H11" s="30"/>
      <c r="I11" s="1"/>
      <c r="J11" s="2" t="s">
        <v>910</v>
      </c>
    </row>
    <row r="12">
      <c r="A12" s="1"/>
      <c r="B12" s="1" t="s">
        <v>911</v>
      </c>
      <c r="C12" s="3">
        <v>-312447</v>
      </c>
      <c r="D12" s="3">
        <v>-265565</v>
      </c>
      <c r="E12" s="10">
        <f>D12</f>
        <v>-265565</v>
      </c>
      <c r="F12" s="3">
        <v>-217769</v>
      </c>
      <c r="G12" s="3">
        <v>-211376</v>
      </c>
      <c r="H12" s="30"/>
      <c r="I12" s="1"/>
      <c r="J12" s="2" t="s">
        <v>908</v>
      </c>
    </row>
    <row r="13">
      <c r="A13" s="1"/>
      <c r="B13" s="20" t="s">
        <v>909</v>
      </c>
      <c r="C13" s="3">
        <v>-291136</v>
      </c>
      <c r="D13" s="10">
        <f>C12</f>
        <v>-312447</v>
      </c>
      <c r="E13" s="3">
        <v>0</v>
      </c>
      <c r="F13" s="3">
        <v>0</v>
      </c>
      <c r="G13" s="10">
        <f>F12</f>
        <v>-217769</v>
      </c>
      <c r="H13" s="30"/>
      <c r="I13" s="1"/>
      <c r="J13" s="2" t="s">
        <v>910</v>
      </c>
    </row>
    <row r="14">
      <c r="A14" s="1"/>
      <c r="B14" s="1" t="s">
        <v>912</v>
      </c>
      <c r="C14" s="3">
        <v>393090</v>
      </c>
      <c r="D14" s="3">
        <v>269533</v>
      </c>
      <c r="E14" s="10">
        <f>D14</f>
        <v>269533</v>
      </c>
      <c r="F14" s="3">
        <v>400677</v>
      </c>
      <c r="G14" s="3">
        <v>419479</v>
      </c>
      <c r="H14" s="30"/>
      <c r="I14" s="1"/>
      <c r="J14" s="2" t="s">
        <v>908</v>
      </c>
    </row>
    <row r="15">
      <c r="A15" s="1"/>
      <c r="B15" s="20" t="s">
        <v>909</v>
      </c>
      <c r="C15" s="3">
        <v>440863</v>
      </c>
      <c r="D15" s="10">
        <f>C14</f>
        <v>393090</v>
      </c>
      <c r="E15" s="3">
        <v>0</v>
      </c>
      <c r="F15" s="3">
        <v>0</v>
      </c>
      <c r="G15" s="10">
        <f>F14</f>
        <v>400677</v>
      </c>
      <c r="H15" s="30"/>
      <c r="I15" s="1"/>
      <c r="J15" s="2" t="s">
        <v>910</v>
      </c>
    </row>
    <row r="16">
      <c r="A16" s="1"/>
      <c r="B16" s="1" t="s">
        <v>913</v>
      </c>
      <c r="C16" s="3">
        <v>20982</v>
      </c>
      <c r="D16" s="3">
        <v>17835</v>
      </c>
      <c r="E16" s="10">
        <f>D16</f>
        <v>17835</v>
      </c>
      <c r="F16" s="3">
        <v>-2343</v>
      </c>
      <c r="G16" s="3">
        <v>-4586</v>
      </c>
      <c r="H16" s="30"/>
      <c r="I16" s="1"/>
      <c r="J16" s="2" t="s">
        <v>908</v>
      </c>
    </row>
    <row r="17">
      <c r="A17" s="1"/>
      <c r="B17" s="20" t="s">
        <v>909</v>
      </c>
      <c r="C17" s="3">
        <v>23575</v>
      </c>
      <c r="D17" s="10">
        <f>C16</f>
        <v>20982</v>
      </c>
      <c r="E17" s="3">
        <v>0</v>
      </c>
      <c r="F17" s="3">
        <v>0</v>
      </c>
      <c r="G17" s="10">
        <f>F16</f>
        <v>-2343</v>
      </c>
      <c r="H17" s="30"/>
      <c r="I17" s="1"/>
      <c r="J17" s="2" t="s">
        <v>910</v>
      </c>
    </row>
    <row r="18">
      <c r="A18" s="1"/>
      <c r="B18" s="21" t="s">
        <v>914</v>
      </c>
      <c r="C18" s="3">
        <v>-23327</v>
      </c>
      <c r="D18" s="3">
        <v>-31591</v>
      </c>
      <c r="E18" s="10">
        <f>D18</f>
        <v>-31591</v>
      </c>
      <c r="F18" s="3">
        <v>-8325</v>
      </c>
      <c r="G18" s="3">
        <v>-15113</v>
      </c>
      <c r="H18" s="30"/>
      <c r="I18" s="1"/>
      <c r="J18" s="2" t="s">
        <v>908</v>
      </c>
    </row>
    <row r="19">
      <c r="A19" s="1"/>
      <c r="B19" s="20" t="s">
        <v>909</v>
      </c>
      <c r="C19" s="3">
        <v>-15034</v>
      </c>
      <c r="D19" s="10">
        <f>C18</f>
        <v>-23327</v>
      </c>
      <c r="E19" s="3">
        <v>0</v>
      </c>
      <c r="F19" s="3">
        <v>0</v>
      </c>
      <c r="G19" s="10">
        <f>F18</f>
        <v>-8325</v>
      </c>
      <c r="H19" s="30"/>
      <c r="I19" s="1"/>
      <c r="J19" s="2" t="s">
        <v>910</v>
      </c>
    </row>
    <row r="20">
      <c r="A20" s="1"/>
      <c r="B20" s="21" t="s">
        <v>915</v>
      </c>
      <c r="C20" s="3">
        <v>-12208</v>
      </c>
      <c r="D20" s="3">
        <v>-16625</v>
      </c>
      <c r="E20" s="10">
        <f>D20</f>
        <v>-16625</v>
      </c>
      <c r="F20" s="3">
        <v>-4374</v>
      </c>
      <c r="G20" s="3">
        <v>-8716</v>
      </c>
      <c r="H20" s="30"/>
      <c r="I20" s="1"/>
      <c r="J20" s="2" t="s">
        <v>908</v>
      </c>
    </row>
    <row r="21">
      <c r="A21" s="1"/>
      <c r="B21" s="20" t="s">
        <v>909</v>
      </c>
      <c r="C21" s="3">
        <v>-8028</v>
      </c>
      <c r="D21" s="10">
        <f>C20</f>
        <v>-12208</v>
      </c>
      <c r="E21" s="3">
        <v>0</v>
      </c>
      <c r="F21" s="3">
        <v>0</v>
      </c>
      <c r="G21" s="10">
        <f>F20</f>
        <v>-4374</v>
      </c>
      <c r="H21" s="30"/>
      <c r="I21" s="1"/>
      <c r="J21" s="2" t="s">
        <v>910</v>
      </c>
    </row>
    <row r="22">
      <c r="A22" s="1"/>
      <c r="B22" s="21" t="s">
        <v>916</v>
      </c>
      <c r="C22" s="3">
        <v>139554</v>
      </c>
      <c r="D22" s="3">
        <v>153168</v>
      </c>
      <c r="E22" s="10">
        <f>D22</f>
        <v>153168</v>
      </c>
      <c r="F22" s="3">
        <v>120390</v>
      </c>
      <c r="G22" s="3">
        <v>149395</v>
      </c>
      <c r="H22" s="30"/>
      <c r="I22" s="1"/>
      <c r="J22" s="2" t="s">
        <v>908</v>
      </c>
    </row>
    <row r="23">
      <c r="A23" s="1"/>
      <c r="B23" s="20" t="s">
        <v>909</v>
      </c>
      <c r="C23" s="3">
        <v>153462</v>
      </c>
      <c r="D23" s="10">
        <f>C22</f>
        <v>139554</v>
      </c>
      <c r="E23" s="3">
        <v>0</v>
      </c>
      <c r="F23" s="3">
        <v>0</v>
      </c>
      <c r="G23" s="10">
        <f>F22</f>
        <v>120390</v>
      </c>
      <c r="H23" s="30"/>
      <c r="I23" s="1"/>
      <c r="J23" s="2" t="s">
        <v>910</v>
      </c>
    </row>
    <row r="24">
      <c r="A24" s="1"/>
      <c r="B24" s="1"/>
      <c r="C24" s="1"/>
      <c r="D24" s="1"/>
      <c r="E24" s="1"/>
      <c r="F24" s="1"/>
      <c r="G24" s="1"/>
      <c r="H24" s="30"/>
      <c r="I24" s="1"/>
      <c r="J24" s="1"/>
    </row>
    <row r="25">
      <c r="A25" s="1"/>
      <c r="B25" s="31" t="s">
        <v>917</v>
      </c>
      <c r="C25" s="1"/>
      <c r="D25" s="1"/>
      <c r="E25" s="1"/>
      <c r="F25" s="1"/>
      <c r="G25" s="1"/>
      <c r="H25" s="30"/>
      <c r="I25" s="1"/>
      <c r="J25" s="1"/>
    </row>
    <row r="26">
      <c r="A26" s="1"/>
      <c r="B26" s="1" t="s">
        <v>732</v>
      </c>
      <c r="C26" s="23">
        <f>'Income Statement'!C134</f>
        <v>14393</v>
      </c>
      <c r="D26" s="23">
        <f>'Income Statement'!D134</f>
        <v>13025</v>
      </c>
      <c r="E26" s="23">
        <f>'Income Statement'!E134</f>
        <v>57048</v>
      </c>
      <c r="F26" s="23">
        <f>'Income Statement'!F134</f>
        <v>16494</v>
      </c>
      <c r="G26" s="23">
        <f>'Income Statement'!G134</f>
        <v>21155</v>
      </c>
      <c r="H26" s="53">
        <f>'Income Statement'!H134</f>
        <v>16220.212264340378</v>
      </c>
      <c r="I26" s="1"/>
      <c r="J26" s="1"/>
    </row>
    <row r="27" ht="27">
      <c r="A27" s="1"/>
      <c r="B27" s="31" t="s">
        <v>918</v>
      </c>
      <c r="C27" s="27">
        <f>C10-C11</f>
        <v>-45214</v>
      </c>
      <c r="D27" s="27">
        <f>D10-D11</f>
        <v>119724</v>
      </c>
      <c r="E27" s="27">
        <f>E10-E11</f>
        <v>-147782</v>
      </c>
      <c r="F27" s="27">
        <f>F10-F11</f>
        <v>-211761</v>
      </c>
      <c r="G27" s="27">
        <f>G10-G11</f>
        <v>-25283</v>
      </c>
      <c r="H27" s="55" t="s">
        <v>919</v>
      </c>
      <c r="I27" s="1"/>
      <c r="J27" s="125" t="s">
        <v>920</v>
      </c>
    </row>
    <row r="28">
      <c r="A28" s="1"/>
      <c r="B28" s="31" t="s">
        <v>921</v>
      </c>
      <c r="C28" s="27">
        <f>C12-C13</f>
        <v>-21311</v>
      </c>
      <c r="D28" s="27">
        <f>D12-D13</f>
        <v>46882</v>
      </c>
      <c r="E28" s="27">
        <f>E12-E13</f>
        <v>-265565</v>
      </c>
      <c r="F28" s="27">
        <f>F12-F13</f>
        <v>-217769</v>
      </c>
      <c r="G28" s="27">
        <f>G12-G13</f>
        <v>6393</v>
      </c>
      <c r="H28" s="55" t="s">
        <v>919</v>
      </c>
      <c r="I28" s="1"/>
      <c r="J28" s="1"/>
    </row>
    <row r="29">
      <c r="A29" s="1"/>
      <c r="B29" s="31" t="s">
        <v>922</v>
      </c>
      <c r="C29" s="27">
        <f>C14-C15</f>
        <v>-47773</v>
      </c>
      <c r="D29" s="27">
        <f>D14-D15</f>
        <v>-123557</v>
      </c>
      <c r="E29" s="27">
        <f>E14-E15</f>
        <v>269533</v>
      </c>
      <c r="F29" s="27">
        <f>F14-F15</f>
        <v>400677</v>
      </c>
      <c r="G29" s="27">
        <f>G14-G15</f>
        <v>18802</v>
      </c>
      <c r="H29" s="55" t="s">
        <v>919</v>
      </c>
      <c r="I29" s="1"/>
      <c r="J29" s="1"/>
    </row>
    <row r="30">
      <c r="A30" s="1"/>
      <c r="B30" s="1" t="s">
        <v>923</v>
      </c>
      <c r="C30" s="10">
        <f>C16-C17</f>
        <v>-2593</v>
      </c>
      <c r="D30" s="10">
        <f>D16-D17</f>
        <v>-3147</v>
      </c>
      <c r="E30" s="10">
        <f>E16-E17</f>
        <v>17835</v>
      </c>
      <c r="F30" s="10">
        <f>F16-F17</f>
        <v>-2343</v>
      </c>
      <c r="G30" s="10">
        <f>G16-G17</f>
        <v>-2243</v>
      </c>
      <c r="H30" s="47" t="s">
        <v>919</v>
      </c>
      <c r="I30" s="1"/>
      <c r="J30" s="1"/>
    </row>
    <row r="31">
      <c r="A31" s="1"/>
      <c r="B31" s="31" t="s">
        <v>924</v>
      </c>
      <c r="C31" s="43">
        <f>C27+C28+C29+C30</f>
        <v>-116891</v>
      </c>
      <c r="D31" s="43">
        <f>D27+D28+D29+D30</f>
        <v>39902</v>
      </c>
      <c r="E31" s="43">
        <f>E27+E28+E29+E30</f>
        <v>-125979</v>
      </c>
      <c r="F31" s="43">
        <f>F27+F28+F29+F30</f>
        <v>-31196</v>
      </c>
      <c r="G31" s="43">
        <f>G27+G28+G29+G30</f>
        <v>-2331</v>
      </c>
      <c r="H31" s="37" t="s">
        <v>919</v>
      </c>
      <c r="I31" s="1"/>
      <c r="J31" s="1"/>
    </row>
    <row r="32">
      <c r="A32" s="1"/>
      <c r="B32" s="21" t="s">
        <v>925</v>
      </c>
      <c r="C32" s="10">
        <f>C18-C19</f>
        <v>-8293</v>
      </c>
      <c r="D32" s="10">
        <f>D18-D19</f>
        <v>-8264</v>
      </c>
      <c r="E32" s="10">
        <f>E18-E19</f>
        <v>-31591</v>
      </c>
      <c r="F32" s="10">
        <f>F18-F19</f>
        <v>-8325</v>
      </c>
      <c r="G32" s="10">
        <f>G18-G19</f>
        <v>-6788</v>
      </c>
      <c r="H32" s="53">
        <f>-'Share Count'!H36</f>
        <v>-7000</v>
      </c>
      <c r="I32" s="1"/>
      <c r="J32" s="1"/>
    </row>
    <row r="33">
      <c r="A33" s="1"/>
      <c r="B33" s="21" t="s">
        <v>926</v>
      </c>
      <c r="C33" s="10">
        <f>C20-C21</f>
        <v>-4180</v>
      </c>
      <c r="D33" s="10">
        <f>D20-D21</f>
        <v>-4417</v>
      </c>
      <c r="E33" s="10">
        <f>E20-E21</f>
        <v>-16625</v>
      </c>
      <c r="F33" s="10">
        <f>F20-F21</f>
        <v>-4374</v>
      </c>
      <c r="G33" s="10">
        <f>G20-G21</f>
        <v>-4342</v>
      </c>
      <c r="H33" s="53">
        <f>-('Share Count'!H45+'Income Statement'!H137)</f>
        <v>-4652.719411764706</v>
      </c>
      <c r="I33" s="1"/>
      <c r="J33" s="1"/>
    </row>
    <row r="34">
      <c r="A34" s="1"/>
      <c r="B34" s="21" t="s">
        <v>927</v>
      </c>
      <c r="C34" s="10">
        <f>C22-C23</f>
        <v>-13908</v>
      </c>
      <c r="D34" s="10">
        <f>D22-D23</f>
        <v>13614</v>
      </c>
      <c r="E34" s="10">
        <f>E22-E23</f>
        <v>153168</v>
      </c>
      <c r="F34" s="10">
        <f>F22-F23</f>
        <v>120390</v>
      </c>
      <c r="G34" s="10">
        <f>G22-G23</f>
        <v>29005</v>
      </c>
      <c r="H34" s="53">
        <f>'Balance Sheet'!H65-'Balance Sheet'!G65</f>
        <v>27137</v>
      </c>
      <c r="I34" s="1"/>
      <c r="J34" s="1"/>
    </row>
    <row r="35">
      <c r="A35" s="1"/>
      <c r="B35" s="1" t="s">
        <v>928</v>
      </c>
      <c r="C35" s="23">
        <f>'Balance Sheet'!G124+'Balance Sheet'!G125</f>
        <v>420327</v>
      </c>
      <c r="D35" s="23">
        <f>'Balance Sheet'!C10+'Balance Sheet'!C13</f>
        <v>303436</v>
      </c>
      <c r="E35" s="23">
        <f>'Balance Sheet'!E124+'Balance Sheet'!E125</f>
        <v>469317</v>
      </c>
      <c r="F35" s="23">
        <f>'Balance Sheet'!D10+'Balance Sheet'!D13</f>
        <v>343338</v>
      </c>
      <c r="G35" s="23">
        <f>'Balance Sheet'!F10+'Balance Sheet'!F13</f>
        <v>312142</v>
      </c>
      <c r="H35" s="29">
        <f>G36</f>
        <v>309811</v>
      </c>
      <c r="I35" s="1"/>
      <c r="J35" s="1"/>
    </row>
    <row r="36">
      <c r="A36" s="1"/>
      <c r="B36" s="31" t="s">
        <v>929</v>
      </c>
      <c r="C36" s="43">
        <f>C35+C31</f>
        <v>303436</v>
      </c>
      <c r="D36" s="43">
        <f>D35+D31</f>
        <v>343338</v>
      </c>
      <c r="E36" s="43">
        <f>E35+E31</f>
        <v>343338</v>
      </c>
      <c r="F36" s="43">
        <f>F35+F31</f>
        <v>312142</v>
      </c>
      <c r="G36" s="43">
        <f>G35+G31</f>
        <v>309811</v>
      </c>
      <c r="H36" s="52">
        <f>'Balance Sheet'!H10+'Balance Sheet'!H13</f>
        <v>318883.56285257614</v>
      </c>
      <c r="I36" s="1"/>
      <c r="J36" s="1"/>
    </row>
    <row r="37">
      <c r="A37" s="1"/>
      <c r="B37" s="21" t="s">
        <v>930</v>
      </c>
      <c r="C37" s="23">
        <f>'Balance Sheet'!C10+'Balance Sheet'!C13</f>
        <v>303436</v>
      </c>
      <c r="D37" s="23">
        <f>'Balance Sheet'!D10+'Balance Sheet'!D13</f>
        <v>343338</v>
      </c>
      <c r="E37" s="23">
        <f>'Balance Sheet'!E10+'Balance Sheet'!E13</f>
        <v>343338</v>
      </c>
      <c r="F37" s="23">
        <f>'Balance Sheet'!F10+'Balance Sheet'!F13</f>
        <v>312142</v>
      </c>
      <c r="G37" s="23">
        <f>'Balance Sheet'!G10+'Balance Sheet'!G13</f>
        <v>309811</v>
      </c>
      <c r="H37" s="53">
        <f>'Balance Sheet'!H10+'Balance Sheet'!H13</f>
        <v>318883.56285257614</v>
      </c>
      <c r="I37" s="1"/>
      <c r="J37" s="1"/>
    </row>
    <row r="38" ht="27">
      <c r="A38" s="1"/>
      <c r="B38" s="24" t="s">
        <v>931</v>
      </c>
      <c r="C38" s="34">
        <f>C36-C37</f>
        <v>0</v>
      </c>
      <c r="D38" s="34">
        <f>D36-D37</f>
        <v>0</v>
      </c>
      <c r="E38" s="34">
        <f>E36-E37</f>
        <v>0</v>
      </c>
      <c r="F38" s="34">
        <f>F36-F37</f>
        <v>0</v>
      </c>
      <c r="G38" s="34">
        <f>G36-G37</f>
        <v>0</v>
      </c>
      <c r="H38" s="48">
        <f>H36-H37</f>
        <v>0</v>
      </c>
      <c r="I38" s="1"/>
      <c r="J38" s="125" t="s">
        <v>932</v>
      </c>
    </row>
    <row r="39" ht="27">
      <c r="A39" s="1"/>
      <c r="B39" s="1" t="s">
        <v>933</v>
      </c>
      <c r="C39" s="6" t="s">
        <v>35</v>
      </c>
      <c r="D39" s="6" t="s">
        <v>35</v>
      </c>
      <c r="E39" s="6" t="s">
        <v>35</v>
      </c>
      <c r="F39" s="6" t="s">
        <v>35</v>
      </c>
      <c r="G39" s="6" t="s">
        <v>35</v>
      </c>
      <c r="H39" s="47" t="s">
        <v>35</v>
      </c>
      <c r="I39" s="1"/>
      <c r="J39" s="125" t="s">
        <v>934</v>
      </c>
    </row>
    <row r="40">
      <c r="A40" s="1"/>
      <c r="B40" s="1" t="s">
        <v>935</v>
      </c>
      <c r="C40" s="6" t="s">
        <v>31</v>
      </c>
      <c r="D40" s="6" t="s">
        <v>31</v>
      </c>
      <c r="E40" s="6" t="s">
        <v>31</v>
      </c>
      <c r="F40" s="6" t="s">
        <v>31</v>
      </c>
      <c r="G40" s="6" t="s">
        <v>31</v>
      </c>
      <c r="H40" s="47" t="s">
        <v>31</v>
      </c>
      <c r="I40" s="1"/>
      <c r="J40" s="2" t="s">
        <v>936</v>
      </c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>
  <dimension ref="A1:J63"/>
  <sheetViews>
    <sheetView showGridLines="0" workbookViewId="0"/>
  </sheetViews>
  <sheetFormatPr defaultColWidth="8.42578125" defaultRowHeight="15"/>
  <cols>
    <col min="1" max="1" width="2" customWidth="1"/>
    <col min="2" max="2" width="38" customWidth="1"/>
    <col min="3" max="8" width="12" customWidth="1"/>
    <col min="9" max="9" width="2" customWidth="1"/>
    <col min="10" max="10" width="7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</row>
    <row r="2">
      <c r="A2" s="1"/>
      <c r="B2" s="38" t="s">
        <v>0</v>
      </c>
      <c r="C2" s="1"/>
      <c r="D2" s="1"/>
      <c r="E2" s="1"/>
      <c r="F2" s="1"/>
      <c r="G2" s="1"/>
      <c r="H2" s="1"/>
      <c r="I2" s="1"/>
      <c r="J2" s="1"/>
    </row>
    <row r="3">
      <c r="A3" s="1"/>
      <c r="B3" s="31" t="s">
        <v>937</v>
      </c>
      <c r="C3" s="1"/>
      <c r="D3" s="1"/>
      <c r="E3" s="1"/>
      <c r="F3" s="1"/>
      <c r="G3" s="1"/>
      <c r="H3" s="1"/>
      <c r="I3" s="1"/>
      <c r="J3" s="1"/>
    </row>
    <row r="4">
      <c r="A4" s="1"/>
      <c r="B4" s="24" t="s">
        <v>2</v>
      </c>
      <c r="C4" s="1"/>
      <c r="D4" s="1"/>
      <c r="E4" s="1"/>
      <c r="F4" s="1"/>
      <c r="G4" s="1"/>
      <c r="H4" s="1"/>
      <c r="I4" s="1"/>
      <c r="J4" s="1"/>
    </row>
    <row r="5">
      <c r="A5" s="1"/>
      <c r="B5" s="14" t="s">
        <v>89</v>
      </c>
      <c r="C5" s="11" t="s">
        <v>57</v>
      </c>
      <c r="D5" s="11" t="s">
        <v>90</v>
      </c>
      <c r="E5" s="11" t="s">
        <v>91</v>
      </c>
      <c r="F5" s="11" t="s">
        <v>92</v>
      </c>
      <c r="G5" s="11" t="s">
        <v>59</v>
      </c>
      <c r="H5" s="11" t="s">
        <v>56</v>
      </c>
      <c r="I5" s="14"/>
      <c r="J5" s="14" t="s">
        <v>93</v>
      </c>
    </row>
    <row r="6">
      <c r="A6" s="1"/>
      <c r="B6" s="19" t="s">
        <v>94</v>
      </c>
      <c r="C6" s="13">
        <v>45930</v>
      </c>
      <c r="D6" s="13">
        <v>46022</v>
      </c>
      <c r="E6" s="13">
        <v>46022</v>
      </c>
      <c r="F6" s="13">
        <v>46112</v>
      </c>
      <c r="G6" s="13">
        <v>46203</v>
      </c>
      <c r="H6" s="13">
        <v>46295</v>
      </c>
      <c r="I6" s="19"/>
      <c r="J6" s="19"/>
    </row>
    <row r="7">
      <c r="A7" s="1"/>
      <c r="B7" s="28" t="s">
        <v>95</v>
      </c>
      <c r="C7" s="9">
        <v>92</v>
      </c>
      <c r="D7" s="9">
        <v>92</v>
      </c>
      <c r="E7" s="9">
        <v>365</v>
      </c>
      <c r="F7" s="9">
        <v>90</v>
      </c>
      <c r="G7" s="9">
        <v>91</v>
      </c>
      <c r="H7" s="9">
        <v>92</v>
      </c>
      <c r="I7" s="28"/>
      <c r="J7" s="28"/>
    </row>
    <row r="8">
      <c r="A8" s="1"/>
      <c r="B8" s="1"/>
      <c r="C8" s="1"/>
      <c r="D8" s="1"/>
      <c r="E8" s="1"/>
      <c r="F8" s="1"/>
      <c r="G8" s="1"/>
      <c r="H8" s="30"/>
      <c r="I8" s="1"/>
      <c r="J8" s="1"/>
    </row>
    <row r="9">
      <c r="A9" s="1"/>
      <c r="B9" s="31" t="s">
        <v>938</v>
      </c>
      <c r="C9" s="1"/>
      <c r="D9" s="1"/>
      <c r="E9" s="1"/>
      <c r="F9" s="1"/>
      <c r="G9" s="1"/>
      <c r="H9" s="30"/>
      <c r="I9" s="1"/>
      <c r="J9" s="1"/>
    </row>
    <row r="10">
      <c r="A10" s="1"/>
      <c r="B10" s="1" t="s">
        <v>939</v>
      </c>
      <c r="C10" s="10">
        <f>G53</f>
        <v>2749.7</v>
      </c>
      <c r="D10" s="10">
        <f>C18</f>
        <v>2722.2</v>
      </c>
      <c r="E10" s="10">
        <f>E53</f>
        <v>2797.6</v>
      </c>
      <c r="F10" s="10">
        <f>D18</f>
        <v>2696.2</v>
      </c>
      <c r="G10" s="10">
        <f>F18</f>
        <v>2679.5</v>
      </c>
      <c r="H10" s="29">
        <f>G18</f>
        <v>2658.2</v>
      </c>
      <c r="I10" s="1"/>
      <c r="J10" s="1"/>
    </row>
    <row r="11">
      <c r="A11" s="1"/>
      <c r="B11" s="21" t="s">
        <v>940</v>
      </c>
      <c r="C11" s="3">
        <v>28</v>
      </c>
      <c r="D11" s="3">
        <v>26.7</v>
      </c>
      <c r="E11" s="3">
        <v>114.4</v>
      </c>
      <c r="F11" s="3">
        <v>27.5</v>
      </c>
      <c r="G11" s="3">
        <v>21.7</v>
      </c>
      <c r="H11" s="29">
        <f>H36/H39</f>
        <v>20.58823529411765</v>
      </c>
      <c r="I11" s="1"/>
      <c r="J11" s="2" t="s">
        <v>941</v>
      </c>
    </row>
    <row r="12">
      <c r="A12" s="1"/>
      <c r="B12" s="51" t="s">
        <v>58</v>
      </c>
      <c r="C12" s="22">
        <f>IF(AND(ISNUMBER(C11),ISNUMBER(C51)),IF(OR(C51&lt;=0,C11&lt;0),"n.m.",C11/C51-1),"n.a.")</f>
        <v>-0.07590759075907594</v>
      </c>
      <c r="D12" s="22">
        <f>IF(AND(ISNUMBER(D11),ISNUMBER(D51)),IF(OR(D51&lt;=0,D11&lt;0),"n.m.",D11/D51-1),"n.a.")</f>
        <v>0.44324324324324316</v>
      </c>
      <c r="E12" s="22">
        <f>IF(AND(ISNUMBER(E11),ISNUMBER(E51)),IF(OR(E51&lt;=0,E11&lt;0),"n.m.",E11/E51-1),"n.a.")</f>
        <v>0.24754634678298792</v>
      </c>
      <c r="F12" s="22">
        <f>IF(AND(ISNUMBER(F11),ISNUMBER(F51)),IF(OR(F51&lt;=0,F11&lt;0),"n.m.",F11/F51-1),"n.a.")</f>
        <v>-0.08333333333333337</v>
      </c>
      <c r="G12" s="22">
        <f>IF(AND(ISNUMBER(G11),ISNUMBER(G51)),IF(OR(G51&lt;=0,G11&lt;0),"n.m.",G11/G51-1),"n.a.")</f>
        <v>-0.27181208053691275</v>
      </c>
      <c r="H12" s="39">
        <f>IF(AND(ISNUMBER(H11),ISNUMBER(C11)),IF(OR(C11&lt;=0,H11&lt;0),"n.m.",H11/C11-1),"n.a.")</f>
        <v>-0.2647058823529411</v>
      </c>
      <c r="I12" s="1"/>
      <c r="J12" s="1"/>
    </row>
    <row r="13">
      <c r="A13" s="1"/>
      <c r="B13" s="20" t="s">
        <v>114</v>
      </c>
      <c r="C13" s="10">
        <f>C11-G51</f>
        <v>-1.8000000000000007</v>
      </c>
      <c r="D13" s="10">
        <f>D11-C11</f>
        <v>-1.3000000000000007</v>
      </c>
      <c r="E13" s="1"/>
      <c r="F13" s="10">
        <f>F11-D11</f>
        <v>0.8000000000000007</v>
      </c>
      <c r="G13" s="10">
        <f>G11-F11</f>
        <v>-5.800000000000001</v>
      </c>
      <c r="H13" s="29">
        <f>H11-G11</f>
        <v>-1.1117647058823508</v>
      </c>
      <c r="I13" s="1"/>
      <c r="J13" s="1"/>
    </row>
    <row r="14">
      <c r="A14" s="1"/>
      <c r="B14" s="21" t="s">
        <v>942</v>
      </c>
      <c r="C14" s="3">
        <v>0.4</v>
      </c>
      <c r="D14" s="3">
        <v>0.7</v>
      </c>
      <c r="E14" s="3">
        <v>13</v>
      </c>
      <c r="F14" s="3">
        <v>10.8</v>
      </c>
      <c r="G14" s="3">
        <v>0.4</v>
      </c>
      <c r="H14" s="44">
        <v>0.4</v>
      </c>
      <c r="I14" s="1"/>
      <c r="J14" s="2" t="s">
        <v>943</v>
      </c>
    </row>
    <row r="15">
      <c r="A15" s="1"/>
      <c r="B15" s="20" t="s">
        <v>131</v>
      </c>
      <c r="C15" s="10">
        <f>C14-C52</f>
        <v>-0.09999999999999998</v>
      </c>
      <c r="D15" s="10">
        <f>D14-D52</f>
        <v>-0.10000000000000009</v>
      </c>
      <c r="E15" s="10">
        <f>E14-E52</f>
        <v>0.3000000000000007</v>
      </c>
      <c r="F15" s="10">
        <f>F14-F52</f>
        <v>-0.6999999999999993</v>
      </c>
      <c r="G15" s="10">
        <f>G14-G52</f>
        <v>0</v>
      </c>
      <c r="H15" s="29">
        <f>H14-C14</f>
        <v>0</v>
      </c>
      <c r="I15" s="1"/>
      <c r="J15" s="1"/>
    </row>
    <row r="16">
      <c r="A16" s="1"/>
      <c r="B16" s="20" t="s">
        <v>114</v>
      </c>
      <c r="C16" s="10">
        <f>C14-G52</f>
        <v>0</v>
      </c>
      <c r="D16" s="10">
        <f>D14-C14</f>
        <v>0.29999999999999993</v>
      </c>
      <c r="E16" s="1"/>
      <c r="F16" s="10">
        <f>F14-D14</f>
        <v>10.100000000000001</v>
      </c>
      <c r="G16" s="10">
        <f>G14-F14</f>
        <v>-10.4</v>
      </c>
      <c r="H16" s="29">
        <f>H14-G14</f>
        <v>0</v>
      </c>
      <c r="I16" s="1"/>
      <c r="J16" s="1"/>
    </row>
    <row r="17">
      <c r="A17" s="1"/>
      <c r="B17" s="21" t="s">
        <v>944</v>
      </c>
      <c r="C17" s="10">
        <f>ROUND(C18-C10+C11-C14,6)</f>
        <v>0.1</v>
      </c>
      <c r="D17" s="10">
        <f>ROUND(D18-D10+D11-D14,6)</f>
        <v>0</v>
      </c>
      <c r="E17" s="10">
        <f>ROUND(E18-E10+E11-E14,6)</f>
        <v>0</v>
      </c>
      <c r="F17" s="10">
        <f>ROUND(F18-F10+F11-F14,6)</f>
        <v>0</v>
      </c>
      <c r="G17" s="10">
        <f>ROUND(G18-G10+G11-G14,6)</f>
        <v>0</v>
      </c>
      <c r="H17" s="44">
        <v>0</v>
      </c>
      <c r="I17" s="1"/>
      <c r="J17" s="1"/>
    </row>
    <row r="18">
      <c r="A18" s="1"/>
      <c r="B18" s="31" t="s">
        <v>945</v>
      </c>
      <c r="C18" s="26">
        <v>2722.2</v>
      </c>
      <c r="D18" s="26">
        <v>2696.2</v>
      </c>
      <c r="E18" s="26">
        <v>2696.2</v>
      </c>
      <c r="F18" s="26">
        <v>2679.5</v>
      </c>
      <c r="G18" s="26">
        <v>2658.2</v>
      </c>
      <c r="H18" s="45">
        <f>H10-H11+H14+H17</f>
        <v>2638.0117647058823</v>
      </c>
      <c r="I18" s="1"/>
      <c r="J18" s="2" t="s">
        <v>946</v>
      </c>
    </row>
    <row r="19">
      <c r="A19" s="1"/>
      <c r="B19" s="36" t="s">
        <v>58</v>
      </c>
      <c r="C19" s="22">
        <f>IF(AND(ISNUMBER(C18),ISNUMBER(C53)),IF(OR(C53&lt;=0,C18&lt;0),"n.m.",C18/C53-1),"n.a.")</f>
        <v>-0.03306929989699159</v>
      </c>
      <c r="D19" s="22">
        <f>IF(AND(ISNUMBER(D18),ISNUMBER(D53)),IF(OR(D53&lt;=0,D18&lt;0),"n.m.",D18/D53-1),"n.a.")</f>
        <v>-0.036245353159851335</v>
      </c>
      <c r="E19" s="22">
        <f>IF(AND(ISNUMBER(E18),ISNUMBER(E53)),IF(OR(E53&lt;=0,E18&lt;0),"n.m.",E18/E53-1),"n.a.")</f>
        <v>-0.036245353159851335</v>
      </c>
      <c r="F19" s="22">
        <f>IF(AND(ISNUMBER(F18),ISNUMBER(F53)),IF(OR(F53&lt;=0,F18&lt;0),"n.m.",F18/F53-1),"n.a.")</f>
        <v>-0.03583894066424376</v>
      </c>
      <c r="G19" s="22">
        <f>IF(AND(ISNUMBER(G18),ISNUMBER(G53)),IF(OR(G53&lt;=0,G18&lt;0),"n.m.",G18/G53-1),"n.a.")</f>
        <v>-0.03327635742080959</v>
      </c>
      <c r="H19" s="39">
        <f>IF(AND(ISNUMBER(H18),ISNUMBER(C18)),IF(OR(C18&lt;=0,H18&lt;0),"n.m.",H18/C18-1),"n.a.")</f>
        <v>-0.030926542977781746</v>
      </c>
      <c r="I19" s="1"/>
      <c r="J19" s="1"/>
    </row>
    <row r="20">
      <c r="A20" s="1"/>
      <c r="B20" s="21" t="s">
        <v>114</v>
      </c>
      <c r="C20" s="10">
        <f>C18-G53</f>
        <v>-27.5</v>
      </c>
      <c r="D20" s="10">
        <f>D18-C18</f>
        <v>-26</v>
      </c>
      <c r="E20" s="1"/>
      <c r="F20" s="10">
        <f>F18-D18</f>
        <v>-16.699999999999818</v>
      </c>
      <c r="G20" s="10">
        <f>G18-F18</f>
        <v>-21.300000000000182</v>
      </c>
      <c r="H20" s="29">
        <f>H18-G18</f>
        <v>-20.188235294117476</v>
      </c>
      <c r="I20" s="1"/>
      <c r="J20" s="1"/>
    </row>
    <row r="21">
      <c r="A21" s="1"/>
      <c r="B21" s="21" t="s">
        <v>947</v>
      </c>
      <c r="C21" s="10">
        <f>(C10+C18)/2</f>
        <v>2735.95</v>
      </c>
      <c r="D21" s="10">
        <f>(D10+D18)/2</f>
        <v>2709.2</v>
      </c>
      <c r="E21" s="1"/>
      <c r="F21" s="10">
        <f>(F10+F18)/2</f>
        <v>2687.85</v>
      </c>
      <c r="G21" s="10">
        <f>(G10+G18)/2</f>
        <v>2668.85</v>
      </c>
      <c r="H21" s="29">
        <f>(H10+H18)/2</f>
        <v>2648.105882352941</v>
      </c>
      <c r="I21" s="1"/>
      <c r="J21" s="1"/>
    </row>
    <row r="22">
      <c r="A22" s="1"/>
      <c r="B22" s="21" t="s">
        <v>948</v>
      </c>
      <c r="C22" s="10">
        <f>C23-C21</f>
        <v>26.450000000000273</v>
      </c>
      <c r="D22" s="10">
        <f>D23-D21</f>
        <v>26.100000000000364</v>
      </c>
      <c r="E22" s="1"/>
      <c r="F22" s="10">
        <f>F23-F21</f>
        <v>28.34999999999991</v>
      </c>
      <c r="G22" s="10">
        <f>G23-G21</f>
        <v>21.050000000000182</v>
      </c>
      <c r="H22" s="29">
        <f>AVERAGE(C22,D22,F22,G22)</f>
        <v>25.487500000000182</v>
      </c>
      <c r="I22" s="1"/>
      <c r="J22" s="2" t="s">
        <v>739</v>
      </c>
    </row>
    <row r="23">
      <c r="A23" s="1"/>
      <c r="B23" s="31" t="s">
        <v>949</v>
      </c>
      <c r="C23" s="33">
        <v>2762.4</v>
      </c>
      <c r="D23" s="33">
        <v>2735.3</v>
      </c>
      <c r="E23" s="33">
        <v>2776.5</v>
      </c>
      <c r="F23" s="33">
        <v>2716.2</v>
      </c>
      <c r="G23" s="33">
        <v>2689.9</v>
      </c>
      <c r="H23" s="64">
        <f>H21+H22</f>
        <v>2673.5933823529413</v>
      </c>
      <c r="I23" s="1"/>
      <c r="J23" s="2" t="s">
        <v>950</v>
      </c>
    </row>
    <row r="24">
      <c r="A24" s="1"/>
      <c r="B24" s="36" t="s">
        <v>58</v>
      </c>
      <c r="C24" s="22">
        <f>IF(AND(ISNUMBER(C23),ISNUMBER(C54)),IF(OR(C54&lt;=0,C23&lt;0),"n.m.",C23/C54-1),"n.a.")</f>
        <v>-0.034328462560301976</v>
      </c>
      <c r="D24" s="22">
        <f>IF(AND(ISNUMBER(D23),ISNUMBER(D54)),IF(OR(D54&lt;=0,D23&lt;0),"n.m.",D23/D54-1),"n.a.")</f>
        <v>-0.03581374035038243</v>
      </c>
      <c r="E24" s="22">
        <f>IF(AND(ISNUMBER(E23),ISNUMBER(E54)),IF(OR(E54&lt;=0,E23&lt;0),"n.m.",E23/E54-1),"n.a.")</f>
        <v>-0.033891227948084524</v>
      </c>
      <c r="F24" s="22">
        <f>IF(AND(ISNUMBER(F23),ISNUMBER(F54)),IF(OR(F54&lt;=0,F23&lt;0),"n.m.",F23/F54-1),"n.a.")</f>
        <v>-0.03660353266652494</v>
      </c>
      <c r="G24" s="22">
        <f>IF(AND(ISNUMBER(G23),ISNUMBER(G54)),IF(OR(G54&lt;=0,G23&lt;0),"n.m.",G23/G54-1),"n.a.")</f>
        <v>-0.035428694373722425</v>
      </c>
      <c r="H24" s="39">
        <f>IF(AND(ISNUMBER(H23),ISNUMBER(C23)),IF(OR(C23&lt;=0,H23&lt;0),"n.m.",H23/C23-1),"n.a.")</f>
        <v>-0.03214835564981855</v>
      </c>
      <c r="I24" s="1"/>
      <c r="J24" s="1"/>
    </row>
    <row r="25">
      <c r="A25" s="1"/>
      <c r="B25" s="21" t="s">
        <v>114</v>
      </c>
      <c r="C25" s="10">
        <f>C23-G54</f>
        <v>-26.299999999999727</v>
      </c>
      <c r="D25" s="10">
        <f>D23-C23</f>
        <v>-27.09999999999991</v>
      </c>
      <c r="E25" s="1"/>
      <c r="F25" s="10">
        <f>F23-D23</f>
        <v>-19.100000000000364</v>
      </c>
      <c r="G25" s="10">
        <f>G23-F23</f>
        <v>-26.299999999999727</v>
      </c>
      <c r="H25" s="29">
        <f>H23-G23</f>
        <v>-16.30661764705883</v>
      </c>
      <c r="I25" s="1"/>
      <c r="J25" s="1"/>
    </row>
    <row r="26">
      <c r="A26" s="1"/>
      <c r="B26" s="21" t="s">
        <v>951</v>
      </c>
      <c r="C26" s="3">
        <v>5.2</v>
      </c>
      <c r="D26" s="3">
        <v>5.2</v>
      </c>
      <c r="E26" s="3">
        <v>5</v>
      </c>
      <c r="F26" s="3">
        <v>4</v>
      </c>
      <c r="G26" s="3">
        <v>4.3</v>
      </c>
      <c r="H26" s="29">
        <f>G26</f>
        <v>4.3</v>
      </c>
      <c r="I26" s="1"/>
      <c r="J26" s="2" t="s">
        <v>952</v>
      </c>
    </row>
    <row r="27">
      <c r="A27" s="1"/>
      <c r="B27" s="20" t="s">
        <v>131</v>
      </c>
      <c r="C27" s="10">
        <f>C26-C55</f>
        <v>-0.09999999999999964</v>
      </c>
      <c r="D27" s="10">
        <f>D26-D55</f>
        <v>-0.2999999999999998</v>
      </c>
      <c r="E27" s="10">
        <f>E26-E55</f>
        <v>-0.09999999999999964</v>
      </c>
      <c r="F27" s="10">
        <f>F26-F55</f>
        <v>-0.9000000000000004</v>
      </c>
      <c r="G27" s="10">
        <f>G26-G55</f>
        <v>-0.7000000000000002</v>
      </c>
      <c r="H27" s="29">
        <f>H26-C26</f>
        <v>-0.9000000000000004</v>
      </c>
      <c r="I27" s="1"/>
      <c r="J27" s="1"/>
    </row>
    <row r="28">
      <c r="A28" s="1"/>
      <c r="B28" s="20" t="s">
        <v>114</v>
      </c>
      <c r="C28" s="10">
        <f>C26-G55</f>
        <v>0.20000000000000018</v>
      </c>
      <c r="D28" s="10">
        <f>D26-C26</f>
        <v>0</v>
      </c>
      <c r="E28" s="1"/>
      <c r="F28" s="10">
        <f>F26-D26</f>
        <v>-1.2000000000000002</v>
      </c>
      <c r="G28" s="10">
        <f>G26-F26</f>
        <v>0.2999999999999998</v>
      </c>
      <c r="H28" s="29">
        <f>H26-G26</f>
        <v>0</v>
      </c>
      <c r="I28" s="1"/>
      <c r="J28" s="1"/>
    </row>
    <row r="29">
      <c r="A29" s="1"/>
      <c r="B29" s="31" t="s">
        <v>953</v>
      </c>
      <c r="C29" s="43">
        <f>C23+C26</f>
        <v>2767.6</v>
      </c>
      <c r="D29" s="43">
        <f>D23+D26</f>
        <v>2740.5</v>
      </c>
      <c r="E29" s="43">
        <f>E23+E26</f>
        <v>2781.5</v>
      </c>
      <c r="F29" s="43">
        <f>F23+F26</f>
        <v>2720.2</v>
      </c>
      <c r="G29" s="43">
        <f>G23+G26</f>
        <v>2694.2000000000003</v>
      </c>
      <c r="H29" s="45">
        <f>H23+H26</f>
        <v>2677.8933823529414</v>
      </c>
      <c r="I29" s="1"/>
      <c r="J29" s="1"/>
    </row>
    <row r="30">
      <c r="A30" s="1"/>
      <c r="B30" s="36" t="s">
        <v>58</v>
      </c>
      <c r="C30" s="22">
        <f>IF(AND(ISNUMBER(C29),ISNUMBER(C56)),IF(OR(C56&lt;=0,C29&lt;0),"n.m.",C29/C56-1),"n.a.")</f>
        <v>-0.03429987089570474</v>
      </c>
      <c r="D30" s="22">
        <f>IF(AND(ISNUMBER(D29),ISNUMBER(D56)),IF(OR(D56&lt;=0,D29&lt;0),"n.m.",D29/D56-1),"n.a.")</f>
        <v>-0.03584998592738531</v>
      </c>
      <c r="E30" s="22">
        <f>IF(AND(ISNUMBER(E29),ISNUMBER(E56)),IF(OR(E56&lt;=0,E29&lt;0),"n.m.",E29/E56-1),"n.a.")</f>
        <v>-0.03386592566863489</v>
      </c>
      <c r="F30" s="22">
        <f>IF(AND(ISNUMBER(F29),ISNUMBER(F56)),IF(OR(F56&lt;=0,F29&lt;0),"n.m.",F29/F56-1),"n.a.")</f>
        <v>-0.036858690649010484</v>
      </c>
      <c r="G30" s="22">
        <f>IF(AND(ISNUMBER(G29),ISNUMBER(G56)),IF(OR(G56&lt;=0,G29&lt;0),"n.m.",G29/G56-1),"n.a.")</f>
        <v>-0.0356158499480973</v>
      </c>
      <c r="H30" s="39">
        <f>IF(AND(ISNUMBER(H29),ISNUMBER(C29)),IF(OR(C29&lt;=0,H29&lt;0),"n.m.",H29/C29-1),"n.a.")</f>
        <v>-0.032413144112971026</v>
      </c>
      <c r="I30" s="1"/>
      <c r="J30" s="1"/>
    </row>
    <row r="31">
      <c r="A31" s="1"/>
      <c r="B31" s="21" t="s">
        <v>114</v>
      </c>
      <c r="C31" s="10">
        <f>C29-G56</f>
        <v>-26.09999999999991</v>
      </c>
      <c r="D31" s="10">
        <f>D29-C29</f>
        <v>-27.09999999999991</v>
      </c>
      <c r="E31" s="1"/>
      <c r="F31" s="10">
        <f>F29-D29</f>
        <v>-20.300000000000182</v>
      </c>
      <c r="G31" s="10">
        <f>G29-F29</f>
        <v>-25.999999999999545</v>
      </c>
      <c r="H31" s="29">
        <f>H29-G29</f>
        <v>-16.30661764705883</v>
      </c>
      <c r="I31" s="1"/>
      <c r="J31" s="1"/>
    </row>
    <row r="32" ht="27">
      <c r="A32" s="1"/>
      <c r="B32" s="21" t="s">
        <v>954</v>
      </c>
      <c r="C32" s="3">
        <v>2767.6</v>
      </c>
      <c r="D32" s="3">
        <v>2740.5</v>
      </c>
      <c r="E32" s="3">
        <v>2781.5</v>
      </c>
      <c r="F32" s="3">
        <v>2720.2</v>
      </c>
      <c r="G32" s="3">
        <v>2694.2</v>
      </c>
      <c r="H32" s="29">
        <f>H29</f>
        <v>2677.8933823529414</v>
      </c>
      <c r="I32" s="1"/>
      <c r="J32" s="125" t="s">
        <v>955</v>
      </c>
    </row>
    <row r="33">
      <c r="A33" s="1"/>
      <c r="B33" s="24" t="s">
        <v>956</v>
      </c>
      <c r="C33" s="34">
        <f>ROUND(C29-C32,6)</f>
        <v>0</v>
      </c>
      <c r="D33" s="34">
        <f>ROUND(D29-D32,6)</f>
        <v>0</v>
      </c>
      <c r="E33" s="34">
        <f>ROUND(E29-E32,6)</f>
        <v>0</v>
      </c>
      <c r="F33" s="34">
        <f>ROUND(F29-F32,6)</f>
        <v>0</v>
      </c>
      <c r="G33" s="34">
        <f>ROUND(G29-G32,6)</f>
        <v>0</v>
      </c>
      <c r="H33" s="48">
        <f>ROUND(H29-H32,6)</f>
        <v>0</v>
      </c>
      <c r="I33" s="1"/>
      <c r="J33" s="2" t="s">
        <v>118</v>
      </c>
    </row>
    <row r="34">
      <c r="A34" s="1"/>
      <c r="B34" s="1"/>
      <c r="C34" s="1"/>
      <c r="D34" s="1"/>
      <c r="E34" s="1"/>
      <c r="F34" s="1"/>
      <c r="G34" s="1"/>
      <c r="H34" s="30"/>
      <c r="I34" s="1"/>
      <c r="J34" s="1"/>
    </row>
    <row r="35">
      <c r="A35" s="1"/>
      <c r="B35" s="31" t="s">
        <v>957</v>
      </c>
      <c r="C35" s="1"/>
      <c r="D35" s="1"/>
      <c r="E35" s="1"/>
      <c r="F35" s="1"/>
      <c r="G35" s="1"/>
      <c r="H35" s="30"/>
      <c r="I35" s="1"/>
      <c r="J35" s="1"/>
    </row>
    <row r="36" ht="27">
      <c r="A36" s="1"/>
      <c r="B36" s="1" t="s">
        <v>958</v>
      </c>
      <c r="C36" s="3">
        <v>8315</v>
      </c>
      <c r="D36" s="3">
        <v>8262</v>
      </c>
      <c r="E36" s="3">
        <v>31640</v>
      </c>
      <c r="F36" s="3">
        <v>8328</v>
      </c>
      <c r="G36" s="3">
        <v>6703</v>
      </c>
      <c r="H36" s="44">
        <v>7000</v>
      </c>
      <c r="I36" s="1"/>
      <c r="J36" s="125" t="s">
        <v>959</v>
      </c>
    </row>
    <row r="37">
      <c r="A37" s="1"/>
      <c r="B37" s="36" t="s">
        <v>58</v>
      </c>
      <c r="C37" s="22">
        <f>IF(AND(ISNUMBER(C36),ISNUMBER(C57)),IF(OR(C57&lt;=0,C36&lt;0),"n.m.",C36/C57-1),"n.a.")</f>
        <v>0.30718440496777233</v>
      </c>
      <c r="D37" s="22">
        <f>IF(AND(ISNUMBER(D36),ISNUMBER(D57)),IF(OR(D57&lt;=0,D36&lt;0),"n.m.",D36/D57-1),"n.a.")</f>
        <v>0.9156039879434268</v>
      </c>
      <c r="E37" s="22">
        <f>IF(AND(ISNUMBER(E36),ISNUMBER(E57)),IF(OR(E57&lt;=0,E36&lt;0),"n.m.",E36/E57-1),"n.a.")</f>
        <v>0.6793163844806538</v>
      </c>
      <c r="F37" s="22">
        <f>IF(AND(ISNUMBER(F36),ISNUMBER(F57)),IF(OR(F57&lt;=0,F36&lt;0),"n.m.",F36/F57-1),"n.a.")</f>
        <v>0.10115033716779065</v>
      </c>
      <c r="G37" s="22">
        <f>IF(AND(ISNUMBER(G36),ISNUMBER(G57)),IF(OR(G57&lt;=0,G36&lt;0),"n.m.",G36/G57-1),"n.a.")</f>
        <v>-0.10626666666666662</v>
      </c>
      <c r="H37" s="39">
        <f>IF(AND(ISNUMBER(H36),ISNUMBER(C36)),IF(OR(C36&lt;=0,H36&lt;0),"n.m.",H36/C36-1),"n.a.")</f>
        <v>-0.15814792543595912</v>
      </c>
      <c r="I37" s="1"/>
      <c r="J37" s="1"/>
    </row>
    <row r="38">
      <c r="A38" s="1"/>
      <c r="B38" s="21" t="s">
        <v>114</v>
      </c>
      <c r="C38" s="10">
        <f>C36-G57</f>
        <v>815</v>
      </c>
      <c r="D38" s="10">
        <f>D36-C36</f>
        <v>-53</v>
      </c>
      <c r="E38" s="1"/>
      <c r="F38" s="10">
        <f>F36-D36</f>
        <v>66</v>
      </c>
      <c r="G38" s="10">
        <f>G36-F36</f>
        <v>-1625</v>
      </c>
      <c r="H38" s="29">
        <f>H36-G36</f>
        <v>297</v>
      </c>
      <c r="I38" s="1"/>
      <c r="J38" s="1"/>
    </row>
    <row r="39" ht="27">
      <c r="A39" s="1"/>
      <c r="B39" s="1" t="s">
        <v>960</v>
      </c>
      <c r="C39" s="35">
        <v>297.1</v>
      </c>
      <c r="D39" s="35">
        <v>309.81</v>
      </c>
      <c r="E39" s="35">
        <v>276.55</v>
      </c>
      <c r="F39" s="35">
        <v>302.75</v>
      </c>
      <c r="G39" s="35">
        <v>308.21</v>
      </c>
      <c r="H39" s="49">
        <v>340</v>
      </c>
      <c r="I39" s="1"/>
      <c r="J39" s="125" t="s">
        <v>961</v>
      </c>
    </row>
    <row r="40">
      <c r="A40" s="1"/>
      <c r="B40" s="36" t="s">
        <v>58</v>
      </c>
      <c r="C40" s="22">
        <f>IF(AND(ISNUMBER(C39),ISNUMBER(C58)),IF(OR(C58&lt;=0,C39&lt;0),"n.m.",C39/C58-1),"n.a.")</f>
        <v>0.41739420829158913</v>
      </c>
      <c r="D40" s="22">
        <f>IF(AND(ISNUMBER(D39),ISNUMBER(D58)),IF(OR(D58&lt;=0,D39&lt;0),"n.m.",D39/D58-1),"n.a.")</f>
        <v>0.32754852808844315</v>
      </c>
      <c r="E40" s="22">
        <f>IF(AND(ISNUMBER(E39),ISNUMBER(E58)),IF(OR(E58&lt;=0,E39&lt;0),"n.m.",E39/E58-1),"n.a.")</f>
        <v>0.3462006522903178</v>
      </c>
      <c r="F40" s="22">
        <f>IF(AND(ISNUMBER(F39),ISNUMBER(F58)),IF(OR(F58&lt;=0,F39&lt;0),"n.m.",F39/F58-1),"n.a.")</f>
        <v>0.19900990099009896</v>
      </c>
      <c r="G40" s="22">
        <f>IF(AND(ISNUMBER(G39),ISNUMBER(G58)),IF(OR(G58&lt;=0,G39&lt;0),"n.m.",G39/G58-1),"n.a.")</f>
        <v>0.22465927603607905</v>
      </c>
      <c r="H40" s="39">
        <f>IF(AND(ISNUMBER(H39),ISNUMBER(C39)),IF(OR(C39&lt;=0,H39&lt;0),"n.m.",H39/C39-1),"n.a.")</f>
        <v>0.14439582632110382</v>
      </c>
      <c r="I40" s="1"/>
      <c r="J40" s="1"/>
    </row>
    <row r="41">
      <c r="A41" s="1"/>
      <c r="B41" s="21" t="s">
        <v>114</v>
      </c>
      <c r="C41" s="32">
        <f>C39-G58</f>
        <v>45.430000000000035</v>
      </c>
      <c r="D41" s="32">
        <f>D39-C39</f>
        <v>12.70999999999998</v>
      </c>
      <c r="E41" s="1"/>
      <c r="F41" s="32">
        <f>F39-D39</f>
        <v>-7.060000000000002</v>
      </c>
      <c r="G41" s="32">
        <f>G39-F39</f>
        <v>5.4599999999999795</v>
      </c>
      <c r="H41" s="50">
        <f>H39-G39</f>
        <v>31.79000000000002</v>
      </c>
      <c r="I41" s="1"/>
      <c r="J41" s="1"/>
    </row>
    <row r="42">
      <c r="A42" s="1"/>
      <c r="B42" s="1" t="s">
        <v>962</v>
      </c>
      <c r="C42" s="41">
        <v>1.5</v>
      </c>
      <c r="D42" s="41">
        <v>1.5</v>
      </c>
      <c r="E42" s="41">
        <v>5.8</v>
      </c>
      <c r="F42" s="41">
        <v>1.5</v>
      </c>
      <c r="G42" s="41">
        <v>1.5</v>
      </c>
      <c r="H42" s="60">
        <v>1.65</v>
      </c>
      <c r="I42" s="1"/>
      <c r="J42" s="2" t="s">
        <v>963</v>
      </c>
    </row>
    <row r="43">
      <c r="A43" s="1"/>
      <c r="B43" s="36" t="s">
        <v>58</v>
      </c>
      <c r="C43" s="22">
        <f>IF(AND(ISNUMBER(C42),ISNUMBER(C59)),IF(OR(C59&lt;=0,C42&lt;0),"n.m.",C42/C59-1),"n.a.")</f>
        <v>0.19999999999999996</v>
      </c>
      <c r="D43" s="22">
        <f>IF(AND(ISNUMBER(D42),ISNUMBER(D59)),IF(OR(D59&lt;=0,D42&lt;0),"n.m.",D42/D59-1),"n.a.")</f>
        <v>0.19999999999999996</v>
      </c>
      <c r="E43" s="22">
        <f>IF(AND(ISNUMBER(E42),ISNUMBER(E59)),IF(OR(E59&lt;=0,E42&lt;0),"n.m.",E42/E59-1),"n.a.")</f>
        <v>0.20833333333333326</v>
      </c>
      <c r="F43" s="22">
        <f>IF(AND(ISNUMBER(F42),ISNUMBER(F59)),IF(OR(F59&lt;=0,F42&lt;0),"n.m.",F42/F59-1),"n.a.")</f>
        <v>0.0714285714285714</v>
      </c>
      <c r="G43" s="22">
        <f>IF(AND(ISNUMBER(G42),ISNUMBER(G59)),IF(OR(G59&lt;=0,G42&lt;0),"n.m.",G42/G59-1),"n.a.")</f>
        <v>0.0714285714285714</v>
      </c>
      <c r="H43" s="39">
        <f>IF(AND(ISNUMBER(H42),ISNUMBER(C42)),IF(OR(C42&lt;=0,H42&lt;0),"n.m.",H42/C42-1),"n.a.")</f>
        <v>0.09999999999999987</v>
      </c>
      <c r="I43" s="1"/>
      <c r="J43" s="1"/>
    </row>
    <row r="44">
      <c r="A44" s="1"/>
      <c r="B44" s="21" t="s">
        <v>114</v>
      </c>
      <c r="C44" s="40">
        <f>C42-G59</f>
        <v>0.10000000000000009</v>
      </c>
      <c r="D44" s="40">
        <f>D42-C42</f>
        <v>0</v>
      </c>
      <c r="E44" s="1"/>
      <c r="F44" s="40">
        <f>F42-D42</f>
        <v>0</v>
      </c>
      <c r="G44" s="40">
        <f>G42-F42</f>
        <v>0</v>
      </c>
      <c r="H44" s="57">
        <f>H42-G42</f>
        <v>0.1499999999999999</v>
      </c>
      <c r="I44" s="1"/>
      <c r="J44" s="1"/>
    </row>
    <row r="45" ht="27">
      <c r="A45" s="1"/>
      <c r="B45" s="21" t="s">
        <v>964</v>
      </c>
      <c r="C45" s="10">
        <f>C42*C18</f>
        <v>4083.2999999999997</v>
      </c>
      <c r="D45" s="10">
        <f>D42*D18</f>
        <v>4044.2999999999997</v>
      </c>
      <c r="E45" s="10">
        <f>F60+G60+C45+D45</f>
        <v>15867.919999999998</v>
      </c>
      <c r="F45" s="10">
        <f>F42*F18</f>
        <v>4019.25</v>
      </c>
      <c r="G45" s="10">
        <f>G42*G18</f>
        <v>3987.2999999999997</v>
      </c>
      <c r="H45" s="29">
        <f>H42*H18</f>
        <v>4352.719411764706</v>
      </c>
      <c r="I45" s="1"/>
      <c r="J45" s="126" t="s">
        <v>965</v>
      </c>
    </row>
    <row r="46">
      <c r="A46" s="1"/>
      <c r="B46" s="24" t="s">
        <v>966</v>
      </c>
      <c r="C46" s="42">
        <f>(C36+C45)/'Income Statement'!C147</f>
        <v>0.8828811507512639</v>
      </c>
      <c r="D46" s="42">
        <f>(D36+D45)/'Income Statement'!D147</f>
        <v>0.9698400189140199</v>
      </c>
      <c r="E46" s="42">
        <f>(E36+E45)/'Income Statement'!E147</f>
        <v>0.853215998275893</v>
      </c>
      <c r="F46" s="42">
        <f>(F36+F45)/'Income Statement'!F147</f>
        <v>0.7646302947733465</v>
      </c>
      <c r="G46" s="42">
        <f>(G36+G45)/'Income Statement'!G147</f>
        <v>0.5151455281418658</v>
      </c>
      <c r="H46" s="56">
        <f>(H36+H45)/'Income Statement'!H147</f>
        <v>0.7163399421811154</v>
      </c>
      <c r="I46" s="1"/>
      <c r="J46" s="1"/>
    </row>
    <row r="47" ht="27">
      <c r="A47" s="1"/>
      <c r="B47" s="21" t="s">
        <v>153</v>
      </c>
      <c r="C47" s="25">
        <f>(C46-C61)*10000</f>
        <v>948.038595332692</v>
      </c>
      <c r="D47" s="25">
        <f>(D46-D61)*10000</f>
        <v>3984.741545493993</v>
      </c>
      <c r="E47" s="25">
        <f>(E46-E61)*10000</f>
        <v>2857.7068632541127</v>
      </c>
      <c r="F47" s="25">
        <f>(F46-F61)*10000</f>
        <v>-353.79483811552535</v>
      </c>
      <c r="G47" s="25">
        <f>(G46-G61)*10000</f>
        <v>-2606.289079483598</v>
      </c>
      <c r="H47" s="58">
        <f>(H46-C46)*10000</f>
        <v>-1665.4120857014855</v>
      </c>
      <c r="I47" s="1"/>
      <c r="J47" s="126" t="s">
        <v>967</v>
      </c>
    </row>
    <row r="48">
      <c r="A48" s="1"/>
      <c r="B48" s="21" t="s">
        <v>154</v>
      </c>
      <c r="C48" s="25">
        <f>(C46-G61)*10000</f>
        <v>1071.0671466103838</v>
      </c>
      <c r="D48" s="25">
        <f>(D46-C46)*10000</f>
        <v>869.5886816275599</v>
      </c>
      <c r="E48" s="1"/>
      <c r="F48" s="25">
        <f>(F46-D46)*10000</f>
        <v>-2052.097241406734</v>
      </c>
      <c r="G48" s="25">
        <f>(G46-F46)*10000</f>
        <v>-2494.8476663148076</v>
      </c>
      <c r="H48" s="58">
        <f>(H46-G46)*10000</f>
        <v>2011.9441403924964</v>
      </c>
      <c r="I48" s="1"/>
      <c r="J48" s="1"/>
    </row>
    <row r="49">
      <c r="A49" s="1"/>
      <c r="B49" s="1"/>
      <c r="C49" s="1"/>
      <c r="D49" s="1"/>
      <c r="E49" s="1"/>
      <c r="F49" s="1"/>
      <c r="G49" s="1"/>
      <c r="H49" s="30"/>
      <c r="I49" s="1"/>
      <c r="J49" s="1"/>
    </row>
    <row r="50" ht="39">
      <c r="A50" s="1"/>
      <c r="B50" s="113" t="s">
        <v>158</v>
      </c>
      <c r="C50" s="116" t="s">
        <v>159</v>
      </c>
      <c r="D50" s="116" t="s">
        <v>160</v>
      </c>
      <c r="E50" s="116" t="s">
        <v>161</v>
      </c>
      <c r="F50" s="116" t="s">
        <v>162</v>
      </c>
      <c r="G50" s="116" t="s">
        <v>163</v>
      </c>
      <c r="H50" s="117" t="s">
        <v>57</v>
      </c>
      <c r="I50" s="1"/>
      <c r="J50" s="125" t="s">
        <v>164</v>
      </c>
    </row>
    <row r="51">
      <c r="A51" s="1"/>
      <c r="B51" s="21" t="s">
        <v>968</v>
      </c>
      <c r="C51" s="3">
        <v>30.3</v>
      </c>
      <c r="D51" s="3">
        <v>18.5</v>
      </c>
      <c r="E51" s="3">
        <v>91.7</v>
      </c>
      <c r="F51" s="3">
        <v>30</v>
      </c>
      <c r="G51" s="3">
        <v>29.8</v>
      </c>
      <c r="H51" s="29">
        <f>C11</f>
        <v>28</v>
      </c>
      <c r="I51" s="1"/>
      <c r="J51" s="1"/>
    </row>
    <row r="52">
      <c r="A52" s="1"/>
      <c r="B52" s="21" t="s">
        <v>969</v>
      </c>
      <c r="C52" s="3">
        <v>0.5</v>
      </c>
      <c r="D52" s="3">
        <v>0.8</v>
      </c>
      <c r="E52" s="3">
        <v>12.7</v>
      </c>
      <c r="F52" s="3">
        <v>11.5</v>
      </c>
      <c r="G52" s="3">
        <v>0.4</v>
      </c>
      <c r="H52" s="29">
        <f>C14</f>
        <v>0.4</v>
      </c>
      <c r="I52" s="1"/>
      <c r="J52" s="1"/>
    </row>
    <row r="53">
      <c r="A53" s="1"/>
      <c r="B53" s="21" t="s">
        <v>970</v>
      </c>
      <c r="C53" s="3">
        <v>2815.3</v>
      </c>
      <c r="D53" s="3">
        <v>2797.6</v>
      </c>
      <c r="E53" s="3">
        <v>2797.6</v>
      </c>
      <c r="F53" s="3">
        <v>2779.1</v>
      </c>
      <c r="G53" s="3">
        <v>2749.7</v>
      </c>
      <c r="H53" s="29">
        <f>C18</f>
        <v>2722.2</v>
      </c>
      <c r="I53" s="1"/>
      <c r="J53" s="1"/>
    </row>
    <row r="54">
      <c r="A54" s="1"/>
      <c r="B54" s="21" t="s">
        <v>971</v>
      </c>
      <c r="C54" s="3">
        <v>2860.6</v>
      </c>
      <c r="D54" s="3">
        <v>2836.9</v>
      </c>
      <c r="E54" s="3">
        <v>2873.9</v>
      </c>
      <c r="F54" s="3">
        <v>2819.4</v>
      </c>
      <c r="G54" s="3">
        <v>2788.7</v>
      </c>
      <c r="H54" s="29">
        <f>C23</f>
        <v>2762.4</v>
      </c>
      <c r="I54" s="1"/>
      <c r="J54" s="1"/>
    </row>
    <row r="55">
      <c r="A55" s="1"/>
      <c r="B55" s="21" t="s">
        <v>972</v>
      </c>
      <c r="C55" s="3">
        <v>5.3</v>
      </c>
      <c r="D55" s="3">
        <v>5.5</v>
      </c>
      <c r="E55" s="3">
        <v>5.1</v>
      </c>
      <c r="F55" s="3">
        <v>4.9</v>
      </c>
      <c r="G55" s="3">
        <v>5</v>
      </c>
      <c r="H55" s="29">
        <f>C26</f>
        <v>5.2</v>
      </c>
      <c r="I55" s="1"/>
      <c r="J55" s="1"/>
    </row>
    <row r="56">
      <c r="A56" s="1"/>
      <c r="B56" s="21" t="s">
        <v>973</v>
      </c>
      <c r="C56" s="10">
        <f>C54+C55</f>
        <v>2865.9</v>
      </c>
      <c r="D56" s="10">
        <f>D54+D55</f>
        <v>2842.4</v>
      </c>
      <c r="E56" s="10">
        <f>E54+E55</f>
        <v>2879</v>
      </c>
      <c r="F56" s="10">
        <f>F54+F55</f>
        <v>2824.3</v>
      </c>
      <c r="G56" s="10">
        <f>G54+G55</f>
        <v>2793.7</v>
      </c>
      <c r="H56" s="29">
        <f>C29</f>
        <v>2767.6</v>
      </c>
      <c r="I56" s="1"/>
      <c r="J56" s="1"/>
    </row>
    <row r="57">
      <c r="A57" s="1"/>
      <c r="B57" s="21" t="s">
        <v>974</v>
      </c>
      <c r="C57" s="3">
        <v>6361</v>
      </c>
      <c r="D57" s="3">
        <v>4313</v>
      </c>
      <c r="E57" s="3">
        <v>18841</v>
      </c>
      <c r="F57" s="3">
        <v>7563</v>
      </c>
      <c r="G57" s="3">
        <v>7500</v>
      </c>
      <c r="H57" s="29">
        <f>C36</f>
        <v>8315</v>
      </c>
      <c r="I57" s="1"/>
      <c r="J57" s="1"/>
    </row>
    <row r="58">
      <c r="A58" s="1"/>
      <c r="B58" s="21" t="s">
        <v>975</v>
      </c>
      <c r="C58" s="35">
        <v>209.61</v>
      </c>
      <c r="D58" s="35">
        <v>233.37</v>
      </c>
      <c r="E58" s="35">
        <v>205.43</v>
      </c>
      <c r="F58" s="35">
        <v>252.5</v>
      </c>
      <c r="G58" s="35">
        <v>251.67</v>
      </c>
      <c r="H58" s="50">
        <f>C39</f>
        <v>297.1</v>
      </c>
      <c r="I58" s="1"/>
      <c r="J58" s="1"/>
    </row>
    <row r="59">
      <c r="A59" s="1"/>
      <c r="B59" s="21" t="s">
        <v>976</v>
      </c>
      <c r="C59" s="41">
        <v>1.25</v>
      </c>
      <c r="D59" s="41">
        <v>1.25</v>
      </c>
      <c r="E59" s="41">
        <v>4.8</v>
      </c>
      <c r="F59" s="41">
        <v>1.4</v>
      </c>
      <c r="G59" s="41">
        <v>1.4</v>
      </c>
      <c r="H59" s="57">
        <f>C42</f>
        <v>1.5</v>
      </c>
      <c r="I59" s="1"/>
      <c r="J59" s="1"/>
    </row>
    <row r="60">
      <c r="A60" s="1"/>
      <c r="B60" s="21" t="s">
        <v>977</v>
      </c>
      <c r="C60" s="10">
        <f>C59*C53</f>
        <v>3519.125</v>
      </c>
      <c r="D60" s="10">
        <f>D59*D53</f>
        <v>3497</v>
      </c>
      <c r="E60" s="10">
        <f>E59*E53</f>
        <v>13428.48</v>
      </c>
      <c r="F60" s="10">
        <f>F59*F53</f>
        <v>3890.74</v>
      </c>
      <c r="G60" s="10">
        <f>G59*G53</f>
        <v>3849.5799999999995</v>
      </c>
      <c r="H60" s="29">
        <f>C45</f>
        <v>4083.2999999999997</v>
      </c>
      <c r="I60" s="1"/>
      <c r="J60" s="1"/>
    </row>
    <row r="61">
      <c r="A61" s="1"/>
      <c r="B61" s="21" t="s">
        <v>978</v>
      </c>
      <c r="C61" s="7">
        <f>(C57+C60)/'Income Statement'!C233</f>
        <v>0.7880772912179947</v>
      </c>
      <c r="D61" s="7">
        <f>(D57+D60)/'Income Statement'!D233</f>
        <v>0.5713658643646207</v>
      </c>
      <c r="E61" s="7">
        <f>(E57+E60)/'Income Statement'!E233</f>
        <v>0.5674453119504818</v>
      </c>
      <c r="F61" s="7">
        <f>(F57+F60)/'Income Statement'!F233</f>
        <v>0.8000097785848991</v>
      </c>
      <c r="G61" s="7">
        <f>(G57+G60)/'Income Statement'!G233</f>
        <v>0.7757744360902256</v>
      </c>
      <c r="H61" s="62">
        <f>C46</f>
        <v>0.8828811507512639</v>
      </c>
      <c r="I61" s="1"/>
      <c r="J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>
  <dimension ref="A1:J33"/>
  <sheetViews>
    <sheetView showGridLines="0" workbookViewId="0"/>
  </sheetViews>
  <sheetFormatPr defaultColWidth="8.42578125" defaultRowHeight="15"/>
  <cols>
    <col min="1" max="1" width="2" customWidth="1"/>
    <col min="2" max="2" width="38" customWidth="1"/>
    <col min="3" max="8" width="12" customWidth="1"/>
    <col min="9" max="9" width="20" customWidth="1"/>
    <col min="10" max="10" width="7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</row>
    <row r="2">
      <c r="A2" s="1"/>
      <c r="B2" s="38" t="s">
        <v>0</v>
      </c>
      <c r="C2" s="1"/>
      <c r="D2" s="1"/>
      <c r="E2" s="1"/>
      <c r="F2" s="1"/>
      <c r="G2" s="1"/>
      <c r="H2" s="1"/>
      <c r="I2" s="1"/>
      <c r="J2" s="1"/>
    </row>
    <row r="3">
      <c r="A3" s="1"/>
      <c r="B3" s="31" t="s">
        <v>979</v>
      </c>
      <c r="C3" s="1"/>
      <c r="D3" s="1"/>
      <c r="E3" s="1"/>
      <c r="F3" s="1"/>
      <c r="G3" s="1"/>
      <c r="H3" s="1"/>
      <c r="I3" s="1"/>
      <c r="J3" s="1"/>
    </row>
    <row r="4">
      <c r="A4" s="1"/>
      <c r="B4" s="24" t="s">
        <v>2</v>
      </c>
      <c r="C4" s="1"/>
      <c r="D4" s="1"/>
      <c r="E4" s="1"/>
      <c r="F4" s="1"/>
      <c r="G4" s="1"/>
      <c r="H4" s="1"/>
      <c r="I4" s="1"/>
      <c r="J4" s="1"/>
    </row>
    <row r="5">
      <c r="A5" s="1"/>
      <c r="B5" s="14" t="s">
        <v>980</v>
      </c>
      <c r="C5" s="11"/>
      <c r="D5" s="11"/>
      <c r="E5" s="11"/>
      <c r="F5" s="11"/>
      <c r="G5" s="11"/>
      <c r="H5" s="11"/>
      <c r="I5" s="14"/>
      <c r="J5" s="14"/>
    </row>
    <row r="6">
      <c r="A6" s="1"/>
      <c r="B6" s="19"/>
      <c r="C6" s="13"/>
      <c r="D6" s="13"/>
      <c r="E6" s="13"/>
      <c r="F6" s="13"/>
      <c r="G6" s="13"/>
      <c r="H6" s="13"/>
      <c r="I6" s="19"/>
      <c r="J6" s="19"/>
    </row>
    <row r="7">
      <c r="A7" s="1"/>
      <c r="B7" s="28"/>
      <c r="C7" s="9"/>
      <c r="D7" s="9"/>
      <c r="E7" s="9"/>
      <c r="F7" s="9"/>
      <c r="G7" s="9"/>
      <c r="H7" s="9"/>
      <c r="I7" s="28"/>
      <c r="J7" s="28"/>
    </row>
    <row r="8">
      <c r="A8" s="1"/>
      <c r="B8" s="1"/>
      <c r="C8" s="1"/>
      <c r="D8" s="1"/>
      <c r="E8" s="1"/>
      <c r="F8" s="1"/>
      <c r="G8" s="1"/>
      <c r="H8" s="1"/>
      <c r="I8" s="1"/>
      <c r="J8" s="1"/>
    </row>
    <row r="9">
      <c r="A9" s="1"/>
      <c r="B9" s="15" t="s">
        <v>981</v>
      </c>
      <c r="C9" s="18" t="s">
        <v>982</v>
      </c>
      <c r="D9" s="18" t="s">
        <v>89</v>
      </c>
      <c r="E9" s="18" t="s">
        <v>983</v>
      </c>
      <c r="F9" s="18" t="s">
        <v>984</v>
      </c>
      <c r="G9" s="18" t="s">
        <v>985</v>
      </c>
      <c r="H9" s="18" t="s">
        <v>986</v>
      </c>
      <c r="I9" s="18" t="s">
        <v>987</v>
      </c>
      <c r="J9" s="131" t="s">
        <v>988</v>
      </c>
    </row>
    <row r="10">
      <c r="A10" s="1"/>
      <c r="B10" s="1" t="s">
        <v>989</v>
      </c>
      <c r="C10" s="8">
        <v>46035</v>
      </c>
      <c r="D10" s="6" t="s">
        <v>990</v>
      </c>
      <c r="E10" s="3">
        <v>95</v>
      </c>
      <c r="F10" s="3">
        <v>95</v>
      </c>
      <c r="G10" s="10">
        <f>AVERAGE(E10,F10)</f>
        <v>95</v>
      </c>
      <c r="H10" s="6" t="s">
        <v>991</v>
      </c>
      <c r="I10" s="96" t="str">
        <f>IF(ISNUMBER(H10),IF(H10&gt;F10,"Beat",IF(H10&lt;E10,"Miss","In line")),"Pending")</f>
        <v>Pending</v>
      </c>
      <c r="J10" s="129" t="s">
        <v>992</v>
      </c>
    </row>
    <row r="11">
      <c r="A11" s="1"/>
      <c r="B11" s="1" t="s">
        <v>989</v>
      </c>
      <c r="C11" s="8">
        <v>46126</v>
      </c>
      <c r="D11" s="6" t="s">
        <v>990</v>
      </c>
      <c r="E11" s="3">
        <v>95</v>
      </c>
      <c r="F11" s="3">
        <v>95</v>
      </c>
      <c r="G11" s="10">
        <f>AVERAGE(E11,F11)</f>
        <v>95</v>
      </c>
      <c r="H11" s="6" t="s">
        <v>991</v>
      </c>
      <c r="I11" s="96" t="str">
        <f>IF(ISNUMBER(H11),IF(H11&gt;F11,"Beat",IF(H11&lt;E11,"Miss","In line")),"Pending")</f>
        <v>Pending</v>
      </c>
      <c r="J11" s="129" t="s">
        <v>993</v>
      </c>
    </row>
    <row r="12">
      <c r="A12" s="1"/>
      <c r="B12" s="1" t="s">
        <v>989</v>
      </c>
      <c r="C12" s="8">
        <v>46217</v>
      </c>
      <c r="D12" s="6" t="s">
        <v>990</v>
      </c>
      <c r="E12" s="3">
        <v>96.5</v>
      </c>
      <c r="F12" s="3">
        <v>96.5</v>
      </c>
      <c r="G12" s="10">
        <f>AVERAGE(E12,F12)</f>
        <v>96.5</v>
      </c>
      <c r="H12" s="6" t="s">
        <v>991</v>
      </c>
      <c r="I12" s="96" t="str">
        <f>IF(ISNUMBER(H12),IF(H12&gt;F12,"Beat",IF(H12&lt;E12,"Miss","In line")),"Pending")</f>
        <v>Pending</v>
      </c>
      <c r="J12" s="129" t="s">
        <v>994</v>
      </c>
    </row>
    <row r="13">
      <c r="A13" s="1"/>
      <c r="B13" s="1" t="s">
        <v>995</v>
      </c>
      <c r="C13" s="8">
        <v>46035</v>
      </c>
      <c r="D13" s="6" t="s">
        <v>990</v>
      </c>
      <c r="E13" s="3">
        <v>103</v>
      </c>
      <c r="F13" s="3">
        <v>103</v>
      </c>
      <c r="G13" s="10">
        <f>AVERAGE(E13,F13)</f>
        <v>103</v>
      </c>
      <c r="H13" s="6" t="s">
        <v>991</v>
      </c>
      <c r="I13" s="96" t="str">
        <f>IF(ISNUMBER(H13),IF(H13&gt;F13,"Beat",IF(H13&lt;E13,"Miss","In line")),"Pending")</f>
        <v>Pending</v>
      </c>
      <c r="J13" s="129" t="s">
        <v>996</v>
      </c>
    </row>
    <row r="14">
      <c r="A14" s="1"/>
      <c r="B14" s="1" t="s">
        <v>995</v>
      </c>
      <c r="C14" s="8">
        <v>46126</v>
      </c>
      <c r="D14" s="6" t="s">
        <v>990</v>
      </c>
      <c r="E14" s="3">
        <v>103</v>
      </c>
      <c r="F14" s="3">
        <v>103</v>
      </c>
      <c r="G14" s="10">
        <f>AVERAGE(E14,F14)</f>
        <v>103</v>
      </c>
      <c r="H14" s="6" t="s">
        <v>991</v>
      </c>
      <c r="I14" s="96" t="str">
        <f>IF(ISNUMBER(H14),IF(H14&gt;F14,"Beat",IF(H14&lt;E14,"Miss","In line")),"Pending")</f>
        <v>Pending</v>
      </c>
      <c r="J14" s="129" t="s">
        <v>997</v>
      </c>
    </row>
    <row r="15">
      <c r="A15" s="1"/>
      <c r="B15" s="1" t="s">
        <v>995</v>
      </c>
      <c r="C15" s="8">
        <v>46217</v>
      </c>
      <c r="D15" s="6" t="s">
        <v>990</v>
      </c>
      <c r="E15" s="3">
        <v>105.5</v>
      </c>
      <c r="F15" s="3">
        <v>105.5</v>
      </c>
      <c r="G15" s="10">
        <f>AVERAGE(E15,F15)</f>
        <v>105.5</v>
      </c>
      <c r="H15" s="6" t="s">
        <v>991</v>
      </c>
      <c r="I15" s="96" t="str">
        <f>IF(ISNUMBER(H15),IF(H15&gt;F15,"Beat",IF(H15&lt;E15,"Miss","In line")),"Pending")</f>
        <v>Pending</v>
      </c>
      <c r="J15" s="129" t="s">
        <v>998</v>
      </c>
    </row>
    <row r="16">
      <c r="A16" s="1"/>
      <c r="B16" s="1" t="s">
        <v>999</v>
      </c>
      <c r="C16" s="8">
        <v>46035</v>
      </c>
      <c r="D16" s="6" t="s">
        <v>990</v>
      </c>
      <c r="E16" s="3">
        <v>105</v>
      </c>
      <c r="F16" s="3">
        <v>105</v>
      </c>
      <c r="G16" s="10">
        <f>AVERAGE(E16,F16)</f>
        <v>105</v>
      </c>
      <c r="H16" s="6" t="s">
        <v>991</v>
      </c>
      <c r="I16" s="96" t="str">
        <f>IF(ISNUMBER(H16),IF(H16&lt;E16,"Below (favorable)",IF(H16&gt;F16,"Above (unfavorable)","In line")),"Pending")</f>
        <v>Pending</v>
      </c>
      <c r="J16" s="129" t="s">
        <v>1000</v>
      </c>
    </row>
    <row r="17">
      <c r="A17" s="1"/>
      <c r="B17" s="1" t="s">
        <v>999</v>
      </c>
      <c r="C17" s="8">
        <v>46126</v>
      </c>
      <c r="D17" s="6" t="s">
        <v>990</v>
      </c>
      <c r="E17" s="3">
        <v>105</v>
      </c>
      <c r="F17" s="3">
        <v>105</v>
      </c>
      <c r="G17" s="10">
        <f>AVERAGE(E17,F17)</f>
        <v>105</v>
      </c>
      <c r="H17" s="6" t="s">
        <v>991</v>
      </c>
      <c r="I17" s="96" t="str">
        <f>IF(ISNUMBER(H17),IF(H17&lt;E17,"Below (favorable)",IF(H17&gt;F17,"Above (unfavorable)","In line")),"Pending")</f>
        <v>Pending</v>
      </c>
      <c r="J17" s="129" t="s">
        <v>1001</v>
      </c>
    </row>
    <row r="18">
      <c r="A18" s="1"/>
      <c r="B18" s="1" t="s">
        <v>999</v>
      </c>
      <c r="C18" s="8">
        <v>46217</v>
      </c>
      <c r="D18" s="6" t="s">
        <v>990</v>
      </c>
      <c r="E18" s="3">
        <v>107.5</v>
      </c>
      <c r="F18" s="3">
        <v>107.5</v>
      </c>
      <c r="G18" s="10">
        <f>AVERAGE(E18,F18)</f>
        <v>107.5</v>
      </c>
      <c r="H18" s="6" t="s">
        <v>991</v>
      </c>
      <c r="I18" s="96" t="str">
        <f>IF(ISNUMBER(H18),IF(H18&lt;E18,"Below (favorable)",IF(H18&gt;F18,"Above (unfavorable)","In line")),"Pending")</f>
        <v>Pending</v>
      </c>
      <c r="J18" s="129" t="s">
        <v>1002</v>
      </c>
    </row>
    <row r="19">
      <c r="A19" s="1"/>
      <c r="B19" s="1" t="s">
        <v>1003</v>
      </c>
      <c r="C19" s="8">
        <v>46035</v>
      </c>
      <c r="D19" s="6" t="s">
        <v>990</v>
      </c>
      <c r="E19" s="4">
        <v>0.034</v>
      </c>
      <c r="F19" s="4">
        <v>0.034</v>
      </c>
      <c r="G19" s="12">
        <f>AVERAGE(E19,F19)</f>
        <v>0.034</v>
      </c>
      <c r="H19" s="6" t="s">
        <v>991</v>
      </c>
      <c r="I19" s="97" t="str">
        <f>IF(ISNUMBER(H19),IF(H19&lt;E19,"Below (favorable)",IF(H19&gt;F19,"Above (unfavorable)","In line")),"Pending")</f>
        <v>Pending</v>
      </c>
      <c r="J19" s="129" t="s">
        <v>1004</v>
      </c>
    </row>
    <row r="20">
      <c r="A20" s="1"/>
      <c r="B20" s="1" t="s">
        <v>1003</v>
      </c>
      <c r="C20" s="8">
        <v>46126</v>
      </c>
      <c r="D20" s="6" t="s">
        <v>990</v>
      </c>
      <c r="E20" s="4">
        <v>0.034</v>
      </c>
      <c r="F20" s="4">
        <v>0.034</v>
      </c>
      <c r="G20" s="12">
        <f>AVERAGE(E20,F20)</f>
        <v>0.034</v>
      </c>
      <c r="H20" s="6" t="s">
        <v>991</v>
      </c>
      <c r="I20" s="97" t="str">
        <f>IF(ISNUMBER(H20),IF(H20&lt;E20,"Below (favorable)",IF(H20&gt;F20,"Above (unfavorable)","In line")),"Pending")</f>
        <v>Pending</v>
      </c>
      <c r="J20" s="129" t="s">
        <v>1005</v>
      </c>
    </row>
    <row r="21">
      <c r="A21" s="1"/>
      <c r="B21" s="1" t="s">
        <v>1003</v>
      </c>
      <c r="C21" s="8">
        <v>46217</v>
      </c>
      <c r="D21" s="6" t="s">
        <v>990</v>
      </c>
      <c r="E21" s="4">
        <v>0.032</v>
      </c>
      <c r="F21" s="4">
        <v>0.032</v>
      </c>
      <c r="G21" s="12">
        <f>AVERAGE(E21,F21)</f>
        <v>0.032</v>
      </c>
      <c r="H21" s="6" t="s">
        <v>991</v>
      </c>
      <c r="I21" s="97" t="str">
        <f>IF(ISNUMBER(H21),IF(H21&lt;E21,"Below (favorable)",IF(H21&gt;F21,"Above (unfavorable)","In line")),"Pending")</f>
        <v>Pending</v>
      </c>
      <c r="J21" s="129" t="s">
        <v>1006</v>
      </c>
    </row>
    <row r="22">
      <c r="A22" s="1"/>
      <c r="B22" s="1" t="s">
        <v>1007</v>
      </c>
      <c r="C22" s="8">
        <v>46280</v>
      </c>
      <c r="D22" s="6" t="s">
        <v>1008</v>
      </c>
      <c r="E22" s="4">
        <v>0.14</v>
      </c>
      <c r="F22" s="4">
        <v>0.19</v>
      </c>
      <c r="G22" s="12">
        <f>AVERAGE(E22,F22)</f>
        <v>0.165</v>
      </c>
      <c r="H22" s="6" t="s">
        <v>991</v>
      </c>
      <c r="I22" s="97" t="str">
        <f>IF(ISNUMBER(H22),IF(H22&gt;F22,"Beat",IF(H22&lt;E22,"Miss","In line")),"Pending")</f>
        <v>Pending</v>
      </c>
      <c r="J22" s="129" t="s">
        <v>1009</v>
      </c>
    </row>
    <row r="23">
      <c r="A23" s="1"/>
      <c r="B23" s="1" t="s">
        <v>1010</v>
      </c>
      <c r="C23" s="8">
        <v>46280</v>
      </c>
      <c r="D23" s="6" t="s">
        <v>1008</v>
      </c>
      <c r="E23" s="4">
        <v>0.14</v>
      </c>
      <c r="F23" s="4">
        <v>0.19</v>
      </c>
      <c r="G23" s="12">
        <f>AVERAGE(E23,F23)</f>
        <v>0.165</v>
      </c>
      <c r="H23" s="6" t="s">
        <v>991</v>
      </c>
      <c r="I23" s="97" t="str">
        <f>IF(ISNUMBER(H23),IF(H23&gt;F23,"Beat",IF(H23&lt;E23,"Miss","In line")),"Pending")</f>
        <v>Pending</v>
      </c>
      <c r="J23" s="129" t="s">
        <v>1009</v>
      </c>
    </row>
    <row r="24">
      <c r="A24" s="1"/>
      <c r="B24" s="1" t="s">
        <v>1007</v>
      </c>
      <c r="C24" s="8">
        <v>45909</v>
      </c>
      <c r="D24" s="6" t="s">
        <v>1011</v>
      </c>
      <c r="E24" s="4">
        <v>0.1</v>
      </c>
      <c r="F24" s="4">
        <v>0.13</v>
      </c>
      <c r="G24" s="12">
        <f>AVERAGE(E24,F24)</f>
        <v>0.115</v>
      </c>
      <c r="H24" s="7">
        <f>'Segment - CIB'!C119</f>
        <v>0.1588001764446405</v>
      </c>
      <c r="I24" s="97" t="str">
        <f>IF(ISNUMBER(H24),IF(H24&gt;F24,"Beat",IF(H24&lt;E24,"Miss","In line")),"Pending")</f>
        <v>Beat</v>
      </c>
      <c r="J24" s="129" t="s">
        <v>1012</v>
      </c>
    </row>
    <row r="25">
      <c r="A25" s="1"/>
      <c r="B25" s="1" t="s">
        <v>1010</v>
      </c>
      <c r="C25" s="8">
        <v>45909</v>
      </c>
      <c r="D25" s="6" t="s">
        <v>1011</v>
      </c>
      <c r="E25" s="4">
        <v>0.17</v>
      </c>
      <c r="F25" s="4">
        <v>0.19</v>
      </c>
      <c r="G25" s="12">
        <f>AVERAGE(E25,F25)</f>
        <v>0.18</v>
      </c>
      <c r="H25" s="7">
        <f>'Segment - CIB'!C60</f>
        <v>0.2505592841163311</v>
      </c>
      <c r="I25" s="97" t="str">
        <f>IF(ISNUMBER(H25),IF(H25&gt;F25,"Beat",IF(H25&lt;E25,"Miss","In line")),"Pending")</f>
        <v>Beat</v>
      </c>
      <c r="J25" s="129" t="s">
        <v>1013</v>
      </c>
    </row>
    <row r="26">
      <c r="A26" s="1"/>
      <c r="B26" s="1" t="s">
        <v>1007</v>
      </c>
      <c r="C26" s="8">
        <v>46000</v>
      </c>
      <c r="D26" s="6" t="s">
        <v>1014</v>
      </c>
      <c r="E26" s="4">
        <v>0.01</v>
      </c>
      <c r="F26" s="4">
        <v>0.03</v>
      </c>
      <c r="G26" s="12">
        <f>AVERAGE(E26,F26)</f>
        <v>0.02</v>
      </c>
      <c r="H26" s="7">
        <f>'Segment - CIB'!D119</f>
        <v>-0.05324727712787414</v>
      </c>
      <c r="I26" s="97" t="str">
        <f>IF(ISNUMBER(H26),IF(H26&gt;F26,"Beat",IF(H26&lt;E26,"Miss","In line")),"Pending")</f>
        <v>Miss</v>
      </c>
      <c r="J26" s="129" t="s">
        <v>1015</v>
      </c>
    </row>
    <row r="27">
      <c r="A27" s="1"/>
      <c r="B27" s="1" t="s">
        <v>1010</v>
      </c>
      <c r="C27" s="8">
        <v>46000</v>
      </c>
      <c r="D27" s="6" t="s">
        <v>1014</v>
      </c>
      <c r="E27" s="4">
        <v>0.11</v>
      </c>
      <c r="F27" s="4">
        <v>0.13</v>
      </c>
      <c r="G27" s="12">
        <f>AVERAGE(E27,F27)</f>
        <v>0.12</v>
      </c>
      <c r="H27" s="7">
        <f>'Segment - CIB'!D60</f>
        <v>0.16881827209533262</v>
      </c>
      <c r="I27" s="97" t="str">
        <f>IF(ISNUMBER(H27),IF(H27&gt;F27,"Beat",IF(H27&lt;E27,"Miss","In line")),"Pending")</f>
        <v>Beat</v>
      </c>
      <c r="J27" s="129" t="s">
        <v>1016</v>
      </c>
    </row>
    <row r="28">
      <c r="A28" s="1"/>
      <c r="B28" s="1" t="s">
        <v>989</v>
      </c>
      <c r="C28" s="8">
        <v>45944</v>
      </c>
      <c r="D28" s="6" t="s">
        <v>1014</v>
      </c>
      <c r="E28" s="3">
        <v>23.5</v>
      </c>
      <c r="F28" s="3">
        <v>23.5</v>
      </c>
      <c r="G28" s="10">
        <f>AVERAGE(E28,F28)</f>
        <v>23.5</v>
      </c>
      <c r="H28" s="23">
        <f>'Revenue summary'!D57/1000</f>
        <v>23.857</v>
      </c>
      <c r="I28" s="96" t="str">
        <f>IF(ISNUMBER(H28),IF(H28&gt;F28,"Beat",IF(H28&lt;E28,"Miss","In line")),"Pending")</f>
        <v>Beat</v>
      </c>
      <c r="J28" s="129" t="s">
        <v>1017</v>
      </c>
    </row>
    <row r="29">
      <c r="A29" s="1"/>
      <c r="B29" s="1" t="s">
        <v>999</v>
      </c>
      <c r="C29" s="8">
        <v>45944</v>
      </c>
      <c r="D29" s="6" t="s">
        <v>1014</v>
      </c>
      <c r="E29" s="3">
        <v>24.5</v>
      </c>
      <c r="F29" s="3">
        <v>24.5</v>
      </c>
      <c r="G29" s="10">
        <f>AVERAGE(E29,F29)</f>
        <v>24.5</v>
      </c>
      <c r="H29" s="23">
        <f>'Income Statement'!D122/1000</f>
        <v>23.923</v>
      </c>
      <c r="I29" s="96" t="str">
        <f>IF(ISNUMBER(H29),IF(H29&lt;E29,"Below (favorable)",IF(H29&gt;F29,"Above (unfavorable)","In line")),"Pending")</f>
        <v>Below (favorable)</v>
      </c>
      <c r="J29" s="129" t="s">
        <v>1018</v>
      </c>
    </row>
    <row r="30" ht="27">
      <c r="A30" s="1"/>
      <c r="B30" s="1" t="s">
        <v>1007</v>
      </c>
      <c r="C30" s="6" t="s">
        <v>1019</v>
      </c>
      <c r="D30" s="6" t="s">
        <v>1020</v>
      </c>
      <c r="E30" s="4">
        <v>0.1</v>
      </c>
      <c r="F30" s="1"/>
      <c r="G30" s="12">
        <f>E30</f>
        <v>0.1</v>
      </c>
      <c r="H30" s="7">
        <f>'Segment - CIB'!G119</f>
        <v>0.3040191006764823</v>
      </c>
      <c r="I30" s="97" t="str">
        <f>IF(ISNUMBER(H30),IF(H30&gt;E30,"Beat",IF(H30&lt;E30,"Miss","In line")),"Pending")</f>
        <v>Beat</v>
      </c>
      <c r="J30" s="130" t="s">
        <v>1021</v>
      </c>
    </row>
    <row r="31">
      <c r="A31" s="1"/>
      <c r="B31" s="1"/>
      <c r="C31" s="1"/>
      <c r="D31" s="1"/>
      <c r="E31" s="1"/>
      <c r="F31" s="1"/>
      <c r="G31" s="1"/>
      <c r="H31" s="1"/>
      <c r="I31" s="1"/>
      <c r="J31" s="1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>
      <c r="A33" s="1"/>
      <c r="B33" s="1"/>
      <c r="C33" s="1"/>
      <c r="D33" s="1"/>
      <c r="E33" s="1"/>
      <c r="F33" s="1"/>
      <c r="G33" s="1"/>
      <c r="H33" s="1"/>
      <c r="I33" s="1"/>
      <c r="J33" s="1"/>
    </row>
  </sheetData>
</worksheet>
</file>

<file path=xl/worksheets/sheet12.xml><?xml version="1.0" encoding="utf-8"?>
<worksheet xmlns="http://schemas.openxmlformats.org/spreadsheetml/2006/main" xmlns:r="http://schemas.openxmlformats.org/officeDocument/2006/relationships">
  <dimension ref="A1:J49"/>
  <sheetViews>
    <sheetView showGridLines="0" workbookViewId="0"/>
  </sheetViews>
  <sheetFormatPr defaultColWidth="8.42578125" defaultRowHeight="15"/>
  <cols>
    <col min="1" max="1" width="2" customWidth="1"/>
    <col min="2" max="2" width="38" customWidth="1"/>
    <col min="3" max="3" width="7" customWidth="1"/>
    <col min="4" max="4" width="14" customWidth="1"/>
    <col min="5" max="5" width="24" customWidth="1"/>
    <col min="6" max="6" width="70" customWidth="1"/>
    <col min="7" max="7" width="60" customWidth="1"/>
    <col min="8" max="8" width="12" customWidth="1"/>
    <col min="9" max="9" width="2" customWidth="1"/>
    <col min="10" max="10" width="4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</row>
    <row r="2">
      <c r="A2" s="1"/>
      <c r="B2" s="38" t="s">
        <v>0</v>
      </c>
      <c r="C2" s="1"/>
      <c r="D2" s="1"/>
      <c r="E2" s="1"/>
      <c r="F2" s="1"/>
      <c r="G2" s="1"/>
      <c r="H2" s="1"/>
      <c r="I2" s="1"/>
      <c r="J2" s="1"/>
    </row>
    <row r="3">
      <c r="A3" s="1"/>
      <c r="B3" s="31" t="s">
        <v>1022</v>
      </c>
      <c r="C3" s="1"/>
      <c r="D3" s="1"/>
      <c r="E3" s="1"/>
      <c r="F3" s="1"/>
      <c r="G3" s="1"/>
      <c r="H3" s="1"/>
      <c r="I3" s="1"/>
      <c r="J3" s="1"/>
    </row>
    <row r="4">
      <c r="A4" s="1"/>
      <c r="B4" s="24" t="s">
        <v>2</v>
      </c>
      <c r="C4" s="1"/>
      <c r="D4" s="1"/>
      <c r="E4" s="1"/>
      <c r="F4" s="1"/>
      <c r="G4" s="1"/>
      <c r="H4" s="1"/>
      <c r="I4" s="1"/>
      <c r="J4" s="1"/>
    </row>
    <row r="5">
      <c r="A5" s="1"/>
      <c r="B5" s="14" t="s">
        <v>980</v>
      </c>
      <c r="C5" s="11"/>
      <c r="D5" s="11"/>
      <c r="E5" s="11"/>
      <c r="F5" s="11"/>
      <c r="G5" s="11"/>
      <c r="H5" s="11"/>
      <c r="I5" s="14"/>
      <c r="J5" s="14"/>
    </row>
    <row r="6">
      <c r="A6" s="1"/>
      <c r="B6" s="19"/>
      <c r="C6" s="13"/>
      <c r="D6" s="13"/>
      <c r="E6" s="13"/>
      <c r="F6" s="13"/>
      <c r="G6" s="13"/>
      <c r="H6" s="13"/>
      <c r="I6" s="19"/>
      <c r="J6" s="19"/>
    </row>
    <row r="7">
      <c r="A7" s="1"/>
      <c r="B7" s="28"/>
      <c r="C7" s="9"/>
      <c r="D7" s="9"/>
      <c r="E7" s="9"/>
      <c r="F7" s="9"/>
      <c r="G7" s="9"/>
      <c r="H7" s="9"/>
      <c r="I7" s="28"/>
      <c r="J7" s="28"/>
    </row>
    <row r="8">
      <c r="A8" s="1"/>
      <c r="B8" s="1"/>
      <c r="C8" s="1"/>
      <c r="D8" s="1"/>
      <c r="E8" s="1"/>
      <c r="F8" s="1"/>
      <c r="G8" s="1"/>
      <c r="H8" s="1"/>
      <c r="I8" s="1"/>
      <c r="J8" s="1"/>
    </row>
    <row r="9">
      <c r="A9" s="1"/>
      <c r="B9" s="15" t="s">
        <v>1023</v>
      </c>
      <c r="C9" s="98" t="s">
        <v>1024</v>
      </c>
      <c r="D9" s="98" t="s">
        <v>1025</v>
      </c>
      <c r="E9" s="98" t="s">
        <v>1026</v>
      </c>
      <c r="F9" s="98" t="s">
        <v>1027</v>
      </c>
      <c r="G9" s="98" t="s">
        <v>1028</v>
      </c>
      <c r="H9" s="1"/>
      <c r="I9" s="1"/>
      <c r="J9" s="1"/>
    </row>
    <row r="10" ht="14.624267578125">
      <c r="A10" s="1"/>
      <c r="B10" s="104" t="s">
        <v>1029</v>
      </c>
      <c r="C10" s="103" t="s">
        <v>1030</v>
      </c>
      <c r="D10" s="106">
        <v>46217</v>
      </c>
      <c r="E10" s="103" t="s">
        <v>1031</v>
      </c>
      <c r="F10" s="105" t="s">
        <v>1032</v>
      </c>
      <c r="G10" s="103" t="s">
        <v>1033</v>
      </c>
      <c r="H10" s="1"/>
      <c r="I10" s="1"/>
      <c r="J10" s="1"/>
    </row>
    <row r="11" ht="14.624267578125">
      <c r="A11" s="1"/>
      <c r="B11" s="104" t="s">
        <v>1034</v>
      </c>
      <c r="C11" s="103" t="s">
        <v>1035</v>
      </c>
      <c r="D11" s="106">
        <v>46035</v>
      </c>
      <c r="E11" s="103" t="s">
        <v>1031</v>
      </c>
      <c r="F11" s="105" t="s">
        <v>1036</v>
      </c>
      <c r="G11" s="103" t="s">
        <v>1037</v>
      </c>
      <c r="H11" s="1"/>
      <c r="I11" s="1"/>
      <c r="J11" s="1"/>
    </row>
    <row r="12" ht="14.624267578125">
      <c r="A12" s="1"/>
      <c r="B12" s="104" t="s">
        <v>1038</v>
      </c>
      <c r="C12" s="103" t="s">
        <v>1039</v>
      </c>
      <c r="D12" s="106">
        <v>45944</v>
      </c>
      <c r="E12" s="103" t="s">
        <v>1031</v>
      </c>
      <c r="F12" s="105" t="s">
        <v>1040</v>
      </c>
      <c r="G12" s="103" t="s">
        <v>1041</v>
      </c>
      <c r="H12" s="1"/>
      <c r="I12" s="1"/>
      <c r="J12" s="1"/>
    </row>
    <row r="13" ht="14.624267578125">
      <c r="A13" s="1"/>
      <c r="B13" s="104" t="s">
        <v>1042</v>
      </c>
      <c r="C13" s="103" t="s">
        <v>1043</v>
      </c>
      <c r="D13" s="106">
        <v>46217</v>
      </c>
      <c r="E13" s="103" t="s">
        <v>1031</v>
      </c>
      <c r="F13" s="105" t="s">
        <v>1044</v>
      </c>
      <c r="G13" s="103" t="s">
        <v>1045</v>
      </c>
      <c r="H13" s="1"/>
      <c r="I13" s="1"/>
      <c r="J13" s="1"/>
    </row>
    <row r="14" ht="14.624267578125">
      <c r="A14" s="1"/>
      <c r="B14" s="104" t="s">
        <v>1046</v>
      </c>
      <c r="C14" s="103" t="s">
        <v>1047</v>
      </c>
      <c r="D14" s="106">
        <v>46217</v>
      </c>
      <c r="E14" s="103" t="s">
        <v>1048</v>
      </c>
      <c r="F14" s="105" t="s">
        <v>1049</v>
      </c>
      <c r="G14" s="103" t="s">
        <v>1050</v>
      </c>
      <c r="H14" s="1"/>
      <c r="I14" s="1"/>
      <c r="J14" s="1"/>
    </row>
    <row r="15" ht="14.624267578125">
      <c r="A15" s="1"/>
      <c r="B15" s="104" t="s">
        <v>1051</v>
      </c>
      <c r="C15" s="103" t="s">
        <v>1052</v>
      </c>
      <c r="D15" s="106">
        <v>46217</v>
      </c>
      <c r="E15" s="103" t="s">
        <v>1048</v>
      </c>
      <c r="F15" s="105" t="s">
        <v>1053</v>
      </c>
      <c r="G15" s="103" t="s">
        <v>1054</v>
      </c>
      <c r="H15" s="1"/>
      <c r="I15" s="1"/>
      <c r="J15" s="1"/>
    </row>
    <row r="16" ht="14.624267578125">
      <c r="A16" s="1"/>
      <c r="B16" s="104" t="s">
        <v>1055</v>
      </c>
      <c r="C16" s="103" t="s">
        <v>1056</v>
      </c>
      <c r="D16" s="106">
        <v>46240</v>
      </c>
      <c r="E16" s="103" t="s">
        <v>1057</v>
      </c>
      <c r="F16" s="105" t="s">
        <v>1058</v>
      </c>
      <c r="G16" s="103" t="s">
        <v>1059</v>
      </c>
      <c r="H16" s="1"/>
      <c r="I16" s="1"/>
      <c r="J16" s="1"/>
    </row>
    <row r="17" ht="32.625">
      <c r="A17" s="1"/>
      <c r="B17" s="104" t="s">
        <v>1060</v>
      </c>
      <c r="C17" s="103" t="s">
        <v>1061</v>
      </c>
      <c r="D17" s="123" t="s">
        <v>1062</v>
      </c>
      <c r="E17" s="103" t="s">
        <v>1063</v>
      </c>
      <c r="F17" s="105" t="s">
        <v>1064</v>
      </c>
      <c r="G17" s="103" t="s">
        <v>1065</v>
      </c>
      <c r="H17" s="1"/>
      <c r="I17" s="1"/>
      <c r="J17" s="1"/>
    </row>
    <row r="18" ht="23.24853515625">
      <c r="A18" s="1"/>
      <c r="B18" s="104" t="s">
        <v>1066</v>
      </c>
      <c r="C18" s="103" t="s">
        <v>1067</v>
      </c>
      <c r="D18" s="106">
        <v>46280</v>
      </c>
      <c r="E18" s="103" t="s">
        <v>1048</v>
      </c>
      <c r="F18" s="105" t="s">
        <v>1068</v>
      </c>
      <c r="G18" s="103" t="s">
        <v>1069</v>
      </c>
      <c r="H18" s="1"/>
      <c r="I18" s="1"/>
      <c r="J18" s="1"/>
    </row>
    <row r="19" ht="23.24853515625">
      <c r="A19" s="1"/>
      <c r="B19" s="104" t="s">
        <v>1070</v>
      </c>
      <c r="C19" s="103" t="s">
        <v>1071</v>
      </c>
      <c r="D19" s="106">
        <v>46280</v>
      </c>
      <c r="E19" s="103" t="s">
        <v>1072</v>
      </c>
      <c r="F19" s="105" t="s">
        <v>1073</v>
      </c>
      <c r="G19" s="103" t="s">
        <v>1074</v>
      </c>
      <c r="H19" s="1"/>
      <c r="I19" s="1"/>
      <c r="J19" s="1"/>
    </row>
    <row r="20" ht="14.624267578125">
      <c r="A20" s="1"/>
      <c r="B20" s="104" t="s">
        <v>1075</v>
      </c>
      <c r="C20" s="103" t="s">
        <v>1076</v>
      </c>
      <c r="D20" s="106">
        <v>46035</v>
      </c>
      <c r="E20" s="103" t="s">
        <v>1048</v>
      </c>
      <c r="F20" s="105" t="s">
        <v>1077</v>
      </c>
      <c r="G20" s="103" t="s">
        <v>1078</v>
      </c>
      <c r="H20" s="1"/>
      <c r="I20" s="1"/>
      <c r="J20" s="1"/>
    </row>
    <row r="21" ht="14.624267578125">
      <c r="A21" s="1"/>
      <c r="B21" s="104" t="s">
        <v>1079</v>
      </c>
      <c r="C21" s="103" t="s">
        <v>1080</v>
      </c>
      <c r="D21" s="106">
        <v>46126</v>
      </c>
      <c r="E21" s="103" t="s">
        <v>1048</v>
      </c>
      <c r="F21" s="105" t="s">
        <v>1081</v>
      </c>
      <c r="G21" s="103" t="s">
        <v>1082</v>
      </c>
      <c r="H21" s="1"/>
      <c r="I21" s="1"/>
      <c r="J21" s="1"/>
    </row>
    <row r="22" ht="23.24853515625">
      <c r="A22" s="1"/>
      <c r="B22" s="104" t="s">
        <v>1083</v>
      </c>
      <c r="C22" s="103" t="s">
        <v>1084</v>
      </c>
      <c r="D22" s="106">
        <v>45909</v>
      </c>
      <c r="E22" s="103" t="s">
        <v>1085</v>
      </c>
      <c r="F22" s="105" t="s">
        <v>1086</v>
      </c>
      <c r="G22" s="103" t="s">
        <v>1087</v>
      </c>
      <c r="H22" s="1"/>
      <c r="I22" s="1"/>
      <c r="J22" s="1"/>
    </row>
    <row r="23" ht="14.624267578125">
      <c r="A23" s="1"/>
      <c r="B23" s="104" t="s">
        <v>1088</v>
      </c>
      <c r="C23" s="103" t="s">
        <v>1089</v>
      </c>
      <c r="D23" s="106">
        <v>46000</v>
      </c>
      <c r="E23" s="103" t="s">
        <v>1090</v>
      </c>
      <c r="F23" s="105" t="s">
        <v>1091</v>
      </c>
      <c r="G23" s="103" t="s">
        <v>1092</v>
      </c>
      <c r="H23" s="1"/>
      <c r="I23" s="1"/>
      <c r="J23" s="1"/>
    </row>
    <row r="24" ht="23.24853515625">
      <c r="A24" s="1"/>
      <c r="B24" s="104" t="s">
        <v>1093</v>
      </c>
      <c r="C24" s="103" t="s">
        <v>1094</v>
      </c>
      <c r="D24" s="106">
        <v>46210</v>
      </c>
      <c r="E24" s="103" t="s">
        <v>1095</v>
      </c>
      <c r="F24" s="105" t="s">
        <v>1096</v>
      </c>
      <c r="G24" s="103" t="s">
        <v>1097</v>
      </c>
      <c r="H24" s="1"/>
      <c r="I24" s="1"/>
      <c r="J24" s="1"/>
    </row>
    <row r="25" ht="14.624267578125">
      <c r="A25" s="1"/>
      <c r="B25" s="104" t="s">
        <v>1098</v>
      </c>
      <c r="C25" s="103" t="s">
        <v>1099</v>
      </c>
      <c r="D25" s="106">
        <v>45944</v>
      </c>
      <c r="E25" s="103" t="s">
        <v>1100</v>
      </c>
      <c r="F25" s="105" t="s">
        <v>1101</v>
      </c>
      <c r="G25" s="103" t="s">
        <v>1102</v>
      </c>
      <c r="H25" s="1"/>
      <c r="I25" s="1"/>
      <c r="J25" s="1"/>
    </row>
    <row r="26" ht="14.624267578125">
      <c r="A26" s="1"/>
      <c r="B26" s="104" t="s">
        <v>1103</v>
      </c>
      <c r="C26" s="103" t="s">
        <v>1104</v>
      </c>
      <c r="D26" s="106">
        <v>46281</v>
      </c>
      <c r="E26" s="103" t="s">
        <v>1105</v>
      </c>
      <c r="F26" s="105" t="s">
        <v>1106</v>
      </c>
      <c r="G26" s="103" t="s">
        <v>1107</v>
      </c>
      <c r="H26" s="1"/>
      <c r="I26" s="1"/>
      <c r="J26" s="1"/>
    </row>
    <row r="27" ht="14.624267578125">
      <c r="A27" s="1"/>
      <c r="B27" s="104" t="s">
        <v>1108</v>
      </c>
      <c r="C27" s="103" t="s">
        <v>1109</v>
      </c>
      <c r="D27" s="106">
        <v>46297</v>
      </c>
      <c r="E27" s="103" t="s">
        <v>1110</v>
      </c>
      <c r="F27" s="105" t="s">
        <v>1111</v>
      </c>
      <c r="G27" s="103" t="s">
        <v>1112</v>
      </c>
      <c r="H27" s="1"/>
      <c r="I27" s="1"/>
      <c r="J27" s="1"/>
    </row>
    <row r="28" ht="23.24853515625">
      <c r="A28" s="1"/>
      <c r="B28" s="104" t="s">
        <v>1113</v>
      </c>
      <c r="C28" s="103" t="s">
        <v>1114</v>
      </c>
      <c r="D28" s="106">
        <v>46296</v>
      </c>
      <c r="E28" s="103" t="s">
        <v>1115</v>
      </c>
      <c r="F28" s="105" t="s">
        <v>1116</v>
      </c>
      <c r="G28" s="103" t="s">
        <v>1117</v>
      </c>
      <c r="H28" s="1"/>
      <c r="I28" s="1"/>
      <c r="J28" s="1"/>
    </row>
    <row r="29" ht="14.624267578125">
      <c r="A29" s="1"/>
      <c r="B29" s="104" t="s">
        <v>1118</v>
      </c>
      <c r="C29" s="103" t="s">
        <v>1119</v>
      </c>
      <c r="D29" s="106">
        <v>46304</v>
      </c>
      <c r="E29" s="103" t="s">
        <v>1120</v>
      </c>
      <c r="F29" s="105" t="s">
        <v>1121</v>
      </c>
      <c r="G29" s="103" t="s">
        <v>1122</v>
      </c>
      <c r="H29" s="1"/>
      <c r="I29" s="1"/>
      <c r="J29" s="1"/>
    </row>
    <row r="30" ht="14.624267578125">
      <c r="A30" s="1"/>
      <c r="B30" s="104" t="s">
        <v>1123</v>
      </c>
      <c r="C30" s="103" t="s">
        <v>1124</v>
      </c>
      <c r="D30" s="106">
        <v>46306</v>
      </c>
      <c r="E30" s="103" t="s">
        <v>1125</v>
      </c>
      <c r="F30" s="105" t="s">
        <v>1126</v>
      </c>
      <c r="G30" s="103" t="s">
        <v>1127</v>
      </c>
      <c r="H30" s="1"/>
      <c r="I30" s="1"/>
      <c r="J30" s="1"/>
    </row>
    <row r="31" ht="14.624267578125">
      <c r="A31" s="1"/>
      <c r="B31" s="104" t="s">
        <v>1128</v>
      </c>
      <c r="C31" s="103" t="s">
        <v>77</v>
      </c>
      <c r="D31" s="106">
        <v>46303</v>
      </c>
      <c r="E31" s="103" t="s">
        <v>1129</v>
      </c>
      <c r="F31" s="105" t="s">
        <v>1130</v>
      </c>
      <c r="G31" s="103" t="s">
        <v>1131</v>
      </c>
      <c r="H31" s="1"/>
      <c r="I31" s="1"/>
      <c r="J31" s="1"/>
    </row>
    <row r="32" ht="14.624267578125">
      <c r="A32" s="1"/>
      <c r="B32" s="104" t="s">
        <v>1132</v>
      </c>
      <c r="C32" s="103" t="s">
        <v>85</v>
      </c>
      <c r="D32" s="106">
        <v>46304</v>
      </c>
      <c r="E32" s="103" t="s">
        <v>1133</v>
      </c>
      <c r="F32" s="105" t="s">
        <v>1134</v>
      </c>
      <c r="G32" s="103" t="s">
        <v>1135</v>
      </c>
      <c r="H32" s="1"/>
      <c r="I32" s="1"/>
      <c r="J32" s="1"/>
    </row>
    <row r="33" ht="32.625">
      <c r="A33" s="1"/>
      <c r="B33" s="104" t="s">
        <v>1136</v>
      </c>
      <c r="C33" s="103" t="s">
        <v>80</v>
      </c>
      <c r="D33" s="123" t="s">
        <v>1137</v>
      </c>
      <c r="E33" s="103" t="s">
        <v>1138</v>
      </c>
      <c r="F33" s="105" t="s">
        <v>1139</v>
      </c>
      <c r="G33" s="103" t="s">
        <v>1140</v>
      </c>
      <c r="H33" s="1"/>
      <c r="I33" s="1"/>
      <c r="J33" s="1"/>
    </row>
    <row r="34" ht="14.624267578125">
      <c r="A34" s="1"/>
      <c r="B34" s="104" t="s">
        <v>1141</v>
      </c>
      <c r="C34" s="103" t="s">
        <v>82</v>
      </c>
      <c r="D34" s="106">
        <v>46302</v>
      </c>
      <c r="E34" s="103" t="s">
        <v>1142</v>
      </c>
      <c r="F34" s="105" t="s">
        <v>1143</v>
      </c>
      <c r="G34" s="103" t="s">
        <v>1144</v>
      </c>
      <c r="H34" s="1"/>
      <c r="I34" s="1"/>
      <c r="J34" s="1"/>
    </row>
    <row r="35" ht="14.624267578125">
      <c r="A35" s="1"/>
      <c r="B35" s="104" t="s">
        <v>1145</v>
      </c>
      <c r="C35" s="103" t="s">
        <v>87</v>
      </c>
      <c r="D35" s="106">
        <v>46293</v>
      </c>
      <c r="E35" s="103" t="s">
        <v>1146</v>
      </c>
      <c r="F35" s="105" t="s">
        <v>1147</v>
      </c>
      <c r="G35" s="103" t="s">
        <v>1148</v>
      </c>
      <c r="H35" s="1"/>
      <c r="I35" s="1"/>
      <c r="J35" s="1"/>
    </row>
    <row r="36" ht="31.872802734375">
      <c r="A36" s="1"/>
      <c r="B36" s="104" t="s">
        <v>1149</v>
      </c>
      <c r="C36" s="103" t="s">
        <v>1150</v>
      </c>
      <c r="D36" s="123" t="s">
        <v>1151</v>
      </c>
      <c r="E36" s="103" t="s">
        <v>1152</v>
      </c>
      <c r="F36" s="105" t="s">
        <v>1153</v>
      </c>
      <c r="G36" s="103" t="s">
        <v>1154</v>
      </c>
      <c r="H36" s="1"/>
      <c r="I36" s="1"/>
      <c r="J36" s="1"/>
    </row>
    <row r="37" ht="23.24853515625">
      <c r="A37" s="1"/>
      <c r="B37" s="104" t="s">
        <v>1155</v>
      </c>
      <c r="C37" s="103" t="s">
        <v>1156</v>
      </c>
      <c r="D37" s="106">
        <v>46295</v>
      </c>
      <c r="E37" s="103" t="s">
        <v>1129</v>
      </c>
      <c r="F37" s="105" t="s">
        <v>1157</v>
      </c>
      <c r="G37" s="103" t="s">
        <v>1158</v>
      </c>
      <c r="H37" s="1"/>
      <c r="I37" s="1"/>
      <c r="J37" s="1"/>
    </row>
    <row r="38" ht="23.24853515625">
      <c r="A38" s="1"/>
      <c r="B38" s="104" t="s">
        <v>1159</v>
      </c>
      <c r="C38" s="103" t="s">
        <v>1160</v>
      </c>
      <c r="D38" s="106">
        <v>46306</v>
      </c>
      <c r="E38" s="103" t="s">
        <v>1161</v>
      </c>
      <c r="F38" s="105" t="s">
        <v>1162</v>
      </c>
      <c r="G38" s="103" t="s">
        <v>1163</v>
      </c>
      <c r="H38" s="1"/>
      <c r="I38" s="1"/>
      <c r="J38" s="1"/>
    </row>
    <row r="39" ht="14.624267578125">
      <c r="A39" s="1"/>
      <c r="B39" s="104" t="s">
        <v>1164</v>
      </c>
      <c r="C39" s="103" t="s">
        <v>1165</v>
      </c>
      <c r="D39" s="106">
        <v>46234</v>
      </c>
      <c r="E39" s="103" t="s">
        <v>1166</v>
      </c>
      <c r="F39" s="105" t="s">
        <v>1167</v>
      </c>
      <c r="G39" s="103" t="s">
        <v>1168</v>
      </c>
      <c r="H39" s="1"/>
      <c r="I39" s="1"/>
      <c r="J39" s="1"/>
    </row>
    <row r="40" ht="23.24853515625">
      <c r="A40" s="1"/>
      <c r="B40" s="104" t="s">
        <v>1169</v>
      </c>
      <c r="C40" s="103" t="s">
        <v>1170</v>
      </c>
      <c r="D40" s="123" t="s">
        <v>1171</v>
      </c>
      <c r="E40" s="103" t="s">
        <v>1172</v>
      </c>
      <c r="F40" s="105" t="s">
        <v>1173</v>
      </c>
      <c r="G40" s="103" t="s">
        <v>1174</v>
      </c>
      <c r="H40" s="1"/>
      <c r="I40" s="1"/>
      <c r="J40" s="1"/>
    </row>
    <row r="41" ht="14.624267578125">
      <c r="A41" s="1"/>
      <c r="B41" s="104" t="s">
        <v>1175</v>
      </c>
      <c r="C41" s="103" t="s">
        <v>1176</v>
      </c>
      <c r="D41" s="106">
        <v>46282</v>
      </c>
      <c r="E41" s="103" t="s">
        <v>1048</v>
      </c>
      <c r="F41" s="105" t="s">
        <v>1177</v>
      </c>
      <c r="G41" s="103" t="s">
        <v>1178</v>
      </c>
      <c r="H41" s="1"/>
      <c r="I41" s="1"/>
      <c r="J41" s="1"/>
    </row>
    <row r="42" ht="23.24853515625">
      <c r="A42" s="1"/>
      <c r="B42" s="104" t="s">
        <v>1179</v>
      </c>
      <c r="C42" s="103" t="s">
        <v>1180</v>
      </c>
      <c r="D42" s="106">
        <v>46297</v>
      </c>
      <c r="E42" s="103" t="s">
        <v>1181</v>
      </c>
      <c r="F42" s="105" t="s">
        <v>1182</v>
      </c>
      <c r="G42" s="103" t="s">
        <v>1183</v>
      </c>
      <c r="H42" s="1"/>
      <c r="I42" s="1"/>
      <c r="J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</row>
    <row r="44">
      <c r="A44" s="1"/>
      <c r="B44" s="1" t="s">
        <v>1184</v>
      </c>
      <c r="C44" s="1"/>
      <c r="D44" s="1"/>
      <c r="E44" s="1"/>
      <c r="F44" s="1"/>
      <c r="G44" s="1"/>
      <c r="H44" s="1"/>
      <c r="I44" s="1"/>
      <c r="J44" s="1"/>
    </row>
    <row r="45">
      <c r="A45" s="1"/>
      <c r="B45" s="1" t="s">
        <v>1185</v>
      </c>
      <c r="C45" s="1"/>
      <c r="D45" s="1"/>
      <c r="E45" s="1"/>
      <c r="F45" s="1"/>
      <c r="G45" s="1"/>
      <c r="H45" s="1"/>
      <c r="I45" s="1"/>
      <c r="J45" s="1"/>
    </row>
    <row r="46">
      <c r="A46" s="1"/>
      <c r="B46" s="1" t="s">
        <v>1186</v>
      </c>
      <c r="C46" s="1"/>
      <c r="D46" s="1"/>
      <c r="E46" s="1"/>
      <c r="F46" s="1"/>
      <c r="G46" s="1"/>
      <c r="H46" s="1"/>
      <c r="I46" s="1"/>
      <c r="J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</row>
  </sheetData>
</worksheet>
</file>

<file path=xl/worksheets/sheet13.xml><?xml version="1.0" encoding="utf-8"?>
<worksheet xmlns="http://schemas.openxmlformats.org/spreadsheetml/2006/main" xmlns:r="http://schemas.openxmlformats.org/officeDocument/2006/relationships">
  <dimension ref="A1:J135"/>
  <sheetViews>
    <sheetView showGridLines="0" workbookViewId="0"/>
  </sheetViews>
  <sheetFormatPr defaultColWidth="8.42578125" defaultRowHeight="15"/>
  <cols>
    <col min="1" max="1" width="2" customWidth="1"/>
    <col min="2" max="2" width="38" customWidth="1"/>
    <col min="3" max="8" width="12" customWidth="1"/>
    <col min="9" max="9" width="14" customWidth="1"/>
    <col min="10" max="10" width="7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</row>
    <row r="2">
      <c r="A2" s="1"/>
      <c r="B2" s="38" t="s">
        <v>0</v>
      </c>
      <c r="C2" s="1"/>
      <c r="D2" s="1"/>
      <c r="E2" s="1"/>
      <c r="F2" s="1"/>
      <c r="G2" s="1"/>
      <c r="H2" s="1"/>
      <c r="I2" s="1"/>
      <c r="J2" s="1"/>
    </row>
    <row r="3">
      <c r="A3" s="1"/>
      <c r="B3" s="31" t="s">
        <v>1187</v>
      </c>
      <c r="C3" s="1"/>
      <c r="D3" s="1"/>
      <c r="E3" s="1"/>
      <c r="F3" s="1"/>
      <c r="G3" s="1"/>
      <c r="H3" s="1"/>
      <c r="I3" s="1"/>
      <c r="J3" s="1"/>
    </row>
    <row r="4">
      <c r="A4" s="1"/>
      <c r="B4" s="24" t="s">
        <v>2</v>
      </c>
      <c r="C4" s="1"/>
      <c r="D4" s="1"/>
      <c r="E4" s="1"/>
      <c r="F4" s="1"/>
      <c r="G4" s="1"/>
      <c r="H4" s="1"/>
      <c r="I4" s="1"/>
      <c r="J4" s="1"/>
    </row>
    <row r="5">
      <c r="A5" s="1"/>
      <c r="B5" s="14" t="s">
        <v>1188</v>
      </c>
      <c r="C5" s="11"/>
      <c r="D5" s="11"/>
      <c r="E5" s="11"/>
      <c r="F5" s="11"/>
      <c r="G5" s="11"/>
      <c r="H5" s="11"/>
      <c r="I5" s="14"/>
      <c r="J5" s="14"/>
    </row>
    <row r="6">
      <c r="A6" s="1"/>
      <c r="B6" s="19"/>
      <c r="C6" s="13"/>
      <c r="D6" s="13"/>
      <c r="E6" s="13"/>
      <c r="F6" s="13"/>
      <c r="G6" s="13"/>
      <c r="H6" s="13"/>
      <c r="I6" s="19"/>
      <c r="J6" s="19"/>
    </row>
    <row r="7">
      <c r="A7" s="1"/>
      <c r="B7" s="28"/>
      <c r="C7" s="9"/>
      <c r="D7" s="9"/>
      <c r="E7" s="9"/>
      <c r="F7" s="9"/>
      <c r="G7" s="9"/>
      <c r="H7" s="9"/>
      <c r="I7" s="28"/>
      <c r="J7" s="28"/>
    </row>
    <row r="8">
      <c r="A8" s="1"/>
      <c r="B8" s="1"/>
      <c r="C8" s="1"/>
      <c r="D8" s="1"/>
      <c r="E8" s="1"/>
      <c r="F8" s="1"/>
      <c r="G8" s="1"/>
      <c r="H8" s="1"/>
      <c r="I8" s="1"/>
      <c r="J8" s="1"/>
    </row>
    <row r="9">
      <c r="A9" s="1"/>
      <c r="B9" s="31" t="s">
        <v>1189</v>
      </c>
      <c r="C9" s="1"/>
      <c r="D9" s="1"/>
      <c r="E9" s="1"/>
      <c r="F9" s="1"/>
      <c r="G9" s="1"/>
      <c r="H9" s="1"/>
      <c r="I9" s="1"/>
      <c r="J9" s="1"/>
    </row>
    <row r="10">
      <c r="A10" s="1"/>
      <c r="B10" s="21" t="s">
        <v>1190</v>
      </c>
      <c r="C10" s="101" t="s">
        <v>1191</v>
      </c>
      <c r="D10" s="1"/>
      <c r="E10" s="1"/>
      <c r="F10" s="1"/>
      <c r="G10" s="1"/>
      <c r="H10" s="1"/>
      <c r="I10" s="1"/>
      <c r="J10" s="1"/>
    </row>
    <row r="11">
      <c r="A11" s="1"/>
      <c r="B11" s="21" t="s">
        <v>1192</v>
      </c>
      <c r="C11" s="101" t="s">
        <v>1193</v>
      </c>
      <c r="D11" s="1"/>
      <c r="E11" s="1"/>
      <c r="F11" s="1"/>
      <c r="G11" s="1"/>
      <c r="H11" s="1"/>
      <c r="I11" s="1"/>
      <c r="J11" s="1"/>
    </row>
    <row r="12">
      <c r="A12" s="1"/>
      <c r="B12" s="21" t="s">
        <v>1194</v>
      </c>
      <c r="C12" s="101" t="s">
        <v>5</v>
      </c>
      <c r="D12" s="1"/>
      <c r="E12" s="1"/>
      <c r="F12" s="1"/>
      <c r="G12" s="1"/>
      <c r="H12" s="1"/>
      <c r="I12" s="1"/>
      <c r="J12" s="1"/>
    </row>
    <row r="13">
      <c r="A13" s="1"/>
      <c r="B13" s="21" t="s">
        <v>1195</v>
      </c>
      <c r="C13" s="101" t="s">
        <v>1196</v>
      </c>
      <c r="D13" s="1"/>
      <c r="E13" s="1"/>
      <c r="F13" s="1"/>
      <c r="G13" s="1"/>
      <c r="H13" s="1"/>
      <c r="I13" s="1"/>
      <c r="J13" s="1"/>
    </row>
    <row r="14">
      <c r="A14" s="1"/>
      <c r="B14" s="21" t="s">
        <v>1197</v>
      </c>
      <c r="C14" s="69">
        <v>46295</v>
      </c>
      <c r="D14" s="1"/>
      <c r="E14" s="1"/>
      <c r="F14" s="1"/>
      <c r="G14" s="1"/>
      <c r="H14" s="1"/>
      <c r="I14" s="1"/>
      <c r="J14" s="1"/>
    </row>
    <row r="15">
      <c r="A15" s="1"/>
      <c r="B15" s="21" t="s">
        <v>1198</v>
      </c>
      <c r="C15" s="69">
        <v>46306</v>
      </c>
      <c r="D15" s="1"/>
      <c r="E15" s="1"/>
      <c r="F15" s="1"/>
      <c r="G15" s="1"/>
      <c r="H15" s="1"/>
      <c r="I15" s="1"/>
      <c r="J15" s="1"/>
    </row>
    <row r="16">
      <c r="A16" s="1"/>
      <c r="B16" s="21" t="s">
        <v>1199</v>
      </c>
      <c r="C16" s="73">
        <v>12</v>
      </c>
      <c r="D16" s="1"/>
      <c r="E16" s="1"/>
      <c r="F16" s="1"/>
      <c r="G16" s="1"/>
      <c r="H16" s="1"/>
      <c r="I16" s="1"/>
      <c r="J16" s="1"/>
    </row>
    <row r="17">
      <c r="A17" s="1"/>
      <c r="B17" s="21" t="s">
        <v>1200</v>
      </c>
      <c r="C17" s="41">
        <v>5.94</v>
      </c>
      <c r="D17" s="1"/>
      <c r="E17" s="1"/>
      <c r="F17" s="1"/>
      <c r="G17" s="1"/>
      <c r="H17" s="1"/>
      <c r="I17" s="1"/>
      <c r="J17" s="1"/>
    </row>
    <row r="18">
      <c r="A18" s="1"/>
      <c r="B18" s="21" t="s">
        <v>1201</v>
      </c>
      <c r="C18" s="101" t="s">
        <v>1202</v>
      </c>
      <c r="D18" s="1"/>
      <c r="E18" s="1"/>
      <c r="F18" s="1"/>
      <c r="G18" s="1"/>
      <c r="H18" s="1"/>
      <c r="I18" s="1"/>
      <c r="J18" s="1"/>
    </row>
    <row r="19">
      <c r="A19" s="1"/>
      <c r="B19" s="21" t="s">
        <v>1203</v>
      </c>
      <c r="C19" s="3">
        <v>51215.7</v>
      </c>
      <c r="D19" s="1"/>
      <c r="E19" s="1"/>
      <c r="F19" s="1"/>
      <c r="G19" s="1"/>
      <c r="H19" s="1"/>
      <c r="I19" s="1"/>
      <c r="J19" s="1"/>
    </row>
    <row r="20">
      <c r="A20" s="1"/>
      <c r="B20" s="21" t="s">
        <v>1204</v>
      </c>
      <c r="C20" s="101" t="s">
        <v>1205</v>
      </c>
      <c r="D20" s="1"/>
      <c r="E20" s="1"/>
      <c r="F20" s="1"/>
      <c r="G20" s="1"/>
      <c r="H20" s="1"/>
      <c r="I20" s="1"/>
      <c r="J20" s="1"/>
    </row>
    <row r="21">
      <c r="A21" s="1"/>
      <c r="B21" s="21" t="s">
        <v>1206</v>
      </c>
      <c r="C21" s="101" t="s">
        <v>1207</v>
      </c>
      <c r="D21" s="1"/>
      <c r="E21" s="1"/>
      <c r="F21" s="1"/>
      <c r="G21" s="1"/>
      <c r="H21" s="1"/>
      <c r="I21" s="1"/>
      <c r="J21" s="1"/>
    </row>
    <row r="22">
      <c r="A22" s="1"/>
      <c r="B22" s="21" t="s">
        <v>1208</v>
      </c>
      <c r="C22" s="101" t="s">
        <v>1209</v>
      </c>
      <c r="D22" s="1"/>
      <c r="E22" s="1"/>
      <c r="F22" s="1"/>
      <c r="G22" s="1"/>
      <c r="H22" s="1"/>
      <c r="I22" s="1"/>
      <c r="J22" s="1"/>
    </row>
    <row r="23">
      <c r="A23" s="1"/>
      <c r="B23" s="21" t="s">
        <v>1210</v>
      </c>
      <c r="C23" s="101" t="s">
        <v>1211</v>
      </c>
      <c r="D23" s="1"/>
      <c r="E23" s="1"/>
      <c r="F23" s="1"/>
      <c r="G23" s="1"/>
      <c r="H23" s="1"/>
      <c r="I23" s="1"/>
      <c r="J23" s="1"/>
    </row>
    <row r="24">
      <c r="A24" s="1"/>
      <c r="B24" s="1"/>
      <c r="C24" s="1"/>
      <c r="D24" s="1"/>
      <c r="E24" s="1"/>
      <c r="F24" s="1"/>
      <c r="G24" s="1"/>
      <c r="H24" s="1"/>
      <c r="I24" s="1"/>
      <c r="J24" s="1"/>
    </row>
    <row r="25">
      <c r="A25" s="1"/>
      <c r="B25" s="31" t="s">
        <v>1212</v>
      </c>
      <c r="C25" s="1"/>
      <c r="D25" s="1"/>
      <c r="E25" s="1"/>
      <c r="F25" s="1"/>
      <c r="G25" s="1"/>
      <c r="H25" s="1"/>
      <c r="I25" s="1"/>
      <c r="J25" s="1"/>
    </row>
    <row r="26">
      <c r="A26" s="1"/>
      <c r="B26" s="21" t="s">
        <v>1192</v>
      </c>
      <c r="C26" s="101" t="s">
        <v>1193</v>
      </c>
      <c r="D26" s="1"/>
      <c r="E26" s="1"/>
      <c r="F26" s="1"/>
      <c r="G26" s="1"/>
      <c r="H26" s="1"/>
      <c r="I26" s="1"/>
      <c r="J26" s="1"/>
    </row>
    <row r="27">
      <c r="A27" s="1"/>
      <c r="B27" s="21" t="s">
        <v>1213</v>
      </c>
      <c r="C27" s="101" t="s">
        <v>5</v>
      </c>
      <c r="D27" s="1"/>
      <c r="E27" s="1"/>
      <c r="F27" s="1"/>
      <c r="G27" s="1"/>
      <c r="H27" s="1"/>
      <c r="I27" s="1"/>
      <c r="J27" s="1"/>
    </row>
    <row r="28">
      <c r="A28" s="1"/>
      <c r="B28" s="21" t="s">
        <v>1214</v>
      </c>
      <c r="C28" s="101" t="s">
        <v>1215</v>
      </c>
      <c r="D28" s="1"/>
      <c r="E28" s="1"/>
      <c r="F28" s="1"/>
      <c r="G28" s="1"/>
      <c r="H28" s="1"/>
      <c r="I28" s="1"/>
      <c r="J28" s="1"/>
    </row>
    <row r="29">
      <c r="A29" s="1"/>
      <c r="B29" s="21" t="s">
        <v>1216</v>
      </c>
      <c r="C29" s="6">
        <v>658776</v>
      </c>
      <c r="D29" s="1"/>
      <c r="E29" s="1"/>
      <c r="F29" s="1"/>
      <c r="G29" s="1"/>
      <c r="H29" s="1"/>
      <c r="I29" s="1"/>
      <c r="J29" s="1"/>
    </row>
    <row r="30">
      <c r="A30" s="1"/>
      <c r="B30" s="21" t="s">
        <v>1217</v>
      </c>
      <c r="C30" s="6" t="s">
        <v>1218</v>
      </c>
      <c r="D30" s="1"/>
      <c r="E30" s="1"/>
      <c r="F30" s="1"/>
      <c r="G30" s="1"/>
      <c r="H30" s="1"/>
      <c r="I30" s="1"/>
      <c r="J30" s="1"/>
    </row>
    <row r="31">
      <c r="A31" s="1"/>
      <c r="B31" s="21" t="s">
        <v>1219</v>
      </c>
      <c r="C31" s="1"/>
      <c r="D31" s="1"/>
      <c r="E31" s="1"/>
      <c r="F31" s="1"/>
      <c r="G31" s="1"/>
      <c r="H31" s="1"/>
      <c r="I31" s="1"/>
      <c r="J31" s="2" t="s">
        <v>1220</v>
      </c>
    </row>
    <row r="32">
      <c r="A32" s="1"/>
      <c r="B32" s="21" t="s">
        <v>1221</v>
      </c>
      <c r="C32" s="101" t="s">
        <v>1196</v>
      </c>
      <c r="D32" s="1"/>
      <c r="E32" s="1"/>
      <c r="F32" s="1"/>
      <c r="G32" s="1"/>
      <c r="H32" s="1"/>
      <c r="I32" s="1"/>
      <c r="J32" s="1"/>
    </row>
    <row r="33">
      <c r="A33" s="1"/>
      <c r="B33" s="21" t="s">
        <v>1222</v>
      </c>
      <c r="C33" s="69">
        <v>46295</v>
      </c>
      <c r="D33" s="1"/>
      <c r="E33" s="1"/>
      <c r="F33" s="1"/>
      <c r="G33" s="1"/>
      <c r="H33" s="1"/>
      <c r="I33" s="1"/>
      <c r="J33" s="1"/>
    </row>
    <row r="34">
      <c r="A34" s="1"/>
      <c r="B34" s="21" t="s">
        <v>1223</v>
      </c>
      <c r="C34" s="1"/>
      <c r="D34" s="1"/>
      <c r="E34" s="1"/>
      <c r="F34" s="1"/>
      <c r="G34" s="1"/>
      <c r="H34" s="1"/>
      <c r="I34" s="1"/>
      <c r="J34" s="2" t="s">
        <v>1220</v>
      </c>
    </row>
    <row r="35">
      <c r="A35" s="1"/>
      <c r="B35" s="21" t="s">
        <v>1224</v>
      </c>
      <c r="C35" s="101" t="s">
        <v>1225</v>
      </c>
      <c r="D35" s="1"/>
      <c r="E35" s="1"/>
      <c r="F35" s="1"/>
      <c r="G35" s="1"/>
      <c r="H35" s="1"/>
      <c r="I35" s="1"/>
      <c r="J35" s="1"/>
    </row>
    <row r="36">
      <c r="A36" s="1"/>
      <c r="B36" s="21" t="s">
        <v>1226</v>
      </c>
      <c r="C36" s="73">
        <v>26</v>
      </c>
      <c r="D36" s="1"/>
      <c r="E36" s="1"/>
      <c r="F36" s="1"/>
      <c r="G36" s="1"/>
      <c r="H36" s="1"/>
      <c r="I36" s="1"/>
      <c r="J36" s="1"/>
    </row>
    <row r="37">
      <c r="A37" s="1"/>
      <c r="B37" s="21" t="s">
        <v>1227</v>
      </c>
      <c r="C37" s="41">
        <v>5.94</v>
      </c>
      <c r="D37" s="1"/>
      <c r="E37" s="1"/>
      <c r="F37" s="1"/>
      <c r="G37" s="1"/>
      <c r="H37" s="1"/>
      <c r="I37" s="1"/>
      <c r="J37" s="1"/>
    </row>
    <row r="38">
      <c r="A38" s="1"/>
      <c r="B38" s="21" t="s">
        <v>1228</v>
      </c>
      <c r="C38" s="41">
        <v>5.95</v>
      </c>
      <c r="D38" s="1"/>
      <c r="E38" s="1"/>
      <c r="F38" s="1"/>
      <c r="G38" s="1"/>
      <c r="H38" s="1"/>
      <c r="I38" s="1"/>
      <c r="J38" s="1"/>
    </row>
    <row r="39">
      <c r="A39" s="1"/>
      <c r="B39" s="21" t="s">
        <v>1229</v>
      </c>
      <c r="C39" s="41">
        <v>6.23</v>
      </c>
      <c r="D39" s="1"/>
      <c r="E39" s="1"/>
      <c r="F39" s="1"/>
      <c r="G39" s="1"/>
      <c r="H39" s="1"/>
      <c r="I39" s="1"/>
      <c r="J39" s="1"/>
    </row>
    <row r="40">
      <c r="A40" s="1"/>
      <c r="B40" s="21" t="s">
        <v>1230</v>
      </c>
      <c r="C40" s="41">
        <v>5.59</v>
      </c>
      <c r="D40" s="1"/>
      <c r="E40" s="1"/>
      <c r="F40" s="1"/>
      <c r="G40" s="1"/>
      <c r="H40" s="1"/>
      <c r="I40" s="1"/>
      <c r="J40" s="1"/>
    </row>
    <row r="41">
      <c r="A41" s="1"/>
      <c r="B41" s="21" t="s">
        <v>1231</v>
      </c>
      <c r="C41" s="41">
        <v>0.17</v>
      </c>
      <c r="D41" s="1"/>
      <c r="E41" s="1"/>
      <c r="F41" s="1"/>
      <c r="G41" s="1"/>
      <c r="H41" s="1"/>
      <c r="I41" s="1"/>
      <c r="J41" s="1"/>
    </row>
    <row r="42">
      <c r="A42" s="1"/>
      <c r="B42" s="21" t="s">
        <v>1232</v>
      </c>
      <c r="C42" s="73">
        <v>12</v>
      </c>
      <c r="D42" s="1"/>
      <c r="E42" s="1"/>
      <c r="F42" s="1"/>
      <c r="G42" s="1"/>
      <c r="H42" s="1"/>
      <c r="I42" s="1"/>
      <c r="J42" s="1"/>
    </row>
    <row r="43">
      <c r="A43" s="1"/>
      <c r="B43" s="21" t="s">
        <v>1233</v>
      </c>
      <c r="C43" s="1"/>
      <c r="D43" s="1"/>
      <c r="E43" s="1"/>
      <c r="F43" s="1"/>
      <c r="G43" s="1"/>
      <c r="H43" s="1"/>
      <c r="I43" s="1"/>
      <c r="J43" s="2" t="s">
        <v>1220</v>
      </c>
    </row>
    <row r="44">
      <c r="A44" s="1"/>
      <c r="B44" s="21" t="s">
        <v>1234</v>
      </c>
      <c r="C44" s="1"/>
      <c r="D44" s="1"/>
      <c r="E44" s="1"/>
      <c r="F44" s="1"/>
      <c r="G44" s="1"/>
      <c r="H44" s="1"/>
      <c r="I44" s="1"/>
      <c r="J44" s="2" t="s">
        <v>1220</v>
      </c>
    </row>
    <row r="45">
      <c r="A45" s="1"/>
      <c r="B45" s="21" t="s">
        <v>1235</v>
      </c>
      <c r="C45" s="1"/>
      <c r="D45" s="1"/>
      <c r="E45" s="1"/>
      <c r="F45" s="1"/>
      <c r="G45" s="1"/>
      <c r="H45" s="1"/>
      <c r="I45" s="1"/>
      <c r="J45" s="2" t="s">
        <v>1220</v>
      </c>
    </row>
    <row r="46">
      <c r="A46" s="1"/>
      <c r="B46" s="21" t="s">
        <v>1236</v>
      </c>
      <c r="C46" s="41">
        <v>5.91</v>
      </c>
      <c r="D46" s="1"/>
      <c r="E46" s="1"/>
      <c r="F46" s="1"/>
      <c r="G46" s="1"/>
      <c r="H46" s="1"/>
      <c r="I46" s="1"/>
      <c r="J46" s="1"/>
    </row>
    <row r="47">
      <c r="A47" s="1"/>
      <c r="B47" s="21" t="s">
        <v>1237</v>
      </c>
      <c r="C47" s="41">
        <v>5.91</v>
      </c>
      <c r="D47" s="1"/>
      <c r="E47" s="1"/>
      <c r="F47" s="1"/>
      <c r="G47" s="1"/>
      <c r="H47" s="1"/>
      <c r="I47" s="1"/>
      <c r="J47" s="1"/>
    </row>
    <row r="48">
      <c r="A48" s="1"/>
      <c r="B48" s="21" t="s">
        <v>1238</v>
      </c>
      <c r="C48" s="41">
        <v>6.17</v>
      </c>
      <c r="D48" s="1"/>
      <c r="E48" s="1"/>
      <c r="F48" s="1"/>
      <c r="G48" s="1"/>
      <c r="H48" s="1"/>
      <c r="I48" s="1"/>
      <c r="J48" s="1"/>
    </row>
    <row r="49">
      <c r="A49" s="1"/>
      <c r="B49" s="21" t="s">
        <v>1239</v>
      </c>
      <c r="C49" s="41">
        <v>5.59</v>
      </c>
      <c r="D49" s="1"/>
      <c r="E49" s="1"/>
      <c r="F49" s="1"/>
      <c r="G49" s="1"/>
      <c r="H49" s="1"/>
      <c r="I49" s="1"/>
      <c r="J49" s="1"/>
    </row>
    <row r="50">
      <c r="A50" s="1"/>
      <c r="B50" s="21" t="s">
        <v>1240</v>
      </c>
      <c r="C50" s="41">
        <v>0.15</v>
      </c>
      <c r="D50" s="1"/>
      <c r="E50" s="1"/>
      <c r="F50" s="1"/>
      <c r="G50" s="1"/>
      <c r="H50" s="1"/>
      <c r="I50" s="1"/>
      <c r="J50" s="1"/>
    </row>
    <row r="51">
      <c r="A51" s="1"/>
      <c r="B51" s="21" t="s">
        <v>1241</v>
      </c>
      <c r="C51" s="73">
        <v>15</v>
      </c>
      <c r="D51" s="1"/>
      <c r="E51" s="1"/>
      <c r="F51" s="1"/>
      <c r="G51" s="1"/>
      <c r="H51" s="1"/>
      <c r="I51" s="1"/>
      <c r="J51" s="1"/>
    </row>
    <row r="52">
      <c r="A52" s="1"/>
      <c r="B52" s="21" t="s">
        <v>1242</v>
      </c>
      <c r="C52" s="1"/>
      <c r="D52" s="1"/>
      <c r="E52" s="1"/>
      <c r="F52" s="1"/>
      <c r="G52" s="1"/>
      <c r="H52" s="1"/>
      <c r="I52" s="1"/>
      <c r="J52" s="2" t="s">
        <v>1220</v>
      </c>
    </row>
    <row r="53">
      <c r="A53" s="1"/>
      <c r="B53" s="21" t="s">
        <v>1243</v>
      </c>
      <c r="C53" s="3">
        <v>51215.7</v>
      </c>
      <c r="D53" s="1"/>
      <c r="E53" s="1"/>
      <c r="F53" s="1"/>
      <c r="G53" s="1"/>
      <c r="H53" s="1"/>
      <c r="I53" s="1"/>
      <c r="J53" s="1"/>
    </row>
    <row r="54">
      <c r="A54" s="1"/>
      <c r="B54" s="21" t="s">
        <v>1244</v>
      </c>
      <c r="C54" s="3">
        <v>51207.28</v>
      </c>
      <c r="D54" s="1"/>
      <c r="E54" s="1"/>
      <c r="F54" s="1"/>
      <c r="G54" s="1"/>
      <c r="H54" s="1"/>
      <c r="I54" s="1"/>
      <c r="J54" s="1"/>
    </row>
    <row r="55">
      <c r="A55" s="1"/>
      <c r="B55" s="21" t="s">
        <v>1245</v>
      </c>
      <c r="C55" s="3">
        <v>52491.45</v>
      </c>
      <c r="D55" s="1"/>
      <c r="E55" s="1"/>
      <c r="F55" s="1"/>
      <c r="G55" s="1"/>
      <c r="H55" s="1"/>
      <c r="I55" s="1"/>
      <c r="J55" s="1"/>
    </row>
    <row r="56">
      <c r="A56" s="1"/>
      <c r="B56" s="21" t="s">
        <v>1246</v>
      </c>
      <c r="C56" s="3">
        <v>50338</v>
      </c>
      <c r="D56" s="1"/>
      <c r="E56" s="1"/>
      <c r="F56" s="1"/>
      <c r="G56" s="1"/>
      <c r="H56" s="1"/>
      <c r="I56" s="1"/>
      <c r="J56" s="1"/>
    </row>
    <row r="57">
      <c r="A57" s="1"/>
      <c r="B57" s="21" t="s">
        <v>1247</v>
      </c>
      <c r="C57" s="3">
        <v>535.13</v>
      </c>
      <c r="D57" s="1"/>
      <c r="E57" s="1"/>
      <c r="F57" s="1"/>
      <c r="G57" s="1"/>
      <c r="H57" s="1"/>
      <c r="I57" s="1"/>
      <c r="J57" s="1"/>
    </row>
    <row r="58">
      <c r="A58" s="1"/>
      <c r="B58" s="21" t="s">
        <v>1248</v>
      </c>
      <c r="C58" s="73">
        <v>11</v>
      </c>
      <c r="D58" s="1"/>
      <c r="E58" s="1"/>
      <c r="F58" s="1"/>
      <c r="G58" s="1"/>
      <c r="H58" s="1"/>
      <c r="I58" s="1"/>
      <c r="J58" s="1"/>
    </row>
    <row r="59">
      <c r="A59" s="1"/>
      <c r="B59" s="21" t="s">
        <v>1249</v>
      </c>
      <c r="C59" s="1"/>
      <c r="D59" s="1"/>
      <c r="E59" s="1"/>
      <c r="F59" s="1"/>
      <c r="G59" s="1"/>
      <c r="H59" s="1"/>
      <c r="I59" s="1"/>
      <c r="J59" s="2" t="s">
        <v>1220</v>
      </c>
    </row>
    <row r="60">
      <c r="A60" s="1"/>
      <c r="B60" s="21" t="s">
        <v>1250</v>
      </c>
      <c r="C60" s="1"/>
      <c r="D60" s="1"/>
      <c r="E60" s="1"/>
      <c r="F60" s="1"/>
      <c r="G60" s="1"/>
      <c r="H60" s="1"/>
      <c r="I60" s="1"/>
      <c r="J60" s="2" t="s">
        <v>1220</v>
      </c>
    </row>
    <row r="61">
      <c r="A61" s="1"/>
      <c r="B61" s="21" t="s">
        <v>1251</v>
      </c>
      <c r="C61" s="1"/>
      <c r="D61" s="1"/>
      <c r="E61" s="1"/>
      <c r="F61" s="1"/>
      <c r="G61" s="1"/>
      <c r="H61" s="1"/>
      <c r="I61" s="1"/>
      <c r="J61" s="2" t="s">
        <v>1220</v>
      </c>
    </row>
    <row r="62">
      <c r="A62" s="1"/>
      <c r="B62" s="21" t="s">
        <v>1252</v>
      </c>
      <c r="C62" s="1"/>
      <c r="D62" s="1"/>
      <c r="E62" s="1"/>
      <c r="F62" s="1"/>
      <c r="G62" s="1"/>
      <c r="H62" s="1"/>
      <c r="I62" s="1"/>
      <c r="J62" s="2" t="s">
        <v>1220</v>
      </c>
    </row>
    <row r="63">
      <c r="A63" s="1"/>
      <c r="B63" s="21" t="s">
        <v>1253</v>
      </c>
      <c r="C63" s="3">
        <v>24082.29</v>
      </c>
      <c r="D63" s="1"/>
      <c r="E63" s="1"/>
      <c r="F63" s="1"/>
      <c r="G63" s="1"/>
      <c r="H63" s="1"/>
      <c r="I63" s="1"/>
      <c r="J63" s="1"/>
    </row>
    <row r="64">
      <c r="A64" s="1"/>
      <c r="B64" s="21" t="s">
        <v>1254</v>
      </c>
      <c r="C64" s="3">
        <v>21148.02</v>
      </c>
      <c r="D64" s="1"/>
      <c r="E64" s="1"/>
      <c r="F64" s="1"/>
      <c r="G64" s="1"/>
      <c r="H64" s="1"/>
      <c r="I64" s="1"/>
      <c r="J64" s="1"/>
    </row>
    <row r="65">
      <c r="A65" s="1"/>
      <c r="B65" s="21" t="s">
        <v>1255</v>
      </c>
      <c r="C65" s="3">
        <v>21139.75</v>
      </c>
      <c r="D65" s="1"/>
      <c r="E65" s="1"/>
      <c r="F65" s="1"/>
      <c r="G65" s="1"/>
      <c r="H65" s="1"/>
      <c r="I65" s="1"/>
      <c r="J65" s="1"/>
    </row>
    <row r="66">
      <c r="A66" s="1"/>
      <c r="B66" s="21" t="s">
        <v>1256</v>
      </c>
      <c r="C66" s="3">
        <v>15866.6</v>
      </c>
      <c r="D66" s="1"/>
      <c r="E66" s="1"/>
      <c r="F66" s="1"/>
      <c r="G66" s="1"/>
      <c r="H66" s="1"/>
      <c r="I66" s="1"/>
      <c r="J66" s="1"/>
    </row>
    <row r="67">
      <c r="A67" s="1"/>
      <c r="B67" s="21" t="s">
        <v>1257</v>
      </c>
      <c r="C67" s="3">
        <v>15801.23</v>
      </c>
      <c r="D67" s="1"/>
      <c r="E67" s="1"/>
      <c r="F67" s="1"/>
      <c r="G67" s="1"/>
      <c r="H67" s="1"/>
      <c r="I67" s="1"/>
      <c r="J67" s="1"/>
    </row>
    <row r="68">
      <c r="A68" s="1"/>
      <c r="B68" s="21" t="s">
        <v>1258</v>
      </c>
      <c r="C68" s="3">
        <v>2.48</v>
      </c>
      <c r="D68" s="1"/>
      <c r="E68" s="1"/>
      <c r="F68" s="1"/>
      <c r="G68" s="1"/>
      <c r="H68" s="1"/>
      <c r="I68" s="1"/>
      <c r="J68" s="2" t="s">
        <v>1259</v>
      </c>
    </row>
    <row r="69">
      <c r="A69" s="1"/>
      <c r="B69" s="21" t="s">
        <v>1260</v>
      </c>
      <c r="C69" s="3">
        <v>22.91</v>
      </c>
      <c r="D69" s="1"/>
      <c r="E69" s="1"/>
      <c r="F69" s="1"/>
      <c r="G69" s="1"/>
      <c r="H69" s="1"/>
      <c r="I69" s="1"/>
      <c r="J69" s="2" t="s">
        <v>1259</v>
      </c>
    </row>
    <row r="70">
      <c r="A70" s="1"/>
      <c r="B70" s="21" t="s">
        <v>1261</v>
      </c>
      <c r="C70" s="1"/>
      <c r="D70" s="1"/>
      <c r="E70" s="1"/>
      <c r="F70" s="1"/>
      <c r="G70" s="1"/>
      <c r="H70" s="1"/>
      <c r="I70" s="1"/>
      <c r="J70" s="2" t="s">
        <v>1220</v>
      </c>
    </row>
    <row r="71">
      <c r="A71" s="1"/>
      <c r="B71" s="21" t="s">
        <v>1262</v>
      </c>
      <c r="C71" s="1"/>
      <c r="D71" s="1"/>
      <c r="E71" s="1"/>
      <c r="F71" s="1"/>
      <c r="G71" s="1"/>
      <c r="H71" s="1"/>
      <c r="I71" s="1"/>
      <c r="J71" s="2" t="s">
        <v>1220</v>
      </c>
    </row>
    <row r="72">
      <c r="A72" s="1"/>
      <c r="B72" s="21" t="s">
        <v>1263</v>
      </c>
      <c r="C72" s="1"/>
      <c r="D72" s="1"/>
      <c r="E72" s="1"/>
      <c r="F72" s="1"/>
      <c r="G72" s="1"/>
      <c r="H72" s="1"/>
      <c r="I72" s="1"/>
      <c r="J72" s="2" t="s">
        <v>1220</v>
      </c>
    </row>
    <row r="73">
      <c r="A73" s="1"/>
      <c r="B73" s="21" t="s">
        <v>1264</v>
      </c>
      <c r="C73" s="1"/>
      <c r="D73" s="1"/>
      <c r="E73" s="1"/>
      <c r="F73" s="1"/>
      <c r="G73" s="1"/>
      <c r="H73" s="1"/>
      <c r="I73" s="1"/>
      <c r="J73" s="2" t="s">
        <v>1220</v>
      </c>
    </row>
    <row r="74">
      <c r="A74" s="1"/>
      <c r="B74" s="21" t="s">
        <v>1265</v>
      </c>
      <c r="C74" s="1"/>
      <c r="D74" s="1"/>
      <c r="E74" s="1"/>
      <c r="F74" s="1"/>
      <c r="G74" s="1"/>
      <c r="H74" s="1"/>
      <c r="I74" s="1"/>
      <c r="J74" s="2" t="s">
        <v>1220</v>
      </c>
    </row>
    <row r="75">
      <c r="A75" s="1"/>
      <c r="B75" s="21" t="s">
        <v>1266</v>
      </c>
      <c r="C75" s="1"/>
      <c r="D75" s="1"/>
      <c r="E75" s="1"/>
      <c r="F75" s="1"/>
      <c r="G75" s="1"/>
      <c r="H75" s="1"/>
      <c r="I75" s="1"/>
      <c r="J75" s="2" t="s">
        <v>1220</v>
      </c>
    </row>
    <row r="76">
      <c r="A76" s="1"/>
      <c r="B76" s="21" t="s">
        <v>1267</v>
      </c>
      <c r="C76" s="1"/>
      <c r="D76" s="1"/>
      <c r="E76" s="1"/>
      <c r="F76" s="1"/>
      <c r="G76" s="1"/>
      <c r="H76" s="1"/>
      <c r="I76" s="1"/>
      <c r="J76" s="2" t="s">
        <v>1220</v>
      </c>
    </row>
    <row r="77">
      <c r="A77" s="1"/>
      <c r="B77" s="21" t="s">
        <v>1268</v>
      </c>
      <c r="C77" s="1"/>
      <c r="D77" s="1"/>
      <c r="E77" s="1"/>
      <c r="F77" s="1"/>
      <c r="G77" s="1"/>
      <c r="H77" s="1"/>
      <c r="I77" s="1"/>
      <c r="J77" s="2" t="s">
        <v>1220</v>
      </c>
    </row>
    <row r="78">
      <c r="A78" s="1"/>
      <c r="B78" s="21" t="s">
        <v>1269</v>
      </c>
      <c r="C78" s="1"/>
      <c r="D78" s="1"/>
      <c r="E78" s="1"/>
      <c r="F78" s="1"/>
      <c r="G78" s="1"/>
      <c r="H78" s="1"/>
      <c r="I78" s="1"/>
      <c r="J78" s="2" t="s">
        <v>1220</v>
      </c>
    </row>
    <row r="79">
      <c r="A79" s="1"/>
      <c r="B79" s="21" t="s">
        <v>1270</v>
      </c>
      <c r="C79" s="3">
        <v>304881.8</v>
      </c>
      <c r="D79" s="1"/>
      <c r="E79" s="1"/>
      <c r="F79" s="1"/>
      <c r="G79" s="1"/>
      <c r="H79" s="1"/>
      <c r="I79" s="1"/>
      <c r="J79" s="1"/>
    </row>
    <row r="80">
      <c r="A80" s="1"/>
      <c r="B80" s="21" t="s">
        <v>1271</v>
      </c>
      <c r="C80" s="1"/>
      <c r="D80" s="1"/>
      <c r="E80" s="1"/>
      <c r="F80" s="1"/>
      <c r="G80" s="1"/>
      <c r="H80" s="1"/>
      <c r="I80" s="1"/>
      <c r="J80" s="2" t="s">
        <v>1220</v>
      </c>
    </row>
    <row r="81">
      <c r="A81" s="1"/>
      <c r="B81" s="21" t="s">
        <v>1272</v>
      </c>
      <c r="C81" s="3">
        <v>18.26</v>
      </c>
      <c r="D81" s="1"/>
      <c r="E81" s="1"/>
      <c r="F81" s="1"/>
      <c r="G81" s="1"/>
      <c r="H81" s="1"/>
      <c r="I81" s="1"/>
      <c r="J81" s="2" t="s">
        <v>1259</v>
      </c>
    </row>
    <row r="82">
      <c r="A82" s="1"/>
      <c r="B82" s="21" t="s">
        <v>1273</v>
      </c>
      <c r="C82" s="41">
        <v>372.14</v>
      </c>
      <c r="D82" s="1"/>
      <c r="E82" s="1"/>
      <c r="F82" s="1"/>
      <c r="G82" s="1"/>
      <c r="H82" s="1"/>
      <c r="I82" s="1"/>
      <c r="J82" s="2" t="s">
        <v>1274</v>
      </c>
    </row>
    <row r="83">
      <c r="A83" s="1"/>
      <c r="B83" s="21" t="s">
        <v>1275</v>
      </c>
      <c r="C83" s="41">
        <v>371</v>
      </c>
      <c r="D83" s="1"/>
      <c r="E83" s="1"/>
      <c r="F83" s="1"/>
      <c r="G83" s="1"/>
      <c r="H83" s="1"/>
      <c r="I83" s="1"/>
      <c r="J83" s="2" t="s">
        <v>1274</v>
      </c>
    </row>
    <row r="84">
      <c r="A84" s="1"/>
      <c r="B84" s="21" t="s">
        <v>1276</v>
      </c>
      <c r="C84" s="41">
        <v>420</v>
      </c>
      <c r="D84" s="1"/>
      <c r="E84" s="1"/>
      <c r="F84" s="1"/>
      <c r="G84" s="1"/>
      <c r="H84" s="1"/>
      <c r="I84" s="1"/>
      <c r="J84" s="2" t="s">
        <v>1274</v>
      </c>
    </row>
    <row r="85">
      <c r="A85" s="1"/>
      <c r="B85" s="21" t="s">
        <v>1277</v>
      </c>
      <c r="C85" s="41">
        <v>305</v>
      </c>
      <c r="D85" s="1"/>
      <c r="E85" s="1"/>
      <c r="F85" s="1"/>
      <c r="G85" s="1"/>
      <c r="H85" s="1"/>
      <c r="I85" s="1"/>
      <c r="J85" s="2" t="s">
        <v>1274</v>
      </c>
    </row>
    <row r="86">
      <c r="A86" s="1"/>
      <c r="B86" s="21" t="s">
        <v>1278</v>
      </c>
      <c r="C86" s="41">
        <v>23.5</v>
      </c>
      <c r="D86" s="1"/>
      <c r="E86" s="1"/>
      <c r="F86" s="1"/>
      <c r="G86" s="1"/>
      <c r="H86" s="1"/>
      <c r="I86" s="1"/>
      <c r="J86" s="2" t="s">
        <v>1274</v>
      </c>
    </row>
    <row r="87">
      <c r="A87" s="1"/>
      <c r="B87" s="21" t="s">
        <v>1279</v>
      </c>
      <c r="C87" s="73">
        <v>22</v>
      </c>
      <c r="D87" s="1"/>
      <c r="E87" s="1"/>
      <c r="F87" s="1"/>
      <c r="G87" s="1"/>
      <c r="H87" s="1"/>
      <c r="I87" s="1"/>
      <c r="J87" s="2" t="s">
        <v>1274</v>
      </c>
    </row>
    <row r="88">
      <c r="A88" s="1"/>
      <c r="B88" s="21" t="s">
        <v>1280</v>
      </c>
      <c r="C88" s="101" t="s">
        <v>1281</v>
      </c>
      <c r="D88" s="1"/>
      <c r="E88" s="1"/>
      <c r="F88" s="1"/>
      <c r="G88" s="1"/>
      <c r="H88" s="1"/>
      <c r="I88" s="1"/>
      <c r="J88" s="1"/>
    </row>
    <row r="89">
      <c r="A89" s="1"/>
      <c r="B89" s="21" t="s">
        <v>1282</v>
      </c>
      <c r="C89" s="3">
        <v>2.12</v>
      </c>
      <c r="D89" s="1"/>
      <c r="E89" s="1"/>
      <c r="F89" s="1"/>
      <c r="G89" s="1"/>
      <c r="H89" s="1"/>
      <c r="I89" s="1"/>
      <c r="J89" s="1"/>
    </row>
    <row r="90">
      <c r="A90" s="1"/>
      <c r="B90" s="21" t="s">
        <v>1283</v>
      </c>
      <c r="C90" s="41">
        <v>332.99</v>
      </c>
      <c r="D90" s="1"/>
      <c r="E90" s="1"/>
      <c r="F90" s="1"/>
      <c r="G90" s="1"/>
      <c r="H90" s="1"/>
      <c r="I90" s="1"/>
      <c r="J90" s="1"/>
    </row>
    <row r="91">
      <c r="A91" s="1"/>
      <c r="B91" s="21" t="s">
        <v>1284</v>
      </c>
      <c r="C91" s="101" t="s">
        <v>1285</v>
      </c>
      <c r="D91" s="1"/>
      <c r="E91" s="1"/>
      <c r="F91" s="1"/>
      <c r="G91" s="1"/>
      <c r="H91" s="1"/>
      <c r="I91" s="1"/>
      <c r="J91" s="1"/>
    </row>
    <row r="92">
      <c r="A92" s="1"/>
      <c r="B92" s="21" t="s">
        <v>1204</v>
      </c>
      <c r="C92" s="101" t="s">
        <v>1205</v>
      </c>
      <c r="D92" s="1"/>
      <c r="E92" s="1"/>
      <c r="F92" s="1"/>
      <c r="G92" s="1"/>
      <c r="H92" s="1"/>
      <c r="I92" s="1"/>
      <c r="J92" s="1"/>
    </row>
    <row r="93">
      <c r="A93" s="1"/>
      <c r="B93" s="21" t="s">
        <v>1286</v>
      </c>
      <c r="C93" s="101" t="s">
        <v>1211</v>
      </c>
      <c r="D93" s="1"/>
      <c r="E93" s="1"/>
      <c r="F93" s="1"/>
      <c r="G93" s="1"/>
      <c r="H93" s="1"/>
      <c r="I93" s="1"/>
      <c r="J93" s="1"/>
    </row>
    <row r="94">
      <c r="A94" s="1"/>
      <c r="B94" s="21" t="s">
        <v>1287</v>
      </c>
      <c r="C94" s="69">
        <v>46306</v>
      </c>
      <c r="D94" s="1"/>
      <c r="E94" s="1"/>
      <c r="F94" s="1"/>
      <c r="G94" s="1"/>
      <c r="H94" s="1"/>
      <c r="I94" s="1"/>
      <c r="J94" s="1"/>
    </row>
    <row r="95">
      <c r="A95" s="1"/>
      <c r="B95" s="21" t="s">
        <v>1288</v>
      </c>
      <c r="C95" s="101" t="s">
        <v>1289</v>
      </c>
      <c r="D95" s="1"/>
      <c r="E95" s="1"/>
      <c r="F95" s="1"/>
      <c r="G95" s="1"/>
      <c r="H95" s="1"/>
      <c r="I95" s="1"/>
      <c r="J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</row>
    <row r="97">
      <c r="A97" s="1"/>
      <c r="B97" s="31" t="s">
        <v>1290</v>
      </c>
      <c r="C97" s="1"/>
      <c r="D97" s="1"/>
      <c r="E97" s="1"/>
      <c r="F97" s="1"/>
      <c r="G97" s="1"/>
      <c r="H97" s="1"/>
      <c r="I97" s="1"/>
      <c r="J97" s="1"/>
    </row>
    <row r="98" ht="39">
      <c r="A98" s="1"/>
      <c r="B98" s="107" t="s">
        <v>1197</v>
      </c>
      <c r="C98" s="18" t="s">
        <v>1291</v>
      </c>
      <c r="D98" s="120" t="s">
        <v>1292</v>
      </c>
      <c r="E98" s="120" t="s">
        <v>1293</v>
      </c>
      <c r="F98" s="120" t="s">
        <v>1294</v>
      </c>
      <c r="G98" s="120" t="s">
        <v>1295</v>
      </c>
      <c r="H98" s="120" t="s">
        <v>1296</v>
      </c>
      <c r="I98" s="120" t="s">
        <v>1297</v>
      </c>
      <c r="J98" s="1"/>
    </row>
    <row r="99">
      <c r="A99" s="1"/>
      <c r="B99" s="69">
        <v>45747</v>
      </c>
      <c r="C99" s="69">
        <v>45758</v>
      </c>
      <c r="D99" s="41">
        <v>4.64</v>
      </c>
      <c r="E99" s="41">
        <v>5.07</v>
      </c>
      <c r="F99" s="41">
        <v>4.64</v>
      </c>
      <c r="G99" s="41">
        <v>5.07</v>
      </c>
      <c r="H99" s="3">
        <v>44102.06</v>
      </c>
      <c r="I99" s="3">
        <v>45310</v>
      </c>
      <c r="J99" s="1"/>
    </row>
    <row r="100">
      <c r="A100" s="1"/>
      <c r="B100" s="69">
        <v>45838</v>
      </c>
      <c r="C100" s="69">
        <v>45853</v>
      </c>
      <c r="D100" s="41">
        <v>4.48</v>
      </c>
      <c r="E100" s="41">
        <v>4.96</v>
      </c>
      <c r="F100" s="41">
        <v>4.48</v>
      </c>
      <c r="G100" s="41">
        <v>5.24</v>
      </c>
      <c r="H100" s="3">
        <v>43977.72</v>
      </c>
      <c r="I100" s="3">
        <v>44912</v>
      </c>
      <c r="J100" s="1"/>
    </row>
    <row r="101">
      <c r="A101" s="1"/>
      <c r="B101" s="69">
        <v>45930</v>
      </c>
      <c r="C101" s="69">
        <v>45944</v>
      </c>
      <c r="D101" s="41">
        <v>4.87</v>
      </c>
      <c r="E101" s="41">
        <v>5.07</v>
      </c>
      <c r="F101" s="41">
        <v>4.81</v>
      </c>
      <c r="G101" s="41">
        <v>5.07</v>
      </c>
      <c r="H101" s="3">
        <v>45574.68</v>
      </c>
      <c r="I101" s="3">
        <v>46427</v>
      </c>
      <c r="J101" s="1"/>
    </row>
    <row r="102">
      <c r="A102" s="1"/>
      <c r="B102" s="69">
        <v>46022</v>
      </c>
      <c r="C102" s="69">
        <v>46035</v>
      </c>
      <c r="D102" s="41">
        <v>4.82</v>
      </c>
      <c r="E102" s="41">
        <v>4.63</v>
      </c>
      <c r="F102" s="41">
        <v>4.88</v>
      </c>
      <c r="G102" s="41">
        <v>4.63</v>
      </c>
      <c r="H102" s="3">
        <v>46245.49</v>
      </c>
      <c r="I102" s="3">
        <v>45798</v>
      </c>
      <c r="J102" s="1"/>
    </row>
    <row r="103">
      <c r="A103" s="1"/>
      <c r="B103" s="69">
        <v>46112</v>
      </c>
      <c r="C103" s="69">
        <v>46126</v>
      </c>
      <c r="D103" s="41">
        <v>5.51</v>
      </c>
      <c r="E103" s="41">
        <v>5.94</v>
      </c>
      <c r="F103" s="41">
        <v>5.46</v>
      </c>
      <c r="G103" s="41">
        <v>5.94</v>
      </c>
      <c r="H103" s="3">
        <v>48933.46</v>
      </c>
      <c r="I103" s="3">
        <v>49836</v>
      </c>
      <c r="J103" s="1"/>
    </row>
    <row r="104">
      <c r="A104" s="1"/>
      <c r="B104" s="69">
        <v>46203</v>
      </c>
      <c r="C104" s="69">
        <v>46217</v>
      </c>
      <c r="D104" s="41">
        <v>5.8</v>
      </c>
      <c r="E104" s="41">
        <v>6.14</v>
      </c>
      <c r="F104" s="41">
        <v>5.85</v>
      </c>
      <c r="G104" s="41">
        <v>7.7</v>
      </c>
      <c r="H104" s="3">
        <v>51303.57</v>
      </c>
      <c r="I104" s="3">
        <v>57347</v>
      </c>
      <c r="J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>
      <c r="A106" s="1"/>
      <c r="B106" s="31" t="s">
        <v>1298</v>
      </c>
      <c r="C106" s="1"/>
      <c r="D106" s="1"/>
      <c r="E106" s="1"/>
      <c r="F106" s="1"/>
      <c r="G106" s="1"/>
      <c r="H106" s="1"/>
      <c r="I106" s="1"/>
      <c r="J106" s="1"/>
    </row>
    <row r="107">
      <c r="A107" s="1"/>
      <c r="B107" s="107" t="s">
        <v>94</v>
      </c>
      <c r="C107" s="18" t="s">
        <v>1299</v>
      </c>
      <c r="D107" s="18" t="s">
        <v>1300</v>
      </c>
      <c r="E107" s="18" t="s">
        <v>1301</v>
      </c>
      <c r="F107" s="18" t="s">
        <v>1302</v>
      </c>
      <c r="G107" s="18" t="s">
        <v>1303</v>
      </c>
      <c r="H107" s="1"/>
      <c r="I107" s="1"/>
      <c r="J107" s="1"/>
    </row>
    <row r="108">
      <c r="A108" s="1"/>
      <c r="B108" s="102">
        <f>B99</f>
        <v>45747</v>
      </c>
      <c r="C108" s="40">
        <f>E99-D99</f>
        <v>0.4300000000000006</v>
      </c>
      <c r="D108" s="25">
        <f>IF(E99&gt;D99,1,0)</f>
        <v>1</v>
      </c>
      <c r="E108" s="12">
        <f>C108/D99</f>
        <v>0.09267241379310358</v>
      </c>
      <c r="F108" s="10">
        <f>I99-H99</f>
        <v>1207.9400000000023</v>
      </c>
      <c r="G108" s="40">
        <f>G99-F99</f>
        <v>0.4300000000000006</v>
      </c>
      <c r="H108" s="1"/>
      <c r="I108" s="1"/>
      <c r="J108" s="1"/>
    </row>
    <row r="109">
      <c r="A109" s="1"/>
      <c r="B109" s="102">
        <f>B100</f>
        <v>45838</v>
      </c>
      <c r="C109" s="40">
        <f>E100-D100</f>
        <v>0.47999999999999954</v>
      </c>
      <c r="D109" s="25">
        <f>IF(E100&gt;D100,1,0)</f>
        <v>1</v>
      </c>
      <c r="E109" s="12">
        <f>C109/D100</f>
        <v>0.10714285714285703</v>
      </c>
      <c r="F109" s="10">
        <f>I100-H100</f>
        <v>934.2799999999988</v>
      </c>
      <c r="G109" s="40">
        <f>G100-F100</f>
        <v>0.7599999999999998</v>
      </c>
      <c r="H109" s="1"/>
      <c r="I109" s="1"/>
      <c r="J109" s="1"/>
    </row>
    <row r="110">
      <c r="A110" s="1"/>
      <c r="B110" s="102">
        <f>B101</f>
        <v>45930</v>
      </c>
      <c r="C110" s="40">
        <f>E101-D101</f>
        <v>0.20000000000000018</v>
      </c>
      <c r="D110" s="25">
        <f>IF(E101&gt;D101,1,0)</f>
        <v>1</v>
      </c>
      <c r="E110" s="12">
        <f>C110/D101</f>
        <v>0.04106776180698155</v>
      </c>
      <c r="F110" s="10">
        <f>I101-H101</f>
        <v>852.3199999999997</v>
      </c>
      <c r="G110" s="40">
        <f>G101-F101</f>
        <v>0.2600000000000007</v>
      </c>
      <c r="H110" s="1"/>
      <c r="I110" s="1"/>
      <c r="J110" s="1"/>
    </row>
    <row r="111">
      <c r="A111" s="1"/>
      <c r="B111" s="102">
        <f>B102</f>
        <v>46022</v>
      </c>
      <c r="C111" s="40">
        <f>E102-D102</f>
        <v>-0.1900000000000004</v>
      </c>
      <c r="D111" s="25">
        <f>IF(E102&gt;D102,1,0)</f>
        <v>0</v>
      </c>
      <c r="E111" s="12">
        <f>C111/D102</f>
        <v>-0.03941908713692954</v>
      </c>
      <c r="F111" s="10">
        <f>I102-H102</f>
        <v>-447.48999999999796</v>
      </c>
      <c r="G111" s="40">
        <f>G102-F102</f>
        <v>-0.25</v>
      </c>
      <c r="H111" s="1"/>
      <c r="I111" s="1"/>
      <c r="J111" s="1"/>
    </row>
    <row r="112">
      <c r="A112" s="1"/>
      <c r="B112" s="102">
        <f>B103</f>
        <v>46112</v>
      </c>
      <c r="C112" s="40">
        <f>E103-D103</f>
        <v>0.4300000000000006</v>
      </c>
      <c r="D112" s="25">
        <f>IF(E103&gt;D103,1,0)</f>
        <v>1</v>
      </c>
      <c r="E112" s="12">
        <f>C112/D103</f>
        <v>0.07803992740471881</v>
      </c>
      <c r="F112" s="10">
        <f>I103-H103</f>
        <v>902.5400000000009</v>
      </c>
      <c r="G112" s="40">
        <f>G103-F103</f>
        <v>0.4800000000000004</v>
      </c>
      <c r="H112" s="1"/>
      <c r="I112" s="1"/>
      <c r="J112" s="1"/>
    </row>
    <row r="113">
      <c r="A113" s="1"/>
      <c r="B113" s="102">
        <f>B104</f>
        <v>46203</v>
      </c>
      <c r="C113" s="40">
        <f>E104-D104</f>
        <v>0.33999999999999986</v>
      </c>
      <c r="D113" s="25">
        <f>IF(E104&gt;D104,1,0)</f>
        <v>1</v>
      </c>
      <c r="E113" s="12">
        <f>C113/D104</f>
        <v>0.05862068965517239</v>
      </c>
      <c r="F113" s="10">
        <f>I104-H104</f>
        <v>6043.43</v>
      </c>
      <c r="G113" s="40">
        <f>G104-F104</f>
        <v>1.8500000000000005</v>
      </c>
      <c r="H113" s="1"/>
      <c r="I113" s="1"/>
      <c r="J113" s="1"/>
    </row>
    <row r="114">
      <c r="A114" s="1"/>
      <c r="B114" s="31" t="s">
        <v>1304</v>
      </c>
      <c r="C114" s="77">
        <f>AVERAGE(C108:C113)</f>
        <v>0.28166666666666673</v>
      </c>
      <c r="D114" s="75">
        <f>SUM(D108:D113)</f>
        <v>5</v>
      </c>
      <c r="E114" s="70">
        <f>AVERAGE(E108:E113)</f>
        <v>0.05635409377765064</v>
      </c>
      <c r="F114" s="1"/>
      <c r="G114" s="1"/>
      <c r="H114" s="1"/>
      <c r="I114" s="1"/>
      <c r="J114" s="1"/>
    </row>
    <row r="115">
      <c r="A115" s="1"/>
      <c r="B115" s="21" t="s">
        <v>1305</v>
      </c>
      <c r="C115" s="40">
        <f>STDEV(C108:C113)</f>
        <v>0.251349690007103</v>
      </c>
      <c r="D115" s="1"/>
      <c r="E115" s="1"/>
      <c r="F115" s="1"/>
      <c r="G115" s="1"/>
      <c r="H115" s="1"/>
      <c r="I115" s="1"/>
      <c r="J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>
      <c r="A117" s="1"/>
      <c r="B117" s="31" t="s">
        <v>1306</v>
      </c>
      <c r="C117" s="1"/>
      <c r="D117" s="1"/>
      <c r="E117" s="1"/>
      <c r="F117" s="1"/>
      <c r="G117" s="1"/>
      <c r="H117" s="1"/>
      <c r="I117" s="1"/>
      <c r="J117" s="1"/>
    </row>
    <row r="118" ht="39">
      <c r="A118" s="1"/>
      <c r="B118" s="21" t="s">
        <v>1307</v>
      </c>
      <c r="C118" s="3">
        <v>885149.4</v>
      </c>
      <c r="D118" s="1"/>
      <c r="E118" s="1"/>
      <c r="F118" s="1"/>
      <c r="G118" s="1"/>
      <c r="H118" s="1"/>
      <c r="I118" s="1"/>
      <c r="J118" s="125" t="s">
        <v>1308</v>
      </c>
    </row>
    <row r="119">
      <c r="A119" s="1"/>
      <c r="B119" s="21" t="s">
        <v>1309</v>
      </c>
      <c r="C119" s="101" t="s">
        <v>1310</v>
      </c>
      <c r="D119" s="1"/>
      <c r="E119" s="1"/>
      <c r="F119" s="1"/>
      <c r="G119" s="1"/>
      <c r="H119" s="1"/>
      <c r="I119" s="1"/>
      <c r="J119" s="1"/>
    </row>
    <row r="120">
      <c r="A120" s="1"/>
      <c r="B120" s="21" t="s">
        <v>1311</v>
      </c>
      <c r="C120" s="5" t="str">
        <f>C30</f>
        <v>Y</v>
      </c>
      <c r="D120" s="1"/>
      <c r="E120" s="1"/>
      <c r="F120" s="1"/>
      <c r="G120" s="1"/>
      <c r="H120" s="1"/>
      <c r="I120" s="1"/>
      <c r="J120" s="2" t="s">
        <v>1312</v>
      </c>
    </row>
    <row r="121" ht="27">
      <c r="A121" s="1"/>
      <c r="B121" s="21" t="s">
        <v>1313</v>
      </c>
      <c r="C121" s="4">
        <v>0.78</v>
      </c>
      <c r="D121" s="1"/>
      <c r="E121" s="1"/>
      <c r="F121" s="1"/>
      <c r="G121" s="1"/>
      <c r="H121" s="1"/>
      <c r="I121" s="1"/>
      <c r="J121" s="126" t="s">
        <v>1314</v>
      </c>
    </row>
    <row r="122">
      <c r="A122" s="1"/>
      <c r="B122" s="21" t="s">
        <v>1315</v>
      </c>
      <c r="C122" s="25">
        <f>SUM(D108:D113)</f>
        <v>5</v>
      </c>
      <c r="D122" s="1"/>
      <c r="E122" s="1"/>
      <c r="F122" s="1"/>
      <c r="G122" s="1"/>
      <c r="H122" s="1"/>
      <c r="I122" s="1"/>
      <c r="J122" s="1"/>
    </row>
    <row r="123" ht="27">
      <c r="A123" s="1"/>
      <c r="B123" s="21" t="s">
        <v>1316</v>
      </c>
      <c r="C123" s="25">
        <f>COUNT(C108:C113)</f>
        <v>6</v>
      </c>
      <c r="D123" s="1"/>
      <c r="E123" s="1"/>
      <c r="F123" s="1"/>
      <c r="G123" s="1"/>
      <c r="H123" s="1"/>
      <c r="I123" s="1"/>
      <c r="J123" s="125" t="s">
        <v>1317</v>
      </c>
    </row>
    <row r="124">
      <c r="A124" s="1"/>
      <c r="B124" s="21" t="s">
        <v>1318</v>
      </c>
      <c r="C124" s="73">
        <v>8</v>
      </c>
      <c r="D124" s="1"/>
      <c r="E124" s="1"/>
      <c r="F124" s="1"/>
      <c r="G124" s="1"/>
      <c r="H124" s="1"/>
      <c r="I124" s="1"/>
      <c r="J124" s="1"/>
    </row>
    <row r="125" ht="26.25">
      <c r="A125" s="1"/>
      <c r="B125" s="122" t="s">
        <v>1319</v>
      </c>
      <c r="C125" s="70">
        <f>(C124*C121+C122)/(C124+C123)</f>
        <v>0.8028571428571428</v>
      </c>
      <c r="D125" s="1"/>
      <c r="E125" s="1"/>
      <c r="F125" s="1"/>
      <c r="G125" s="1"/>
      <c r="H125" s="1"/>
      <c r="I125" s="1"/>
      <c r="J125" s="1"/>
    </row>
    <row r="126" ht="63">
      <c r="A126" s="1"/>
      <c r="B126" s="121" t="s">
        <v>1320</v>
      </c>
      <c r="C126" s="4">
        <v>-0.12</v>
      </c>
      <c r="D126" s="1"/>
      <c r="E126" s="1"/>
      <c r="F126" s="1"/>
      <c r="G126" s="1"/>
      <c r="H126" s="1"/>
      <c r="I126" s="1"/>
      <c r="J126" s="125" t="s">
        <v>1321</v>
      </c>
    </row>
    <row r="127" ht="39">
      <c r="A127" s="1"/>
      <c r="B127" s="121" t="s">
        <v>1322</v>
      </c>
      <c r="C127" s="4">
        <v>-0.03</v>
      </c>
      <c r="D127" s="1"/>
      <c r="E127" s="1"/>
      <c r="F127" s="1"/>
      <c r="G127" s="1"/>
      <c r="H127" s="1"/>
      <c r="I127" s="1"/>
      <c r="J127" s="2" t="s">
        <v>1323</v>
      </c>
    </row>
    <row r="128" ht="39">
      <c r="A128" s="1"/>
      <c r="B128" s="121" t="s">
        <v>1324</v>
      </c>
      <c r="C128" s="4">
        <v>-0.02</v>
      </c>
      <c r="D128" s="1"/>
      <c r="E128" s="1"/>
      <c r="F128" s="1"/>
      <c r="G128" s="1"/>
      <c r="H128" s="1"/>
      <c r="I128" s="1"/>
      <c r="J128" s="2" t="s">
        <v>1325</v>
      </c>
    </row>
    <row r="129">
      <c r="A129" s="1"/>
      <c r="B129" s="76" t="s">
        <v>1326</v>
      </c>
      <c r="C129" s="70">
        <f>C125+SUM(C126:C128)</f>
        <v>0.6328571428571428</v>
      </c>
      <c r="D129" s="1"/>
      <c r="E129" s="1"/>
      <c r="F129" s="1"/>
      <c r="G129" s="1"/>
      <c r="H129" s="1"/>
      <c r="I129" s="1"/>
      <c r="J129" s="2" t="s">
        <v>1327</v>
      </c>
    </row>
    <row r="130">
      <c r="A130" s="1"/>
      <c r="B130" s="21" t="s">
        <v>53</v>
      </c>
      <c r="C130" s="6" t="s">
        <v>1328</v>
      </c>
      <c r="D130" s="1"/>
      <c r="E130" s="1"/>
      <c r="F130" s="1"/>
      <c r="G130" s="1"/>
      <c r="H130" s="1"/>
      <c r="I130" s="1"/>
      <c r="J130" s="1"/>
    </row>
    <row r="131">
      <c r="A131" s="1"/>
      <c r="B131" s="21" t="s">
        <v>1329</v>
      </c>
      <c r="C131" s="63">
        <f>'Income Statement'!H187-C37</f>
        <v>-0.02182974822741368</v>
      </c>
      <c r="D131" s="1"/>
      <c r="E131" s="1"/>
      <c r="F131" s="1"/>
      <c r="G131" s="1"/>
      <c r="H131" s="1"/>
      <c r="I131" s="1"/>
      <c r="J131" s="1"/>
    </row>
    <row r="132">
      <c r="A132" s="1"/>
      <c r="B132" s="21" t="s">
        <v>1330</v>
      </c>
      <c r="C132" s="82">
        <f>C131/C115</f>
        <v>-0.08685011000728421</v>
      </c>
      <c r="D132" s="1"/>
      <c r="E132" s="1"/>
      <c r="F132" s="1"/>
      <c r="G132" s="1"/>
      <c r="H132" s="1"/>
      <c r="I132" s="1"/>
      <c r="J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</row>
  </sheetData>
</worksheet>
</file>