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ommercial Bank" sheetId="3" r:id="rId4"/>
    <sheet name="Segment - Retail Bank" sheetId="4" r:id="rId5"/>
    <sheet name="Segment - Inst Services &amp; WM" sheetId="5" r:id="rId6"/>
    <sheet name="Income Statement" sheetId="6" r:id="rId7"/>
    <sheet name="Balance Sheet" sheetId="7" r:id="rId8"/>
    <sheet name="Cash Flow Statement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sharedStrings.xml><?xml version="1.0" encoding="utf-8"?>
<sst xmlns="http://schemas.openxmlformats.org/spreadsheetml/2006/main" count="3054" uniqueCount="1080">
  <si>
    <t xml:space="preserve">                      M&amp;T Bank Corporation (NYSE: MTB)</t>
  </si>
  <si>
    <t xml:space="preserve">                      Cover</t>
  </si>
  <si>
    <t xml:space="preserve">                      $ millions, except per share</t>
  </si>
  <si>
    <t>Summary tab</t>
  </si>
  <si>
    <t>Columns labelled in each table header (rows 22, 46); no common period band</t>
  </si>
  <si>
    <t>Notes</t>
  </si>
  <si>
    <t>Company Model — built by Shortcut</t>
  </si>
  <si>
    <t>Company</t>
  </si>
  <si>
    <t>M&amp;T Bank Corporation</t>
  </si>
  <si>
    <t>Ticker</t>
  </si>
  <si>
    <t>MTB</t>
  </si>
  <si>
    <t>Exchange</t>
  </si>
  <si>
    <t>New York Stock Exchange (NYSE: MTB)</t>
  </si>
  <si>
    <t>Fiscal year end</t>
  </si>
  <si>
    <t>December 31 (calendar year)</t>
  </si>
  <si>
    <t>Reporting currency</t>
  </si>
  <si>
    <t>USD ($ millions, except per share)</t>
  </si>
  <si>
    <t>EPS basis</t>
  </si>
  <si>
    <t>Normalized diluted EPS per common share (CapIQ basis); equals GAAP diluted EPS for MTB in all six history quarters</t>
  </si>
  <si>
    <t>Forecast period</t>
  </si>
  <si>
    <t>3Q26E = FQ3 2026 / Sep 2026; issuer quarter ended 2026-09-30 (calendar quarter)</t>
  </si>
  <si>
    <t>Information cutoff</t>
  </si>
  <si>
    <t>2026-10-11 22:24 UTC</t>
  </si>
  <si>
    <t>Expected report date</t>
  </si>
  <si>
    <t>2026-10-16, before market open (confirmed by issuer press release 2026-09-18, S15)</t>
  </si>
  <si>
    <t>Author</t>
  </si>
  <si>
    <t>Shortcut</t>
  </si>
  <si>
    <t>Headline: 3Q26E estimate vs consensus at cutoff vs guidance-implied</t>
  </si>
  <si>
    <t>Metric</t>
  </si>
  <si>
    <t>Shortcut estimate</t>
  </si>
  <si>
    <t>Consensus at cutoff (CapIQ)</t>
  </si>
  <si>
    <t>Variance</t>
  </si>
  <si>
    <t>Variance %</t>
  </si>
  <si>
    <t>Guidance implied</t>
  </si>
  <si>
    <t>Estimate vs guidance</t>
  </si>
  <si>
    <t>Consensus detail / basis</t>
  </si>
  <si>
    <t>Total revenue ($m)</t>
  </si>
  <si>
    <t>CapIQ mean, n=9 (high 2,541.2 / low 2,507.0); revenue = NII + noninterest income</t>
  </si>
  <si>
    <t>Net income, GAAP ($m)</t>
  </si>
  <si>
    <t>n.a.</t>
  </si>
  <si>
    <t>No like-for-like consensus field (CapIQ net income field appears to be to common)</t>
  </si>
  <si>
    <t>Net income to common ($m)</t>
  </si>
  <si>
    <t>CapIQ net_income_gaap_m 715.69 (fewer contributors; basis unverified)</t>
  </si>
  <si>
    <t>Income before taxes ($m)</t>
  </si>
  <si>
    <t>CapIQ ebt_gaap_m</t>
  </si>
  <si>
    <t>Normalized diluted EPS ($)</t>
  </si>
  <si>
    <t>Frozen CapIQ mean $4.92, n=15 (median 4.91, high 5.14, low 4.79, sd 0.08) - scoring baseline</t>
  </si>
  <si>
    <t>GAAP diluted EPS ($)</t>
  </si>
  <si>
    <t>CapIQ GAAP mean $4.93, n=18</t>
  </si>
  <si>
    <t>P(beat consensus EPS)</t>
  </si>
  <si>
    <t>Equals p_beat_consensus_eps in artifacts/estimate.json</t>
  </si>
  <si>
    <t>Confidence</t>
  </si>
  <si>
    <t>Equals confidence in artifacts/estimate.json</t>
  </si>
  <si>
    <t>Model tie/link check result (not acceptance)</t>
  </si>
  <si>
    <t>Checks in the AND list (within 0.01): (a) independent historical source ties (reported totals, CapIQ, segments, cash flow, Inputs YTD) incl. FY25 vs 10-K totals (Income Statement D74, absolute differences incl. NII); (b) 3Q26E cash roll-forward completeness/consistency check (CF G60) - CF lines are built from the same Balance Sheet deltas and assumptions, so it is not an independent tie; (c) zero by construction, not independent ties: link-integrity confirmations (Cover B32; Share Count row 43) and the FY25 provision build (Income Statement D127, since D124 = D13 - D125); FY25 net charge-offs (Income Statement D115) are an allowance roll-forward residual, not sourced. 3Q26E plug identities (Revenue summary G309/G317, Balance Sheet G69, Income Statement G128) are excluded. PASS is not acceptance evidence</t>
  </si>
  <si>
    <t>Check: Cover ties to statements (=0)</t>
  </si>
  <si>
    <t>Consensus at cutoff - detail (frozen CapIQ snapshot 2026-10-11) and other consensus recorded separately</t>
  </si>
  <si>
    <t>Normalized EPS: mean / median</t>
  </si>
  <si>
    <t>CapIQ summary row (Inputs section A)</t>
  </si>
  <si>
    <t>Normalized EPS: high</t>
  </si>
  <si>
    <t>Normalized EPS: low</t>
  </si>
  <si>
    <t>Normalized EPS: std. deviation</t>
  </si>
  <si>
    <t>Normalized EPS: estimates (n)</t>
  </si>
  <si>
    <t>Revenue: mean ($m)</t>
  </si>
  <si>
    <t>Revenue: estimates (n)</t>
  </si>
  <si>
    <t>Other: MarketBeat EPS (10/9)</t>
  </si>
  <si>
    <t>Recorded only; not the scoring baseline (S20); revenue $2,530.7m</t>
  </si>
  <si>
    <t>Other: Earnings Whispers (oper.)</t>
  </si>
  <si>
    <t>B: consensus, C: whisper; operating EPS adds back CDI amortization (~$0.03); recorded only (S19)</t>
  </si>
  <si>
    <t>Key 3Q26E drivers</t>
  </si>
  <si>
    <t>Driver</t>
  </si>
  <si>
    <t>3Q26E</t>
  </si>
  <si>
    <t>2Q26A</t>
  </si>
  <si>
    <t>3Q25A</t>
  </si>
  <si>
    <t>Basis</t>
  </si>
  <si>
    <t>Net interest margin (TE)</t>
  </si>
  <si>
    <t>Mgmt: FY high 3.60s; 2H mid 3.60s (S12)</t>
  </si>
  <si>
    <t>Average earning assets ($m)</t>
  </si>
  <si>
    <t>Average loans HFI ($m)</t>
  </si>
  <si>
    <t>FY26 guide $141-143bn</t>
  </si>
  <si>
    <t>Average deposits ($m)</t>
  </si>
  <si>
    <t>FY26 guide $165-167bn</t>
  </si>
  <si>
    <t>Net interest income, GAAP ($m)</t>
  </si>
  <si>
    <t>Noninterest income ($m)</t>
  </si>
  <si>
    <t>FY26 guide high end of $2.80-2.85bn</t>
  </si>
  <si>
    <t>Noninterest expense ($m)</t>
  </si>
  <si>
    <t>FY26 guide high end of $5.5-5.6bn</t>
  </si>
  <si>
    <t>Provision for credit losses ($m)</t>
  </si>
  <si>
    <t>Effective tax rate (GAAP)</t>
  </si>
  <si>
    <t>~24% TE guide = ~23.1% GAAP</t>
  </si>
  <si>
    <t>Diluted shares (m)</t>
  </si>
  <si>
    <t>Beat-probability calibration (playbook v2: size and issuer history)</t>
  </si>
  <si>
    <t>Market cap ($bn, 2026-10-09)</t>
  </si>
  <si>
    <t>Inputs section I</t>
  </si>
  <si>
    <t>S&amp;P 500 member (1 = yes)</t>
  </si>
  <si>
    <t>Cohort prior (large or S&amp;P 500)</t>
  </si>
  <si>
    <t>Strict beats (b)</t>
  </si>
  <si>
    <t>Valid pairs n</t>
  </si>
  <si>
    <t>Starting probability</t>
  </si>
  <si>
    <t>Final P(beat consensus EPS)</t>
  </si>
  <si>
    <t>Forecast rationale</t>
  </si>
  <si>
    <t>1. NII: average loans up ~$3bn Q/Q on CRE inflection and EOP carry-in; NIM 3.665%, in line with management "mid 3.60s" for 2H; extra day vs 2Q.</t>
  </si>
  <si>
    <t>2. Fees $718m: sub-servicing ramp (+$14m), seasonal tax fees out, swap revenue normalizes, BLG probability-weighted at $12m; consistent with "high end" FY guide.</t>
  </si>
  <si>
    <t>3. Expenses $1,385m (high end of FY guide trajectory); provision $131m (30bp NCO + modest reserve build) vs the more punitive ~47bp 2H NCO implied by guidance.</t>
  </si>
  <si>
    <t>4. GAAP tax 23.1% (company TE guide 24% less TE adjustment) vs ~24% embedded in CapIQ consensus; ~$350m buyback lowers diluted shares to ~145.1m.</t>
  </si>
  <si>
    <t>5. Estimate above consensus by ~$0.20; guidance-implied EPS (~$4.81) sits below consensus, but M&amp;T has repeatedly beaten its fee and credit guidance.</t>
  </si>
  <si>
    <t>M&amp;T Bank Corporation (NYSE: MTB)</t>
  </si>
  <si>
    <t>Revenue summary and net interest income / fee drivers</t>
  </si>
  <si>
    <t>$ millions, except per share</t>
  </si>
  <si>
    <t>Period</t>
  </si>
  <si>
    <t>4Q25A</t>
  </si>
  <si>
    <t>FY25A</t>
  </si>
  <si>
    <t>1Q26A</t>
  </si>
  <si>
    <t>Period end</t>
  </si>
  <si>
    <t>Days in period</t>
  </si>
  <si>
    <t>Net interest income build - average balances and TE rates</t>
  </si>
  <si>
    <t>Interest-bearing deposits at banks</t>
  </si>
  <si>
    <t>3Q26E: hardcoded assumption, not linked. Approximately consistent with the Balance Sheet cash plug path: simple average of BS F12 15,499 and G12 13,925 = ~14,712 (using it would lower EPS by ~$0.004)</t>
  </si>
  <si>
    <t xml:space="preserve">  % Y/Y</t>
  </si>
  <si>
    <t>n.a. = prior-year comparator not available in the sources used (e.g. 3Q24/4Q24 on the recast basis)</t>
  </si>
  <si>
    <t xml:space="preserve">  Q/Q change ($)</t>
  </si>
  <si>
    <t xml:space="preserve">  Yield</t>
  </si>
  <si>
    <t>S7 recast annualized TE rate</t>
  </si>
  <si>
    <t xml:space="preserve">    Change (bp, Q/Q)</t>
  </si>
  <si>
    <t xml:space="preserve">    Change (bp, Y/Y)</t>
  </si>
  <si>
    <t>Y/Y comparator from Inputs section C (recast); FY25 column vs FY24</t>
  </si>
  <si>
    <t xml:space="preserve">  Implied interest income</t>
  </si>
  <si>
    <t>Balance x rate x days/365 (derived from two reported figures)</t>
  </si>
  <si>
    <t>Investment securities</t>
  </si>
  <si>
    <t>3Q26E: EOP 2Q26 $38.4bn</t>
  </si>
  <si>
    <t>Reinvestment at ~5%+ yields (S11)</t>
  </si>
  <si>
    <t>Loans held for sale</t>
  </si>
  <si>
    <t>S7 recast average balance sheet. 3Q26E 700 retained (original judgment); EOP-path midpoint (663 + 650) / 2 = 656.5 would lower interest income ~$0.6m pre-tax (~-$0.003 EPS); not adopted</t>
  </si>
  <si>
    <t>Commercial &amp; industrial loans</t>
  </si>
  <si>
    <t>3Q26E: EOP 2Q26 $66.0bn; CFO: C&amp;I to grow "more modestly" in 3Q (S11)</t>
  </si>
  <si>
    <t>Floating-rate; Fed +25bp only effective 9/17/26 (S16)</t>
  </si>
  <si>
    <t>Commercial real estate loans</t>
  </si>
  <si>
    <t>3Q26E: EOP 2Q26 CRE $24.2bn vs avg $23.2bn; "really strong average balance growth in CRE in the third quarter" (S11)</t>
  </si>
  <si>
    <t>2Q26 included ~$5m outsized nonaccrual interest (S11)</t>
  </si>
  <si>
    <t>Residential real estate loans</t>
  </si>
  <si>
    <t>3Q26E: EOP 2Q26 $25.1bn; continued growth (S11)</t>
  </si>
  <si>
    <t>Consumer loans</t>
  </si>
  <si>
    <t>3Q26E: EOP 2Q26 $27.2bn; RV/HELOC growth (S11)</t>
  </si>
  <si>
    <t>Total loans held for investment</t>
  </si>
  <si>
    <t xml:space="preserve">  Implied interest on loans</t>
  </si>
  <si>
    <t xml:space="preserve">  Loan yield (implied)</t>
  </si>
  <si>
    <t>Other earning assets</t>
  </si>
  <si>
    <t>S7 recast average balance sheet</t>
  </si>
  <si>
    <t>n.m.</t>
  </si>
  <si>
    <t>n.m. for 2Q26A/3Q26E: rate on a nil balance (S7 shows — for 2Q26 balance and rate); 0% kept only so row 71 arithmetic is preserved</t>
  </si>
  <si>
    <t>Total average earning assets</t>
  </si>
  <si>
    <t>Savings &amp; int.-checking deposits</t>
  </si>
  <si>
    <t>3Q26E: deposits seasonally stronger in 2H; FY avg deposit guide $165-167bn (S12)</t>
  </si>
  <si>
    <t xml:space="preserve">  Cost</t>
  </si>
  <si>
    <t>3Q26E: calibrated so 3Q NIM ~3.66-3.67%, consistent with mgmt H2 NIM "mid 3.60s" (S12) and "paying up a little" on deposits (S13)</t>
  </si>
  <si>
    <t xml:space="preserve">  Implied interest expense</t>
  </si>
  <si>
    <t>Time deposits</t>
  </si>
  <si>
    <t>Total int.-bearing deposits</t>
  </si>
  <si>
    <t>Short-term borrowings</t>
  </si>
  <si>
    <t>3Q26E: ST borrowings "already down a couple billion" mid-July; EOP 2Q26 $4.6bn (S11). Average 4,200 retained (original judgment); intra-quarter path unresolved - EOP-path midpoint (4,614 + 3,000) / 2 = 3,807 would cut interest expense ~$3.9m pre-tax (~+$0.02 EPS); not adopted</t>
  </si>
  <si>
    <t>Long-term borrowings</t>
  </si>
  <si>
    <t>3Q26E: EOP 2Q26 $13.6bn; July 2026 senior note issuance (424B5)</t>
  </si>
  <si>
    <t>Total int.-bearing liabilities</t>
  </si>
  <si>
    <t>Noninterest-bearing deposits</t>
  </si>
  <si>
    <t>3Q26E: EOP 2Q26 NIB $48.3bn elevated by trust demand deposits (S3)</t>
  </si>
  <si>
    <t>Total average deposits</t>
  </si>
  <si>
    <t>FY26 guide $165-167bn average deposits (S12)</t>
  </si>
  <si>
    <t>Balance ladder: period-end to average (links Balance Sheet)</t>
  </si>
  <si>
    <t>Opening loans HFI (prior EOP)</t>
  </si>
  <si>
    <t>FY25 column: opening = 12/31/2024</t>
  </si>
  <si>
    <t xml:space="preserve">  Net change in loans HFI (EOP)</t>
  </si>
  <si>
    <t>Closing loans HFI (EOP)</t>
  </si>
  <si>
    <t xml:space="preserve">  Simple average (opening, closing)</t>
  </si>
  <si>
    <t>Average loans HFI (rep. / fcst)</t>
  </si>
  <si>
    <t xml:space="preserve">  Timing difference (avg - simple)</t>
  </si>
  <si>
    <t>Intra-quarter timing of balance growth; 3Q26E average balances are explicit assumptions shown against this ladder</t>
  </si>
  <si>
    <t>Opening deposits (prior EOP)</t>
  </si>
  <si>
    <t xml:space="preserve">  Net change in deposits (EOP)</t>
  </si>
  <si>
    <t>Closing deposits (EOP)</t>
  </si>
  <si>
    <t>Average deposits (rep. / fcst)</t>
  </si>
  <si>
    <t>Net interest income</t>
  </si>
  <si>
    <t>Implied TE interest income (sum)</t>
  </si>
  <si>
    <t xml:space="preserve">  Unallocated / rounding</t>
  </si>
  <si>
    <t>3Q26E: assumed nil (explicit assumption)</t>
  </si>
  <si>
    <t>Interest income (TE)</t>
  </si>
  <si>
    <t xml:space="preserve">  Less: TE adjustment</t>
  </si>
  <si>
    <t>3Q26E: in line with 2Q26 ($12m)</t>
  </si>
  <si>
    <t>Interest income (GAAP)</t>
  </si>
  <si>
    <t>S7 recast; FY25 = 1Q25+2Q25+3Q25+4Q25</t>
  </si>
  <si>
    <t>Implied interest expense (sum)</t>
  </si>
  <si>
    <t>Interest expense</t>
  </si>
  <si>
    <t>S7 recast</t>
  </si>
  <si>
    <t>Net interest income (GAAP)</t>
  </si>
  <si>
    <t xml:space="preserve">  % Q/Q</t>
  </si>
  <si>
    <t xml:space="preserve">    M&amp;A / scope impact</t>
  </si>
  <si>
    <t>Not disclosed by issuer; no acquisitions in window - left unavailable, not zero</t>
  </si>
  <si>
    <t xml:space="preserve">    FX impact</t>
  </si>
  <si>
    <t>USD-only reporting; FX impact not disclosed - unavailable</t>
  </si>
  <si>
    <t xml:space="preserve">    Organic growth</t>
  </si>
  <si>
    <t>Organic = (1+Y/Y)/((1+M&amp;A)*(1+FX))-1; not computable because M&amp;A and FX are undisclosed</t>
  </si>
  <si>
    <t xml:space="preserve">  % of total revenue</t>
  </si>
  <si>
    <t>Net interest income (TE)</t>
  </si>
  <si>
    <t>FY26 guide: bottom half of $7.2-7.35bn TE NII (S12)</t>
  </si>
  <si>
    <t>Net interest margin (computed)</t>
  </si>
  <si>
    <t>TE NII / avg earning assets, annualized by days</t>
  </si>
  <si>
    <t>Net interest margin (reported)</t>
  </si>
  <si>
    <t>S7 recast (methodology change 2Q26); memo, not forecast</t>
  </si>
  <si>
    <t>Yield on earning assets</t>
  </si>
  <si>
    <t>Cost of int.-bearing liabilities</t>
  </si>
  <si>
    <t>Net interest spread (computed)</t>
  </si>
  <si>
    <t>Noninterest income (presentation effective 3Q26 per S7 recast)</t>
  </si>
  <si>
    <t>Trust &amp; investment services</t>
  </si>
  <si>
    <t>3Q26E: 2Q26 $235m incl. ~$4m seasonal tax-prep fees; ISWM momentum (S11)</t>
  </si>
  <si>
    <t>Mortgage banking revenues - components</t>
  </si>
  <si>
    <t xml:space="preserve">  Loans sub-serviced, EOP (UPB)</t>
  </si>
  <si>
    <t>3Q26E: 214k loans boarded late 2Q26 (S11); S3 p.17</t>
  </si>
  <si>
    <t xml:space="preserve">  Average sub-serviced (BoP/EoP)</t>
  </si>
  <si>
    <t xml:space="preserve">  Sub-servicing fee yield (bp)</t>
  </si>
  <si>
    <t>Fee split not disclosed before 1Q26; 3Q26E 17.5bp assumption, approximately the 2Q26 level (17.5bp)</t>
  </si>
  <si>
    <t xml:space="preserve">  Residential: gains on sale</t>
  </si>
  <si>
    <t>S3 p.17; not disclosed in this format before 1Q26</t>
  </si>
  <si>
    <t xml:space="preserve">    Q/Q change ($)</t>
  </si>
  <si>
    <t>Y/Y unavailable: component split first disclosed for 1Q26</t>
  </si>
  <si>
    <t xml:space="preserve">  Residential: servicing fees</t>
  </si>
  <si>
    <t xml:space="preserve">  Residential: MSR FV, net of hedges</t>
  </si>
  <si>
    <t>S3 p.17; 3Q26E: run-off similar to 1H26 (-$13m/-$11m)</t>
  </si>
  <si>
    <t xml:space="preserve">  Residential: sub-servicing fees</t>
  </si>
  <si>
    <t>3Q26E: avg sub-serviced UPB x fee yield; mgmt +$35m 2H revenue (S11). Label: sub-servicing &amp; other fees</t>
  </si>
  <si>
    <t xml:space="preserve">  Residential mortgage banking</t>
  </si>
  <si>
    <t>Y/Y unavailable: split first disclosed for 1Q26</t>
  </si>
  <si>
    <t xml:space="preserve">  Commercial: gains on sale</t>
  </si>
  <si>
    <t xml:space="preserve">  Commercial: servicing &amp; other</t>
  </si>
  <si>
    <t xml:space="preserve">  Commercial mortgage banking</t>
  </si>
  <si>
    <t>Mortgage banking revenues</t>
  </si>
  <si>
    <t>1Q26/2Q26/3Q26E = residential + commercial components</t>
  </si>
  <si>
    <t>Service charges on deposits</t>
  </si>
  <si>
    <t>3Q26E: trend +$1m/qtr</t>
  </si>
  <si>
    <t>Card revenues</t>
  </si>
  <si>
    <t>3Q26E: 3Q25 $90m</t>
  </si>
  <si>
    <t>Letter of credit &amp; credit fees</t>
  </si>
  <si>
    <t>3Q26E: run-rate</t>
  </si>
  <si>
    <t>Capital markets &amp; advisory</t>
  </si>
  <si>
    <t>3Q26E: 2Q26 was a "big quarter" in customer swaps (S11)</t>
  </si>
  <si>
    <t>Gain (loss) on securities</t>
  </si>
  <si>
    <t>3Q26E: small</t>
  </si>
  <si>
    <t>Other revenues from operations - components</t>
  </si>
  <si>
    <t xml:space="preserve">  Bank-owned life insurance</t>
  </si>
  <si>
    <t xml:space="preserve">  Equipment operating lease income</t>
  </si>
  <si>
    <t xml:space="preserve">  BLG income (Bayview)</t>
  </si>
  <si>
    <t>3Q26E: probability-weighted; BLG paid in 3 of last 4 qtrs ($20m/$0/$33m/$47m); timing unknown (S11)</t>
  </si>
  <si>
    <t xml:space="preserve">  CIT business earnout</t>
  </si>
  <si>
    <t>Non-recurring (3Q25)</t>
  </si>
  <si>
    <t xml:space="preserve">  Gain on loan portfolio sale</t>
  </si>
  <si>
    <t>Non-recurring (2Q25)</t>
  </si>
  <si>
    <t xml:space="preserve">  Gain on sale of subsidiary</t>
  </si>
  <si>
    <t xml:space="preserve">  Other</t>
  </si>
  <si>
    <t>Other revenues from operations</t>
  </si>
  <si>
    <t>Total noninterest income</t>
  </si>
  <si>
    <t>FY26 guide: high end of $2.80-2.85bn (S12)</t>
  </si>
  <si>
    <t>B/C (3Q24/4Q24) comparator totals from pre-recast S5/S9; 2025-26 on S7 recast basis - mixed basis (recast effect on 2024 totals unverified)</t>
  </si>
  <si>
    <t xml:space="preserve">  Reported total noninterest income</t>
  </si>
  <si>
    <t>S7; FY25 from Inputs section J (S6)</t>
  </si>
  <si>
    <t xml:space="preserve">  Check: components - reported</t>
  </si>
  <si>
    <t>Total revenue (NII + fees)</t>
  </si>
  <si>
    <t>Issuer and CapIQ revenue definition: GAAP NII + total other income</t>
  </si>
  <si>
    <t>B/C (3Q24/4Q24) comparator totals from pre-recast S5/S9; 2025-26 on S7 recast basis - mixed basis (recast effect on 2024 totals unverified) for the fee component</t>
  </si>
  <si>
    <t xml:space="preserve">  CapIQ revenue actual (S1)</t>
  </si>
  <si>
    <t xml:space="preserve">  Check: model - CapIQ (=0)</t>
  </si>
  <si>
    <t>Revenue by reported segment</t>
  </si>
  <si>
    <t>Commercial Bank</t>
  </si>
  <si>
    <t>Retail Bank</t>
  </si>
  <si>
    <t>Inst. Services &amp; Wealth Mgmt</t>
  </si>
  <si>
    <t>All Other (reconciling)</t>
  </si>
  <si>
    <t>Treasury, TE elimination, BLG etc. 3Q26E = total less reportable segments</t>
  </si>
  <si>
    <t>n.m. where prior-year base is negative or immaterial (4Q24 base $6m)</t>
  </si>
  <si>
    <t>Sum of segments</t>
  </si>
  <si>
    <t xml:space="preserve">  Check: segments - total (=0)</t>
  </si>
  <si>
    <t>3Q26E = 0 by construction (All Other G301 is the residual); not an independent check - excluded from Cover B31</t>
  </si>
  <si>
    <t>Net income by reported segment</t>
  </si>
  <si>
    <t>3Q26E residual assumption = consolidated net income less reportable segments</t>
  </si>
  <si>
    <t xml:space="preserve">  Check: segments - total NI (=0)</t>
  </si>
  <si>
    <t>3Q26E = 0 by construction (All Other G315 is the residual); not an independent check - excluded from Cover B31</t>
  </si>
  <si>
    <t>Geography: M&amp;T discloses no geographic revenue split; operations are U.S. (Maine-Virginia/D.C. footprint). Geo tab omitted.</t>
  </si>
  <si>
    <t>S6 10-K 2025 checked</t>
  </si>
  <si>
    <t>Segment - Commercial Bank</t>
  </si>
  <si>
    <t>Balance-sheet drivers</t>
  </si>
  <si>
    <t>Segment period-end balances are not disclosed; average total assets is the balance driver (opening/closing ladder for the consolidated book is on Revenue summary)</t>
  </si>
  <si>
    <t>Average total assets</t>
  </si>
  <si>
    <t>S4/S5 segment note; 4Q25 = (FY25 avg x 365 - 9M25 avg x 273) / 92 and 1Q26 = (6M26 avg x 181 - 2Q26 x 91) / 90 (day-weighted YTD back-outs, days from row 6)</t>
  </si>
  <si>
    <t>4Q25 and 1Q26 Y/Y compare day-weighted derived averages with day-weighted derived 4Q24/1Q25 (Inputs section F; FY24 = 366 days, 9M24 = 274)</t>
  </si>
  <si>
    <t xml:space="preserve">  Avg asset growth Q/Q (assumption)</t>
  </si>
  <si>
    <t>3Q26E assumption; consolidated average earning assets +1.3% Q/Q (Revenue summary)</t>
  </si>
  <si>
    <t>Avg noninterest-bearing deposits</t>
  </si>
  <si>
    <t>S4/S5 MD&amp;A deposits by segment; 4Q25/FY25 not disclosed quarterly in sources used</t>
  </si>
  <si>
    <t>2Q25 comparator predates 2Q26 deposit redesignation</t>
  </si>
  <si>
    <t>B: vs 2Q25 (pre-redesignation basis); 1Q26 vs 4Q25 unavailable</t>
  </si>
  <si>
    <t>Avg savings &amp; int.-checking deposits</t>
  </si>
  <si>
    <t>Avg time deposits</t>
  </si>
  <si>
    <t xml:space="preserve">  Deposit growth Q/Q (assumption)</t>
  </si>
  <si>
    <t>Seasonally stronger 2H deposits (S11)</t>
  </si>
  <si>
    <t xml:space="preserve">  Deposits / average assets</t>
  </si>
  <si>
    <t>Prior-year segment deposits not available for 3Q24-1Q25</t>
  </si>
  <si>
    <t>NII / average assets (annualized)</t>
  </si>
  <si>
    <t>3Q26E assumption, approximately the 2Q26 level (rounded)</t>
  </si>
  <si>
    <t>Segment P&amp;L (management reporting basis; NII on TE basis with funds-transfer pricing)</t>
  </si>
  <si>
    <t>Noninterest income</t>
  </si>
  <si>
    <t xml:space="preserve">  Fee growth Q/Q (assumption)</t>
  </si>
  <si>
    <t>3Q26E: C&amp;I growth "more modestly" in 3Q, CRE inflection (S11)</t>
  </si>
  <si>
    <t>Total revenue</t>
  </si>
  <si>
    <t xml:space="preserve">  % of consolidated revenue</t>
  </si>
  <si>
    <t xml:space="preserve">  Reported total revenue</t>
  </si>
  <si>
    <t>S4/S5/S6</t>
  </si>
  <si>
    <t xml:space="preserve">  Check: revenue vs reported (=0)</t>
  </si>
  <si>
    <t>Provision for credit losses</t>
  </si>
  <si>
    <t>3Q26E assumption; consolidated provision on Income Statement</t>
  </si>
  <si>
    <t>Salaries &amp; employee benefits</t>
  </si>
  <si>
    <t>Depreciation &amp; amortization</t>
  </si>
  <si>
    <t>Other direct expenses</t>
  </si>
  <si>
    <t>Indirect expense (allocated)</t>
  </si>
  <si>
    <t xml:space="preserve">  Expense growth Q/Q (assumption)</t>
  </si>
  <si>
    <t>Consolidated expenses guided to high end of $5.5-5.6bn (S12)</t>
  </si>
  <si>
    <t>Total noninterest expense</t>
  </si>
  <si>
    <t>Income before taxes</t>
  </si>
  <si>
    <t>Income tax expense</t>
  </si>
  <si>
    <t>Net income</t>
  </si>
  <si>
    <t xml:space="preserve">  Reported net income</t>
  </si>
  <si>
    <t xml:space="preserve">  Check: computed - reported (=0)</t>
  </si>
  <si>
    <t>Ratios</t>
  </si>
  <si>
    <t>Efficiency ratio (expense / revenue)</t>
  </si>
  <si>
    <t>Pretax margin</t>
  </si>
  <si>
    <t>Effective tax rate</t>
  </si>
  <si>
    <t>3Q26E assumption, approximately the 2Q26 rate (rounded)</t>
  </si>
  <si>
    <t>Return on average assets (annualized)</t>
  </si>
  <si>
    <t>Provision / avg assets (annualized)</t>
  </si>
  <si>
    <t>Segment - Retail Bank</t>
  </si>
  <si>
    <t>3Q26E: consumer/RV and residential growth; deposit promotions (S11)</t>
  </si>
  <si>
    <t>Segment - Institutional Services &amp; Wealth Management</t>
  </si>
  <si>
    <t>3Q26E: 2Q26 included ~$4m seasonal tax-prep fees (S11)</t>
  </si>
  <si>
    <t>Income Statement (GAAP) with normalized EPS bridge</t>
  </si>
  <si>
    <t>Income statement (GAAP)</t>
  </si>
  <si>
    <t>Interest income</t>
  </si>
  <si>
    <t>3Q26E from credit build below</t>
  </si>
  <si>
    <t>Net interest income after provision</t>
  </si>
  <si>
    <t xml:space="preserve">  Trust &amp; investment services income</t>
  </si>
  <si>
    <t xml:space="preserve">  Mortgage banking revenues</t>
  </si>
  <si>
    <t xml:space="preserve">  Service charges on deposit accounts</t>
  </si>
  <si>
    <t xml:space="preserve">  Card revenues</t>
  </si>
  <si>
    <t xml:space="preserve">  Letter of credit &amp; credit fees</t>
  </si>
  <si>
    <t xml:space="preserve">  Capital markets &amp; advisory revenues</t>
  </si>
  <si>
    <t xml:space="preserve">  Gain (loss) on securities</t>
  </si>
  <si>
    <t xml:space="preserve">  Other revenues from operations</t>
  </si>
  <si>
    <t xml:space="preserve">  Salaries &amp; employee benefits</t>
  </si>
  <si>
    <t>3Q26E: +1 working day, incentive comp; 3Q25 rose $20m Q/Q (S3)</t>
  </si>
  <si>
    <t xml:space="preserve">    % Y/Y</t>
  </si>
  <si>
    <t xml:space="preserve">  Outside data processing &amp; software</t>
  </si>
  <si>
    <t>3Q26E: tech/cyber investment trend (S11, S13)</t>
  </si>
  <si>
    <t xml:space="preserve">  Equipment &amp; net occupancy</t>
  </si>
  <si>
    <t xml:space="preserve">  Professional &amp; other services</t>
  </si>
  <si>
    <t xml:space="preserve">  FDIC assessments</t>
  </si>
  <si>
    <t xml:space="preserve">  Advertising &amp; marketing</t>
  </si>
  <si>
    <t xml:space="preserve">  Amortization of intangibles (CDI)</t>
  </si>
  <si>
    <t>3Q26E: amortization declining (CDI $48m at 6/30/26)</t>
  </si>
  <si>
    <t xml:space="preserve">  Other costs of operations</t>
  </si>
  <si>
    <t>3Q26E: run-rate incl. SERP; FY GAAP expense guide high end of $5.5-5.6bn (S12)</t>
  </si>
  <si>
    <t>Income taxes</t>
  </si>
  <si>
    <t xml:space="preserve">  Less: preferred stock dividends</t>
  </si>
  <si>
    <t>3Q26E: $2.43bn preferred after Series G redemption; 3Q25 $36m (S5)</t>
  </si>
  <si>
    <t xml:space="preserve">  Less: income to unvested awards</t>
  </si>
  <si>
    <t>FY25 = reported $6m (S10); quarters sum to $7m because of rounding</t>
  </si>
  <si>
    <t>Net income to common - diluted</t>
  </si>
  <si>
    <t>Weighted basic shares (m)</t>
  </si>
  <si>
    <t>Weighted diluted shares (m)</t>
  </si>
  <si>
    <t>Basic EPS</t>
  </si>
  <si>
    <t>4Q25 basic EPS equals reported $4.71 by construction (Share Count C10 shares implied from rounded basic EPS); not an independent check</t>
  </si>
  <si>
    <t>Diluted EPS (GAAP)</t>
  </si>
  <si>
    <t xml:space="preserve">  Diluted EPS as reported</t>
  </si>
  <si>
    <t>S3/S9</t>
  </si>
  <si>
    <t xml:space="preserve">  Check: EPS vs reported (=0)</t>
  </si>
  <si>
    <t xml:space="preserve">  Check: FY25 vs 10-K totals (=0)</t>
  </si>
  <si>
    <t>Inputs section J (S6); absolute differences for total revenue, NII, total other expense and net income</t>
  </si>
  <si>
    <t>GAAP to normalized EPS bridge (consensus basis = CapIQ normalized diluted EPS)</t>
  </si>
  <si>
    <t>GAAP diluted EPS</t>
  </si>
  <si>
    <t xml:space="preserve">  + Notable items (see note)</t>
  </si>
  <si>
    <t>CIT earnout, loan/subsidiary sale gains, FDIC special assessment, charitable contribution (S2, S9): CapIQ normalized actuals equal GAAP in all six history rows (S1), so not excluded; 3Q26E none known</t>
  </si>
  <si>
    <t xml:space="preserve">  + Securities (gains)/losses</t>
  </si>
  <si>
    <t>Not excluded on CapIQ basis historically (2Q26 normalized 5.32 = GAAP incl. $2m gain)</t>
  </si>
  <si>
    <t xml:space="preserve">  + Merger-related expenses, after tax</t>
  </si>
  <si>
    <t>None incurred in window (S3, S9)</t>
  </si>
  <si>
    <t>Normalized diluted EPS (CapIQ basis)</t>
  </si>
  <si>
    <t xml:space="preserve">  CapIQ normalized actual (S1)</t>
  </si>
  <si>
    <t xml:space="preserve">  Check: normalized - CapIQ (=0)</t>
  </si>
  <si>
    <t xml:space="preserve">  Consensus at the time (S1)</t>
  </si>
  <si>
    <t xml:space="preserve">  Surprise vs consensus ($/sh)</t>
  </si>
  <si>
    <t>B85:F85 = realized CapIQ normalized actual - consensus; G85 (3Q26E) = model estimate - frozen consensus, not a realized surprise</t>
  </si>
  <si>
    <t>Memo: CDI amortization, after tax</t>
  </si>
  <si>
    <t>Memo: M&amp;T net operating EPS (non-GAAP)</t>
  </si>
  <si>
    <t>GAAP + after-tax CDI amortization per share; tax effect approximated at the GAAP ETR (issuer rate not disclosed; 2Q26 computes $5.358 vs reported $5.35). Memo only - not the consensus or scored basis (Earnings Whispers quotes this basis)</t>
  </si>
  <si>
    <t xml:space="preserve">  Net operating EPS as reported</t>
  </si>
  <si>
    <t>Growth, margins and returns</t>
  </si>
  <si>
    <t>Efficiency ratio - GAAP</t>
  </si>
  <si>
    <t>Y/Y comparator from Inputs section C (recast); FY25 column vs FY24. B/C (3Q24/4Q24) comparator totals from pre-recast S5/S9; 2025-26 on S7 recast basis - mixed basis (recast effect on 2024 totals unverified)</t>
  </si>
  <si>
    <t>Efficiency ratio - M&amp;T definition</t>
  </si>
  <si>
    <t>Ex-CDI expense / (TE NII + fees ex-securities gains). Reported: 3Q25 53.6%, 4Q25 55.1%, 1Q26 58.3%, 2Q26 52.8% (S3)</t>
  </si>
  <si>
    <t>Pre-provision net revenue</t>
  </si>
  <si>
    <t>B/C (3Q24/4Q24) comparator totals from pre-recast S5/S9; 2025-26 on S7 recast basis - mixed basis (recast effect on 2024 totals unverified) for fees and expense</t>
  </si>
  <si>
    <t>Pretax margin (pretax / revenue)</t>
  </si>
  <si>
    <t>Y/Y comparator from Inputs section C (recast); FY25 column vs FY24. B/C (3Q24/4Q24) comparator totals from pre-recast S5/S9; 2025-26 on S7 recast basis - mixed basis (recast effect on 2024 totals unverified) for the fee component</t>
  </si>
  <si>
    <t>3Q26E: 23.1% GAAP = guide of ~24% on TE basis (S12) less TE adjustment; 1Q26 23.0%, 2Q26 23.1%</t>
  </si>
  <si>
    <t>Net margin (net income / revenue)</t>
  </si>
  <si>
    <t>3Q26E: non-earning assets held flat</t>
  </si>
  <si>
    <t>Credit costs (provision build)</t>
  </si>
  <si>
    <t>Average loans held for investment</t>
  </si>
  <si>
    <t>Net charge-offs</t>
  </si>
  <si>
    <t>S3/S9; FY25 derived from allowance roll-forward</t>
  </si>
  <si>
    <t xml:space="preserve">  Net charge-off rate (annualized)</t>
  </si>
  <si>
    <t>3Q26E: 30bp, between 2Q26 23bp and the ~47bp 2H rate implied by the ~37bp FY guide (S12)</t>
  </si>
  <si>
    <t xml:space="preserve">  ALLL / loans (EOP)</t>
  </si>
  <si>
    <t>3Q26E: 1.52%, continuing gradual decline as criticized loans fall (S11)</t>
  </si>
  <si>
    <t xml:space="preserve">  Allowance build (change in ALLL)</t>
  </si>
  <si>
    <t xml:space="preserve">  Provision for loan losses</t>
  </si>
  <si>
    <t xml:space="preserve">  Provision for unfunded commitments</t>
  </si>
  <si>
    <t>3Q26E: assumed nil (2Q26 nil)</t>
  </si>
  <si>
    <t>Total provision for credit losses</t>
  </si>
  <si>
    <t xml:space="preserve">  Check: provision build (=0)</t>
  </si>
  <si>
    <t xml:space="preserve">  Check: ALLL roll-forward (=0)</t>
  </si>
  <si>
    <t>3Q26E = 0 by construction (provision G124 = NCO + allowance build); not an independent check - excluded from Cover B31</t>
  </si>
  <si>
    <t>Balance Sheet (period-end)</t>
  </si>
  <si>
    <t>Assets</t>
  </si>
  <si>
    <t>Cash and due from banks</t>
  </si>
  <si>
    <t>3Q26E assumption</t>
  </si>
  <si>
    <t>3Q26E: balancing item (cash plug) so that assets = liabilities + equity</t>
  </si>
  <si>
    <t>3Q26E: modest reinvestment growth</t>
  </si>
  <si>
    <t>Loans held for investment</t>
  </si>
  <si>
    <t xml:space="preserve">  Commercial &amp; industrial</t>
  </si>
  <si>
    <t>3Q26E: modest growth (S11)</t>
  </si>
  <si>
    <t xml:space="preserve">  Real estate - commercial</t>
  </si>
  <si>
    <t>3Q26E: CRE inflection continues (S11)</t>
  </si>
  <si>
    <t xml:space="preserve">  Real estate - residential</t>
  </si>
  <si>
    <t>3Q26E: retention/purchases (S11)</t>
  </si>
  <si>
    <t xml:space="preserve">  Consumer</t>
  </si>
  <si>
    <t>3Q26E: RV/HELOC growth (S11)</t>
  </si>
  <si>
    <t>Less: allowance for loan losses</t>
  </si>
  <si>
    <t>3Q26E = loans x ALLL ratio (Income Statement credit block)</t>
  </si>
  <si>
    <t>Net loans</t>
  </si>
  <si>
    <t>Goodwill</t>
  </si>
  <si>
    <t>Core deposit &amp; other intangibles</t>
  </si>
  <si>
    <t>3Q26E: less amortization</t>
  </si>
  <si>
    <t>Other assets</t>
  </si>
  <si>
    <t>3Q26E: + capex - depreciation - servicing amortization; other changes nil</t>
  </si>
  <si>
    <t>Total assets</t>
  </si>
  <si>
    <t>Liabilities and shareholders' equity</t>
  </si>
  <si>
    <t>3Q26E: 6/30 balance elevated by trust demand deposits</t>
  </si>
  <si>
    <t>Interest-bearing deposits</t>
  </si>
  <si>
    <t>3Q26E: seasonal 2H deposit growth; promotions (S11)</t>
  </si>
  <si>
    <t>Total deposits</t>
  </si>
  <si>
    <t>3Q26E: borrowings normalize as deposits grow (S11)</t>
  </si>
  <si>
    <t>3Q26E: July 2026 senior notes</t>
  </si>
  <si>
    <t>Accrued interest &amp; other liabilities</t>
  </si>
  <si>
    <t>3Q26E: held flat</t>
  </si>
  <si>
    <t>Total liabilities</t>
  </si>
  <si>
    <t>Preferred equity</t>
  </si>
  <si>
    <t>3Q26E: no issuance/redemption assumed</t>
  </si>
  <si>
    <t>Common equity</t>
  </si>
  <si>
    <t>3Q26E roll-forward: + NI - preferred dividends - common dividends - buybacks + other</t>
  </si>
  <si>
    <t xml:space="preserve">  Other equity changes (derived)</t>
  </si>
  <si>
    <t>History derived; 3Q26E assumed nil (AOCI risk from higher long rates not modelled)</t>
  </si>
  <si>
    <t>Total shareholders' equity</t>
  </si>
  <si>
    <t>Total liabilities and equity</t>
  </si>
  <si>
    <t>Check: assets - liab. - equity (=0)</t>
  </si>
  <si>
    <t>3Q26E = 0 by construction (cash plug G12); not an independent check - excluded from Cover B31. Cash Flow G60 is a 3Q26E roll-forward completeness/consistency check built from the same Balance Sheet deltas and assumptions (not independent)</t>
  </si>
  <si>
    <t xml:space="preserve">  Total assets as reported</t>
  </si>
  <si>
    <t>S7</t>
  </si>
  <si>
    <t xml:space="preserve">  Check: total assets - reported (=0)</t>
  </si>
  <si>
    <t>Ratios and credit quality</t>
  </si>
  <si>
    <t>Loans / deposits</t>
  </si>
  <si>
    <t>Allowance / loans</t>
  </si>
  <si>
    <t>Equity / assets</t>
  </si>
  <si>
    <t>TCE / tangible assets</t>
  </si>
  <si>
    <t>Simple TCE (deferred-tax add-back not modelled)</t>
  </si>
  <si>
    <t>Common equity per share ($)</t>
  </si>
  <si>
    <t>Reported 2Q26 $176.03 (S3)</t>
  </si>
  <si>
    <t>Tangible common equity per share ($)</t>
  </si>
  <si>
    <t>Nonaccrual loans</t>
  </si>
  <si>
    <t>S3; not forecast</t>
  </si>
  <si>
    <t xml:space="preserve">  Nonaccrual / loans</t>
  </si>
  <si>
    <t>Not forecast</t>
  </si>
  <si>
    <t>Comparator available for 2Q25 only in sources used</t>
  </si>
  <si>
    <t>Reserve for unfunded commitments</t>
  </si>
  <si>
    <t>Cash Flow Statement (quarters derived from year-to-date filings)</t>
  </si>
  <si>
    <t>Operating activities</t>
  </si>
  <si>
    <t xml:space="preserve">  Net income</t>
  </si>
  <si>
    <t xml:space="preserve">  Provision for credit losses</t>
  </si>
  <si>
    <t xml:space="preserve">  Depreciation of premises &amp; equipment</t>
  </si>
  <si>
    <t>3Q26E: $80m/qtr judgment (1H26 averaged $78m/qtr: 79, 77)</t>
  </si>
  <si>
    <t>Quarterly prior-year cash-flow lines not derived (YTD filings for 2024 not used)</t>
  </si>
  <si>
    <t xml:space="preserve">  Amortization of servicing rights</t>
  </si>
  <si>
    <t>3Q26E: 1H26 run-rate ($9m/qtr)</t>
  </si>
  <si>
    <t xml:space="preserve">  Amortization of CDI</t>
  </si>
  <si>
    <t xml:space="preserve">  Deferred income taxes</t>
  </si>
  <si>
    <t>3Q26E: nil (assumption)</t>
  </si>
  <si>
    <t xml:space="preserve">  Asset write-downs</t>
  </si>
  <si>
    <t xml:space="preserve">  Net gain on sales of assets</t>
  </si>
  <si>
    <t xml:space="preserve">  Net change in accrued interest</t>
  </si>
  <si>
    <t xml:space="preserve">  Net change in other accrued items</t>
  </si>
  <si>
    <t>3Q26E: change in other liabilities</t>
  </si>
  <si>
    <t xml:space="preserve">  Net change in loans held for sale</t>
  </si>
  <si>
    <t xml:space="preserve">  Net change in trading &amp; derivatives</t>
  </si>
  <si>
    <t>Net cash from operating activities</t>
  </si>
  <si>
    <t>Issuer-defined operating cash flow (history). 3Q26E is a model proxy (NI + provision + D&amp;A/amortization + HFS and other-liability changes; deferred tax, accrued interest, trading/derivatives held nil) - low informational value for a bank</t>
  </si>
  <si>
    <t>Investing activities</t>
  </si>
  <si>
    <t xml:space="preserve">  Proceeds from sales: AFS securities</t>
  </si>
  <si>
    <t>3Q26E: gross line not forecast (0 placeholder, shown n.f.); net securities change on row 33, net loan change on row 37</t>
  </si>
  <si>
    <t xml:space="preserve">  Proceeds from sales: equity &amp; other</t>
  </si>
  <si>
    <t xml:space="preserve">  Proceeds from sales: loans</t>
  </si>
  <si>
    <t xml:space="preserve">  Maturities: AFS</t>
  </si>
  <si>
    <t xml:space="preserve">  Maturities: HTM</t>
  </si>
  <si>
    <t xml:space="preserve">  Purchases: AFS</t>
  </si>
  <si>
    <t>3Q26E: net change in investment securities (net proxy for gross securities lines; not a forecast of gross AFS purchases)</t>
  </si>
  <si>
    <t xml:space="preserve">  Purchases: HTM</t>
  </si>
  <si>
    <t xml:space="preserve">  Purchases: equity &amp; other</t>
  </si>
  <si>
    <t xml:space="preserve">  Purchases: loans</t>
  </si>
  <si>
    <t xml:space="preserve">  Net change in loans</t>
  </si>
  <si>
    <t>3Q26E: -(change in loans HFI) - net charge-offs</t>
  </si>
  <si>
    <t xml:space="preserve">  Capital expenditures, net</t>
  </si>
  <si>
    <t>3Q26E: ~1H26 run-rate</t>
  </si>
  <si>
    <t xml:space="preserve">  Change in servicing advances</t>
  </si>
  <si>
    <t>3Q26E: nil assumed (Balance Sheet other assets change only for capex, depreciation, servicing amortization)</t>
  </si>
  <si>
    <t xml:space="preserve">  Other investing, net</t>
  </si>
  <si>
    <t>Net cash from investing activities</t>
  </si>
  <si>
    <t>3Q25 restated: interest-bearing deposits at banks treated as cash (S6 policy)</t>
  </si>
  <si>
    <t>Financing activities</t>
  </si>
  <si>
    <t xml:space="preserve">  Net change in deposits</t>
  </si>
  <si>
    <t xml:space="preserve">  Net change in short-term borrowings</t>
  </si>
  <si>
    <t xml:space="preserve">  Proceeds from long-term borrowings</t>
  </si>
  <si>
    <t>3Q26E: net change in long-term borrowings (Balance Sheet G57 - F57); gross issuance/payments not forecast</t>
  </si>
  <si>
    <t xml:space="preserve">  Payments on long-term borrowings</t>
  </si>
  <si>
    <t>3Q26E: gross line not forecast (0 placeholder, shown n.f.); net change on row 47</t>
  </si>
  <si>
    <t xml:space="preserve">  Issuance of preferred stock</t>
  </si>
  <si>
    <t>3Q26E: nil assumed (Balance Sheet preferred equity held flat)</t>
  </si>
  <si>
    <t xml:space="preserve">  Redemption of preferred stock</t>
  </si>
  <si>
    <t xml:space="preserve">  Purchases of treasury stock</t>
  </si>
  <si>
    <t xml:space="preserve">  Dividends paid - common</t>
  </si>
  <si>
    <t xml:space="preserve">  Dividends paid - preferred</t>
  </si>
  <si>
    <t xml:space="preserve">  Other financing, net</t>
  </si>
  <si>
    <t>3Q26E: equals other equity changes (nil)</t>
  </si>
  <si>
    <t>Net cash from financing activities</t>
  </si>
  <si>
    <t>Net change in cash &amp; equivalents</t>
  </si>
  <si>
    <t>Cash &amp; equivalents, beginning</t>
  </si>
  <si>
    <t>Cash = cash &amp; due from banks + interest-bearing deposits at banks</t>
  </si>
  <si>
    <t>Cash &amp; equivalents, end</t>
  </si>
  <si>
    <t xml:space="preserve">  Balance sheet cash</t>
  </si>
  <si>
    <t>Check: cash ties to Balance Sheet (=0)</t>
  </si>
  <si>
    <t xml:space="preserve">  Reported CFO (YTD-derived)</t>
  </si>
  <si>
    <t xml:space="preserve">  Check: line items - reported (=0)</t>
  </si>
  <si>
    <t xml:space="preserve">  Reported CFI (YTD-derived)</t>
  </si>
  <si>
    <t xml:space="preserve">  Reported CFF (YTD-derived)</t>
  </si>
  <si>
    <t>Memo: capex, net (positive)</t>
  </si>
  <si>
    <t>Free cash flow: not defined or disclosed by the issuer (bank); not applicable</t>
  </si>
  <si>
    <t>Target issuer_defined_free_cash_flow recorded as not applicable</t>
  </si>
  <si>
    <t>Share Count, buybacks and EPS share base</t>
  </si>
  <si>
    <t>Weighted average shares (millions)</t>
  </si>
  <si>
    <t>Basic EPS as reported ($)</t>
  </si>
  <si>
    <t>Weighted basic shares</t>
  </si>
  <si>
    <t>4Q25 not disclosed quarterly: implied = NIAC / reported basic EPS (718 / 4.71; not independent). Unresolved: FY day-weighted back-out from 10-K FY basic 157.875m gives ~152.66m (EPS ~4.70), outside the 152.28-152.60 band consistent with $4.71; S9/S10 give no 4Q25 basic count. 3Q26E = average of BoP/EoP shares</t>
  </si>
  <si>
    <t xml:space="preserve">  Q/Q change (m shares)</t>
  </si>
  <si>
    <t>Dilutive effect of stock-based awards</t>
  </si>
  <si>
    <t>3Q26E: 2Q26 0.867m</t>
  </si>
  <si>
    <t>Weighted diluted shares</t>
  </si>
  <si>
    <t>S3/S5/S8/S9</t>
  </si>
  <si>
    <t>Period-end shares and capital return</t>
  </si>
  <si>
    <t>Opening common shares (prior EOP)</t>
  </si>
  <si>
    <t>Period-end common shares outstanding</t>
  </si>
  <si>
    <t>144.416m at 7/31/26 (S4 cover)</t>
  </si>
  <si>
    <t>Share repurchases ($m)</t>
  </si>
  <si>
    <t>3Q26E: buybacks are "the tail on the dog", CET1 held ~10.2% (S11); capital generation less RWA growth</t>
  </si>
  <si>
    <t>Average repurchase price ($/share)</t>
  </si>
  <si>
    <t>3Q26E: stock ~$238 at 6/30, ~$217-223 Sep/Oct (S21, S22)</t>
  </si>
  <si>
    <t xml:space="preserve">  Q/Q change ($/share)</t>
  </si>
  <si>
    <t>Shares repurchased (m)</t>
  </si>
  <si>
    <t>Net issuance, stock comp (derived)</t>
  </si>
  <si>
    <t>3Q26E: modest issuance assumed</t>
  </si>
  <si>
    <t>Simple average shares (open, close)</t>
  </si>
  <si>
    <t xml:space="preserve">  Weighted basic - simple average</t>
  </si>
  <si>
    <t>Timing of buybacks within the quarter</t>
  </si>
  <si>
    <t>Dividends per common share ($)</t>
  </si>
  <si>
    <t>3Q26 dividend of $1.50 declared 8/18/26 (S24)</t>
  </si>
  <si>
    <t>Common dividends ($m, approx.)</t>
  </si>
  <si>
    <t>DPS x weighted basic shares (approximation of cash dividends)</t>
  </si>
  <si>
    <t>Share base behind forecast EPS</t>
  </si>
  <si>
    <t>Diluted EPS = NIAC / diluted shares</t>
  </si>
  <si>
    <t>Check: EPS vs Income Statement (=0)</t>
  </si>
  <si>
    <t>Link-integrity confirmation only: G41 links IS G65 and G16 feeds IS G68, so this row is zero by construction (not an independent tie)</t>
  </si>
  <si>
    <t>Guidance history, track record and implied 3Q26</t>
  </si>
  <si>
    <t>Reference tab</t>
  </si>
  <si>
    <t>Columns vary by section; see each section header</t>
  </si>
  <si>
    <t>Guidance given by M&amp;T (amounts $m unless stated; FY = full year average balances)</t>
  </si>
  <si>
    <t>Metric (source)</t>
  </si>
  <si>
    <t>Date given</t>
  </si>
  <si>
    <t>Low</t>
  </si>
  <si>
    <t>High</t>
  </si>
  <si>
    <t>Midpoint</t>
  </si>
  <si>
    <t>Actual</t>
  </si>
  <si>
    <t>Beat / miss vs midpoint</t>
  </si>
  <si>
    <t>FY2025 outlook (initial, January 2025) vs actual</t>
  </si>
  <si>
    <t>TE net interest income</t>
  </si>
  <si>
    <t>FY25 (S23)</t>
  </si>
  <si>
    <t>GAAP expense incl. CDI</t>
  </si>
  <si>
    <t>FY25 (S25)</t>
  </si>
  <si>
    <t>Net charge-offs (bp; FY25 derived)</t>
  </si>
  <si>
    <t>Average loans incl. HFS</t>
  </si>
  <si>
    <t>Average deposits</t>
  </si>
  <si>
    <t>4Q25 outlook (October 2025) vs actual</t>
  </si>
  <si>
    <t>TE NII ("$1.8bn +/-")</t>
  </si>
  <si>
    <t>4Q25 (S18)</t>
  </si>
  <si>
    <t>GAAP expense</t>
  </si>
  <si>
    <t>Net charge-offs (bp)</t>
  </si>
  <si>
    <t>TE tax rate</t>
  </si>
  <si>
    <t>CET1 ratio (actual S9)</t>
  </si>
  <si>
    <t>FY2026 outlook - initial (January 2026)</t>
  </si>
  <si>
    <t>FY26 (S14)</t>
  </si>
  <si>
    <t>pending</t>
  </si>
  <si>
    <t>pending (FY26 not complete)</t>
  </si>
  <si>
    <t>Average loans</t>
  </si>
  <si>
    <t>Net charge-offs (bp, ~40)</t>
  </si>
  <si>
    <t>CET1 ratio</t>
  </si>
  <si>
    <t>FY2026 outlook - April 2026 update (NIM high 3.60s; fees and expenses toward top of range)</t>
  </si>
  <si>
    <t>FY26 (S17)</t>
  </si>
  <si>
    <t>Noninterest income (top)</t>
  </si>
  <si>
    <t>GAAP expense (top)</t>
  </si>
  <si>
    <t>TE tax rate (~24%)</t>
  </si>
  <si>
    <t>FY2026 outlook - July 2026 update</t>
  </si>
  <si>
    <t>TE NII (lower half)</t>
  </si>
  <si>
    <t>FY26 (S11)</t>
  </si>
  <si>
    <t>GAAP expense (high end)</t>
  </si>
  <si>
    <t>FY2026 outlook - latest, 14 September 2026 ("no change to 2026 ranges"; 2H NIM mid 3.60s)</t>
  </si>
  <si>
    <t>TE NII (bottom half)</t>
  </si>
  <si>
    <t>FY26 (S12)</t>
  </si>
  <si>
    <t>Noninterest income (high end)</t>
  </si>
  <si>
    <t>Net charge-offs (bp, ~37)</t>
  </si>
  <si>
    <t>TE tax rate (24% +/-)</t>
  </si>
  <si>
    <t>3Q26 implied by the latest FY26 guidance (derived; M&amp;T gives no quarterly revenue/EPS guidance)</t>
  </si>
  <si>
    <t>1H26 TE NII (actual)</t>
  </si>
  <si>
    <t>FY26 TE NII guide (bottom-half mid)</t>
  </si>
  <si>
    <t>Midpoint of the bottom half of $7.2-7.35bn</t>
  </si>
  <si>
    <t>Implied 3Q26 TE NII (half of 2H)</t>
  </si>
  <si>
    <t>Implied 3Q26 GAAP NII</t>
  </si>
  <si>
    <t>TE NII less model TE adjustment</t>
  </si>
  <si>
    <t>Implied 3Q26 noninterest income</t>
  </si>
  <si>
    <t>FY high end ($2.85bn) less 1H actual, halved</t>
  </si>
  <si>
    <t>Implied 3Q26 revenue</t>
  </si>
  <si>
    <t>Implied 3Q26 expense</t>
  </si>
  <si>
    <t>FY high end ($5.6bn) less 1H actual, halved</t>
  </si>
  <si>
    <t>Implied 3Q26 provision proxy</t>
  </si>
  <si>
    <t>~37bp FY NCO on $142bn avg loans less 1H NCO, halved (NCO used as provision proxy)</t>
  </si>
  <si>
    <t>Implied 3Q26 pretax income</t>
  </si>
  <si>
    <t>Implied 3Q26 GAAP tax</t>
  </si>
  <si>
    <t>24% TE rate applied to TE pretax, less TE adjustment</t>
  </si>
  <si>
    <t>Implied 3Q26 net income</t>
  </si>
  <si>
    <t>Implied 3Q26 NI to common</t>
  </si>
  <si>
    <t>Uses model preferred dividends and unvested allocation</t>
  </si>
  <si>
    <t>Implied 3Q26 diluted EPS</t>
  </si>
  <si>
    <t>Uses model diluted share count</t>
  </si>
  <si>
    <t>Shortcut 3Q26E diluted EPS</t>
  </si>
  <si>
    <t>Model less guidance-implied EPS</t>
  </si>
  <si>
    <t>Guidance has been conservative on fees and credit (track record above)</t>
  </si>
  <si>
    <t>Sources (all published before the 2026-10-11 22:24 UTC information cutoff; retrieved 2026-10-12 UTC)</t>
  </si>
  <si>
    <t>ID</t>
  </si>
  <si>
    <t>Published</t>
  </si>
  <si>
    <t>Publisher</t>
  </si>
  <si>
    <t>Retrieved</t>
  </si>
  <si>
    <t>What it feeds | document and URL / file</t>
  </si>
  <si>
    <t>S1</t>
  </si>
  <si>
    <t>S&amp;P Capital IQ (attached files)</t>
  </si>
  <si>
    <t>Feeds: Inputs, Cover, IS | MTB_consensus.json and MTB_history.csv (workspace attachments; SHA256 in artifacts/input-usage.json) - frozen consensus, six-quarter history, summary row</t>
  </si>
  <si>
    <t>S2</t>
  </si>
  <si>
    <t>M&amp;T Bank / SEC 8-K Ex.99.2</t>
  </si>
  <si>
    <t>Feeds: IS | 2Q26 earnings presentation - https://www.sec.gov/Archives/edgar/data/36270/000003627026000046/a2q26earningspresentatio.htm</t>
  </si>
  <si>
    <t>S3</t>
  </si>
  <si>
    <t>M&amp;T Bank IR (8-K Ex.99.1)</t>
  </si>
  <si>
    <t>Feeds: RS, IS, BS, SC | 2Q26 earnings release incl. five-quarter tables, mortgage &amp; other revenue detail - https://ir.mtb.com/static-files/bdc86fd4-ed14-4678-9a9e-966ee7a66ea9</t>
  </si>
  <si>
    <t>S4</t>
  </si>
  <si>
    <t>SEC EDGAR - Form 10-Q 2Q26</t>
  </si>
  <si>
    <t>Feeds: CF, Segments, SC | Cash flow 6M26/6M25, segment note, EPS note, deposits by segment - https://www.sec.gov/Archives/edgar/data/36270/000003627026000050/mtb-20260630.htm</t>
  </si>
  <si>
    <t>S5</t>
  </si>
  <si>
    <t>SEC EDGAR - Form 10-Q 3Q25</t>
  </si>
  <si>
    <t>Feeds: CF, Segments, SC | Cash flow 9M25, segments 3Q25/9M25/3Q24/9M24, EPS 3Q25 - https://www.sec.gov/Archives/edgar/data/36270/000003627025000024/mtb-20250930.htm</t>
  </si>
  <si>
    <t>S6</t>
  </si>
  <si>
    <t>SEC EDGAR - Form 10-K 2025</t>
  </si>
  <si>
    <t>Feeds: CF, Segments, IS | FY25 cash flow (R7), segment note (R57), cash policy; geography checked (no split) - https://www.sec.gov/Archives/edgar/data/36270/000003627026000010/mtb-20251231.htm ; https://www.sec.gov/Archives/edgar/data/36270/000003627026000010/R7.htm ; https://www.sec.gov/Archives/edgar/data/36270/000003627026000010/R57.htm</t>
  </si>
  <si>
    <t>SEC EDGAR - 8-K Ex.99.1 (recast)</t>
  </si>
  <si>
    <t>Feeds: RS, IS, BS | Unaudited supplemental historical financials on 3Q26 presentation (new fee categories, HFS split, recast averages) - https://www.sec.gov/Archives/edgar/data/36270/000003627026000054/ex991historicalfinancialin.htm</t>
  </si>
  <si>
    <t>S8</t>
  </si>
  <si>
    <t>SEC EDGAR - Form 10-Q 1Q26</t>
  </si>
  <si>
    <t>Feeds: CF, SC | Cash flow 3M26, EPS 1Q26 - https://www.sec.gov/Archives/edgar/data/36270/000003627026000034/mtb-20260331.htm</t>
  </si>
  <si>
    <t>S9</t>
  </si>
  <si>
    <t>SEC EDGAR - 8-K Ex.99.1 4Q25</t>
  </si>
  <si>
    <t>Feeds: IS, SC, Guidance | 4Q25/FY25 release: 4Q24 comparatives, NCO, provision detail, shares, CET1 - https://www.sec.gov/Archives/edgar/data/36270/000003627026000004/ex991release4q25.htm</t>
  </si>
  <si>
    <t>S10</t>
  </si>
  <si>
    <t>SEC EDGAR - 10-K EPS note (R114)</t>
  </si>
  <si>
    <t>Feeds: SC | FY25/FY24 basic EPS computation - https://www.sec.gov/Archives/edgar/data/36270/000003627026000010/R114.htm</t>
  </si>
  <si>
    <t>S11</t>
  </si>
  <si>
    <t>stockanalysis.com (Quartr transcript)</t>
  </si>
  <si>
    <t>Feeds: RS, IS, SC, Guidance | 2Q26 earnings call transcript: drivers, outlook, sub-servicing, buybacks - https://stockanalysis.com/stocks/mtb/transcripts/649590-q2-2026/</t>
  </si>
  <si>
    <t>S12</t>
  </si>
  <si>
    <t>SEC 8-K Ex.99.1 via StockTitan</t>
  </si>
  <si>
    <t>Feeds: Guidance, RS, IS | September 2026 investor update: 2026 outlook (NII bottom half, fees high end, expense high end, NCO ~37bp, TE tax 24%) - https://www.stocktitan.net/sec-filings/MTB/8-k-m-t-bank-corp-reports-material-event-0fc9261c55f0.html</t>
  </si>
  <si>
    <t>S13</t>
  </si>
  <si>
    <t>Feeds: RS, IS | Barclays Global Financial Services Conference: deposit pricing, economy, credit conservatism - https://stockanalysis.com/stocks/mtb/transcripts/740249-barclays-24th-annual-global-financial-services-conference/</t>
  </si>
  <si>
    <t>S14</t>
  </si>
  <si>
    <t>Feeds: Guidance | 4Q25 call: initial FY26 outlook - https://stockanalysis.com/stocks/mtb/transcripts/365035-q4-2025/</t>
  </si>
  <si>
    <t>S15</t>
  </si>
  <si>
    <t>M&amp;T Bank newsroom</t>
  </si>
  <si>
    <t>Feeds: Cover | 3Q26 earnings release before market open Friday 2026-10-16 - https://newsroom.mtb.com/2026-09-18-M-T-Bank-Corporation-Announces-Third-Quarter-2026-Earnings-Release-and-Conference-Call</t>
  </si>
  <si>
    <t>S16</t>
  </si>
  <si>
    <t>Federal Reserve</t>
  </si>
  <si>
    <t>Feeds: RS | FOMC raised target range 25bp to 3.75-4.00% effective 2026-09-17 - https://www.federalreserve.gov/newsevents/pressreleases/monetary20260916a.htm</t>
  </si>
  <si>
    <t>S17</t>
  </si>
  <si>
    <t>The Motley Fool (transcript)</t>
  </si>
  <si>
    <t>Feeds: Guidance | 1Q26 call: April outlook update - https://www.fool.com/earnings/call-transcripts/2026/04/15/mt-bank-mtb-q1-2026-earnings-call-transcript/</t>
  </si>
  <si>
    <t>S18</t>
  </si>
  <si>
    <t>SEC EDGAR - investor presentation</t>
  </si>
  <si>
    <t>Feeds: Guidance | 4Q25 outlook slide - https://www.sec.gov/Archives/edgar/data/36270/000003627025000026/mtb_4q25xinvestorpresent.htm</t>
  </si>
  <si>
    <t>S19</t>
  </si>
  <si>
    <t>Earnings Whispers</t>
  </si>
  <si>
    <t>Feeds: Inputs (memo) | Preview: consensus $5.00 (operating basis), whisper $5.12 - https://www.earningswhispers.com/article/MTB/20352</t>
  </si>
  <si>
    <t>S20</t>
  </si>
  <si>
    <t>MarketBeat</t>
  </si>
  <si>
    <t>Feeds: Inputs (memo) | Preview: EPS $4.93, revenue $2.5307bn - https://www.marketbeat.com/instant-alerts/upcoming-mt-bank-mtb-projected-to-post-quarterly-earnings-on-friday-2026-10-09/</t>
  </si>
  <si>
    <t>S21</t>
  </si>
  <si>
    <t>Benzinga</t>
  </si>
  <si>
    <t>Feeds: Inputs (memo), SC | Preview: EPS $4.92, revenue $2.52bn; price-target cuts; close $216.63 - https://www.benzinga.com/analyst-stock-ratings/price-target/26/10/62239046/m-here-are-the-recent-forecast-changes-from-wall-streets-most-accurate-analysts-4</t>
  </si>
  <si>
    <t>S22</t>
  </si>
  <si>
    <t>stockanalysis.com</t>
  </si>
  <si>
    <t>Feeds: Inputs (calibration) | Market cap $31.41bn at 2026-10-09 close ($217.49) - https://stockanalysis.com/stocks/mtb/market-cap/</t>
  </si>
  <si>
    <t>S23</t>
  </si>
  <si>
    <t>MarketBeat (4Q24 call summary)</t>
  </si>
  <si>
    <t>Feeds: Guidance | FY25 outlook: NII $7.1-7.2bn, fees $2.5-2.6bn, loans $137-139bn, deposits $164-166bn, NCO ~40bp - https://www.marketbeat.com/earnings/reports/2025-1-16-mt-bank-co-stock/</t>
  </si>
  <si>
    <t>S24</t>
  </si>
  <si>
    <t>Feeds: SC | 3Q26 common dividend $1.50 declared - https://newsroom.mtb.com/2026-08-18-M-T-Bank-Corporation-Announces-Third-Quarter-Common-Stock-Dividend</t>
  </si>
  <si>
    <t>S25</t>
  </si>
  <si>
    <t>Insider Monkey (transcript)</t>
  </si>
  <si>
    <t>Feeds: Guidance | 3Q25 call: FY25 expense outlook $5.4-5.5bn referenced as prior outlook - https://www.insidermonkey.com/blog/mt-bank-corporation-nysemtb-q3-2025-earnings-call-transcript-1629858/</t>
  </si>
  <si>
    <t>Omitted tab: Geo - M&amp;T reports no geographic revenue split (10-K 2025, S6, checked); effectively all revenue is U.S.</t>
  </si>
  <si>
    <t>No Dates, Consensus or Checks tabs by design: headers on each tab; consensus on Cover; check summary in artifacts/checks.md</t>
  </si>
  <si>
    <t>Target-quarter (3Q26) actual results: not seen; none published before the cutoff (release scheduled 2026-10-16, S15)</t>
  </si>
  <si>
    <t>Fiscal quarter: issuer calendar quarter ended 2026-09-30 = supplied label FQ3 2026 / Sep 2026 (both preserved)</t>
  </si>
  <si>
    <t>Inputs tab (last) embeds the complete CapIQ summary row and all six history rows; blanks preserved</t>
  </si>
  <si>
    <t>Retrieval limitation: all web pages were published before the cutoff but retrieved 2026-10-12 UTC (after the cutoff); no archived cutoff snapshots or hashes were captured, so later edits to mutable pages (S11, S13, S19-S22) cannot be excluded. CapIQ capture precision is date-only (2026-10-11)</t>
  </si>
  <si>
    <t>Inputs: CapIQ snapshot, prior-period comparatives, YTD source data, calibration</t>
  </si>
  <si>
    <t>Columns vary by section - use each section's own header row; no common period band applies on this tab</t>
  </si>
  <si>
    <t>A. S&amp;P Capital IQ summary row (MTB_consensus.json "summary_row"; raw, blanks preserved as empty)</t>
  </si>
  <si>
    <t>Field</t>
  </si>
  <si>
    <t>Value</t>
  </si>
  <si>
    <t>ticker</t>
  </si>
  <si>
    <t>company_name</t>
  </si>
  <si>
    <t>exchange_ticker</t>
  </si>
  <si>
    <t>NYSE:MTB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</si>
  <si>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</si>
  <si>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</si>
  <si>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</si>
  <si>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</si>
  <si>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</si>
  <si>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</si>
  <si>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</si>
  <si>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2026-09-30</t>
  </si>
  <si>
    <t>expected_report_date</t>
  </si>
  <si>
    <t>2026-10-16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</si>
  <si>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</si>
  <si>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</si>
  <si>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</si>
  <si>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</si>
  <si>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</si>
  <si>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</si>
  <si>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</si>
  <si>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</si>
  <si>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</si>
  <si>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</si>
  <si>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</si>
  <si>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</si>
  <si>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</si>
  <si>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</si>
  <si>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</si>
  <si>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</si>
  <si>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</si>
  <si>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</si>
  <si>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</si>
  <si>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</si>
  <si>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</si>
  <si>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</si>
  <si>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</si>
  <si>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</si>
  <si>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</si>
  <si>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</si>
  <si>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</si>
  <si>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</si>
  <si>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</si>
  <si>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</si>
  <si>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</si>
  <si>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</si>
  <si>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</si>
  <si>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</si>
  <si>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</si>
  <si>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</si>
  <si>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</si>
  <si>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</si>
  <si>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</si>
  <si>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</si>
  <si>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</si>
  <si>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</si>
  <si>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</si>
  <si>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</si>
  <si>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</si>
  <si>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</si>
  <si>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</si>
  <si>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</si>
  <si>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</si>
  <si>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</si>
  <si>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</si>
  <si>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</si>
  <si>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</si>
  <si>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</si>
  <si>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</si>
  <si>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</si>
  <si>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</si>
  <si>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</si>
  <si>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</si>
  <si>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255.95/174.76</t>
  </si>
  <si>
    <t>currency</t>
  </si>
  <si>
    <t>USD</t>
  </si>
  <si>
    <t>units</t>
  </si>
  <si>
    <t>per-share in USD; revenue and income in USD millions</t>
  </si>
  <si>
    <t>estimates_captured_at</t>
  </si>
  <si>
    <t>2026-10-11</t>
  </si>
  <si>
    <t>notes</t>
  </si>
  <si>
    <t>A GAAP EPS "Guidance 1.50" value looked like a different line item and was excluded.</t>
  </si>
  <si>
    <t>summary_sha256 (file field)</t>
  </si>
  <si>
    <t>edbf949d984075e582c0427440965f3f2b24f43d8e9ef3ba40bd5d158b8c8d16</t>
  </si>
  <si>
    <t>analyst_count (file field)</t>
  </si>
  <si>
    <t>as_of_date (file field)</t>
  </si>
  <si>
    <t>B. S&amp;P Capital IQ history (MTB_history.csv; all six rows, raw)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</si>
  <si>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</si>
  <si>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</si>
  <si>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</si>
  <si>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</si>
  <si>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</si>
  <si>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</si>
  <si>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</si>
  <si>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</si>
  <si>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2025-03-31</t>
  </si>
  <si>
    <t>2025-04-14</t>
  </si>
  <si>
    <t>2025-06-30</t>
  </si>
  <si>
    <t>2025-07-16</t>
  </si>
  <si>
    <t>2025-09-30</t>
  </si>
  <si>
    <t>2025-10-16</t>
  </si>
  <si>
    <t>2025-12-31</t>
  </si>
  <si>
    <t>2026-01-16</t>
  </si>
  <si>
    <t>2026-03-31</t>
  </si>
  <si>
    <t>2026-04-15</t>
  </si>
  <si>
    <t>2026-06-30</t>
  </si>
  <si>
    <t>2026-07-15</t>
  </si>
  <si>
    <t>C. Prior-period comparatives (aligned: col B=3Q24, C=4Q24, D=FY24, E=1Q25, F=2Q25) - recast per S7 where available; blank = not available in sources used</t>
  </si>
  <si>
    <t>Line</t>
  </si>
  <si>
    <t>3Q24</t>
  </si>
  <si>
    <t>4Q24</t>
  </si>
  <si>
    <t>FY24</t>
  </si>
  <si>
    <t>1Q25</t>
  </si>
  <si>
    <t>2Q25</t>
  </si>
  <si>
    <t>Source</t>
  </si>
  <si>
    <t>S7 (recast); 3Q24 S5; 4Q24 S9</t>
  </si>
  <si>
    <t>Taxable-equivalent adjustment</t>
  </si>
  <si>
    <t>Trust &amp; investment services income</t>
  </si>
  <si>
    <t>Service charges on deposit accounts</t>
  </si>
  <si>
    <t>Letter of credit &amp; credit-related fees</t>
  </si>
  <si>
    <t>BOLI revenue</t>
  </si>
  <si>
    <t>Equipment operating lease income</t>
  </si>
  <si>
    <t>BLG income</t>
  </si>
  <si>
    <t>CIT earnout</t>
  </si>
  <si>
    <t>Gain on loan portfolio sale</t>
  </si>
  <si>
    <t>Gain on sale of subsidiary</t>
  </si>
  <si>
    <t>Other (within other revenues)</t>
  </si>
  <si>
    <t>Total other income</t>
  </si>
  <si>
    <t>Outside data processing &amp; software</t>
  </si>
  <si>
    <t>Equipment &amp; net occupancy</t>
  </si>
  <si>
    <t>Professional &amp; other services</t>
  </si>
  <si>
    <t>FDIC assessments</t>
  </si>
  <si>
    <t>Advertising &amp; marketing</t>
  </si>
  <si>
    <t>Amortization of CDI &amp; other intangibles</t>
  </si>
  <si>
    <t>Other costs of operations</t>
  </si>
  <si>
    <t>Total other expense</t>
  </si>
  <si>
    <t>Preferred dividends</t>
  </si>
  <si>
    <t>Income to unvested awards</t>
  </si>
  <si>
    <t>Other revenues (sum)</t>
  </si>
  <si>
    <t>S7/S5/S9</t>
  </si>
  <si>
    <t>Diluted EPS (reported)</t>
  </si>
  <si>
    <t>Basic EPS (reported)</t>
  </si>
  <si>
    <t>S5/S9/S10</t>
  </si>
  <si>
    <t>Diluted weighted shares (m)</t>
  </si>
  <si>
    <t>Basic weighted shares (m)</t>
  </si>
  <si>
    <t>S5/S9/S10; 4Q24 implied = NIAC / basic EPS</t>
  </si>
  <si>
    <t>Days basis for annualization</t>
  </si>
  <si>
    <t>Calendar days; FY24 = 365 so full-year ratios are not re-annualized (FY24 had 366 days)</t>
  </si>
  <si>
    <t>Avg balance: ibdep</t>
  </si>
  <si>
    <t>Avg rate: ibdep</t>
  </si>
  <si>
    <t>Avg balance: sec</t>
  </si>
  <si>
    <t>Avg rate: sec</t>
  </si>
  <si>
    <t>Avg balance: hfs</t>
  </si>
  <si>
    <t>Avg rate: hfs</t>
  </si>
  <si>
    <t>Avg balance: ci</t>
  </si>
  <si>
    <t>Avg rate: ci</t>
  </si>
  <si>
    <t>Avg balance: cre</t>
  </si>
  <si>
    <t>Avg rate: cre</t>
  </si>
  <si>
    <t>Avg balance: resi</t>
  </si>
  <si>
    <t>Avg rate: resi</t>
  </si>
  <si>
    <t>Avg balance: cons</t>
  </si>
  <si>
    <t>Avg rate: cons</t>
  </si>
  <si>
    <t>Avg balance: oth</t>
  </si>
  <si>
    <t>Avg rate: oth</t>
  </si>
  <si>
    <t>Avg balance: sav</t>
  </si>
  <si>
    <t>Avg rate: sav</t>
  </si>
  <si>
    <t>Avg balance: time</t>
  </si>
  <si>
    <t>Avg rate: time</t>
  </si>
  <si>
    <t>Avg balance: stb</t>
  </si>
  <si>
    <t>Avg rate: stb</t>
  </si>
  <si>
    <t>Avg balance: ltb</t>
  </si>
  <si>
    <t>Avg rate: ltb</t>
  </si>
  <si>
    <t>Yield on earning assets (reported)</t>
  </si>
  <si>
    <t>Cost of IB liabilities (reported)</t>
  </si>
  <si>
    <t>EOP: cash</t>
  </si>
  <si>
    <t>S7 (12/31/24 per S7 recast)</t>
  </si>
  <si>
    <t>EOP: ibdep</t>
  </si>
  <si>
    <t>EOP: sec</t>
  </si>
  <si>
    <t>EOP: hfs</t>
  </si>
  <si>
    <t>EOP: ci</t>
  </si>
  <si>
    <t>EOP: cre</t>
  </si>
  <si>
    <t>EOP: resi</t>
  </si>
  <si>
    <t>EOP: cons</t>
  </si>
  <si>
    <t>EOP: alll</t>
  </si>
  <si>
    <t>EOP: gw</t>
  </si>
  <si>
    <t>EOP: cdi</t>
  </si>
  <si>
    <t>EOP: oa</t>
  </si>
  <si>
    <t>EOP: nib</t>
  </si>
  <si>
    <t>EOP: ibd</t>
  </si>
  <si>
    <t>EOP: stb</t>
  </si>
  <si>
    <t>EOP: ltb</t>
  </si>
  <si>
    <t>EOP: ol</t>
  </si>
  <si>
    <t>EOP: pref</t>
  </si>
  <si>
    <t>EOP: common</t>
  </si>
  <si>
    <t>EOP: nonaccrual</t>
  </si>
  <si>
    <t>EOP: unfunded</t>
  </si>
  <si>
    <t>Loans sub-serviced, EOP (UPB)</t>
  </si>
  <si>
    <t>Period-end shares (m)</t>
  </si>
  <si>
    <t>S9/S3</t>
  </si>
  <si>
    <t>EOP: total loans HFI</t>
  </si>
  <si>
    <t>Formula</t>
  </si>
  <si>
    <t>EOP: total deposits</t>
  </si>
  <si>
    <t>EOP: common equity</t>
  </si>
  <si>
    <t>Shares repurchased 1H25 (m)</t>
  </si>
  <si>
    <t>S4 MD&amp;A: 9.5m shares, $1.74bn in 1H25</t>
  </si>
  <si>
    <t>Repurchase cost 1H25 ($m)</t>
  </si>
  <si>
    <t>S4 MD&amp;A</t>
  </si>
  <si>
    <t>D. Cash flow statement - year-to-date as reported (S4, S5, S6, S8). 9M25 restated to current cash definition (incl. interest-bearing deposits at banks)</t>
  </si>
  <si>
    <t>6M25 (S4)</t>
  </si>
  <si>
    <t>9M25 as rep. (S5)</t>
  </si>
  <si>
    <t>9M25 restated</t>
  </si>
  <si>
    <t>FY25 (S6)</t>
  </si>
  <si>
    <t>3M26 (S8)</t>
  </si>
  <si>
    <t>6M26 (S4)</t>
  </si>
  <si>
    <t>Note</t>
  </si>
  <si>
    <t>Depreciation of premises &amp; equipment</t>
  </si>
  <si>
    <t>Amortization of servicing rights</t>
  </si>
  <si>
    <t>Amortization of CDI</t>
  </si>
  <si>
    <t>Deferred income taxes</t>
  </si>
  <si>
    <t>Asset write-downs</t>
  </si>
  <si>
    <t>Net gain on sales of assets</t>
  </si>
  <si>
    <t>Net change in accrued interest</t>
  </si>
  <si>
    <t>Net change in other accrued items</t>
  </si>
  <si>
    <t>Net change in loans held for sale</t>
  </si>
  <si>
    <t>Net change in trading &amp; derivatives</t>
  </si>
  <si>
    <t>Proceeds from sales: AFS securities</t>
  </si>
  <si>
    <t>Proceeds from sales: equity &amp; other</t>
  </si>
  <si>
    <t>Proceeds from sales: loans</t>
  </si>
  <si>
    <t>Maturities: AFS</t>
  </si>
  <si>
    <t>Maturities: HTM</t>
  </si>
  <si>
    <t>Purchases: AFS</t>
  </si>
  <si>
    <t>Purchases: HTM</t>
  </si>
  <si>
    <t>Purchases: equity &amp; other</t>
  </si>
  <si>
    <t>Purchases: loans</t>
  </si>
  <si>
    <t>Net change in loans</t>
  </si>
  <si>
    <t>Change in IB deposits at banks (old)</t>
  </si>
  <si>
    <t>Capital expenditures, net</t>
  </si>
  <si>
    <t>Change in servicing advances</t>
  </si>
  <si>
    <t>Other investing, net</t>
  </si>
  <si>
    <t>Net change in deposits</t>
  </si>
  <si>
    <t>Net change in short-term borrowings</t>
  </si>
  <si>
    <t>Proceeds from long-term borrowings</t>
  </si>
  <si>
    <t>Payments on long-term borrowings</t>
  </si>
  <si>
    <t>Issuance of preferred stock</t>
  </si>
  <si>
    <t>Redemption of preferred stock</t>
  </si>
  <si>
    <t>Purchases of treasury stock</t>
  </si>
  <si>
    <t>Dividends paid - common</t>
  </si>
  <si>
    <t>Dividends paid - preferred</t>
  </si>
  <si>
    <t>Other financing, net</t>
  </si>
  <si>
    <t>CFO (reported total)</t>
  </si>
  <si>
    <t>CFI (reported total)</t>
  </si>
  <si>
    <t>CFF (reported total)</t>
  </si>
  <si>
    <t>Check: lines - reported totals (=0)</t>
  </si>
  <si>
    <t>E. Segment information as reported (S4 note 15, S5 note 15, S6 note 21). Periods as labelled</t>
  </si>
  <si>
    <t>Segment / line</t>
  </si>
  <si>
    <t>3Q24 (S5)</t>
  </si>
  <si>
    <t>9M24 (S5)</t>
  </si>
  <si>
    <t>FY24 (S6)</t>
  </si>
  <si>
    <t>2Q25 (S4)</t>
  </si>
  <si>
    <t>9M25 (S5)</t>
  </si>
  <si>
    <t xml:space="preserve">  Net interest income</t>
  </si>
  <si>
    <t xml:space="preserve">  Noninterest income</t>
  </si>
  <si>
    <t xml:space="preserve">  Total revenue</t>
  </si>
  <si>
    <t xml:space="preserve">  Depreciation &amp; amortization</t>
  </si>
  <si>
    <t xml:space="preserve">  Other direct expenses</t>
  </si>
  <si>
    <t xml:space="preserve">  Indirect expense</t>
  </si>
  <si>
    <t xml:space="preserve">  Income before taxes</t>
  </si>
  <si>
    <t xml:space="preserve">  Income tax expense</t>
  </si>
  <si>
    <t xml:space="preserve">  Average total assets</t>
  </si>
  <si>
    <t>Institutional Services &amp; Wealth Mgmt</t>
  </si>
  <si>
    <t>All Other</t>
  </si>
  <si>
    <t>F. Segment prior-period comparatives (aligned: B=3Q24, C=4Q24, D=FY24, E=1Q25, F=2Q25; C and E derived; average assets day-weighted using row 346)</t>
  </si>
  <si>
    <t>Days in period (calendar)</t>
  </si>
  <si>
    <t>FY24 leap year = 366, so 9M24 = 274; 6M25 = 90 + 91 = 181. Used for day-weighted average-asset back-outs above; distinct from row 135 annualization basis (FY24 = 365 by design)</t>
  </si>
  <si>
    <t>G. Average deposits by segment (S4 MD&amp;A for 1Q26/2Q26/2Q25; S5 MD&amp;A for 3Q25). NIB / savings &amp; interest-checking / time</t>
  </si>
  <si>
    <t>3Q25</t>
  </si>
  <si>
    <t>2Q25 (pre-redesignation)</t>
  </si>
  <si>
    <t>1Q26</t>
  </si>
  <si>
    <t>2Q26</t>
  </si>
  <si>
    <t>Commercial: NIB deposits</t>
  </si>
  <si>
    <t>Commercial: Savings &amp; int.-checking</t>
  </si>
  <si>
    <t>Commercial: Time deposits</t>
  </si>
  <si>
    <t>Retail: NIB deposits</t>
  </si>
  <si>
    <t>Retail: Savings &amp; int.-checking</t>
  </si>
  <si>
    <t>Retail: Time deposits</t>
  </si>
  <si>
    <t>ISWM: NIB deposits</t>
  </si>
  <si>
    <t>ISWM: Savings &amp; int.-checking</t>
  </si>
  <si>
    <t>ISWM: Time deposits</t>
  </si>
  <si>
    <t>H. Consensus at cutoff (frozen scoring baseline) and newer/other consensus (recorded separately)</t>
  </si>
  <si>
    <t>Item</t>
  </si>
  <si>
    <t>Source / date</t>
  </si>
  <si>
    <t>Frozen consensus norm. EPS (n=15)</t>
  </si>
  <si>
    <t>CapIQ snapshot 2026-10-11 (S1)</t>
  </si>
  <si>
    <t>Consensus GAAP EPS (n=18)</t>
  </si>
  <si>
    <t>Consensus revenue (n=9)</t>
  </si>
  <si>
    <t>Consensus net income (CapIQ)</t>
  </si>
  <si>
    <t>CapIQ snapshot (S1); basis unverified</t>
  </si>
  <si>
    <t>Consensus EBT GAAP</t>
  </si>
  <si>
    <t>CapIQ snapshot (S1)</t>
  </si>
  <si>
    <t>Consensus tax rate (CapIQ)</t>
  </si>
  <si>
    <t>Other: MarketBeat EPS</t>
  </si>
  <si>
    <t>MarketBeat 2026-10-09 (S20) - recorded only</t>
  </si>
  <si>
    <t>Other: MarketBeat revenue</t>
  </si>
  <si>
    <t>Earnings Whispers 2026-10-08 (S19) - recorded only</t>
  </si>
  <si>
    <t>Other: whisper number (oper.)</t>
  </si>
  <si>
    <t>Other: Benzinga EPS</t>
  </si>
  <si>
    <t>Benzinga 2026-10-08 (S21) - recorded only</t>
  </si>
  <si>
    <t>I. Size-aware starting probability (playbook section 7) - see artifacts/prior-calibration.json</t>
  </si>
  <si>
    <t>Source / note</t>
  </si>
  <si>
    <t>stockanalysis.com market cap page, data as of 2026-10-09 (S22)</t>
  </si>
  <si>
    <t>CapIQ summary row sp500_member = Y (S1)</t>
  </si>
  <si>
    <t>Size bucket</t>
  </si>
  <si>
    <t>large (&gt;$10bn)</t>
  </si>
  <si>
    <t>Playbook definition</t>
  </si>
  <si>
    <t>Playbook section 7 (forecasting-playbook.md saved in original run workspace, sha256 1f08987c...): 0.60 small / 0.70 mid / 0.78 large OR S&amp;P 500, applied once</t>
  </si>
  <si>
    <t>Formula over section B</t>
  </si>
  <si>
    <t>Valid pairs (n)</t>
  </si>
  <si>
    <t>All six pairs valid; normalized basis consistent</t>
  </si>
  <si>
    <t>Pseudo-count</t>
  </si>
  <si>
    <t>Playbook section 7 fixed experimental regularization weight (8 pseudo-observations)</t>
  </si>
  <si>
    <t>Starting p = (k*prior+b)/(k+n)</t>
  </si>
  <si>
    <t>Mean surprise ($/sh)</t>
  </si>
  <si>
    <t>Judgment (retained): model EPS above consensus (+$0.20) offset by BLG/credit/notable-item risk; evidence list in saved prior-calibration.json (sha256 e1f2a050...). The -2.3pp net override magnitude is not itemized in the saved file (unresolved provenance; not re-derived)</t>
  </si>
  <si>
    <t>medium</t>
  </si>
  <si>
    <t>Judgment</t>
  </si>
  <si>
    <t>J. FY2025 reported totals (S6 10-K / S9 4Q25 release) used for annual reconciliation checks</t>
  </si>
  <si>
    <t>FY25</t>
  </si>
</sst>
</file>

<file path=xl/styles.xml><?xml version="1.0" encoding="utf-8"?>
<styleSheet xmlns="http://schemas.openxmlformats.org/spreadsheetml/2006/main">
  <numFmts count="10">
    <numFmt numFmtId="164" formatCode="#,##0.0_);(#,##0.0);–_)"/>
    <numFmt numFmtId="165" formatCode="$0.00_);($0.00);–_)"/>
    <numFmt numFmtId="166" formatCode="0.0%_);(0.0%);–_)"/>
    <numFmt numFmtId="167" formatCode="yyyy-mm-dd"/>
    <numFmt numFmtId="168" formatCode="0.00%_);(0.00%);–_)"/>
    <numFmt numFmtId="169" formatCode="#,##0_);(#,##0);–_)"/>
    <numFmt numFmtId="170" formatCode="0"/>
    <numFmt numFmtId="171" formatCode="@"/>
    <numFmt numFmtId="172" formatCode="General"/>
    <numFmt numFmtId="173" formatCode="#,##0.0_);(#,##0.0);&quot;n.f.&quot;_)"/>
  </numFmts>
  <fonts count="30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595959"/>
      <name val="Arial"/>
    </font>
    <font>
      <b/>
      <i/>
      <strike val="0"/>
      <sz val="10"/>
      <color rgb="FF000000"/>
      <name val="Arial"/>
    </font>
    <font>
      <b/>
      <i val="0"/>
      <strike val="0"/>
      <sz val="14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595959"/>
      <name val="Arial"/>
    </font>
  </fonts>
  <fills count="4">
    <fill>
      <patternFill patternType="none"/>
    </fill>
    <fill>
      <patternFill patternType="gray125"/>
    </fill>
    <fill>
      <patternFill patternType="solid">
        <fgColor rgb="FFEAF1FB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13">
    <xf numFmtId="0" fontId="0" fillId="0" borderId="0" xfId="0"/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0" fontId="6" fillId="3" borderId="1" xfId="0" applyFont="1" applyFill="1" applyBorder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6" fontId="7" fillId="0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164" fontId="9" fillId="0" borderId="1" xfId="0" applyNumberFormat="1" applyFont="1" applyFill="1" applyBorder="1" applyAlignment="1" applyProtection="1">
      <alignment horizontal="right" vertical="bottom"/>
      <protection locked="1" hidden="0"/>
    </xf>
    <xf numFmtId="166" fontId="8" fillId="2" borderId="0" xfId="0" applyNumberFormat="1" applyFont="1" applyFill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5" fontId="6" fillId="0" borderId="1" xfId="0" applyNumberFormat="1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166" fontId="8" fillId="0" borderId="0" xfId="0" applyNumberFormat="1" applyFont="1" applyFill="1" applyAlignment="1" applyProtection="1">
      <alignment horizontal="right" vertical="bottom"/>
      <protection locked="1" hidden="0"/>
    </xf>
    <xf numFmtId="168" fontId="8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164" fontId="6" fillId="0" borderId="1" xfId="0" applyNumberFormat="1" applyFont="1" applyFill="1" applyBorder="1" applyAlignment="1" applyProtection="1">
      <alignment horizontal="right" vertical="bottom"/>
      <protection locked="1" hidden="0"/>
    </xf>
    <xf numFmtId="169" fontId="5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70" fontId="2" fillId="2" borderId="2" xfId="0" applyNumberFormat="1" applyFont="1" applyFill="1" applyBorder="1" applyAlignment="1" applyProtection="1">
      <alignment horizontal="right" vertical="bottom"/>
      <protection locked="1" hidden="0"/>
    </xf>
    <xf numFmtId="164" fontId="8" fillId="0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0" fontId="6" fillId="3" borderId="1" xfId="0" applyFont="1" applyFill="1" applyBorder="1" applyAlignment="1" applyProtection="1">
      <alignment horizontal="general" vertical="bottom"/>
      <protection locked="1" hidden="0"/>
    </xf>
    <xf numFmtId="164" fontId="5" fillId="2" borderId="0" xfId="0" applyNumberFormat="1" applyFont="1" applyFill="1" applyAlignment="1" applyProtection="1">
      <alignment horizontal="right" vertical="bottom"/>
      <protection locked="1" hidden="0"/>
    </xf>
    <xf numFmtId="170" fontId="2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7" fillId="2" borderId="0" xfId="0" applyNumberFormat="1" applyFont="1" applyFill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164" fontId="6" fillId="2" borderId="1" xfId="0" applyNumberFormat="1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6" fillId="0" borderId="2" xfId="0" applyFont="1" applyFill="1" applyBorder="1" applyAlignment="1" applyProtection="1">
      <alignment horizontal="general" vertical="bottom" wrapText="1"/>
      <protection locked="1" hidden="0"/>
    </xf>
    <xf numFmtId="0" fontId="6" fillId="0" borderId="2" xfId="0" applyFont="1" applyFill="1" applyBorder="1" applyAlignment="1" applyProtection="1">
      <alignment horizontal="right" vertical="bottom" wrapText="1"/>
      <protection locked="1" hidden="0"/>
    </xf>
    <xf numFmtId="165" fontId="11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165" fontId="6" fillId="2" borderId="1" xfId="0" applyNumberFormat="1" applyFont="1" applyFill="1" applyBorder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6" fontId="12" fillId="2" borderId="0" xfId="0" applyNumberFormat="1" applyFont="1" applyFill="1" applyAlignment="1" applyProtection="1">
      <alignment horizontal="right" vertical="bottom"/>
      <protection locked="1" hidden="0"/>
    </xf>
    <xf numFmtId="0" fontId="13" fillId="0" borderId="2" xfId="0" applyFont="1" applyFill="1" applyBorder="1" applyAlignment="1" applyProtection="1">
      <alignment horizontal="general" vertical="bottom" wrapText="1"/>
      <protection locked="1" hidden="0"/>
    </xf>
    <xf numFmtId="164" fontId="8" fillId="2" borderId="0" xfId="0" applyNumberFormat="1" applyFont="1" applyFill="1" applyAlignment="1" applyProtection="1">
      <alignment horizontal="right" vertical="bottom"/>
      <protection locked="1" hidden="0"/>
    </xf>
    <xf numFmtId="166" fontId="14" fillId="0" borderId="1" xfId="0" applyNumberFormat="1" applyFont="1" applyFill="1" applyBorder="1" applyAlignment="1" applyProtection="1">
      <alignment horizontal="right" vertical="bottom"/>
      <protection locked="1" hidden="0"/>
    </xf>
    <xf numFmtId="0" fontId="6" fillId="2" borderId="1" xfId="0" applyFont="1" applyFill="1" applyBorder="1" applyAlignment="1" applyProtection="1">
      <alignment horizontal="right" vertical="bottom"/>
      <protection locked="1" hidden="0"/>
    </xf>
    <xf numFmtId="168" fontId="12" fillId="2" borderId="0" xfId="0" applyNumberFormat="1" applyFont="1" applyFill="1" applyAlignment="1" applyProtection="1">
      <alignment horizontal="right" vertical="bottom"/>
      <protection locked="1" hidden="0"/>
    </xf>
    <xf numFmtId="168" fontId="8" fillId="2" borderId="0" xfId="0" applyNumberFormat="1" applyFont="1" applyFill="1" applyAlignment="1" applyProtection="1">
      <alignment horizontal="right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166" fontId="7" fillId="2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left" vertical="bottom"/>
      <protection locked="1" hidden="0"/>
    </xf>
    <xf numFmtId="167" fontId="1" fillId="0" borderId="0" xfId="0" applyNumberFormat="1" applyFont="1" applyFill="1" applyAlignment="1" applyProtection="1">
      <alignment horizontal="left" vertical="bottom"/>
      <protection locked="1" hidden="0"/>
    </xf>
    <xf numFmtId="0" fontId="6" fillId="0" borderId="2" xfId="0" applyFont="1" applyFill="1" applyBorder="1" applyAlignment="1" applyProtection="1">
      <alignment horizontal="left" vertical="bottom" wrapText="1"/>
      <protection locked="1" hidden="0"/>
    </xf>
    <xf numFmtId="167" fontId="12" fillId="0" borderId="0" xfId="0" applyNumberFormat="1" applyFont="1" applyFill="1" applyAlignment="1" applyProtection="1">
      <alignment horizontal="right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0" fontId="15" fillId="0" borderId="0" xfId="0" applyFont="1" applyFill="1" applyAlignment="1" applyProtection="1">
      <alignment horizontal="general" vertical="bottom"/>
      <protection locked="1" hidden="0"/>
    </xf>
    <xf numFmtId="166" fontId="12" fillId="0" borderId="0" xfId="0" applyNumberFormat="1" applyFont="1" applyFill="1" applyAlignment="1" applyProtection="1">
      <alignment horizontal="right" vertical="bottom"/>
      <protection locked="1" hidden="0"/>
    </xf>
    <xf numFmtId="168" fontId="8" fillId="0" borderId="0" xfId="0" applyNumberFormat="1" applyFont="1" applyFill="1" applyAlignment="1" applyProtection="1">
      <alignment horizontal="general" vertical="bottom"/>
      <protection locked="1" hidden="0"/>
    </xf>
    <xf numFmtId="168" fontId="12" fillId="0" borderId="0" xfId="0" applyNumberFormat="1" applyFont="1" applyFill="1" applyAlignment="1" applyProtection="1">
      <alignment horizontal="right" vertical="bottom"/>
      <protection locked="1" hidden="0"/>
    </xf>
    <xf numFmtId="167" fontId="6" fillId="0" borderId="1" xfId="0" applyNumberFormat="1" applyFont="1" applyFill="1" applyBorder="1" applyAlignment="1" applyProtection="1">
      <alignment horizontal="right" vertical="bottom"/>
      <protection locked="1" hidden="0"/>
    </xf>
    <xf numFmtId="167" fontId="6" fillId="0" borderId="2" xfId="0" applyNumberFormat="1" applyFont="1" applyFill="1" applyBorder="1" applyAlignment="1" applyProtection="1">
      <alignment horizontal="right" vertical="bottom" wrapText="1"/>
      <protection locked="1" hidden="0"/>
    </xf>
    <xf numFmtId="164" fontId="11" fillId="0" borderId="1" xfId="0" applyNumberFormat="1" applyFont="1" applyFill="1" applyBorder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general" vertical="bottom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166" fontId="8" fillId="0" borderId="0" xfId="0" applyNumberFormat="1" applyFont="1" applyFill="1" applyAlignment="1" applyProtection="1">
      <alignment horizontal="general" vertical="bottom"/>
      <protection locked="1" hidden="0"/>
    </xf>
    <xf numFmtId="168" fontId="12" fillId="0" borderId="0" xfId="0" applyNumberFormat="1" applyFont="1" applyFill="1" applyAlignment="1" applyProtection="1">
      <alignment horizontal="general" vertical="bottom"/>
      <protection locked="1" hidden="0"/>
    </xf>
    <xf numFmtId="164" fontId="11" fillId="2" borderId="1" xfId="0" applyNumberFormat="1" applyFont="1" applyFill="1" applyBorder="1" applyAlignment="1" applyProtection="1">
      <alignment horizontal="right" vertical="bottom"/>
      <protection locked="1" hidden="0"/>
    </xf>
    <xf numFmtId="164" fontId="6" fillId="0" borderId="1" xfId="0" applyNumberFormat="1" applyFont="1" applyFill="1" applyBorder="1" applyAlignment="1" applyProtection="1">
      <alignment horizontal="general" vertical="bottom"/>
      <protection locked="1" hidden="0"/>
    </xf>
    <xf numFmtId="171" fontId="2" fillId="0" borderId="0" xfId="0" applyNumberFormat="1" applyFont="1" applyFill="1" applyAlignment="1" applyProtection="1">
      <alignment horizontal="general" vertical="bottom"/>
      <protection locked="1" hidden="0"/>
    </xf>
    <xf numFmtId="164" fontId="9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general" vertical="bottom"/>
      <protection locked="1" hidden="0"/>
    </xf>
    <xf numFmtId="169" fontId="2" fillId="0" borderId="0" xfId="0" applyNumberFormat="1" applyFont="1" applyFill="1" applyAlignment="1" applyProtection="1">
      <alignment horizontal="general" vertical="bottom"/>
      <protection locked="1" hidden="0"/>
    </xf>
    <xf numFmtId="166" fontId="12" fillId="0" borderId="0" xfId="0" applyNumberFormat="1" applyFont="1" applyFill="1" applyAlignment="1" applyProtection="1">
      <alignment horizontal="general" vertical="bottom"/>
      <protection locked="1" hidden="0"/>
    </xf>
    <xf numFmtId="172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8" fillId="3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2" fontId="18" fillId="0" borderId="2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4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2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18" fillId="0" borderId="2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2" fontId="2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4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1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5" fillId="0" borderId="2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0" fontId="26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7" fontId="2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7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2" fontId="2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2" fontId="29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28575</xdr:colOff>
      <xdr:row>0</xdr:row>
      <xdr:rowOff>19050</xdr:rowOff>
    </xdr:from>
    <xdr:ext cx="571500" cy="57150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showGridLines="0" tabSelected="1" workbookViewId="0"/>
  </sheetViews>
  <sheetFormatPr defaultRowHeight="15"/>
  <cols>
    <col min="1" max="1" width="34" customWidth="1"/>
    <col min="2" max="7" width="12" customWidth="1"/>
    <col min="8" max="8" width="70" customWidth="1"/>
  </cols>
  <sheetData>
    <row r="1" ht="15.75">
      <c r="A1" s="5" t="s">
        <v>0</v>
      </c>
      <c r="B1" s="6"/>
      <c r="C1" s="6"/>
      <c r="D1" s="6"/>
      <c r="E1" s="6"/>
      <c r="F1" s="6"/>
      <c r="G1" s="6"/>
      <c r="H1" s="6"/>
    </row>
    <row r="2" ht="15.75">
      <c r="A2" s="28" t="s">
        <v>1</v>
      </c>
      <c r="B2" s="6"/>
      <c r="C2" s="6"/>
      <c r="D2" s="6"/>
      <c r="E2" s="6"/>
      <c r="F2" s="6"/>
      <c r="G2" s="6"/>
      <c r="H2" s="6"/>
    </row>
    <row r="3" ht="15.75">
      <c r="A3" s="12" t="s">
        <v>2</v>
      </c>
      <c r="B3" s="6"/>
      <c r="C3" s="6"/>
      <c r="D3" s="6"/>
      <c r="E3" s="6"/>
      <c r="F3" s="6"/>
      <c r="G3" s="6"/>
      <c r="H3" s="6"/>
    </row>
    <row r="4">
      <c r="A4" s="34" t="s">
        <v>3</v>
      </c>
      <c r="B4" s="92" t="s">
        <v>4</v>
      </c>
      <c r="C4" s="9"/>
      <c r="D4" s="9"/>
      <c r="E4" s="9"/>
      <c r="F4" s="9"/>
      <c r="G4" s="110"/>
      <c r="H4" s="34" t="s">
        <v>5</v>
      </c>
    </row>
    <row r="5">
      <c r="A5" s="30"/>
      <c r="B5" s="22"/>
      <c r="C5" s="22"/>
      <c r="D5" s="22"/>
      <c r="E5" s="22"/>
      <c r="F5" s="22"/>
      <c r="G5" s="109"/>
      <c r="H5" s="30"/>
    </row>
    <row r="6">
      <c r="A6" s="25"/>
      <c r="B6" s="36"/>
      <c r="C6" s="36"/>
      <c r="D6" s="36"/>
      <c r="E6" s="36"/>
      <c r="F6" s="36"/>
      <c r="G6" s="108"/>
      <c r="H6" s="25"/>
    </row>
    <row r="7">
      <c r="A7" s="6"/>
      <c r="B7" s="6"/>
      <c r="C7" s="6"/>
      <c r="D7" s="6"/>
      <c r="E7" s="6"/>
      <c r="F7" s="6"/>
      <c r="G7" s="6"/>
      <c r="H7" s="6"/>
    </row>
    <row r="8">
      <c r="A8" s="67" t="s">
        <v>6</v>
      </c>
      <c r="B8" s="11"/>
      <c r="C8" s="11"/>
      <c r="D8" s="11"/>
      <c r="E8" s="11"/>
      <c r="F8" s="11"/>
      <c r="G8" s="11"/>
      <c r="H8" s="12"/>
    </row>
    <row r="9">
      <c r="A9" s="6"/>
      <c r="B9" s="11"/>
      <c r="C9" s="11"/>
      <c r="D9" s="11"/>
      <c r="E9" s="11"/>
      <c r="F9" s="11"/>
      <c r="G9" s="11"/>
      <c r="H9" s="12"/>
    </row>
    <row r="10">
      <c r="A10" s="6" t="s">
        <v>7</v>
      </c>
      <c r="B10" s="49" t="s">
        <v>8</v>
      </c>
      <c r="C10" s="11"/>
      <c r="D10" s="11"/>
      <c r="E10" s="11"/>
      <c r="F10" s="11"/>
      <c r="G10" s="11"/>
      <c r="H10" s="12"/>
    </row>
    <row r="11">
      <c r="A11" s="6" t="s">
        <v>9</v>
      </c>
      <c r="B11" s="49" t="s">
        <v>10</v>
      </c>
      <c r="C11" s="11"/>
      <c r="D11" s="11"/>
      <c r="E11" s="11"/>
      <c r="F11" s="11"/>
      <c r="G11" s="11"/>
      <c r="H11" s="12"/>
    </row>
    <row r="12">
      <c r="A12" s="6" t="s">
        <v>11</v>
      </c>
      <c r="B12" s="49" t="s">
        <v>12</v>
      </c>
      <c r="C12" s="11"/>
      <c r="D12" s="11"/>
      <c r="E12" s="11"/>
      <c r="F12" s="11"/>
      <c r="G12" s="11"/>
      <c r="H12" s="12"/>
    </row>
    <row r="13">
      <c r="A13" s="6" t="s">
        <v>13</v>
      </c>
      <c r="B13" s="49" t="s">
        <v>14</v>
      </c>
      <c r="C13" s="11"/>
      <c r="D13" s="11"/>
      <c r="E13" s="11"/>
      <c r="F13" s="11"/>
      <c r="G13" s="11"/>
      <c r="H13" s="12"/>
    </row>
    <row r="14">
      <c r="A14" s="6" t="s">
        <v>15</v>
      </c>
      <c r="B14" s="49" t="s">
        <v>16</v>
      </c>
      <c r="C14" s="11"/>
      <c r="D14" s="11"/>
      <c r="E14" s="11"/>
      <c r="F14" s="11"/>
      <c r="G14" s="11"/>
      <c r="H14" s="12"/>
    </row>
    <row r="15">
      <c r="A15" s="6" t="s">
        <v>17</v>
      </c>
      <c r="B15" s="49" t="s">
        <v>18</v>
      </c>
      <c r="C15" s="11"/>
      <c r="D15" s="11"/>
      <c r="E15" s="11"/>
      <c r="F15" s="11"/>
      <c r="G15" s="11"/>
      <c r="H15" s="12"/>
    </row>
    <row r="16">
      <c r="A16" s="6" t="s">
        <v>19</v>
      </c>
      <c r="B16" s="49" t="s">
        <v>20</v>
      </c>
      <c r="C16" s="11"/>
      <c r="D16" s="11"/>
      <c r="E16" s="11"/>
      <c r="F16" s="11"/>
      <c r="G16" s="11"/>
      <c r="H16" s="12"/>
    </row>
    <row r="17">
      <c r="A17" s="6" t="s">
        <v>21</v>
      </c>
      <c r="B17" s="49" t="s">
        <v>22</v>
      </c>
      <c r="C17" s="11"/>
      <c r="D17" s="11"/>
      <c r="E17" s="11"/>
      <c r="F17" s="11"/>
      <c r="G17" s="11"/>
      <c r="H17" s="12"/>
    </row>
    <row r="18">
      <c r="A18" s="6" t="s">
        <v>23</v>
      </c>
      <c r="B18" s="49" t="s">
        <v>24</v>
      </c>
      <c r="C18" s="11"/>
      <c r="D18" s="11"/>
      <c r="E18" s="11"/>
      <c r="F18" s="11"/>
      <c r="G18" s="11"/>
      <c r="H18" s="12"/>
    </row>
    <row r="19">
      <c r="A19" s="6" t="s">
        <v>25</v>
      </c>
      <c r="B19" s="49" t="s">
        <v>26</v>
      </c>
      <c r="C19" s="11"/>
      <c r="D19" s="11"/>
      <c r="E19" s="11"/>
      <c r="F19" s="11"/>
      <c r="G19" s="11"/>
      <c r="H19" s="12"/>
    </row>
    <row r="20">
      <c r="A20" s="6"/>
      <c r="B20" s="11"/>
      <c r="C20" s="11"/>
      <c r="D20" s="11"/>
      <c r="E20" s="11"/>
      <c r="F20" s="11"/>
      <c r="G20" s="11"/>
      <c r="H20" s="12"/>
    </row>
    <row r="21">
      <c r="A21" s="18" t="s">
        <v>27</v>
      </c>
      <c r="B21" s="11"/>
      <c r="C21" s="11"/>
      <c r="D21" s="11"/>
      <c r="E21" s="11"/>
      <c r="F21" s="11"/>
      <c r="G21" s="11"/>
      <c r="H21" s="12"/>
    </row>
    <row r="22" ht="36">
      <c r="A22" s="41" t="s">
        <v>28</v>
      </c>
      <c r="B22" s="42" t="s">
        <v>29</v>
      </c>
      <c r="C22" s="42" t="s">
        <v>30</v>
      </c>
      <c r="D22" s="42" t="s">
        <v>31</v>
      </c>
      <c r="E22" s="42" t="s">
        <v>32</v>
      </c>
      <c r="F22" s="42" t="s">
        <v>33</v>
      </c>
      <c r="G22" s="42" t="s">
        <v>34</v>
      </c>
      <c r="H22" s="51" t="s">
        <v>35</v>
      </c>
    </row>
    <row r="23">
      <c r="A23" s="6" t="s">
        <v>36</v>
      </c>
      <c r="B23" s="8">
        <f>'Revenue summary'!G270</f>
        <v>2533.0155054794523</v>
      </c>
      <c r="C23" s="8">
        <f>Inputs!B363</f>
        <v>2523.25</v>
      </c>
      <c r="D23" s="1">
        <f>B23-C23</f>
        <v>9.765505479452258</v>
      </c>
      <c r="E23" s="23">
        <f>B23/C23-1</f>
        <v>0.0038702092457949533</v>
      </c>
      <c r="F23" s="8">
        <f>Guidance!G63</f>
        <v>2533.75</v>
      </c>
      <c r="G23" s="1">
        <f>B23-F23</f>
        <v>-0.7344945205477416</v>
      </c>
      <c r="H23" s="7" t="s">
        <v>37</v>
      </c>
    </row>
    <row r="24">
      <c r="A24" s="6" t="s">
        <v>38</v>
      </c>
      <c r="B24" s="8">
        <f>'Income Statement'!G58</f>
        <v>781.8228316589043</v>
      </c>
      <c r="C24" s="1" t="s">
        <v>39</v>
      </c>
      <c r="D24" s="1" t="s">
        <v>39</v>
      </c>
      <c r="E24" s="23" t="s">
        <v>39</v>
      </c>
      <c r="F24" s="8">
        <f>Guidance!G68</f>
        <v>736.478</v>
      </c>
      <c r="G24" s="1">
        <f>B24-F24</f>
        <v>45.344831658904354</v>
      </c>
      <c r="H24" s="7" t="s">
        <v>40</v>
      </c>
    </row>
    <row r="25">
      <c r="A25" s="6" t="s">
        <v>41</v>
      </c>
      <c r="B25" s="8">
        <f>'Income Statement'!G65</f>
        <v>743.8228316589043</v>
      </c>
      <c r="C25" s="8">
        <f>Inputs!B364</f>
        <v>715.69</v>
      </c>
      <c r="D25" s="1">
        <f>B25-C25</f>
        <v>28.13283165890425</v>
      </c>
      <c r="E25" s="23">
        <f>B25/C25-1</f>
        <v>0.03930868345080163</v>
      </c>
      <c r="F25" s="8">
        <f>Guidance!G69</f>
        <v>698.478</v>
      </c>
      <c r="G25" s="1">
        <f>B25-F25</f>
        <v>45.344831658904354</v>
      </c>
      <c r="H25" s="7" t="s">
        <v>42</v>
      </c>
    </row>
    <row r="26">
      <c r="A26" s="6" t="s">
        <v>43</v>
      </c>
      <c r="B26" s="8">
        <f>'Income Statement'!G55</f>
        <v>1016.6746835616441</v>
      </c>
      <c r="C26" s="8">
        <f>Inputs!B365</f>
        <v>990.35</v>
      </c>
      <c r="D26" s="1">
        <f>B26-C26</f>
        <v>26.324683561644065</v>
      </c>
      <c r="E26" s="23">
        <f>B26/C26-1</f>
        <v>0.026581192065072035</v>
      </c>
      <c r="F26" s="8">
        <f>Guidance!G66</f>
        <v>957.05</v>
      </c>
      <c r="G26" s="1">
        <f>B26-F26</f>
        <v>59.62468356164413</v>
      </c>
      <c r="H26" s="7" t="s">
        <v>44</v>
      </c>
    </row>
    <row r="27">
      <c r="A27" s="28" t="s">
        <v>45</v>
      </c>
      <c r="B27" s="43">
        <f>'Income Statement'!G81</f>
        <v>5.1278597231017295</v>
      </c>
      <c r="C27" s="43">
        <f>Inputs!B361</f>
        <v>4.92</v>
      </c>
      <c r="D27" s="19">
        <f>B27-C27</f>
        <v>0.20785972310172962</v>
      </c>
      <c r="E27" s="53">
        <f>B27/C27-1</f>
        <v>0.042247911199538635</v>
      </c>
      <c r="F27" s="43">
        <f>Guidance!G70</f>
        <v>4.815255799132437</v>
      </c>
      <c r="G27" s="19">
        <f>B27-F27</f>
        <v>0.3126039239692924</v>
      </c>
      <c r="H27" s="7" t="s">
        <v>46</v>
      </c>
    </row>
    <row r="28">
      <c r="A28" s="6" t="s">
        <v>47</v>
      </c>
      <c r="B28" s="44">
        <f>'Income Statement'!G70</f>
        <v>5.1278597231017295</v>
      </c>
      <c r="C28" s="44">
        <f>Inputs!B362</f>
        <v>4.93</v>
      </c>
      <c r="D28" s="3">
        <f>B28-C28</f>
        <v>0.19785972310172983</v>
      </c>
      <c r="E28" s="23">
        <f>B28/C28-1</f>
        <v>0.04013381807337324</v>
      </c>
      <c r="F28" s="44">
        <f>Guidance!G70</f>
        <v>4.815255799132437</v>
      </c>
      <c r="G28" s="3">
        <f>B28-F28</f>
        <v>0.3126039239692924</v>
      </c>
      <c r="H28" s="7" t="s">
        <v>48</v>
      </c>
    </row>
    <row r="29">
      <c r="A29" s="12" t="s">
        <v>49</v>
      </c>
      <c r="B29" s="14">
        <f>Inputs!B384</f>
        <v>0.78</v>
      </c>
      <c r="C29" s="23"/>
      <c r="D29" s="23"/>
      <c r="E29" s="23"/>
      <c r="F29" s="23"/>
      <c r="G29" s="23"/>
      <c r="H29" s="7" t="s">
        <v>50</v>
      </c>
    </row>
    <row r="30">
      <c r="A30" s="6" t="s">
        <v>51</v>
      </c>
      <c r="B30" s="8" t="str">
        <f>Inputs!B385</f>
        <v>medium</v>
      </c>
      <c r="C30" s="11"/>
      <c r="D30" s="11"/>
      <c r="E30" s="11"/>
      <c r="F30" s="11"/>
      <c r="G30" s="11"/>
      <c r="H30" s="7" t="s">
        <v>52</v>
      </c>
    </row>
    <row r="31" ht="150">
      <c r="A31" s="6" t="s">
        <v>53</v>
      </c>
      <c r="B31" s="94" t="str">
        <f>IF(AND(ABS(Cover!B32)&lt;0.01,(SUMIF('Revenue summary'!B268:G268,"&gt;0")-SUMIF('Revenue summary'!B268:G268,"&lt;0")+0*SUM('Revenue summary'!B268:G268))&lt;0.01,(SUMIF('Revenue summary'!B277:G277,"&gt;0")-SUMIF('Revenue summary'!B277:G277,"&lt;0")+0*SUM('Revenue summary'!B277:G277))&lt;0.01,(SUMIF('Revenue summary'!B309:F309,"&gt;0")-SUMIF('Revenue summary'!B309:F309,"&lt;0")+0*SUM('Revenue summary'!B309:F309))&lt;0.01,(SUMIF('Revenue summary'!B317:F317,"&gt;0")-SUMIF('Revenue summary'!B317:F317,"&lt;0")+0*SUM('Revenue summary'!B317:F317))&lt;0.01,(SUMIF('Segment - Commercial Bank'!B50:G50,"&gt;0")-SUMIF('Segment - Commercial Bank'!B50:G50,"&lt;0")+0*SUM('Segment - Commercial Bank'!B50:G50))&lt;0.01,(SUMIF('Segment - Commercial Bank'!B68:G68,"&gt;0")-SUMIF('Segment - Commercial Bank'!B68:G68,"&lt;0")+0*SUM('Segment - Commercial Bank'!B68:G68))&lt;0.01,(SUMIF('Segment - Retail Bank'!B50:G50,"&gt;0")-SUMIF('Segment - Retail Bank'!B50:G50,"&lt;0")+0*SUM('Segment - Retail Bank'!B50:G50))&lt;0.01,(SUMIF('Segment - Retail Bank'!B68:G68,"&gt;0")-SUMIF('Segment - Retail Bank'!B68:G68,"&lt;0")+0*SUM('Segment - Retail Bank'!B68:G68))&lt;0.01,(SUMIF('Segment - Inst Services &amp; WM'!B50:G50,"&gt;0")-SUMIF('Segment - Inst Services &amp; WM'!B50:G50,"&lt;0")+0*SUM('Segment - Inst Services &amp; WM'!B50:G50))&lt;0.01,(SUMIF('Segment - Inst Services &amp; WM'!B68:G68,"&gt;0")-SUMIF('Segment - Inst Services &amp; WM'!B68:G68,"&lt;0")+0*SUM('Segment - Inst Services &amp; WM'!B68:G68))&lt;0.01,(SUMIF('Income Statement'!B73:G73,"&gt;0")-SUMIF('Income Statement'!B73:G73,"&lt;0")+0*SUM('Income Statement'!B73:G73))&lt;0.01,(SUMIF('Income Statement'!B74:G74,"&gt;0")-SUMIF('Income Statement'!B74:G74,"&lt;0")+0*SUM('Income Statement'!B74:G74))&lt;0.01,(SUMIF('Income Statement'!B83:G83,"&gt;0")-SUMIF('Income Statement'!B83:G83,"&lt;0")+0*SUM('Income Statement'!B83:G83))&lt;0.01,(SUMIF('Income Statement'!B127:G127,"&gt;0")-SUMIF('Income Statement'!B127:G127,"&lt;0")+0*SUM('Income Statement'!B127:G127))&lt;0.01,(SUMIF('Income Statement'!B128:F128,"&gt;0")-SUMIF('Income Statement'!B128:F128,"&lt;0")+0*SUM('Income Statement'!B128:F128))&lt;0.01,(SUMIF('Balance Sheet'!B69:F69,"&gt;0")-SUMIF('Balance Sheet'!B69:F69,"&lt;0")+0*SUM('Balance Sheet'!B69:F69))&lt;0.01,(SUMIF('Balance Sheet'!B71:G71,"&gt;0")-SUMIF('Balance Sheet'!B71:G71,"&lt;0")+0*SUM('Balance Sheet'!B71:G71))&lt;0.01,(SUMIF('Cash Flow Statement'!B60:G60,"&gt;0")-SUMIF('Cash Flow Statement'!B60:G60,"&lt;0")+0*SUM('Cash Flow Statement'!B60:G60))&lt;0.01,(SUMIF('Cash Flow Statement'!B62:G62,"&gt;0")-SUMIF('Cash Flow Statement'!B62:G62,"&lt;0")+0*SUM('Cash Flow Statement'!B62:G62))&lt;0.01,(SUMIF('Cash Flow Statement'!B64:G64,"&gt;0")-SUMIF('Cash Flow Statement'!B64:G64,"&lt;0")+0*SUM('Cash Flow Statement'!B64:G64))&lt;0.01,(SUMIF('Cash Flow Statement'!B66:G66,"&gt;0")-SUMIF('Cash Flow Statement'!B66:G66,"&lt;0")+0*SUM('Cash Flow Statement'!B66:G66))&lt;0.01,(SUMIF('Share Count'!B43:G43,"&gt;0")-SUMIF('Share Count'!B43:G43,"&lt;0")+0*SUM('Share Count'!B43:G43))&lt;0.01,(SUMIF(Inputs!B235:G235,"&gt;0")-SUMIF(Inputs!B235:G235,"&lt;0")+0*SUM(Inputs!B235:G235))&lt;0.01),"PASS","FAIL")</f>
        <v>PASS</v>
      </c>
      <c r="C31" s="11"/>
      <c r="D31" s="11"/>
      <c r="E31" s="11"/>
      <c r="F31" s="11"/>
      <c r="G31" s="11"/>
      <c r="H31" s="112" t="s">
        <v>54</v>
      </c>
    </row>
    <row r="32">
      <c r="A32" s="12" t="s">
        <v>55</v>
      </c>
      <c r="B32" s="10">
        <f>ABS(B23-'Revenue summary'!G270)+ABS(B25-'Income Statement'!G65)+ABS(B27-'Income Statement'!G81)+ABS(B24-'Income Statement'!G58)+ABS(B28-'Income Statement'!G70)</f>
        <v>0</v>
      </c>
      <c r="C32" s="32"/>
      <c r="D32" s="32"/>
      <c r="E32" s="32"/>
      <c r="F32" s="32"/>
      <c r="G32" s="32"/>
      <c r="H32" s="12"/>
    </row>
    <row r="33">
      <c r="A33" s="6"/>
      <c r="B33" s="11"/>
      <c r="C33" s="11"/>
      <c r="D33" s="11"/>
      <c r="E33" s="11"/>
      <c r="F33" s="11"/>
      <c r="G33" s="11"/>
      <c r="H33" s="12"/>
    </row>
    <row r="34">
      <c r="A34" s="18" t="s">
        <v>56</v>
      </c>
      <c r="B34" s="11"/>
      <c r="C34" s="11"/>
      <c r="D34" s="11"/>
      <c r="E34" s="11"/>
      <c r="F34" s="11"/>
      <c r="G34" s="11"/>
      <c r="H34" s="12"/>
    </row>
    <row r="35">
      <c r="A35" s="6" t="s">
        <v>57</v>
      </c>
      <c r="B35" s="44">
        <f>Inputs!B21</f>
        <v>4.92</v>
      </c>
      <c r="C35" s="3"/>
      <c r="D35" s="3"/>
      <c r="E35" s="3"/>
      <c r="F35" s="3"/>
      <c r="G35" s="3"/>
      <c r="H35" s="7" t="s">
        <v>58</v>
      </c>
    </row>
    <row r="36">
      <c r="A36" s="6" t="s">
        <v>59</v>
      </c>
      <c r="B36" s="44">
        <f>Inputs!B23</f>
        <v>5.14</v>
      </c>
      <c r="C36" s="3"/>
      <c r="D36" s="3"/>
      <c r="E36" s="3"/>
      <c r="F36" s="3"/>
      <c r="G36" s="3"/>
      <c r="H36" s="7" t="s">
        <v>58</v>
      </c>
    </row>
    <row r="37">
      <c r="A37" s="6" t="s">
        <v>60</v>
      </c>
      <c r="B37" s="44">
        <f>Inputs!B24</f>
        <v>4.79</v>
      </c>
      <c r="C37" s="3"/>
      <c r="D37" s="3"/>
      <c r="E37" s="3"/>
      <c r="F37" s="3"/>
      <c r="G37" s="3"/>
      <c r="H37" s="7" t="s">
        <v>58</v>
      </c>
    </row>
    <row r="38">
      <c r="A38" s="6" t="s">
        <v>61</v>
      </c>
      <c r="B38" s="44">
        <f>Inputs!B25</f>
        <v>0.08</v>
      </c>
      <c r="C38" s="3"/>
      <c r="D38" s="3"/>
      <c r="E38" s="3"/>
      <c r="F38" s="3"/>
      <c r="G38" s="3"/>
      <c r="H38" s="7" t="s">
        <v>58</v>
      </c>
    </row>
    <row r="39">
      <c r="A39" s="6" t="s">
        <v>62</v>
      </c>
      <c r="B39" s="27">
        <f>Inputs!B26</f>
        <v>15</v>
      </c>
      <c r="C39" s="29"/>
      <c r="D39" s="29"/>
      <c r="E39" s="29"/>
      <c r="F39" s="29"/>
      <c r="G39" s="29"/>
      <c r="H39" s="7" t="s">
        <v>58</v>
      </c>
    </row>
    <row r="40">
      <c r="A40" s="6" t="s">
        <v>63</v>
      </c>
      <c r="B40" s="8">
        <f>Inputs!B37</f>
        <v>2523.25</v>
      </c>
      <c r="C40" s="1"/>
      <c r="D40" s="1"/>
      <c r="E40" s="1"/>
      <c r="F40" s="1"/>
      <c r="G40" s="1"/>
      <c r="H40" s="7" t="s">
        <v>58</v>
      </c>
    </row>
    <row r="41">
      <c r="A41" s="6" t="s">
        <v>64</v>
      </c>
      <c r="B41" s="27">
        <f>Inputs!B42</f>
        <v>9</v>
      </c>
      <c r="C41" s="29"/>
      <c r="D41" s="29"/>
      <c r="E41" s="29"/>
      <c r="F41" s="29"/>
      <c r="G41" s="29"/>
      <c r="H41" s="7" t="s">
        <v>58</v>
      </c>
    </row>
    <row r="42">
      <c r="A42" s="6" t="s">
        <v>65</v>
      </c>
      <c r="B42" s="44">
        <f>Inputs!B367</f>
        <v>4.93</v>
      </c>
      <c r="C42" s="3"/>
      <c r="D42" s="3"/>
      <c r="E42" s="3"/>
      <c r="F42" s="3"/>
      <c r="G42" s="3"/>
      <c r="H42" s="7" t="s">
        <v>66</v>
      </c>
    </row>
    <row r="43">
      <c r="A43" s="6" t="s">
        <v>67</v>
      </c>
      <c r="B43" s="44">
        <f>Inputs!B369</f>
        <v>5</v>
      </c>
      <c r="C43" s="44">
        <f>Inputs!B370</f>
        <v>5.12</v>
      </c>
      <c r="D43" s="3"/>
      <c r="E43" s="3"/>
      <c r="F43" s="3"/>
      <c r="G43" s="3"/>
      <c r="H43" s="7" t="s">
        <v>68</v>
      </c>
    </row>
    <row r="44">
      <c r="A44" s="6"/>
      <c r="B44" s="11"/>
      <c r="C44" s="11"/>
      <c r="D44" s="11"/>
      <c r="E44" s="11"/>
      <c r="F44" s="11"/>
      <c r="G44" s="11"/>
      <c r="H44" s="12"/>
    </row>
    <row r="45">
      <c r="A45" s="18" t="s">
        <v>69</v>
      </c>
      <c r="B45" s="11"/>
      <c r="C45" s="11"/>
      <c r="D45" s="11"/>
      <c r="E45" s="11"/>
      <c r="F45" s="11"/>
      <c r="G45" s="11"/>
      <c r="H45" s="12"/>
    </row>
    <row r="46" ht="36">
      <c r="A46" s="41" t="s">
        <v>70</v>
      </c>
      <c r="B46" s="42" t="s">
        <v>71</v>
      </c>
      <c r="C46" s="42" t="s">
        <v>72</v>
      </c>
      <c r="D46" s="42" t="s">
        <v>73</v>
      </c>
      <c r="E46" s="42"/>
      <c r="F46" s="42"/>
      <c r="G46" s="42"/>
      <c r="H46" s="51" t="s">
        <v>74</v>
      </c>
    </row>
    <row r="47">
      <c r="A47" s="12" t="s">
        <v>75</v>
      </c>
      <c r="B47" s="45">
        <f>'Revenue summary'!G150</f>
        <v>0.03663963599595552</v>
      </c>
      <c r="C47" s="45">
        <f>'Revenue summary'!F150</f>
        <v>0.037065733217687975</v>
      </c>
      <c r="D47" s="45">
        <f>'Revenue summary'!B150</f>
        <v>0.03684362446369525</v>
      </c>
      <c r="E47" s="24"/>
      <c r="F47" s="24"/>
      <c r="G47" s="24"/>
      <c r="H47" s="7" t="s">
        <v>76</v>
      </c>
    </row>
    <row r="48">
      <c r="A48" s="6" t="s">
        <v>77</v>
      </c>
      <c r="B48" s="8">
        <f>'Revenue summary'!G72</f>
        <v>197800</v>
      </c>
      <c r="C48" s="8">
        <f>'Revenue summary'!F72</f>
        <v>195216</v>
      </c>
      <c r="D48" s="8">
        <f>'Revenue summary'!B72</f>
        <v>190920</v>
      </c>
      <c r="E48" s="1"/>
      <c r="F48" s="1"/>
      <c r="G48" s="1"/>
      <c r="H48" s="12"/>
    </row>
    <row r="49">
      <c r="A49" s="6" t="s">
        <v>78</v>
      </c>
      <c r="B49" s="8">
        <f>'Revenue summary'!G58</f>
        <v>143700</v>
      </c>
      <c r="C49" s="8">
        <f>'Revenue summary'!F58</f>
        <v>140650</v>
      </c>
      <c r="D49" s="8">
        <f>'Revenue summary'!B58</f>
        <v>135890</v>
      </c>
      <c r="E49" s="1"/>
      <c r="F49" s="1"/>
      <c r="G49" s="1"/>
      <c r="H49" s="7" t="s">
        <v>79</v>
      </c>
    </row>
    <row r="50">
      <c r="A50" s="6" t="s">
        <v>80</v>
      </c>
      <c r="B50" s="8">
        <f>'Revenue summary'!G113</f>
        <v>168800</v>
      </c>
      <c r="C50" s="8">
        <f>'Revenue summary'!F113</f>
        <v>163524</v>
      </c>
      <c r="D50" s="8">
        <f>'Revenue summary'!B113</f>
        <v>162576</v>
      </c>
      <c r="E50" s="1"/>
      <c r="F50" s="1"/>
      <c r="G50" s="1"/>
      <c r="H50" s="7" t="s">
        <v>81</v>
      </c>
    </row>
    <row r="51">
      <c r="A51" s="6" t="s">
        <v>82</v>
      </c>
      <c r="B51" s="8">
        <f>'Revenue summary'!G140</f>
        <v>1814.721753424658</v>
      </c>
      <c r="C51" s="8">
        <f>'Revenue summary'!F140</f>
        <v>1792</v>
      </c>
      <c r="D51" s="8">
        <f>'Revenue summary'!B140</f>
        <v>1761</v>
      </c>
      <c r="E51" s="1"/>
      <c r="F51" s="1"/>
      <c r="G51" s="1"/>
      <c r="H51" s="12"/>
    </row>
    <row r="52">
      <c r="A52" s="6" t="s">
        <v>83</v>
      </c>
      <c r="B52" s="8">
        <f>'Revenue summary'!G260</f>
        <v>718.2937520547946</v>
      </c>
      <c r="C52" s="8">
        <f>'Revenue summary'!F260</f>
        <v>740</v>
      </c>
      <c r="D52" s="8">
        <f>'Revenue summary'!B260</f>
        <v>752</v>
      </c>
      <c r="E52" s="1"/>
      <c r="F52" s="1"/>
      <c r="G52" s="1"/>
      <c r="H52" s="7" t="s">
        <v>84</v>
      </c>
    </row>
    <row r="53">
      <c r="A53" s="6" t="s">
        <v>85</v>
      </c>
      <c r="B53" s="8">
        <f>'Income Statement'!G52</f>
        <v>1385</v>
      </c>
      <c r="C53" s="8">
        <f>'Income Statement'!F52</f>
        <v>1349</v>
      </c>
      <c r="D53" s="8">
        <f>'Income Statement'!B52</f>
        <v>1363</v>
      </c>
      <c r="E53" s="1"/>
      <c r="F53" s="1"/>
      <c r="G53" s="1"/>
      <c r="H53" s="7" t="s">
        <v>86</v>
      </c>
    </row>
    <row r="54">
      <c r="A54" s="6" t="s">
        <v>87</v>
      </c>
      <c r="B54" s="8">
        <f>'Income Statement'!G13</f>
        <v>131.34082191780806</v>
      </c>
      <c r="C54" s="8">
        <f>'Income Statement'!F13</f>
        <v>120</v>
      </c>
      <c r="D54" s="8">
        <f>'Income Statement'!B13</f>
        <v>125</v>
      </c>
      <c r="E54" s="1"/>
      <c r="F54" s="1"/>
      <c r="G54" s="1"/>
      <c r="H54" s="12"/>
    </row>
    <row r="55">
      <c r="A55" s="12" t="s">
        <v>88</v>
      </c>
      <c r="B55" s="14">
        <f>'Income Statement'!G102</f>
        <v>0.231</v>
      </c>
      <c r="C55" s="14">
        <f>'Income Statement'!F102</f>
        <v>0.23047977422389465</v>
      </c>
      <c r="D55" s="14">
        <f>'Income Statement'!B102</f>
        <v>0.22731707317073171</v>
      </c>
      <c r="E55" s="23"/>
      <c r="F55" s="23"/>
      <c r="G55" s="23"/>
      <c r="H55" s="7" t="s">
        <v>89</v>
      </c>
    </row>
    <row r="56">
      <c r="A56" s="6" t="s">
        <v>90</v>
      </c>
      <c r="B56" s="8">
        <f>'Share Count'!G16</f>
        <v>145.05522222222223</v>
      </c>
      <c r="C56" s="8">
        <f>'Share Count'!F16</f>
        <v>146.758</v>
      </c>
      <c r="D56" s="8">
        <f>'Share Count'!B16</f>
        <v>156.553</v>
      </c>
      <c r="E56" s="1"/>
      <c r="F56" s="1"/>
      <c r="G56" s="1"/>
      <c r="H56" s="12"/>
    </row>
    <row r="57">
      <c r="A57" s="6"/>
      <c r="B57" s="11"/>
      <c r="C57" s="11"/>
      <c r="D57" s="11"/>
      <c r="E57" s="11"/>
      <c r="F57" s="11"/>
      <c r="G57" s="11"/>
      <c r="H57" s="12"/>
    </row>
    <row r="58">
      <c r="A58" s="18" t="s">
        <v>91</v>
      </c>
      <c r="B58" s="11"/>
      <c r="C58" s="11"/>
      <c r="D58" s="11"/>
      <c r="E58" s="11"/>
      <c r="F58" s="11"/>
      <c r="G58" s="11"/>
      <c r="H58" s="12"/>
    </row>
    <row r="59">
      <c r="A59" s="6" t="s">
        <v>92</v>
      </c>
      <c r="B59" s="8">
        <f>Inputs!B375</f>
        <v>31.41</v>
      </c>
      <c r="C59" s="1"/>
      <c r="D59" s="1"/>
      <c r="E59" s="1"/>
      <c r="F59" s="1"/>
      <c r="G59" s="1"/>
      <c r="H59" s="7" t="s">
        <v>93</v>
      </c>
    </row>
    <row r="60">
      <c r="A60" s="6" t="s">
        <v>94</v>
      </c>
      <c r="B60" s="27">
        <f>Inputs!B376</f>
        <v>1</v>
      </c>
      <c r="C60" s="29"/>
      <c r="D60" s="29"/>
      <c r="E60" s="29"/>
      <c r="F60" s="29"/>
      <c r="G60" s="29"/>
      <c r="H60" s="7" t="s">
        <v>93</v>
      </c>
    </row>
    <row r="61">
      <c r="A61" s="12" t="s">
        <v>95</v>
      </c>
      <c r="B61" s="14">
        <f>Inputs!B378</f>
        <v>0.78</v>
      </c>
      <c r="C61" s="23"/>
      <c r="D61" s="23"/>
      <c r="E61" s="23"/>
      <c r="F61" s="23"/>
      <c r="G61" s="23"/>
      <c r="H61" s="7" t="s">
        <v>93</v>
      </c>
    </row>
    <row r="62">
      <c r="A62" s="6" t="s">
        <v>96</v>
      </c>
      <c r="B62" s="27">
        <f>Inputs!B379</f>
        <v>5</v>
      </c>
      <c r="C62" s="29"/>
      <c r="D62" s="29"/>
      <c r="E62" s="29"/>
      <c r="F62" s="29"/>
      <c r="G62" s="29"/>
      <c r="H62" s="7" t="s">
        <v>93</v>
      </c>
    </row>
    <row r="63">
      <c r="A63" s="6" t="s">
        <v>97</v>
      </c>
      <c r="B63" s="27">
        <f>Inputs!B380</f>
        <v>6</v>
      </c>
      <c r="C63" s="29"/>
      <c r="D63" s="29"/>
      <c r="E63" s="29"/>
      <c r="F63" s="29"/>
      <c r="G63" s="29"/>
      <c r="H63" s="7" t="s">
        <v>93</v>
      </c>
    </row>
    <row r="64">
      <c r="A64" s="12" t="s">
        <v>98</v>
      </c>
      <c r="B64" s="14">
        <f>Inputs!B382</f>
        <v>0.8028571428571428</v>
      </c>
      <c r="C64" s="23"/>
      <c r="D64" s="23"/>
      <c r="E64" s="23"/>
      <c r="F64" s="23"/>
      <c r="G64" s="23"/>
      <c r="H64" s="7" t="s">
        <v>93</v>
      </c>
    </row>
    <row r="65">
      <c r="A65" s="12" t="s">
        <v>99</v>
      </c>
      <c r="B65" s="14">
        <f>Inputs!B384</f>
        <v>0.78</v>
      </c>
      <c r="C65" s="23"/>
      <c r="D65" s="23"/>
      <c r="E65" s="23"/>
      <c r="F65" s="23"/>
      <c r="G65" s="23"/>
      <c r="H65" s="7" t="s">
        <v>93</v>
      </c>
    </row>
    <row r="66">
      <c r="A66" s="6"/>
      <c r="B66" s="11"/>
      <c r="C66" s="11"/>
      <c r="D66" s="11"/>
      <c r="E66" s="11"/>
      <c r="F66" s="11"/>
      <c r="G66" s="11"/>
      <c r="H66" s="12"/>
    </row>
    <row r="67">
      <c r="A67" s="18" t="s">
        <v>100</v>
      </c>
      <c r="B67" s="11"/>
      <c r="C67" s="11"/>
      <c r="D67" s="11"/>
      <c r="E67" s="11"/>
      <c r="F67" s="11"/>
      <c r="G67" s="11"/>
      <c r="H67" s="12"/>
    </row>
    <row r="68">
      <c r="A68" s="6" t="s">
        <v>101</v>
      </c>
      <c r="B68" s="11"/>
      <c r="C68" s="11"/>
      <c r="D68" s="11"/>
      <c r="E68" s="11"/>
      <c r="F68" s="11"/>
      <c r="G68" s="11"/>
      <c r="H68" s="12"/>
    </row>
    <row r="69">
      <c r="A69" s="6" t="s">
        <v>102</v>
      </c>
      <c r="B69" s="11"/>
      <c r="C69" s="11"/>
      <c r="D69" s="11"/>
      <c r="E69" s="11"/>
      <c r="F69" s="11"/>
      <c r="G69" s="11"/>
      <c r="H69" s="12"/>
    </row>
    <row r="70">
      <c r="A70" s="6" t="s">
        <v>103</v>
      </c>
      <c r="B70" s="11"/>
      <c r="C70" s="11"/>
      <c r="D70" s="11"/>
      <c r="E70" s="11"/>
      <c r="F70" s="11"/>
      <c r="G70" s="11"/>
      <c r="H70" s="12"/>
    </row>
    <row r="71">
      <c r="A71" s="6" t="s">
        <v>104</v>
      </c>
      <c r="B71" s="11"/>
      <c r="C71" s="11"/>
      <c r="D71" s="11"/>
      <c r="E71" s="11"/>
      <c r="F71" s="11"/>
      <c r="G71" s="11"/>
      <c r="H71" s="12"/>
    </row>
    <row r="72">
      <c r="A72" s="6" t="s">
        <v>105</v>
      </c>
      <c r="B72" s="11"/>
      <c r="C72" s="11"/>
      <c r="D72" s="11"/>
      <c r="E72" s="11"/>
      <c r="F72" s="11"/>
      <c r="G72" s="11"/>
      <c r="H72" s="12"/>
    </row>
    <row r="73">
      <c r="A73" s="6"/>
      <c r="B73" s="6"/>
      <c r="C73" s="6"/>
      <c r="D73" s="6"/>
      <c r="E73" s="6"/>
      <c r="F73" s="6"/>
      <c r="G73" s="6"/>
      <c r="H73" s="6"/>
    </row>
    <row r="74">
      <c r="A74" s="6"/>
      <c r="B74" s="6"/>
      <c r="C74" s="6"/>
      <c r="D74" s="6"/>
      <c r="E74" s="6"/>
      <c r="F74" s="6"/>
      <c r="G74" s="6"/>
      <c r="H74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1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107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115</v>
      </c>
      <c r="B8" s="11"/>
      <c r="C8" s="11"/>
      <c r="D8" s="11"/>
      <c r="E8" s="11"/>
      <c r="F8" s="11"/>
      <c r="G8" s="20"/>
      <c r="H8" s="12"/>
    </row>
    <row r="9" ht="40.5">
      <c r="A9" s="6" t="s">
        <v>116</v>
      </c>
      <c r="B9" s="4">
        <v>17739</v>
      </c>
      <c r="C9" s="4">
        <v>17964</v>
      </c>
      <c r="D9" s="4">
        <v>18767</v>
      </c>
      <c r="E9" s="4">
        <v>16231</v>
      </c>
      <c r="F9" s="4">
        <v>15061</v>
      </c>
      <c r="G9" s="21">
        <v>14800</v>
      </c>
      <c r="H9" s="112" t="s">
        <v>117</v>
      </c>
    </row>
    <row r="10">
      <c r="A10" s="12" t="s">
        <v>118</v>
      </c>
      <c r="B10" s="23" t="s">
        <v>39</v>
      </c>
      <c r="C10" s="23" t="s">
        <v>39</v>
      </c>
      <c r="D10" s="14">
        <f>D9/Inputs!D137-1</f>
        <v>-0.3111510791366906</v>
      </c>
      <c r="E10" s="14">
        <f>E9/Inputs!E137-1</f>
        <v>-0.17588220360497586</v>
      </c>
      <c r="F10" s="14">
        <f>F9/Inputs!F137-1</f>
        <v>-0.23540460960503606</v>
      </c>
      <c r="G10" s="17">
        <f>G9/B9-1</f>
        <v>-0.16568013980494956</v>
      </c>
      <c r="H10" s="7" t="s">
        <v>119</v>
      </c>
    </row>
    <row r="11">
      <c r="A11" s="6" t="s">
        <v>120</v>
      </c>
      <c r="B11" s="8">
        <f>B9-Inputs!F137</f>
        <v>-1959</v>
      </c>
      <c r="C11" s="1">
        <f>C9-B9</f>
        <v>225</v>
      </c>
      <c r="D11" s="1"/>
      <c r="E11" s="1">
        <f>E9-C9</f>
        <v>-1733</v>
      </c>
      <c r="F11" s="1">
        <f>F9-E9</f>
        <v>-1170</v>
      </c>
      <c r="G11" s="2">
        <f>G9-F9</f>
        <v>-261</v>
      </c>
      <c r="H11" s="12"/>
    </row>
    <row r="12">
      <c r="A12" s="12" t="s">
        <v>121</v>
      </c>
      <c r="B12" s="70">
        <v>0.0443</v>
      </c>
      <c r="C12" s="70">
        <v>0.0398</v>
      </c>
      <c r="D12" s="70">
        <v>0.0435</v>
      </c>
      <c r="E12" s="70">
        <v>0.0371</v>
      </c>
      <c r="F12" s="70">
        <v>0.0372</v>
      </c>
      <c r="G12" s="55">
        <v>0.0373</v>
      </c>
      <c r="H12" s="7" t="s">
        <v>122</v>
      </c>
    </row>
    <row r="13">
      <c r="A13" s="6" t="s">
        <v>123</v>
      </c>
      <c r="B13" s="27">
        <f>(B12-Inputs!F138)*10000</f>
        <v>-3.999999999999976</v>
      </c>
      <c r="C13" s="29">
        <f>(C12-B12)*10000</f>
        <v>-44.99999999999997</v>
      </c>
      <c r="D13" s="29"/>
      <c r="E13" s="29">
        <f>(E12-C12)*10000</f>
        <v>-27.00000000000001</v>
      </c>
      <c r="F13" s="29">
        <f>(F12-E12)*10000</f>
        <v>0.9999999999999593</v>
      </c>
      <c r="G13" s="33">
        <f>(G12-F12)*10000</f>
        <v>1.0000000000000286</v>
      </c>
      <c r="H13" s="12"/>
    </row>
    <row r="14">
      <c r="A14" s="6" t="s">
        <v>124</v>
      </c>
      <c r="B14" s="29" t="s">
        <v>39</v>
      </c>
      <c r="C14" s="29" t="s">
        <v>39</v>
      </c>
      <c r="D14" s="27">
        <f>(D12-Inputs!D138)*10000</f>
        <v>-98.00000000000003</v>
      </c>
      <c r="E14" s="27">
        <f>(E12-Inputs!E138)*10000</f>
        <v>-77.00000000000006</v>
      </c>
      <c r="F14" s="27">
        <f>(F12-Inputs!F138)*10000</f>
        <v>-75</v>
      </c>
      <c r="G14" s="33">
        <f>(G12-B12)*10000</f>
        <v>-69.99999999999999</v>
      </c>
      <c r="H14" s="7" t="s">
        <v>125</v>
      </c>
    </row>
    <row r="15">
      <c r="A15" s="6" t="s">
        <v>126</v>
      </c>
      <c r="B15" s="1">
        <f>B9*B12*B$6/365</f>
        <v>198.07416</v>
      </c>
      <c r="C15" s="1">
        <f>C9*C12*C$6/365</f>
        <v>180.21091068493152</v>
      </c>
      <c r="D15" s="1">
        <f>D9*D12*D$6/365</f>
        <v>816.3644999999999</v>
      </c>
      <c r="E15" s="1">
        <f>E9*E12*E$6/365</f>
        <v>148.48029863013699</v>
      </c>
      <c r="F15" s="1">
        <f>F9*F12*F$6/365</f>
        <v>139.68355397260274</v>
      </c>
      <c r="G15" s="2">
        <f>G9*G12*G$6/365</f>
        <v>139.14432876712326</v>
      </c>
      <c r="H15" s="7" t="s">
        <v>127</v>
      </c>
    </row>
    <row r="16">
      <c r="A16" s="6" t="s">
        <v>128</v>
      </c>
      <c r="B16" s="4">
        <v>36559</v>
      </c>
      <c r="C16" s="4">
        <v>36705</v>
      </c>
      <c r="D16" s="4">
        <v>35778</v>
      </c>
      <c r="E16" s="4">
        <v>37845</v>
      </c>
      <c r="F16" s="4">
        <v>38728</v>
      </c>
      <c r="G16" s="21">
        <v>38600</v>
      </c>
      <c r="H16" s="7" t="s">
        <v>129</v>
      </c>
    </row>
    <row r="17">
      <c r="A17" s="12" t="s">
        <v>118</v>
      </c>
      <c r="B17" s="23" t="s">
        <v>39</v>
      </c>
      <c r="C17" s="23" t="s">
        <v>39</v>
      </c>
      <c r="D17" s="14">
        <f>D16/Inputs!D139-1</f>
        <v>0.1633230369045684</v>
      </c>
      <c r="E17" s="14">
        <f>E16/Inputs!E139-1</f>
        <v>0.09759280742459397</v>
      </c>
      <c r="F17" s="14">
        <f>F16/Inputs!F139-1</f>
        <v>0.09602377246356308</v>
      </c>
      <c r="G17" s="17">
        <f>G16/B16-1</f>
        <v>0.05582756639951869</v>
      </c>
      <c r="H17" s="7" t="s">
        <v>119</v>
      </c>
    </row>
    <row r="18">
      <c r="A18" s="6" t="s">
        <v>120</v>
      </c>
      <c r="B18" s="8">
        <f>B16-Inputs!F139</f>
        <v>1224</v>
      </c>
      <c r="C18" s="1">
        <f>C16-B16</f>
        <v>146</v>
      </c>
      <c r="D18" s="1"/>
      <c r="E18" s="1">
        <f>E16-C16</f>
        <v>1140</v>
      </c>
      <c r="F18" s="1">
        <f>F16-E16</f>
        <v>883</v>
      </c>
      <c r="G18" s="2">
        <f>G16-F16</f>
        <v>-128</v>
      </c>
      <c r="H18" s="12"/>
    </row>
    <row r="19">
      <c r="A19" s="12" t="s">
        <v>121</v>
      </c>
      <c r="B19" s="70">
        <v>0.0415</v>
      </c>
      <c r="C19" s="70">
        <v>0.04190000000000001</v>
      </c>
      <c r="D19" s="70">
        <v>0.0403</v>
      </c>
      <c r="E19" s="70">
        <v>0.042199999999999994</v>
      </c>
      <c r="F19" s="70">
        <v>0.0429</v>
      </c>
      <c r="G19" s="55">
        <v>0.0432</v>
      </c>
      <c r="H19" s="7" t="s">
        <v>130</v>
      </c>
    </row>
    <row r="20">
      <c r="A20" s="6" t="s">
        <v>123</v>
      </c>
      <c r="B20" s="27">
        <f>(B19-Inputs!F140)*10000</f>
        <v>35.00000000000003</v>
      </c>
      <c r="C20" s="29">
        <f>(C19-B19)*10000</f>
        <v>4.000000000000045</v>
      </c>
      <c r="D20" s="29"/>
      <c r="E20" s="29">
        <f>(E19-C19)*10000</f>
        <v>2.999999999999878</v>
      </c>
      <c r="F20" s="29">
        <f>(F19-E19)*10000</f>
        <v>7.000000000000062</v>
      </c>
      <c r="G20" s="33">
        <f>(G19-F19)*10000</f>
        <v>3.0000000000000164</v>
      </c>
      <c r="H20" s="12"/>
    </row>
    <row r="21">
      <c r="A21" s="6" t="s">
        <v>124</v>
      </c>
      <c r="B21" s="29" t="s">
        <v>39</v>
      </c>
      <c r="C21" s="29" t="s">
        <v>39</v>
      </c>
      <c r="D21" s="27">
        <f>(D19-Inputs!D140)*10000</f>
        <v>39.00000000000001</v>
      </c>
      <c r="E21" s="27">
        <f>(E19-Inputs!E140)*10000</f>
        <v>24.999999999999954</v>
      </c>
      <c r="F21" s="27">
        <f>(F19-Inputs!F140)*10000</f>
        <v>49.000000000000014</v>
      </c>
      <c r="G21" s="33">
        <f>(G19-B19)*10000</f>
        <v>17</v>
      </c>
      <c r="H21" s="7" t="s">
        <v>125</v>
      </c>
    </row>
    <row r="22">
      <c r="A22" s="6" t="s">
        <v>126</v>
      </c>
      <c r="B22" s="1">
        <f>B16*B19*B$6/365</f>
        <v>382.4171561643835</v>
      </c>
      <c r="C22" s="1">
        <f>C16*C19*C$6/365</f>
        <v>387.6450246575343</v>
      </c>
      <c r="D22" s="1">
        <f>D16*D19*D$6/365</f>
        <v>1441.8534000000002</v>
      </c>
      <c r="E22" s="1">
        <f>E16*E19*E$6/365</f>
        <v>393.7953698630136</v>
      </c>
      <c r="F22" s="1">
        <f>F16*F19*F$6/365</f>
        <v>414.21983342465757</v>
      </c>
      <c r="G22" s="2">
        <f>G16*G19*G$6/365</f>
        <v>420.3064109589041</v>
      </c>
      <c r="H22" s="7" t="s">
        <v>127</v>
      </c>
    </row>
    <row r="23" ht="40.5">
      <c r="A23" s="6" t="s">
        <v>131</v>
      </c>
      <c r="B23" s="4">
        <v>637</v>
      </c>
      <c r="C23" s="4">
        <v>1058</v>
      </c>
      <c r="D23" s="4">
        <v>828</v>
      </c>
      <c r="E23" s="4">
        <v>1002</v>
      </c>
      <c r="F23" s="4">
        <v>777</v>
      </c>
      <c r="G23" s="21">
        <v>700</v>
      </c>
      <c r="H23" s="112" t="s">
        <v>132</v>
      </c>
    </row>
    <row r="24">
      <c r="A24" s="12" t="s">
        <v>118</v>
      </c>
      <c r="B24" s="23" t="s">
        <v>39</v>
      </c>
      <c r="C24" s="23" t="s">
        <v>39</v>
      </c>
      <c r="D24" s="14">
        <f>D23/Inputs!D141-1</f>
        <v>0.2998430141287285</v>
      </c>
      <c r="E24" s="14">
        <f>E23/Inputs!E141-1</f>
        <v>0.9841584158415841</v>
      </c>
      <c r="F24" s="14">
        <f>F23/Inputs!F141-1</f>
        <v>-0.291058394160584</v>
      </c>
      <c r="G24" s="17">
        <f>G23/B23-1</f>
        <v>0.098901098901099</v>
      </c>
      <c r="H24" s="7" t="s">
        <v>119</v>
      </c>
    </row>
    <row r="25">
      <c r="A25" s="6" t="s">
        <v>120</v>
      </c>
      <c r="B25" s="8">
        <f>B23-Inputs!F141</f>
        <v>-459</v>
      </c>
      <c r="C25" s="1">
        <f>C23-B23</f>
        <v>421</v>
      </c>
      <c r="D25" s="1"/>
      <c r="E25" s="1">
        <f>E23-C23</f>
        <v>-56</v>
      </c>
      <c r="F25" s="1">
        <f>F23-E23</f>
        <v>-225</v>
      </c>
      <c r="G25" s="2">
        <f>G23-F23</f>
        <v>-77</v>
      </c>
      <c r="H25" s="12"/>
    </row>
    <row r="26">
      <c r="A26" s="12" t="s">
        <v>121</v>
      </c>
      <c r="B26" s="70">
        <v>0.0585</v>
      </c>
      <c r="C26" s="70">
        <v>0.0552</v>
      </c>
      <c r="D26" s="70">
        <v>0.0647</v>
      </c>
      <c r="E26" s="70">
        <v>0.0539</v>
      </c>
      <c r="F26" s="70">
        <v>0.055</v>
      </c>
      <c r="G26" s="55">
        <v>0.0545</v>
      </c>
      <c r="H26" s="7" t="s">
        <v>122</v>
      </c>
    </row>
    <row r="27">
      <c r="A27" s="6" t="s">
        <v>123</v>
      </c>
      <c r="B27" s="27">
        <f>(B26-Inputs!F142)*10000</f>
        <v>-226.99999999999991</v>
      </c>
      <c r="C27" s="29">
        <f>(C26-B26)*10000</f>
        <v>-33.00000000000004</v>
      </c>
      <c r="D27" s="29"/>
      <c r="E27" s="29">
        <f>(E26-C26)*10000</f>
        <v>-12.999999999999956</v>
      </c>
      <c r="F27" s="29">
        <f>(F26-E26)*10000</f>
        <v>10.999999999999968</v>
      </c>
      <c r="G27" s="33">
        <f>(G26-F26)*10000</f>
        <v>-5.000000000000004</v>
      </c>
      <c r="H27" s="12"/>
    </row>
    <row r="28">
      <c r="A28" s="6" t="s">
        <v>124</v>
      </c>
      <c r="B28" s="29" t="s">
        <v>39</v>
      </c>
      <c r="C28" s="29" t="s">
        <v>39</v>
      </c>
      <c r="D28" s="27">
        <f>(D26-Inputs!D142)*10000</f>
        <v>41.99999999999996</v>
      </c>
      <c r="E28" s="27">
        <f>(E26-Inputs!E142)*10000</f>
        <v>-30.00000000000003</v>
      </c>
      <c r="F28" s="27">
        <f>(F26-Inputs!F142)*10000</f>
        <v>-261.99999999999994</v>
      </c>
      <c r="G28" s="33">
        <f>(G26-B26)*10000</f>
        <v>-40.000000000000036</v>
      </c>
      <c r="H28" s="7" t="s">
        <v>125</v>
      </c>
    </row>
    <row r="29">
      <c r="A29" s="6" t="s">
        <v>126</v>
      </c>
      <c r="B29" s="1">
        <f>B23*B26*B$6/365</f>
        <v>9.392695890410959</v>
      </c>
      <c r="C29" s="1">
        <f>C23*C26*C$6/365</f>
        <v>14.720403287671234</v>
      </c>
      <c r="D29" s="1">
        <f>D23*D26*D$6/365</f>
        <v>53.5716</v>
      </c>
      <c r="E29" s="1">
        <f>E23*E26*E$6/365</f>
        <v>13.316991780821919</v>
      </c>
      <c r="F29" s="1">
        <f>F23*F26*F$6/365</f>
        <v>10.654479452054794</v>
      </c>
      <c r="G29" s="2">
        <f>G23*G26*G$6/365</f>
        <v>9.615890410958903</v>
      </c>
      <c r="H29" s="7" t="s">
        <v>127</v>
      </c>
    </row>
    <row r="30">
      <c r="A30" s="6" t="s">
        <v>133</v>
      </c>
      <c r="B30" s="4">
        <v>61687</v>
      </c>
      <c r="C30" s="4">
        <v>62190</v>
      </c>
      <c r="D30" s="4">
        <v>61475</v>
      </c>
      <c r="E30" s="4">
        <v>63622</v>
      </c>
      <c r="F30" s="4">
        <v>65883</v>
      </c>
      <c r="G30" s="21">
        <v>66500</v>
      </c>
      <c r="H30" s="7" t="s">
        <v>134</v>
      </c>
    </row>
    <row r="31">
      <c r="A31" s="12" t="s">
        <v>118</v>
      </c>
      <c r="B31" s="23" t="s">
        <v>39</v>
      </c>
      <c r="C31" s="23" t="s">
        <v>39</v>
      </c>
      <c r="D31" s="14">
        <f>D30/Inputs!D143-1</f>
        <v>0.04511994015742671</v>
      </c>
      <c r="E31" s="14">
        <f>E30/Inputs!E143-1</f>
        <v>0.04267593169228756</v>
      </c>
      <c r="F31" s="14">
        <f>F30/Inputs!F143-1</f>
        <v>0.08020855536062688</v>
      </c>
      <c r="G31" s="17">
        <f>G30/B30-1</f>
        <v>0.07802292217160822</v>
      </c>
      <c r="H31" s="7" t="s">
        <v>119</v>
      </c>
    </row>
    <row r="32">
      <c r="A32" s="6" t="s">
        <v>120</v>
      </c>
      <c r="B32" s="8">
        <f>B30-Inputs!F143</f>
        <v>696</v>
      </c>
      <c r="C32" s="1">
        <f>C30-B30</f>
        <v>503</v>
      </c>
      <c r="D32" s="1"/>
      <c r="E32" s="1">
        <f>E30-C30</f>
        <v>1432</v>
      </c>
      <c r="F32" s="1">
        <f>F30-E30</f>
        <v>2261</v>
      </c>
      <c r="G32" s="2">
        <f>G30-F30</f>
        <v>617</v>
      </c>
      <c r="H32" s="12"/>
    </row>
    <row r="33">
      <c r="A33" s="12" t="s">
        <v>121</v>
      </c>
      <c r="B33" s="70">
        <v>0.0645</v>
      </c>
      <c r="C33" s="70">
        <v>0.0622</v>
      </c>
      <c r="D33" s="70">
        <v>0.0636</v>
      </c>
      <c r="E33" s="70">
        <v>0.06</v>
      </c>
      <c r="F33" s="70">
        <v>0.06</v>
      </c>
      <c r="G33" s="55">
        <v>0.06</v>
      </c>
      <c r="H33" s="7" t="s">
        <v>135</v>
      </c>
    </row>
    <row r="34">
      <c r="A34" s="6" t="s">
        <v>123</v>
      </c>
      <c r="B34" s="27">
        <f>(B33-Inputs!F144)*10000</f>
        <v>5.000000000000004</v>
      </c>
      <c r="C34" s="29">
        <f>(C33-B33)*10000</f>
        <v>-23.000000000000036</v>
      </c>
      <c r="D34" s="29"/>
      <c r="E34" s="29">
        <f>(E33-C33)*10000</f>
        <v>-22.000000000000007</v>
      </c>
      <c r="F34" s="29">
        <f>(F33-E33)*10000</f>
        <v>0</v>
      </c>
      <c r="G34" s="33">
        <f>(G33-F33)*10000</f>
        <v>0</v>
      </c>
      <c r="H34" s="12"/>
    </row>
    <row r="35">
      <c r="A35" s="6" t="s">
        <v>124</v>
      </c>
      <c r="B35" s="29" t="s">
        <v>39</v>
      </c>
      <c r="C35" s="29" t="s">
        <v>39</v>
      </c>
      <c r="D35" s="27">
        <f>(D33-Inputs!D144)*10000</f>
        <v>-52.99999999999999</v>
      </c>
      <c r="E35" s="27">
        <f>(E33-Inputs!E144)*10000</f>
        <v>-36.00000000000006</v>
      </c>
      <c r="F35" s="27">
        <f>(F33-Inputs!F144)*10000</f>
        <v>-40.000000000000036</v>
      </c>
      <c r="G35" s="33">
        <f>(G33-B33)*10000</f>
        <v>-45.00000000000004</v>
      </c>
      <c r="H35" s="7" t="s">
        <v>125</v>
      </c>
    </row>
    <row r="36">
      <c r="A36" s="6" t="s">
        <v>126</v>
      </c>
      <c r="B36" s="1">
        <f>B30*B33*B$6/365</f>
        <v>1002.8785150684931</v>
      </c>
      <c r="C36" s="1">
        <f>C30*C33*C$6/365</f>
        <v>975.0028931506848</v>
      </c>
      <c r="D36" s="1">
        <f>D30*D33*D$6/365</f>
        <v>3909.8100000000004</v>
      </c>
      <c r="E36" s="1">
        <f>E30*E33*E$6/365</f>
        <v>941.2569863013698</v>
      </c>
      <c r="F36" s="1">
        <f>F30*F33*F$6/365</f>
        <v>985.5374794520548</v>
      </c>
      <c r="G36" s="2">
        <f>G30*G33*G$6/365</f>
        <v>1005.6986301369863</v>
      </c>
      <c r="H36" s="7" t="s">
        <v>127</v>
      </c>
    </row>
    <row r="37">
      <c r="A37" s="6" t="s">
        <v>136</v>
      </c>
      <c r="B37" s="4">
        <v>23982</v>
      </c>
      <c r="C37" s="4">
        <v>23507</v>
      </c>
      <c r="D37" s="4">
        <v>24471</v>
      </c>
      <c r="E37" s="4">
        <v>23025</v>
      </c>
      <c r="F37" s="4">
        <v>23221</v>
      </c>
      <c r="G37" s="21">
        <v>24500</v>
      </c>
      <c r="H37" s="7" t="s">
        <v>137</v>
      </c>
    </row>
    <row r="38">
      <c r="A38" s="12" t="s">
        <v>118</v>
      </c>
      <c r="B38" s="23" t="s">
        <v>39</v>
      </c>
      <c r="C38" s="23" t="s">
        <v>39</v>
      </c>
      <c r="D38" s="14">
        <f>D37/Inputs!D145-1</f>
        <v>-0.18116111761753384</v>
      </c>
      <c r="E38" s="14">
        <f>E37/Inputs!E145-1</f>
        <v>-0.11326349842101213</v>
      </c>
      <c r="F38" s="14">
        <f>F37/Inputs!F145-1</f>
        <v>-0.05115841948269517</v>
      </c>
      <c r="G38" s="17">
        <f>G37/B37-1</f>
        <v>0.021599532983070713</v>
      </c>
      <c r="H38" s="7" t="s">
        <v>119</v>
      </c>
    </row>
    <row r="39">
      <c r="A39" s="6" t="s">
        <v>120</v>
      </c>
      <c r="B39" s="8">
        <f>B37-Inputs!F145</f>
        <v>-491</v>
      </c>
      <c r="C39" s="1">
        <f>C37-B37</f>
        <v>-475</v>
      </c>
      <c r="D39" s="1"/>
      <c r="E39" s="1">
        <f>E37-C37</f>
        <v>-482</v>
      </c>
      <c r="F39" s="1">
        <f>F37-E37</f>
        <v>196</v>
      </c>
      <c r="G39" s="2">
        <f>G37-F37</f>
        <v>1279</v>
      </c>
      <c r="H39" s="12"/>
    </row>
    <row r="40">
      <c r="A40" s="12" t="s">
        <v>121</v>
      </c>
      <c r="B40" s="70">
        <v>0.0645</v>
      </c>
      <c r="C40" s="70">
        <v>0.0632</v>
      </c>
      <c r="D40" s="70">
        <v>0.0634</v>
      </c>
      <c r="E40" s="70">
        <v>0.0614</v>
      </c>
      <c r="F40" s="70">
        <v>0.0629</v>
      </c>
      <c r="G40" s="55">
        <v>0.0618</v>
      </c>
      <c r="H40" s="7" t="s">
        <v>138</v>
      </c>
    </row>
    <row r="41">
      <c r="A41" s="6" t="s">
        <v>123</v>
      </c>
      <c r="B41" s="27">
        <f>(B40-Inputs!F146)*10000</f>
        <v>12.999999999999956</v>
      </c>
      <c r="C41" s="29">
        <f>(C40-B40)*10000</f>
        <v>-12.999999999999956</v>
      </c>
      <c r="D41" s="29"/>
      <c r="E41" s="29">
        <f>(E40-C40)*10000</f>
        <v>-18.00000000000003</v>
      </c>
      <c r="F41" s="29">
        <f>(F40-E40)*10000</f>
        <v>14.999999999999943</v>
      </c>
      <c r="G41" s="33">
        <f>(G40-F40)*10000</f>
        <v>-10.999999999999968</v>
      </c>
      <c r="H41" s="12"/>
    </row>
    <row r="42">
      <c r="A42" s="6" t="s">
        <v>124</v>
      </c>
      <c r="B42" s="29" t="s">
        <v>39</v>
      </c>
      <c r="C42" s="29" t="s">
        <v>39</v>
      </c>
      <c r="D42" s="27">
        <f>(D40-Inputs!D146)*10000</f>
        <v>-8.99999999999998</v>
      </c>
      <c r="E42" s="27">
        <f>(E40-Inputs!E146)*10000</f>
        <v>-11.999999999999996</v>
      </c>
      <c r="F42" s="27">
        <f>(F40-Inputs!F146)*10000</f>
        <v>-3.000000000000086</v>
      </c>
      <c r="G42" s="33">
        <f>(G40-B40)*10000</f>
        <v>-27.00000000000001</v>
      </c>
      <c r="H42" s="7" t="s">
        <v>125</v>
      </c>
    </row>
    <row r="43">
      <c r="A43" s="6" t="s">
        <v>126</v>
      </c>
      <c r="B43" s="1">
        <f>B37*B40*B$6/365</f>
        <v>389.88818630136984</v>
      </c>
      <c r="C43" s="1">
        <f>C37*C40*C$6/365</f>
        <v>374.46328986301376</v>
      </c>
      <c r="D43" s="1">
        <f>D37*D40*D$6/365</f>
        <v>1551.4614</v>
      </c>
      <c r="E43" s="1">
        <f>E37*E40*E$6/365</f>
        <v>348.59219178082196</v>
      </c>
      <c r="F43" s="1">
        <f>F37*F40*F$6/365</f>
        <v>364.1498134246575</v>
      </c>
      <c r="G43" s="2">
        <f>G37*G40*G$6/365</f>
        <v>381.6361643835616</v>
      </c>
      <c r="H43" s="7" t="s">
        <v>127</v>
      </c>
    </row>
    <row r="44">
      <c r="A44" s="6" t="s">
        <v>139</v>
      </c>
      <c r="B44" s="4">
        <v>24122</v>
      </c>
      <c r="C44" s="4">
        <v>24368</v>
      </c>
      <c r="D44" s="4">
        <v>23751</v>
      </c>
      <c r="E44" s="4">
        <v>24468</v>
      </c>
      <c r="F44" s="4">
        <v>24827</v>
      </c>
      <c r="G44" s="21">
        <v>25300</v>
      </c>
      <c r="H44" s="7" t="s">
        <v>140</v>
      </c>
    </row>
    <row r="45">
      <c r="A45" s="12" t="s">
        <v>118</v>
      </c>
      <c r="B45" s="23" t="s">
        <v>39</v>
      </c>
      <c r="C45" s="23" t="s">
        <v>39</v>
      </c>
      <c r="D45" s="14">
        <f>D44/Inputs!D147-1</f>
        <v>0.03920367534456348</v>
      </c>
      <c r="E45" s="14">
        <f>E44/Inputs!E147-1</f>
        <v>0.06368734512889618</v>
      </c>
      <c r="F45" s="14">
        <f>F44/Inputs!F147-1</f>
        <v>0.05678287149363648</v>
      </c>
      <c r="G45" s="17">
        <f>G44/B44-1</f>
        <v>0.04883508830113592</v>
      </c>
      <c r="H45" s="7" t="s">
        <v>119</v>
      </c>
    </row>
    <row r="46">
      <c r="A46" s="6" t="s">
        <v>120</v>
      </c>
      <c r="B46" s="8">
        <f>B44-Inputs!F147</f>
        <v>629</v>
      </c>
      <c r="C46" s="1">
        <f>C44-B44</f>
        <v>246</v>
      </c>
      <c r="D46" s="1"/>
      <c r="E46" s="1">
        <f>E44-C44</f>
        <v>100</v>
      </c>
      <c r="F46" s="1">
        <f>F44-E44</f>
        <v>359</v>
      </c>
      <c r="G46" s="2">
        <f>G44-F44</f>
        <v>473</v>
      </c>
      <c r="H46" s="12"/>
    </row>
    <row r="47">
      <c r="A47" s="12" t="s">
        <v>121</v>
      </c>
      <c r="B47" s="70">
        <v>0.04570000000000001</v>
      </c>
      <c r="C47" s="70">
        <v>0.04570000000000001</v>
      </c>
      <c r="D47" s="70">
        <v>0.0452</v>
      </c>
      <c r="E47" s="70">
        <v>0.0454</v>
      </c>
      <c r="F47" s="70">
        <v>0.0463</v>
      </c>
      <c r="G47" s="55">
        <v>0.0465</v>
      </c>
      <c r="H47" s="7" t="s">
        <v>122</v>
      </c>
    </row>
    <row r="48">
      <c r="A48" s="6" t="s">
        <v>123</v>
      </c>
      <c r="B48" s="27">
        <f>(B47-Inputs!F148)*10000</f>
        <v>7.0000000000001315</v>
      </c>
      <c r="C48" s="29">
        <f>(C47-B47)*10000</f>
        <v>0</v>
      </c>
      <c r="D48" s="29"/>
      <c r="E48" s="29">
        <f>(E47-C47)*10000</f>
        <v>-3.000000000000086</v>
      </c>
      <c r="F48" s="29">
        <f>(F47-E47)*10000</f>
        <v>8.99999999999998</v>
      </c>
      <c r="G48" s="33">
        <f>(G47-F47)*10000</f>
        <v>1.999999999999988</v>
      </c>
      <c r="H48" s="12"/>
    </row>
    <row r="49">
      <c r="A49" s="6" t="s">
        <v>124</v>
      </c>
      <c r="B49" s="29" t="s">
        <v>39</v>
      </c>
      <c r="C49" s="29" t="s">
        <v>39</v>
      </c>
      <c r="D49" s="27">
        <f>(D47-Inputs!D148)*10000</f>
        <v>17.99999999999996</v>
      </c>
      <c r="E49" s="27">
        <f>(E47-Inputs!E148)*10000</f>
        <v>11.000000000000037</v>
      </c>
      <c r="F49" s="27">
        <f>(F47-Inputs!F148)*10000</f>
        <v>13.000000000000025</v>
      </c>
      <c r="G49" s="33">
        <f>(G47-B47)*10000</f>
        <v>7.999999999999882</v>
      </c>
      <c r="H49" s="7" t="s">
        <v>125</v>
      </c>
    </row>
    <row r="50">
      <c r="A50" s="6" t="s">
        <v>126</v>
      </c>
      <c r="B50" s="1">
        <f>B44*B47*B$6/365</f>
        <v>277.85900493150695</v>
      </c>
      <c r="C50" s="1">
        <f>C44*C47*C$6/365</f>
        <v>280.69265534246586</v>
      </c>
      <c r="D50" s="1">
        <f>D44*D47*D$6/365</f>
        <v>1073.5452</v>
      </c>
      <c r="E50" s="1">
        <f>E44*E47*E$6/365</f>
        <v>273.9075287671233</v>
      </c>
      <c r="F50" s="1">
        <f>F44*F47*F$6/365</f>
        <v>286.5852030136986</v>
      </c>
      <c r="G50" s="2">
        <f>G44*G47*G$6/365</f>
        <v>296.5298630136987</v>
      </c>
      <c r="H50" s="7" t="s">
        <v>127</v>
      </c>
    </row>
    <row r="51">
      <c r="A51" s="6" t="s">
        <v>141</v>
      </c>
      <c r="B51" s="4">
        <v>26099</v>
      </c>
      <c r="C51" s="4">
        <v>26477</v>
      </c>
      <c r="D51" s="4">
        <v>25578</v>
      </c>
      <c r="E51" s="4">
        <v>26306</v>
      </c>
      <c r="F51" s="4">
        <v>26719</v>
      </c>
      <c r="G51" s="21">
        <v>27400</v>
      </c>
      <c r="H51" s="7" t="s">
        <v>142</v>
      </c>
    </row>
    <row r="52">
      <c r="A52" s="12" t="s">
        <v>118</v>
      </c>
      <c r="B52" s="23" t="s">
        <v>39</v>
      </c>
      <c r="C52" s="23" t="s">
        <v>39</v>
      </c>
      <c r="D52" s="14">
        <f>D51/Inputs!D149-1</f>
        <v>0.13584084550823738</v>
      </c>
      <c r="E52" s="14">
        <f>E51/Inputs!E149-1</f>
        <v>0.0802398160315374</v>
      </c>
      <c r="F52" s="14">
        <f>F51/Inputs!F149-1</f>
        <v>0.05383765875207058</v>
      </c>
      <c r="G52" s="17">
        <f>G51/B51-1</f>
        <v>0.04984865320510368</v>
      </c>
      <c r="H52" s="7" t="s">
        <v>119</v>
      </c>
    </row>
    <row r="53">
      <c r="A53" s="6" t="s">
        <v>120</v>
      </c>
      <c r="B53" s="8">
        <f>B51-Inputs!F149</f>
        <v>745</v>
      </c>
      <c r="C53" s="1">
        <f>C51-B51</f>
        <v>378</v>
      </c>
      <c r="D53" s="1"/>
      <c r="E53" s="1">
        <f>E51-C51</f>
        <v>-171</v>
      </c>
      <c r="F53" s="1">
        <f>F51-E51</f>
        <v>413</v>
      </c>
      <c r="G53" s="2">
        <f>G51-F51</f>
        <v>681</v>
      </c>
      <c r="H53" s="12"/>
    </row>
    <row r="54">
      <c r="A54" s="12" t="s">
        <v>121</v>
      </c>
      <c r="B54" s="70">
        <v>0.066</v>
      </c>
      <c r="C54" s="70">
        <v>0.0658</v>
      </c>
      <c r="D54" s="70">
        <v>0.0658</v>
      </c>
      <c r="E54" s="70">
        <v>0.06480000000000001</v>
      </c>
      <c r="F54" s="70">
        <v>0.0646</v>
      </c>
      <c r="G54" s="55">
        <v>0.0645</v>
      </c>
      <c r="H54" s="7" t="s">
        <v>122</v>
      </c>
    </row>
    <row r="55">
      <c r="A55" s="6" t="s">
        <v>123</v>
      </c>
      <c r="B55" s="27">
        <f>(B54-Inputs!F150)*10000</f>
        <v>2.999999999999947</v>
      </c>
      <c r="C55" s="29">
        <f>(C54-B54)*10000</f>
        <v>-2.0000000000000573</v>
      </c>
      <c r="D55" s="29"/>
      <c r="E55" s="29">
        <f>(E54-C54)*10000</f>
        <v>-9.99999999999987</v>
      </c>
      <c r="F55" s="29">
        <f>(F54-E54)*10000</f>
        <v>-2.0000000000000573</v>
      </c>
      <c r="G55" s="33">
        <f>(G54-F54)*10000</f>
        <v>-1.0000000000000286</v>
      </c>
      <c r="H55" s="12"/>
    </row>
    <row r="56">
      <c r="A56" s="6" t="s">
        <v>124</v>
      </c>
      <c r="B56" s="29" t="s">
        <v>39</v>
      </c>
      <c r="C56" s="29" t="s">
        <v>39</v>
      </c>
      <c r="D56" s="27">
        <f>(D54-Inputs!D150)*10000</f>
        <v>-5.000000000000004</v>
      </c>
      <c r="E56" s="27">
        <f>(E54-Inputs!E150)*10000</f>
        <v>-8.99999999999998</v>
      </c>
      <c r="F56" s="27">
        <f>(F54-Inputs!F150)*10000</f>
        <v>-11.000000000000037</v>
      </c>
      <c r="G56" s="33">
        <f>(G54-B54)*10000</f>
        <v>-15.000000000000014</v>
      </c>
      <c r="H56" s="7" t="s">
        <v>125</v>
      </c>
    </row>
    <row r="57">
      <c r="A57" s="6" t="s">
        <v>126</v>
      </c>
      <c r="B57" s="1">
        <f>B51*B54*B$6/365</f>
        <v>434.1729534246575</v>
      </c>
      <c r="C57" s="1">
        <f>C51*C54*C$6/365</f>
        <v>439.12648547945207</v>
      </c>
      <c r="D57" s="1">
        <f>D51*D54*D$6/365</f>
        <v>1683.0323999999996</v>
      </c>
      <c r="E57" s="1">
        <f>E51*E54*E$6/365</f>
        <v>420.31943013698634</v>
      </c>
      <c r="F57" s="1">
        <f>F51*F54*F$6/365</f>
        <v>430.3296257534247</v>
      </c>
      <c r="G57" s="2">
        <f>G51*G54*G$6/365</f>
        <v>445.4564383561644</v>
      </c>
      <c r="H57" s="7" t="s">
        <v>127</v>
      </c>
    </row>
    <row r="58">
      <c r="A58" s="28" t="s">
        <v>143</v>
      </c>
      <c r="B58" s="26">
        <f>SUM(B30,B37,B44,B51)</f>
        <v>135890</v>
      </c>
      <c r="C58" s="26">
        <f>SUM(C30,C37,C44,C51)</f>
        <v>136542</v>
      </c>
      <c r="D58" s="26">
        <f>SUM(D30,D37,D44,D51)</f>
        <v>135275</v>
      </c>
      <c r="E58" s="26">
        <f>SUM(E30,E37,E44,E51)</f>
        <v>137421</v>
      </c>
      <c r="F58" s="26">
        <f>SUM(F30,F37,F44,F51)</f>
        <v>140650</v>
      </c>
      <c r="G58" s="39">
        <f>SUM(G30,G37,G44,G51)</f>
        <v>143700</v>
      </c>
      <c r="H58" s="12"/>
    </row>
    <row r="59">
      <c r="A59" s="12" t="s">
        <v>118</v>
      </c>
      <c r="B59" s="23" t="s">
        <v>39</v>
      </c>
      <c r="C59" s="23" t="s">
        <v>39</v>
      </c>
      <c r="D59" s="14">
        <f>D58/(Inputs!D143+Inputs!D145+Inputs!D147+Inputs!D149)-1</f>
        <v>0.008912589498806689</v>
      </c>
      <c r="E59" s="14">
        <f>E58/(Inputs!E143+Inputs!E145+Inputs!E147+Inputs!E149)-1</f>
        <v>0.02294196026470341</v>
      </c>
      <c r="F59" s="14">
        <f>F58/(Inputs!F143+Inputs!F145+Inputs!F147+Inputs!F149)-1</f>
        <v>0.04719643216117819</v>
      </c>
      <c r="G59" s="17">
        <f>G58/B58-1</f>
        <v>0.05747295606740743</v>
      </c>
      <c r="H59" s="7" t="s">
        <v>119</v>
      </c>
    </row>
    <row r="60">
      <c r="A60" s="6" t="s">
        <v>120</v>
      </c>
      <c r="B60" s="8">
        <f>B58-(Inputs!F143+Inputs!F145+Inputs!F147+Inputs!F149)</f>
        <v>1579</v>
      </c>
      <c r="C60" s="1">
        <f>C58-B58</f>
        <v>652</v>
      </c>
      <c r="D60" s="1"/>
      <c r="E60" s="1">
        <f>E58-C58</f>
        <v>879</v>
      </c>
      <c r="F60" s="1">
        <f>F58-E58</f>
        <v>3229</v>
      </c>
      <c r="G60" s="2">
        <f>G58-F58</f>
        <v>3050</v>
      </c>
      <c r="H60" s="12"/>
    </row>
    <row r="61">
      <c r="A61" s="28" t="s">
        <v>144</v>
      </c>
      <c r="B61" s="26">
        <f>SUM(B36,B43,B50,B57)</f>
        <v>2104.7986597260274</v>
      </c>
      <c r="C61" s="26">
        <f>SUM(C36,C43,C50,C57)</f>
        <v>2069.2853238356165</v>
      </c>
      <c r="D61" s="26">
        <f>SUM(D36,D43,D50,D57)</f>
        <v>8217.849</v>
      </c>
      <c r="E61" s="26">
        <f>SUM(E36,E43,E50,E57)</f>
        <v>1984.0761369863014</v>
      </c>
      <c r="F61" s="26">
        <f>SUM(F36,F43,F50,F57)</f>
        <v>2066.6021216438357</v>
      </c>
      <c r="G61" s="39">
        <f>SUM(G36,G43,G50,G57)</f>
        <v>2129.321095890411</v>
      </c>
      <c r="H61" s="12"/>
    </row>
    <row r="62">
      <c r="A62" s="12" t="s">
        <v>145</v>
      </c>
      <c r="B62" s="24">
        <f>B61/B58*365/B$6</f>
        <v>0.06145087865185076</v>
      </c>
      <c r="C62" s="24">
        <f>C61/C58*365/C$6</f>
        <v>0.0601255628304844</v>
      </c>
      <c r="D62" s="24">
        <f>D61/D58*365/D$6</f>
        <v>0.060749207170578454</v>
      </c>
      <c r="E62" s="24">
        <f>E61/E58*365/E$6</f>
        <v>0.05855386731285612</v>
      </c>
      <c r="F62" s="24">
        <f>F61/F58*365/F$6</f>
        <v>0.058934364735158194</v>
      </c>
      <c r="G62" s="56">
        <f>G61/G58*365/G$6</f>
        <v>0.058788100208768276</v>
      </c>
      <c r="H62" s="12"/>
    </row>
    <row r="63">
      <c r="A63" s="6" t="s">
        <v>123</v>
      </c>
      <c r="B63" s="27">
        <f>(B62-(Inputs!F143*Inputs!F144+Inputs!F145*Inputs!F146+Inputs!F147*Inputs!F148+Inputs!F149*Inputs!F150)/(Inputs!F143+Inputs!F145+Inputs!F147+Inputs!F149))*10000</f>
        <v>5.9912116363312204</v>
      </c>
      <c r="C63" s="29">
        <f>(C62-B62)*10000</f>
        <v>-13.253158213663644</v>
      </c>
      <c r="D63" s="29"/>
      <c r="E63" s="29">
        <f>(E62-C62)*10000</f>
        <v>-15.716955176282784</v>
      </c>
      <c r="F63" s="29">
        <f>(F62-E62)*10000</f>
        <v>3.804974223020757</v>
      </c>
      <c r="G63" s="33">
        <f>(G62-F62)*10000</f>
        <v>-1.4626452638991787</v>
      </c>
      <c r="H63" s="12"/>
    </row>
    <row r="64">
      <c r="A64" s="6" t="s">
        <v>124</v>
      </c>
      <c r="B64" s="29" t="s">
        <v>39</v>
      </c>
      <c r="C64" s="29" t="s">
        <v>39</v>
      </c>
      <c r="D64" s="27">
        <f>(D62-(Inputs!D143*Inputs!D144+Inputs!D145*Inputs!D146+Inputs!D147*Inputs!D148+Inputs!D149*Inputs!D150)/(Inputs!D143+Inputs!D145+Inputs!D147+Inputs!D149))*10000</f>
        <v>-23.4214948216617</v>
      </c>
      <c r="E64" s="27">
        <f>(E62-(Inputs!E143*Inputs!E144+Inputs!E145*Inputs!E146+Inputs!E147*Inputs!E148+Inputs!E149*Inputs!E150)/(Inputs!E143+Inputs!E145+Inputs!E147+Inputs!E149))*10000</f>
        <v>-19.287602189849775</v>
      </c>
      <c r="F64" s="27">
        <f>(F62-(Inputs!F143*Inputs!F144+Inputs!F145*Inputs!F146+Inputs!F147*Inputs!F148+Inputs!F149*Inputs!F150)/(Inputs!F143+Inputs!F145+Inputs!F147+Inputs!F149))*10000</f>
        <v>-19.17392753059445</v>
      </c>
      <c r="G64" s="33">
        <f>(G62-B62)*10000</f>
        <v>-26.62778443082485</v>
      </c>
      <c r="H64" s="7" t="s">
        <v>125</v>
      </c>
    </row>
    <row r="65">
      <c r="A65" s="6" t="s">
        <v>146</v>
      </c>
      <c r="B65" s="4">
        <v>95</v>
      </c>
      <c r="C65" s="4">
        <v>97</v>
      </c>
      <c r="D65" s="4">
        <v>96</v>
      </c>
      <c r="E65" s="4">
        <v>95</v>
      </c>
      <c r="F65" s="4">
        <v>0</v>
      </c>
      <c r="G65" s="21">
        <v>0</v>
      </c>
      <c r="H65" s="7" t="s">
        <v>147</v>
      </c>
    </row>
    <row r="66">
      <c r="A66" s="12" t="s">
        <v>118</v>
      </c>
      <c r="B66" s="23" t="s">
        <v>39</v>
      </c>
      <c r="C66" s="23" t="s">
        <v>39</v>
      </c>
      <c r="D66" s="14">
        <f>D65/Inputs!D151-1</f>
        <v>-0.05882352941176472</v>
      </c>
      <c r="E66" s="14">
        <f>E65/Inputs!E151-1</f>
        <v>-0.020618556701030966</v>
      </c>
      <c r="F66" s="14">
        <f>F65/Inputs!F151-1</f>
        <v>-1</v>
      </c>
      <c r="G66" s="17">
        <f>G65/B65-1</f>
        <v>-1</v>
      </c>
      <c r="H66" s="7" t="s">
        <v>119</v>
      </c>
    </row>
    <row r="67">
      <c r="A67" s="6" t="s">
        <v>120</v>
      </c>
      <c r="B67" s="8">
        <f>B65-Inputs!F151</f>
        <v>0</v>
      </c>
      <c r="C67" s="1">
        <f>C65-B65</f>
        <v>2</v>
      </c>
      <c r="D67" s="1"/>
      <c r="E67" s="1">
        <f>E65-C65</f>
        <v>-2</v>
      </c>
      <c r="F67" s="1">
        <f>F65-E65</f>
        <v>-95</v>
      </c>
      <c r="G67" s="2">
        <f>G65-F65</f>
        <v>0</v>
      </c>
      <c r="H67" s="12"/>
    </row>
    <row r="68">
      <c r="A68" s="12" t="s">
        <v>121</v>
      </c>
      <c r="B68" s="70">
        <v>0.0345</v>
      </c>
      <c r="C68" s="70">
        <v>0.034</v>
      </c>
      <c r="D68" s="70">
        <v>0.0345</v>
      </c>
      <c r="E68" s="70">
        <v>0.0349</v>
      </c>
      <c r="F68" s="70">
        <v>0</v>
      </c>
      <c r="G68" s="55">
        <v>0</v>
      </c>
      <c r="H68" s="7" t="s">
        <v>122</v>
      </c>
    </row>
    <row r="69">
      <c r="A69" s="6" t="s">
        <v>123</v>
      </c>
      <c r="B69" s="27">
        <f>(B68-Inputs!F152)*10000</f>
        <v>-1.999999999999988</v>
      </c>
      <c r="C69" s="29">
        <f>(C68-B68)*10000</f>
        <v>-5.000000000000004</v>
      </c>
      <c r="D69" s="29"/>
      <c r="E69" s="29">
        <f>(E68-C68)*10000</f>
        <v>8.99999999999998</v>
      </c>
      <c r="F69" s="29" t="s">
        <v>148</v>
      </c>
      <c r="G69" s="33" t="s">
        <v>148</v>
      </c>
      <c r="H69" s="96" t="s">
        <v>149</v>
      </c>
    </row>
    <row r="70">
      <c r="A70" s="6" t="s">
        <v>124</v>
      </c>
      <c r="B70" s="29" t="s">
        <v>39</v>
      </c>
      <c r="C70" s="29" t="s">
        <v>39</v>
      </c>
      <c r="D70" s="27">
        <f>(D68-Inputs!D152)*10000</f>
        <v>3.0000000000000164</v>
      </c>
      <c r="E70" s="27">
        <f>(E68-Inputs!E152)*10000</f>
        <v>1.999999999999988</v>
      </c>
      <c r="F70" s="27" t="s">
        <v>148</v>
      </c>
      <c r="G70" s="33" t="s">
        <v>148</v>
      </c>
      <c r="H70" s="7" t="s">
        <v>125</v>
      </c>
    </row>
    <row r="71">
      <c r="A71" s="6" t="s">
        <v>126</v>
      </c>
      <c r="B71" s="1">
        <f>B65*B68*B$6/365</f>
        <v>0.826109589041096</v>
      </c>
      <c r="C71" s="1">
        <f>C65*C68*C$6/365</f>
        <v>0.8312767123287671</v>
      </c>
      <c r="D71" s="1">
        <f>D65*D68*D$6/365</f>
        <v>3.3120000000000003</v>
      </c>
      <c r="E71" s="1">
        <f>E65*E68*E$6/365</f>
        <v>0.8175205479452055</v>
      </c>
      <c r="F71" s="1">
        <f>F65*F68*F$6/365</f>
        <v>0</v>
      </c>
      <c r="G71" s="2">
        <f>G65*G68*G$6/365</f>
        <v>0</v>
      </c>
      <c r="H71" s="7" t="s">
        <v>127</v>
      </c>
    </row>
    <row r="72">
      <c r="A72" s="28" t="s">
        <v>150</v>
      </c>
      <c r="B72" s="26">
        <f>SUM(B9,B16,B23,B58,B65)</f>
        <v>190920</v>
      </c>
      <c r="C72" s="26">
        <f>SUM(C9,C16,C23,C58,C65)</f>
        <v>192366</v>
      </c>
      <c r="D72" s="26">
        <f>SUM(D9,D16,D23,D58,D65)</f>
        <v>190744</v>
      </c>
      <c r="E72" s="26">
        <f>SUM(E9,E16,E23,E58,E65)</f>
        <v>192594</v>
      </c>
      <c r="F72" s="26">
        <f>SUM(F9,F16,F23,F58,F65)</f>
        <v>195216</v>
      </c>
      <c r="G72" s="39">
        <f>SUM(G9,G16,G23,G58,G65)</f>
        <v>197800</v>
      </c>
      <c r="H72" s="12"/>
    </row>
    <row r="73">
      <c r="A73" s="12" t="s">
        <v>118</v>
      </c>
      <c r="B73" s="23" t="s">
        <v>39</v>
      </c>
      <c r="C73" s="23" t="s">
        <v>39</v>
      </c>
      <c r="D73" s="14">
        <f>D72/(Inputs!D137+Inputs!D139+Inputs!D141+Inputs!D143+Inputs!D145+Inputs!D147+Inputs!D149+Inputs!D151)-1</f>
        <v>-0.010756257195904895</v>
      </c>
      <c r="E73" s="14">
        <f>E72/(Inputs!E137+Inputs!E139+Inputs!E141+Inputs!E143+Inputs!E145+Inputs!E147+Inputs!E149+Inputs!E151)-1</f>
        <v>0.01839082890924093</v>
      </c>
      <c r="F73" s="14">
        <f>F72/(Inputs!F137+Inputs!F139+Inputs!F141+Inputs!F143+Inputs!F145+Inputs!F147+Inputs!F149+Inputs!F151)-1</f>
        <v>0.024567664733513572</v>
      </c>
      <c r="G73" s="17">
        <f>G72/B72-1</f>
        <v>0.03603603603603611</v>
      </c>
      <c r="H73" s="7" t="s">
        <v>119</v>
      </c>
    </row>
    <row r="74">
      <c r="A74" s="6" t="s">
        <v>120</v>
      </c>
      <c r="B74" s="8">
        <f>B72-(Inputs!F137+Inputs!F139+Inputs!F141+Inputs!F143+Inputs!F145+Inputs!F147+Inputs!F149+Inputs!F151)</f>
        <v>385</v>
      </c>
      <c r="C74" s="1">
        <f>C72-B72</f>
        <v>1446</v>
      </c>
      <c r="D74" s="1"/>
      <c r="E74" s="1">
        <f>E72-C72</f>
        <v>228</v>
      </c>
      <c r="F74" s="1">
        <f>F72-E72</f>
        <v>2622</v>
      </c>
      <c r="G74" s="2">
        <f>G72-F72</f>
        <v>2584</v>
      </c>
      <c r="H74" s="12"/>
    </row>
    <row r="75">
      <c r="A75" s="6"/>
      <c r="B75" s="11"/>
      <c r="C75" s="11"/>
      <c r="D75" s="11"/>
      <c r="E75" s="11"/>
      <c r="F75" s="11"/>
      <c r="G75" s="20"/>
      <c r="H75" s="12"/>
    </row>
    <row r="76">
      <c r="A76" s="6" t="s">
        <v>151</v>
      </c>
      <c r="B76" s="4">
        <v>104630</v>
      </c>
      <c r="C76" s="4">
        <v>107257</v>
      </c>
      <c r="D76" s="4">
        <v>104356</v>
      </c>
      <c r="E76" s="4">
        <v>106570</v>
      </c>
      <c r="F76" s="4">
        <v>105752</v>
      </c>
      <c r="G76" s="21">
        <v>110000</v>
      </c>
      <c r="H76" s="7" t="s">
        <v>152</v>
      </c>
    </row>
    <row r="77">
      <c r="A77" s="12" t="s">
        <v>118</v>
      </c>
      <c r="B77" s="23" t="s">
        <v>39</v>
      </c>
      <c r="C77" s="23" t="s">
        <v>39</v>
      </c>
      <c r="D77" s="14">
        <f>D76/Inputs!D153-1</f>
        <v>0.06716570540352595</v>
      </c>
      <c r="E77" s="14">
        <f>E76/Inputs!E153-1</f>
        <v>0.049578474629687896</v>
      </c>
      <c r="F77" s="14">
        <f>F76/Inputs!F153-1</f>
        <v>0.017491869840475793</v>
      </c>
      <c r="G77" s="17">
        <f>G76/B76-1</f>
        <v>0.05132371212845266</v>
      </c>
      <c r="H77" s="7" t="s">
        <v>119</v>
      </c>
    </row>
    <row r="78">
      <c r="A78" s="6" t="s">
        <v>120</v>
      </c>
      <c r="B78" s="8">
        <f>B76-Inputs!F153</f>
        <v>696</v>
      </c>
      <c r="C78" s="1">
        <f>C76-B76</f>
        <v>2627</v>
      </c>
      <c r="D78" s="1"/>
      <c r="E78" s="1">
        <f>E76-C76</f>
        <v>-687</v>
      </c>
      <c r="F78" s="1">
        <f>F76-E76</f>
        <v>-818</v>
      </c>
      <c r="G78" s="2">
        <f>G76-F76</f>
        <v>4248</v>
      </c>
      <c r="H78" s="12"/>
    </row>
    <row r="79">
      <c r="A79" s="12" t="s">
        <v>153</v>
      </c>
      <c r="B79" s="70">
        <v>0.0223</v>
      </c>
      <c r="C79" s="70">
        <v>0.0204</v>
      </c>
      <c r="D79" s="70">
        <v>0.0218</v>
      </c>
      <c r="E79" s="70">
        <v>0.0184</v>
      </c>
      <c r="F79" s="70">
        <v>0.0181</v>
      </c>
      <c r="G79" s="55">
        <v>0.0192</v>
      </c>
      <c r="H79" s="7" t="s">
        <v>154</v>
      </c>
    </row>
    <row r="80">
      <c r="A80" s="6" t="s">
        <v>123</v>
      </c>
      <c r="B80" s="27">
        <f>(B79-Inputs!F154)*10000</f>
        <v>-1.0000000000000286</v>
      </c>
      <c r="C80" s="29">
        <f>(C79-B79)*10000</f>
        <v>-18.99999999999999</v>
      </c>
      <c r="D80" s="29"/>
      <c r="E80" s="29">
        <f>(E79-C79)*10000</f>
        <v>-20.000000000000018</v>
      </c>
      <c r="F80" s="29">
        <f>(F79-E79)*10000</f>
        <v>-2.999999999999982</v>
      </c>
      <c r="G80" s="33">
        <f>(G79-F79)*10000</f>
        <v>10.999999999999968</v>
      </c>
      <c r="H80" s="12"/>
    </row>
    <row r="81">
      <c r="A81" s="6" t="s">
        <v>124</v>
      </c>
      <c r="B81" s="29" t="s">
        <v>39</v>
      </c>
      <c r="C81" s="29" t="s">
        <v>39</v>
      </c>
      <c r="D81" s="27">
        <f>(D79-Inputs!D154)*10000</f>
        <v>-38.99999999999997</v>
      </c>
      <c r="E81" s="27">
        <f>(E79-Inputs!E154)*10000</f>
        <v>-35.99999999999999</v>
      </c>
      <c r="F81" s="27">
        <f>(F79-Inputs!F154)*10000</f>
        <v>-43.000000000000014</v>
      </c>
      <c r="G81" s="33">
        <f>(G79-B79)*10000</f>
        <v>-31.00000000000002</v>
      </c>
      <c r="H81" s="7" t="s">
        <v>125</v>
      </c>
    </row>
    <row r="82">
      <c r="A82" s="6" t="s">
        <v>155</v>
      </c>
      <c r="B82" s="1">
        <f>B76*B79*B$6/365</f>
        <v>588.106597260274</v>
      </c>
      <c r="C82" s="1">
        <f>C76*C79*C$6/365</f>
        <v>551.5066783561643</v>
      </c>
      <c r="D82" s="1">
        <f>D76*D79*D$6/365</f>
        <v>2274.9608</v>
      </c>
      <c r="E82" s="1">
        <f>E76*E79*E$6/365</f>
        <v>483.50663013698625</v>
      </c>
      <c r="F82" s="1">
        <f>F76*F79*F$6/365</f>
        <v>477.2167649315069</v>
      </c>
      <c r="G82" s="2">
        <f>G76*G79*G$6/365</f>
        <v>532.3397260273972</v>
      </c>
      <c r="H82" s="7" t="s">
        <v>127</v>
      </c>
    </row>
    <row r="83">
      <c r="A83" s="6" t="s">
        <v>156</v>
      </c>
      <c r="B83" s="4">
        <v>13890</v>
      </c>
      <c r="C83" s="4">
        <v>13499</v>
      </c>
      <c r="D83" s="4">
        <v>13915</v>
      </c>
      <c r="E83" s="4">
        <v>13059</v>
      </c>
      <c r="F83" s="4">
        <v>13808</v>
      </c>
      <c r="G83" s="21">
        <v>14300</v>
      </c>
      <c r="H83" s="7" t="s">
        <v>147</v>
      </c>
    </row>
    <row r="84">
      <c r="A84" s="12" t="s">
        <v>118</v>
      </c>
      <c r="B84" s="23" t="s">
        <v>39</v>
      </c>
      <c r="C84" s="23" t="s">
        <v>39</v>
      </c>
      <c r="D84" s="14">
        <f>D83/Inputs!D155-1</f>
        <v>-0.23231821692596266</v>
      </c>
      <c r="E84" s="14">
        <f>E83/Inputs!E155-1</f>
        <v>-0.07428935989225205</v>
      </c>
      <c r="F84" s="14">
        <f>F83/Inputs!F155-1</f>
        <v>-0.025615694023004676</v>
      </c>
      <c r="G84" s="17">
        <f>G83/B83-1</f>
        <v>0.029517638588912876</v>
      </c>
      <c r="H84" s="7" t="s">
        <v>119</v>
      </c>
    </row>
    <row r="85">
      <c r="A85" s="6" t="s">
        <v>120</v>
      </c>
      <c r="B85" s="8">
        <f>B83-Inputs!F155</f>
        <v>-281</v>
      </c>
      <c r="C85" s="1">
        <f>C83-B83</f>
        <v>-391</v>
      </c>
      <c r="D85" s="1"/>
      <c r="E85" s="1">
        <f>E83-C83</f>
        <v>-440</v>
      </c>
      <c r="F85" s="1">
        <f>F83-E83</f>
        <v>749</v>
      </c>
      <c r="G85" s="2">
        <f>G83-F83</f>
        <v>492</v>
      </c>
      <c r="H85" s="12"/>
    </row>
    <row r="86">
      <c r="A86" s="12" t="s">
        <v>153</v>
      </c>
      <c r="B86" s="70">
        <v>0.034</v>
      </c>
      <c r="C86" s="70">
        <v>0.032</v>
      </c>
      <c r="D86" s="70">
        <v>0.0341</v>
      </c>
      <c r="E86" s="70">
        <v>0.0302</v>
      </c>
      <c r="F86" s="70">
        <v>0.0302</v>
      </c>
      <c r="G86" s="55">
        <v>0.0308</v>
      </c>
      <c r="H86" s="7" t="s">
        <v>122</v>
      </c>
    </row>
    <row r="87">
      <c r="A87" s="6" t="s">
        <v>123</v>
      </c>
      <c r="B87" s="27">
        <f>(B86-Inputs!F156)*10000</f>
        <v>-7.999999999999952</v>
      </c>
      <c r="C87" s="29">
        <f>(C86-B86)*10000</f>
        <v>-20.000000000000018</v>
      </c>
      <c r="D87" s="29"/>
      <c r="E87" s="29">
        <f>(E86-C86)*10000</f>
        <v>-17.999999999999996</v>
      </c>
      <c r="F87" s="29">
        <f>(F86-E86)*10000</f>
        <v>0</v>
      </c>
      <c r="G87" s="33">
        <f>(G86-F86)*10000</f>
        <v>5.999999999999998</v>
      </c>
      <c r="H87" s="12"/>
    </row>
    <row r="88">
      <c r="A88" s="6" t="s">
        <v>124</v>
      </c>
      <c r="B88" s="29" t="s">
        <v>39</v>
      </c>
      <c r="C88" s="29" t="s">
        <v>39</v>
      </c>
      <c r="D88" s="27">
        <f>(D86-Inputs!D156)*10000</f>
        <v>-90.00000000000001</v>
      </c>
      <c r="E88" s="27">
        <f>(E86-Inputs!E156)*10000</f>
        <v>-54.99999999999994</v>
      </c>
      <c r="F88" s="27">
        <f>(F86-Inputs!F156)*10000</f>
        <v>-45.999999999999964</v>
      </c>
      <c r="G88" s="33">
        <f>(G86-B86)*10000</f>
        <v>-32.000000000000014</v>
      </c>
      <c r="H88" s="7" t="s">
        <v>125</v>
      </c>
    </row>
    <row r="89">
      <c r="A89" s="6" t="s">
        <v>155</v>
      </c>
      <c r="B89" s="1">
        <f>B83*B86*B$6/365</f>
        <v>119.03539726027398</v>
      </c>
      <c r="C89" s="1">
        <f>C83*C86*C$6/365</f>
        <v>108.87960547945207</v>
      </c>
      <c r="D89" s="1">
        <f>D83*D86*D$6/365</f>
        <v>474.50149999999996</v>
      </c>
      <c r="E89" s="1">
        <f>E83*E86*E$6/365</f>
        <v>97.24482739726028</v>
      </c>
      <c r="F89" s="1">
        <f>F83*F86*F$6/365</f>
        <v>103.96478246575342</v>
      </c>
      <c r="G89" s="2">
        <f>G83*G86*G$6/365</f>
        <v>111.01501369863014</v>
      </c>
      <c r="H89" s="7" t="s">
        <v>127</v>
      </c>
    </row>
    <row r="90">
      <c r="A90" s="28" t="s">
        <v>157</v>
      </c>
      <c r="B90" s="26">
        <f>B76+B83</f>
        <v>118520</v>
      </c>
      <c r="C90" s="26">
        <f>C76+C83</f>
        <v>120756</v>
      </c>
      <c r="D90" s="26">
        <f>D76+D83</f>
        <v>118271</v>
      </c>
      <c r="E90" s="26">
        <f>E76+E83</f>
        <v>119629</v>
      </c>
      <c r="F90" s="26">
        <f>F76+F83</f>
        <v>119560</v>
      </c>
      <c r="G90" s="39">
        <f>G76+G83</f>
        <v>124300</v>
      </c>
      <c r="H90" s="12"/>
    </row>
    <row r="91">
      <c r="A91" s="12" t="s">
        <v>118</v>
      </c>
      <c r="B91" s="23" t="s">
        <v>39</v>
      </c>
      <c r="C91" s="23" t="s">
        <v>39</v>
      </c>
      <c r="D91" s="14">
        <f>D90/(Inputs!D153+Inputs!D155)-1</f>
        <v>0.02033404075435241</v>
      </c>
      <c r="E91" s="14">
        <f>E90/(Inputs!E153+Inputs!E155)-1</f>
        <v>0.0344681476613371</v>
      </c>
      <c r="F91" s="14">
        <f>F90/(Inputs!F153+Inputs!F155)-1</f>
        <v>0.012319546166546624</v>
      </c>
      <c r="G91" s="17">
        <f>G90/B90-1</f>
        <v>0.04876814039824495</v>
      </c>
      <c r="H91" s="7" t="s">
        <v>119</v>
      </c>
    </row>
    <row r="92">
      <c r="A92" s="6" t="s">
        <v>120</v>
      </c>
      <c r="B92" s="8">
        <f>B90-(Inputs!F153+Inputs!F155)</f>
        <v>415</v>
      </c>
      <c r="C92" s="1">
        <f>C90-B90</f>
        <v>2236</v>
      </c>
      <c r="D92" s="1"/>
      <c r="E92" s="1">
        <f>E90-C90</f>
        <v>-1127</v>
      </c>
      <c r="F92" s="1">
        <f>F90-E90</f>
        <v>-69</v>
      </c>
      <c r="G92" s="2">
        <f>G90-F90</f>
        <v>4740</v>
      </c>
      <c r="H92" s="12"/>
    </row>
    <row r="93" ht="52.5">
      <c r="A93" s="6" t="s">
        <v>158</v>
      </c>
      <c r="B93" s="4">
        <v>2844</v>
      </c>
      <c r="C93" s="4">
        <v>2064</v>
      </c>
      <c r="D93" s="4">
        <v>2774</v>
      </c>
      <c r="E93" s="4">
        <v>5695</v>
      </c>
      <c r="F93" s="4">
        <v>8016</v>
      </c>
      <c r="G93" s="21">
        <v>4200</v>
      </c>
      <c r="H93" s="112" t="s">
        <v>159</v>
      </c>
    </row>
    <row r="94">
      <c r="A94" s="12" t="s">
        <v>118</v>
      </c>
      <c r="B94" s="23" t="s">
        <v>39</v>
      </c>
      <c r="C94" s="23" t="s">
        <v>39</v>
      </c>
      <c r="D94" s="14">
        <f>D93/Inputs!D157-1</f>
        <v>-0.3752252252252253</v>
      </c>
      <c r="E94" s="14">
        <f>E93/Inputs!E157-1</f>
        <v>0.9850121993726038</v>
      </c>
      <c r="F94" s="14">
        <f>F93/Inputs!F157-1</f>
        <v>1.4093778178539225</v>
      </c>
      <c r="G94" s="17">
        <f>G93/B93-1</f>
        <v>0.47679324894514763</v>
      </c>
      <c r="H94" s="7" t="s">
        <v>119</v>
      </c>
    </row>
    <row r="95">
      <c r="A95" s="6" t="s">
        <v>120</v>
      </c>
      <c r="B95" s="8">
        <f>B93-Inputs!F157</f>
        <v>-483</v>
      </c>
      <c r="C95" s="1">
        <f>C93-B93</f>
        <v>-780</v>
      </c>
      <c r="D95" s="1"/>
      <c r="E95" s="1">
        <f>E93-C93</f>
        <v>3631</v>
      </c>
      <c r="F95" s="1">
        <f>F93-E93</f>
        <v>2321</v>
      </c>
      <c r="G95" s="2">
        <f>G93-F93</f>
        <v>-3816</v>
      </c>
      <c r="H95" s="12"/>
    </row>
    <row r="96">
      <c r="A96" s="12" t="s">
        <v>153</v>
      </c>
      <c r="B96" s="70">
        <v>0.045</v>
      </c>
      <c r="C96" s="70">
        <v>0.0421</v>
      </c>
      <c r="D96" s="70">
        <v>0.044500000000000005</v>
      </c>
      <c r="E96" s="70">
        <v>0.038599999999999995</v>
      </c>
      <c r="F96" s="70">
        <v>0.038599999999999995</v>
      </c>
      <c r="G96" s="55">
        <v>0.039</v>
      </c>
      <c r="H96" s="7" t="s">
        <v>122</v>
      </c>
    </row>
    <row r="97">
      <c r="A97" s="6" t="s">
        <v>123</v>
      </c>
      <c r="B97" s="27">
        <f>(B96-Inputs!F158)*10000</f>
        <v>0.9999999999999593</v>
      </c>
      <c r="C97" s="29">
        <f>(C96-B96)*10000</f>
        <v>-28.999999999999996</v>
      </c>
      <c r="D97" s="29"/>
      <c r="E97" s="29">
        <f>(E96-C96)*10000</f>
        <v>-35.00000000000003</v>
      </c>
      <c r="F97" s="29">
        <f>(F96-E96)*10000</f>
        <v>0</v>
      </c>
      <c r="G97" s="33">
        <f>(G96-F96)*10000</f>
        <v>4.000000000000045</v>
      </c>
      <c r="H97" s="12"/>
    </row>
    <row r="98">
      <c r="A98" s="6" t="s">
        <v>124</v>
      </c>
      <c r="B98" s="29" t="s">
        <v>39</v>
      </c>
      <c r="C98" s="29" t="s">
        <v>39</v>
      </c>
      <c r="D98" s="27">
        <f>(D96-Inputs!D158)*10000</f>
        <v>-99.99999999999994</v>
      </c>
      <c r="E98" s="27">
        <f>(E96-Inputs!E158)*10000</f>
        <v>-66.00000000000001</v>
      </c>
      <c r="F98" s="27">
        <f>(F96-Inputs!F158)*10000</f>
        <v>-63.00000000000007</v>
      </c>
      <c r="G98" s="33">
        <f>(G96-B96)*10000</f>
        <v>-59.999999999999986</v>
      </c>
      <c r="H98" s="7" t="s">
        <v>125</v>
      </c>
    </row>
    <row r="99">
      <c r="A99" s="6" t="s">
        <v>155</v>
      </c>
      <c r="B99" s="1">
        <f>B93*B96*B$6/365</f>
        <v>32.25797260273973</v>
      </c>
      <c r="C99" s="1">
        <f>C93*C96*C$6/365</f>
        <v>21.9021501369863</v>
      </c>
      <c r="D99" s="1">
        <f>D93*D96*D$6/365</f>
        <v>123.44300000000001</v>
      </c>
      <c r="E99" s="1">
        <f>E93*E96*E$6/365</f>
        <v>54.20391780821917</v>
      </c>
      <c r="F99" s="1">
        <f>F93*F96*F$6/365</f>
        <v>77.14247013698629</v>
      </c>
      <c r="G99" s="2">
        <f>G93*G96*G$6/365</f>
        <v>41.28657534246575</v>
      </c>
      <c r="H99" s="7" t="s">
        <v>127</v>
      </c>
    </row>
    <row r="100">
      <c r="A100" s="6" t="s">
        <v>160</v>
      </c>
      <c r="B100" s="4">
        <v>12789</v>
      </c>
      <c r="C100" s="4">
        <v>12555</v>
      </c>
      <c r="D100" s="4">
        <v>11897</v>
      </c>
      <c r="E100" s="4">
        <v>11064</v>
      </c>
      <c r="F100" s="4">
        <v>12778</v>
      </c>
      <c r="G100" s="21">
        <v>14000</v>
      </c>
      <c r="H100" s="7" t="s">
        <v>161</v>
      </c>
    </row>
    <row r="101">
      <c r="A101" s="12" t="s">
        <v>118</v>
      </c>
      <c r="B101" s="23" t="s">
        <v>39</v>
      </c>
      <c r="C101" s="23" t="s">
        <v>39</v>
      </c>
      <c r="D101" s="14">
        <f>D100/Inputs!D159-1</f>
        <v>0.07344581791933602</v>
      </c>
      <c r="E101" s="14">
        <f>E100/Inputs!E159-1</f>
        <v>-0.01958351794417368</v>
      </c>
      <c r="F101" s="14">
        <f>F100/Inputs!F159-1</f>
        <v>0.1684345281638624</v>
      </c>
      <c r="G101" s="17">
        <f>G100/B100-1</f>
        <v>0.09469074986316373</v>
      </c>
      <c r="H101" s="7" t="s">
        <v>119</v>
      </c>
    </row>
    <row r="102">
      <c r="A102" s="6" t="s">
        <v>120</v>
      </c>
      <c r="B102" s="8">
        <f>B100-Inputs!F159</f>
        <v>1853</v>
      </c>
      <c r="C102" s="1">
        <f>C100-B100</f>
        <v>-234</v>
      </c>
      <c r="D102" s="1"/>
      <c r="E102" s="1">
        <f>E100-C100</f>
        <v>-1491</v>
      </c>
      <c r="F102" s="1">
        <f>F100-E100</f>
        <v>1714</v>
      </c>
      <c r="G102" s="2">
        <f>G100-F100</f>
        <v>1222</v>
      </c>
      <c r="H102" s="12"/>
    </row>
    <row r="103">
      <c r="A103" s="12" t="s">
        <v>153</v>
      </c>
      <c r="B103" s="70">
        <v>0.0564</v>
      </c>
      <c r="C103" s="70">
        <v>0.0556</v>
      </c>
      <c r="D103" s="70">
        <v>0.0561</v>
      </c>
      <c r="E103" s="70">
        <v>0.0541</v>
      </c>
      <c r="F103" s="70">
        <v>0.0533</v>
      </c>
      <c r="G103" s="55">
        <v>0.053</v>
      </c>
      <c r="H103" s="7" t="s">
        <v>122</v>
      </c>
    </row>
    <row r="104">
      <c r="A104" s="6" t="s">
        <v>123</v>
      </c>
      <c r="B104" s="27">
        <f>(B103-Inputs!F160)*10000</f>
        <v>-6.000000000000033</v>
      </c>
      <c r="C104" s="29">
        <f>(C103-B103)*10000</f>
        <v>-8.000000000000021</v>
      </c>
      <c r="D104" s="29"/>
      <c r="E104" s="29">
        <f>(E103-C103)*10000</f>
        <v>-14.999999999999943</v>
      </c>
      <c r="F104" s="29">
        <f>(F103-E103)*10000</f>
        <v>-8.000000000000021</v>
      </c>
      <c r="G104" s="33">
        <f>(G103-F103)*10000</f>
        <v>-3.0000000000000164</v>
      </c>
      <c r="H104" s="12"/>
    </row>
    <row r="105">
      <c r="A105" s="6" t="s">
        <v>124</v>
      </c>
      <c r="B105" s="29" t="s">
        <v>39</v>
      </c>
      <c r="C105" s="29" t="s">
        <v>39</v>
      </c>
      <c r="D105" s="27">
        <f>(D103-Inputs!D160)*10000</f>
        <v>-15.000000000000014</v>
      </c>
      <c r="E105" s="27">
        <f>(E103-Inputs!E160)*10000</f>
        <v>-17</v>
      </c>
      <c r="F105" s="27">
        <f>(F103-Inputs!F160)*10000</f>
        <v>-37.00000000000002</v>
      </c>
      <c r="G105" s="33">
        <f>(G103-B103)*10000</f>
        <v>-34</v>
      </c>
      <c r="H105" s="7" t="s">
        <v>125</v>
      </c>
    </row>
    <row r="106">
      <c r="A106" s="6" t="s">
        <v>155</v>
      </c>
      <c r="B106" s="1">
        <f>B100*B103*B$6/365</f>
        <v>181.8070224657534</v>
      </c>
      <c r="C106" s="1">
        <f>C100*C103*C$6/365</f>
        <v>175.94886575342466</v>
      </c>
      <c r="D106" s="1">
        <f>D100*D103*D$6/365</f>
        <v>667.4217</v>
      </c>
      <c r="E106" s="1">
        <f>E100*E103*E$6/365</f>
        <v>147.5907287671233</v>
      </c>
      <c r="F106" s="1">
        <f>F100*F103*F$6/365</f>
        <v>169.80036547945204</v>
      </c>
      <c r="G106" s="2">
        <f>G100*G103*G$6/365</f>
        <v>187.0246575342466</v>
      </c>
      <c r="H106" s="7" t="s">
        <v>127</v>
      </c>
    </row>
    <row r="107">
      <c r="A107" s="28" t="s">
        <v>162</v>
      </c>
      <c r="B107" s="26">
        <f>B90+B93+B100</f>
        <v>134153</v>
      </c>
      <c r="C107" s="26">
        <f>C90+C93+C100</f>
        <v>135375</v>
      </c>
      <c r="D107" s="26">
        <f>D90+D93+D100</f>
        <v>132942</v>
      </c>
      <c r="E107" s="26">
        <f>E90+E93+E100</f>
        <v>136388</v>
      </c>
      <c r="F107" s="26">
        <f>F90+F93+F100</f>
        <v>140354</v>
      </c>
      <c r="G107" s="39">
        <f>G90+G93+G100</f>
        <v>142500</v>
      </c>
      <c r="H107" s="12"/>
    </row>
    <row r="108">
      <c r="A108" s="12" t="s">
        <v>118</v>
      </c>
      <c r="B108" s="23" t="s">
        <v>39</v>
      </c>
      <c r="C108" s="23" t="s">
        <v>39</v>
      </c>
      <c r="D108" s="14">
        <f>D107/(Inputs!D153+Inputs!D155+Inputs!D157+Inputs!D159)-1</f>
        <v>0.011450352640428596</v>
      </c>
      <c r="E108" s="14">
        <f>E107/(Inputs!E153+Inputs!E155+Inputs!E157+Inputs!E159)-1</f>
        <v>0.05077929382035018</v>
      </c>
      <c r="F108" s="14">
        <f>F107/(Inputs!F153+Inputs!F155+Inputs!F157+Inputs!F159)-1</f>
        <v>0.0603318022482775</v>
      </c>
      <c r="G108" s="17">
        <f>G107/B107-1</f>
        <v>0.06222000253441973</v>
      </c>
      <c r="H108" s="7" t="s">
        <v>119</v>
      </c>
    </row>
    <row r="109">
      <c r="A109" s="6" t="s">
        <v>120</v>
      </c>
      <c r="B109" s="8">
        <f>B107-(Inputs!F153+Inputs!F155+Inputs!F157+Inputs!F159)</f>
        <v>1785</v>
      </c>
      <c r="C109" s="1">
        <f>C107-B107</f>
        <v>1222</v>
      </c>
      <c r="D109" s="1"/>
      <c r="E109" s="1">
        <f>E107-C107</f>
        <v>1013</v>
      </c>
      <c r="F109" s="1">
        <f>F107-E107</f>
        <v>3966</v>
      </c>
      <c r="G109" s="2">
        <f>G107-F107</f>
        <v>2146</v>
      </c>
      <c r="H109" s="12"/>
    </row>
    <row r="110">
      <c r="A110" s="6" t="s">
        <v>163</v>
      </c>
      <c r="B110" s="4">
        <v>44056</v>
      </c>
      <c r="C110" s="4">
        <v>44184</v>
      </c>
      <c r="D110" s="4">
        <v>44702</v>
      </c>
      <c r="E110" s="4">
        <v>44547</v>
      </c>
      <c r="F110" s="4">
        <v>43964</v>
      </c>
      <c r="G110" s="21">
        <v>44500</v>
      </c>
      <c r="H110" s="7" t="s">
        <v>164</v>
      </c>
    </row>
    <row r="111">
      <c r="A111" s="12" t="s">
        <v>118</v>
      </c>
      <c r="B111" s="23" t="s">
        <v>39</v>
      </c>
      <c r="C111" s="23" t="s">
        <v>39</v>
      </c>
      <c r="D111" s="14">
        <f>D110/Inputs!D161-1</f>
        <v>-0.05412611087600505</v>
      </c>
      <c r="E111" s="14">
        <f>E110/Inputs!E161-1</f>
        <v>-0.019565982921031733</v>
      </c>
      <c r="F111" s="14">
        <f>F110/Inputs!F161-1</f>
        <v>-0.02633269107257552</v>
      </c>
      <c r="G111" s="17">
        <f>G110/B110-1</f>
        <v>0.010078082440530212</v>
      </c>
      <c r="H111" s="7" t="s">
        <v>119</v>
      </c>
    </row>
    <row r="112">
      <c r="A112" s="6" t="s">
        <v>120</v>
      </c>
      <c r="B112" s="8">
        <f>B110-Inputs!F161</f>
        <v>-1097</v>
      </c>
      <c r="C112" s="1">
        <f>C110-B110</f>
        <v>128</v>
      </c>
      <c r="D112" s="1"/>
      <c r="E112" s="1">
        <f>E110-C110</f>
        <v>363</v>
      </c>
      <c r="F112" s="1">
        <f>F110-E110</f>
        <v>-583</v>
      </c>
      <c r="G112" s="2">
        <f>G110-F110</f>
        <v>536</v>
      </c>
      <c r="H112" s="12"/>
    </row>
    <row r="113">
      <c r="A113" s="28" t="s">
        <v>165</v>
      </c>
      <c r="B113" s="26">
        <f>B90+B110</f>
        <v>162576</v>
      </c>
      <c r="C113" s="26">
        <f>C90+C110</f>
        <v>164940</v>
      </c>
      <c r="D113" s="26">
        <f>D90+D110</f>
        <v>162973</v>
      </c>
      <c r="E113" s="26">
        <f>E90+E110</f>
        <v>164176</v>
      </c>
      <c r="F113" s="26">
        <f>F90+F110</f>
        <v>163524</v>
      </c>
      <c r="G113" s="39">
        <f>G90+G110</f>
        <v>168800</v>
      </c>
      <c r="H113" s="7" t="s">
        <v>166</v>
      </c>
    </row>
    <row r="114">
      <c r="A114" s="12" t="s">
        <v>118</v>
      </c>
      <c r="B114" s="23" t="s">
        <v>39</v>
      </c>
      <c r="C114" s="23" t="s">
        <v>39</v>
      </c>
      <c r="D114" s="14">
        <f>D113/(Inputs!D153+Inputs!D155+Inputs!D161)-1</f>
        <v>-0.0012318138919190647</v>
      </c>
      <c r="E114" s="14">
        <f>E113/(Inputs!E153+Inputs!E155+Inputs!E161)-1</f>
        <v>0.019226590679107813</v>
      </c>
      <c r="F114" s="14">
        <f>F113/(Inputs!F153+Inputs!F155+Inputs!F161)-1</f>
        <v>0.001629322912200415</v>
      </c>
      <c r="G114" s="17">
        <f>G113/B113-1</f>
        <v>0.03828363350063979</v>
      </c>
      <c r="H114" s="7" t="s">
        <v>119</v>
      </c>
    </row>
    <row r="115">
      <c r="A115" s="6" t="s">
        <v>120</v>
      </c>
      <c r="B115" s="8">
        <f>B113-(Inputs!F153+Inputs!F155+Inputs!F161)</f>
        <v>-682</v>
      </c>
      <c r="C115" s="1">
        <f>C113-B113</f>
        <v>2364</v>
      </c>
      <c r="D115" s="1"/>
      <c r="E115" s="1">
        <f>E113-C113</f>
        <v>-764</v>
      </c>
      <c r="F115" s="1">
        <f>F113-E113</f>
        <v>-652</v>
      </c>
      <c r="G115" s="2">
        <f>G113-F113</f>
        <v>5276</v>
      </c>
      <c r="H115" s="12"/>
    </row>
    <row r="116">
      <c r="A116" s="6"/>
      <c r="B116" s="11"/>
      <c r="C116" s="11"/>
      <c r="D116" s="11"/>
      <c r="E116" s="11"/>
      <c r="F116" s="11"/>
      <c r="G116" s="20"/>
      <c r="H116" s="12"/>
    </row>
    <row r="117">
      <c r="A117" s="18" t="s">
        <v>167</v>
      </c>
      <c r="B117" s="11"/>
      <c r="C117" s="11"/>
      <c r="D117" s="11"/>
      <c r="E117" s="11"/>
      <c r="F117" s="11"/>
      <c r="G117" s="20"/>
      <c r="H117" s="12"/>
    </row>
    <row r="118">
      <c r="A118" s="6" t="s">
        <v>168</v>
      </c>
      <c r="B118" s="8">
        <f>Inputs!F188</f>
        <v>135491</v>
      </c>
      <c r="C118" s="8">
        <f>'Balance Sheet'!B32</f>
        <v>136345</v>
      </c>
      <c r="D118" s="8">
        <f>Inputs!D188</f>
        <v>135015</v>
      </c>
      <c r="E118" s="8">
        <f>'Balance Sheet'!C32</f>
        <v>137635</v>
      </c>
      <c r="F118" s="8">
        <f>'Balance Sheet'!E32</f>
        <v>139053</v>
      </c>
      <c r="G118" s="35">
        <f>'Balance Sheet'!F32</f>
        <v>142530</v>
      </c>
      <c r="H118" s="7" t="s">
        <v>169</v>
      </c>
    </row>
    <row r="119">
      <c r="A119" s="6" t="s">
        <v>170</v>
      </c>
      <c r="B119" s="1">
        <f>B120-B118</f>
        <v>854</v>
      </c>
      <c r="C119" s="1">
        <f>C120-C118</f>
        <v>1290</v>
      </c>
      <c r="D119" s="1">
        <f>D120-D118</f>
        <v>2620</v>
      </c>
      <c r="E119" s="1">
        <f>E120-E118</f>
        <v>1418</v>
      </c>
      <c r="F119" s="1">
        <f>F120-F118</f>
        <v>3477</v>
      </c>
      <c r="G119" s="2">
        <f>G120-G118</f>
        <v>2120</v>
      </c>
      <c r="H119" s="12"/>
    </row>
    <row r="120">
      <c r="A120" s="28" t="s">
        <v>171</v>
      </c>
      <c r="B120" s="73">
        <f>'Balance Sheet'!B32</f>
        <v>136345</v>
      </c>
      <c r="C120" s="73">
        <f>'Balance Sheet'!C32</f>
        <v>137635</v>
      </c>
      <c r="D120" s="73">
        <f>'Balance Sheet'!D32</f>
        <v>137635</v>
      </c>
      <c r="E120" s="73">
        <f>'Balance Sheet'!E32</f>
        <v>139053</v>
      </c>
      <c r="F120" s="73">
        <f>'Balance Sheet'!F32</f>
        <v>142530</v>
      </c>
      <c r="G120" s="83">
        <f>'Balance Sheet'!G32</f>
        <v>144650</v>
      </c>
      <c r="H120" s="12"/>
    </row>
    <row r="121">
      <c r="A121" s="6" t="s">
        <v>172</v>
      </c>
      <c r="B121" s="1">
        <f>AVERAGE(B118,B120)</f>
        <v>135918</v>
      </c>
      <c r="C121" s="1">
        <f>AVERAGE(C118,C120)</f>
        <v>136990</v>
      </c>
      <c r="D121" s="1">
        <f>AVERAGE(D118,D120)</f>
        <v>136325</v>
      </c>
      <c r="E121" s="1">
        <f>AVERAGE(E118,E120)</f>
        <v>138344</v>
      </c>
      <c r="F121" s="1">
        <f>AVERAGE(F118,F120)</f>
        <v>140791.5</v>
      </c>
      <c r="G121" s="2">
        <f>AVERAGE(G118,G120)</f>
        <v>143590</v>
      </c>
      <c r="H121" s="12"/>
    </row>
    <row r="122">
      <c r="A122" s="6" t="s">
        <v>173</v>
      </c>
      <c r="B122" s="1">
        <f>B58</f>
        <v>135890</v>
      </c>
      <c r="C122" s="1">
        <f>C58</f>
        <v>136542</v>
      </c>
      <c r="D122" s="1">
        <f>D58</f>
        <v>135275</v>
      </c>
      <c r="E122" s="1">
        <f>E58</f>
        <v>137421</v>
      </c>
      <c r="F122" s="1">
        <f>F58</f>
        <v>140650</v>
      </c>
      <c r="G122" s="2">
        <f>G58</f>
        <v>143700</v>
      </c>
      <c r="H122" s="12"/>
    </row>
    <row r="123">
      <c r="A123" s="6" t="s">
        <v>174</v>
      </c>
      <c r="B123" s="1">
        <f>B122-B121</f>
        <v>-28</v>
      </c>
      <c r="C123" s="1">
        <f>C122-C121</f>
        <v>-448</v>
      </c>
      <c r="D123" s="1">
        <f>D122-D121</f>
        <v>-1050</v>
      </c>
      <c r="E123" s="1">
        <f>E122-E121</f>
        <v>-923</v>
      </c>
      <c r="F123" s="1">
        <f>F122-F121</f>
        <v>-141.5</v>
      </c>
      <c r="G123" s="2">
        <f>G122-G121</f>
        <v>110</v>
      </c>
      <c r="H123" s="7" t="s">
        <v>175</v>
      </c>
    </row>
    <row r="124">
      <c r="A124" s="6" t="s">
        <v>176</v>
      </c>
      <c r="B124" s="8">
        <f>Inputs!F189</f>
        <v>164453</v>
      </c>
      <c r="C124" s="8">
        <f>'Balance Sheet'!B51</f>
        <v>163426</v>
      </c>
      <c r="D124" s="8">
        <f>Inputs!D189</f>
        <v>161095</v>
      </c>
      <c r="E124" s="8">
        <f>'Balance Sheet'!C51</f>
        <v>166909</v>
      </c>
      <c r="F124" s="8">
        <f>'Balance Sheet'!E51</f>
        <v>163741</v>
      </c>
      <c r="G124" s="35">
        <f>'Balance Sheet'!F51</f>
        <v>168885</v>
      </c>
      <c r="H124" s="7" t="s">
        <v>169</v>
      </c>
    </row>
    <row r="125">
      <c r="A125" s="6" t="s">
        <v>177</v>
      </c>
      <c r="B125" s="1">
        <f>B126-B124</f>
        <v>-1027</v>
      </c>
      <c r="C125" s="1">
        <f>C126-C124</f>
        <v>3483</v>
      </c>
      <c r="D125" s="1">
        <f>D126-D124</f>
        <v>5814</v>
      </c>
      <c r="E125" s="1">
        <f>E126-E124</f>
        <v>-3168</v>
      </c>
      <c r="F125" s="1">
        <f>F126-F124</f>
        <v>5144</v>
      </c>
      <c r="G125" s="2">
        <f>G126-G124</f>
        <v>1615</v>
      </c>
      <c r="H125" s="12"/>
    </row>
    <row r="126">
      <c r="A126" s="28" t="s">
        <v>178</v>
      </c>
      <c r="B126" s="73">
        <f>'Balance Sheet'!B51</f>
        <v>163426</v>
      </c>
      <c r="C126" s="73">
        <f>'Balance Sheet'!C51</f>
        <v>166909</v>
      </c>
      <c r="D126" s="73">
        <f>'Balance Sheet'!D51</f>
        <v>166909</v>
      </c>
      <c r="E126" s="73">
        <f>'Balance Sheet'!E51</f>
        <v>163741</v>
      </c>
      <c r="F126" s="73">
        <f>'Balance Sheet'!F51</f>
        <v>168885</v>
      </c>
      <c r="G126" s="83">
        <f>'Balance Sheet'!G51</f>
        <v>170500</v>
      </c>
      <c r="H126" s="12"/>
    </row>
    <row r="127">
      <c r="A127" s="6" t="s">
        <v>172</v>
      </c>
      <c r="B127" s="1">
        <f>AVERAGE(B124,B126)</f>
        <v>163939.5</v>
      </c>
      <c r="C127" s="1">
        <f>AVERAGE(C124,C126)</f>
        <v>165167.5</v>
      </c>
      <c r="D127" s="1">
        <f>AVERAGE(D124,D126)</f>
        <v>164002</v>
      </c>
      <c r="E127" s="1">
        <f>AVERAGE(E124,E126)</f>
        <v>165325</v>
      </c>
      <c r="F127" s="1">
        <f>AVERAGE(F124,F126)</f>
        <v>166313</v>
      </c>
      <c r="G127" s="2">
        <f>AVERAGE(G124,G126)</f>
        <v>169692.5</v>
      </c>
      <c r="H127" s="12"/>
    </row>
    <row r="128">
      <c r="A128" s="6" t="s">
        <v>179</v>
      </c>
      <c r="B128" s="1">
        <f>B113</f>
        <v>162576</v>
      </c>
      <c r="C128" s="1">
        <f>C113</f>
        <v>164940</v>
      </c>
      <c r="D128" s="1">
        <f>D113</f>
        <v>162973</v>
      </c>
      <c r="E128" s="1">
        <f>E113</f>
        <v>164176</v>
      </c>
      <c r="F128" s="1">
        <f>F113</f>
        <v>163524</v>
      </c>
      <c r="G128" s="2">
        <f>G113</f>
        <v>168800</v>
      </c>
      <c r="H128" s="12"/>
    </row>
    <row r="129">
      <c r="A129" s="6" t="s">
        <v>174</v>
      </c>
      <c r="B129" s="1">
        <f>B128-B127</f>
        <v>-1363.5</v>
      </c>
      <c r="C129" s="1">
        <f>C128-C127</f>
        <v>-227.5</v>
      </c>
      <c r="D129" s="1">
        <f>D128-D127</f>
        <v>-1029</v>
      </c>
      <c r="E129" s="1">
        <f>E128-E127</f>
        <v>-1149</v>
      </c>
      <c r="F129" s="1">
        <f>F128-F127</f>
        <v>-2789</v>
      </c>
      <c r="G129" s="2">
        <f>G128-G127</f>
        <v>-892.5</v>
      </c>
      <c r="H129" s="7" t="s">
        <v>175</v>
      </c>
    </row>
    <row r="130">
      <c r="A130" s="6"/>
      <c r="B130" s="11"/>
      <c r="C130" s="11"/>
      <c r="D130" s="11"/>
      <c r="E130" s="11"/>
      <c r="F130" s="11"/>
      <c r="G130" s="20"/>
      <c r="H130" s="12"/>
    </row>
    <row r="131">
      <c r="A131" s="18" t="s">
        <v>180</v>
      </c>
      <c r="B131" s="11"/>
      <c r="C131" s="11"/>
      <c r="D131" s="11"/>
      <c r="E131" s="11"/>
      <c r="F131" s="11"/>
      <c r="G131" s="20"/>
      <c r="H131" s="12"/>
    </row>
    <row r="132">
      <c r="A132" s="28" t="s">
        <v>181</v>
      </c>
      <c r="B132" s="26">
        <f>SUM(B15,B22,B29,B61,B71)</f>
        <v>2695.5087813698633</v>
      </c>
      <c r="C132" s="26">
        <f>SUM(C15,C22,C29,C61,C71)</f>
        <v>2652.6929391780823</v>
      </c>
      <c r="D132" s="26">
        <f>SUM(D15,D22,D29,D61,D71)</f>
        <v>10532.9505</v>
      </c>
      <c r="E132" s="26">
        <f>SUM(E15,E22,E29,E61,E71)</f>
        <v>2540.486317808219</v>
      </c>
      <c r="F132" s="26">
        <f>SUM(F15,F22,F29,F61,F71)</f>
        <v>2631.159988493151</v>
      </c>
      <c r="G132" s="39">
        <f>SUM(G15,G22,G29,G61,G71)</f>
        <v>2698.3877260273975</v>
      </c>
      <c r="H132" s="12"/>
    </row>
    <row r="133">
      <c r="A133" s="6" t="s">
        <v>182</v>
      </c>
      <c r="B133" s="1">
        <f>B134-B132</f>
        <v>-3.5087813698633</v>
      </c>
      <c r="C133" s="1">
        <f>C134-C132</f>
        <v>-4.69293917808227</v>
      </c>
      <c r="D133" s="1">
        <f>D134-D132</f>
        <v>-2.9505000000008295</v>
      </c>
      <c r="E133" s="1">
        <f>E134-E132</f>
        <v>6.513682191780845</v>
      </c>
      <c r="F133" s="1">
        <f>F134-F132</f>
        <v>0.8400115068488958</v>
      </c>
      <c r="G133" s="21">
        <v>0</v>
      </c>
      <c r="H133" s="7" t="s">
        <v>183</v>
      </c>
    </row>
    <row r="134">
      <c r="A134" s="28" t="s">
        <v>184</v>
      </c>
      <c r="B134" s="26">
        <f>B136+B135</f>
        <v>2692</v>
      </c>
      <c r="C134" s="26">
        <f>C136+C135</f>
        <v>2648</v>
      </c>
      <c r="D134" s="26">
        <f>D136+D135</f>
        <v>10530</v>
      </c>
      <c r="E134" s="26">
        <f>E136+E135</f>
        <v>2547</v>
      </c>
      <c r="F134" s="26">
        <f>F136+F135</f>
        <v>2632</v>
      </c>
      <c r="G134" s="39">
        <f>G132+G133</f>
        <v>2698.3877260273975</v>
      </c>
      <c r="H134" s="12"/>
    </row>
    <row r="135">
      <c r="A135" s="6" t="s">
        <v>185</v>
      </c>
      <c r="B135" s="4">
        <v>12</v>
      </c>
      <c r="C135" s="4">
        <v>11</v>
      </c>
      <c r="D135" s="8">
        <f>Inputs!E97+Inputs!F97+B135+C135</f>
        <v>44</v>
      </c>
      <c r="E135" s="4">
        <v>11</v>
      </c>
      <c r="F135" s="4">
        <v>12</v>
      </c>
      <c r="G135" s="21">
        <v>12</v>
      </c>
      <c r="H135" s="7" t="s">
        <v>186</v>
      </c>
    </row>
    <row r="136">
      <c r="A136" s="6" t="s">
        <v>187</v>
      </c>
      <c r="B136" s="4">
        <v>2680</v>
      </c>
      <c r="C136" s="4">
        <v>2637</v>
      </c>
      <c r="D136" s="8">
        <f>Inputs!E95+Inputs!F95+B136+C136</f>
        <v>10486</v>
      </c>
      <c r="E136" s="4">
        <v>2536</v>
      </c>
      <c r="F136" s="4">
        <v>2620</v>
      </c>
      <c r="G136" s="2">
        <f>G134-G135</f>
        <v>2686.3877260273975</v>
      </c>
      <c r="H136" s="7" t="s">
        <v>188</v>
      </c>
    </row>
    <row r="137">
      <c r="A137" s="28" t="s">
        <v>189</v>
      </c>
      <c r="B137" s="26">
        <f>SUM(B82,B89,B99,B106)</f>
        <v>921.2069895890411</v>
      </c>
      <c r="C137" s="26">
        <f>SUM(C82,C89,C99,C106)</f>
        <v>858.2372997260273</v>
      </c>
      <c r="D137" s="26">
        <f>SUM(D82,D89,D99,D106)</f>
        <v>3540.3269999999998</v>
      </c>
      <c r="E137" s="26">
        <f>SUM(E82,E89,E99,E106)</f>
        <v>782.546104109589</v>
      </c>
      <c r="F137" s="26">
        <f>SUM(F82,F89,F99,F106)</f>
        <v>828.1243830136987</v>
      </c>
      <c r="G137" s="39">
        <f>SUM(G82,G89,G99,G106)</f>
        <v>871.6659726027397</v>
      </c>
      <c r="H137" s="12"/>
    </row>
    <row r="138">
      <c r="A138" s="6" t="s">
        <v>182</v>
      </c>
      <c r="B138" s="1">
        <f>B139-B137</f>
        <v>-2.206989589041086</v>
      </c>
      <c r="C138" s="1">
        <f>C139-C137</f>
        <v>-0.23729972602734506</v>
      </c>
      <c r="D138" s="1">
        <f>D139-D137</f>
        <v>-2.326999999999771</v>
      </c>
      <c r="E138" s="1">
        <f>E139-E137</f>
        <v>1.4538958904109904</v>
      </c>
      <c r="F138" s="1">
        <f>F139-F137</f>
        <v>-0.12438301369866167</v>
      </c>
      <c r="G138" s="21">
        <v>0</v>
      </c>
      <c r="H138" s="7" t="s">
        <v>183</v>
      </c>
    </row>
    <row r="139">
      <c r="A139" s="6" t="s">
        <v>190</v>
      </c>
      <c r="B139" s="4">
        <v>919</v>
      </c>
      <c r="C139" s="4">
        <v>858</v>
      </c>
      <c r="D139" s="8">
        <f>Inputs!E96+Inputs!F96+B139+C139</f>
        <v>3538</v>
      </c>
      <c r="E139" s="4">
        <v>784</v>
      </c>
      <c r="F139" s="4">
        <v>828</v>
      </c>
      <c r="G139" s="2">
        <f>G137+G138</f>
        <v>871.6659726027397</v>
      </c>
      <c r="H139" s="7" t="s">
        <v>191</v>
      </c>
    </row>
    <row r="140">
      <c r="A140" s="28" t="s">
        <v>192</v>
      </c>
      <c r="B140" s="26">
        <f>B136-B139</f>
        <v>1761</v>
      </c>
      <c r="C140" s="26">
        <f>C136-C139</f>
        <v>1779</v>
      </c>
      <c r="D140" s="26">
        <f>D136-D139</f>
        <v>6948</v>
      </c>
      <c r="E140" s="26">
        <f>E136-E139</f>
        <v>1752</v>
      </c>
      <c r="F140" s="26">
        <f>F136-F139</f>
        <v>1792</v>
      </c>
      <c r="G140" s="39">
        <f>G136-G139</f>
        <v>1814.721753424658</v>
      </c>
      <c r="H140" s="12"/>
    </row>
    <row r="141">
      <c r="A141" s="12" t="s">
        <v>118</v>
      </c>
      <c r="B141" s="14">
        <f>B140/Inputs!B125-1</f>
        <v>0.02027809965237548</v>
      </c>
      <c r="C141" s="14">
        <f>C140/Inputs!C125-1</f>
        <v>0.02951388888888884</v>
      </c>
      <c r="D141" s="14">
        <f>D140/Inputs!D125-1</f>
        <v>0.014010507880910739</v>
      </c>
      <c r="E141" s="14">
        <f>E140/Inputs!E125-1</f>
        <v>0.03362831858407089</v>
      </c>
      <c r="F141" s="14">
        <f>F140/Inputs!F125-1</f>
        <v>0.04611792177466434</v>
      </c>
      <c r="G141" s="17">
        <f>G140/B140-1</f>
        <v>0.030506390360396374</v>
      </c>
      <c r="H141" s="12"/>
    </row>
    <row r="142">
      <c r="A142" s="12" t="s">
        <v>193</v>
      </c>
      <c r="B142" s="14">
        <f>B140/Inputs!F125-1</f>
        <v>0.028021015761821255</v>
      </c>
      <c r="C142" s="23">
        <f>C140/B140-1</f>
        <v>0.010221465076660996</v>
      </c>
      <c r="D142" s="23"/>
      <c r="E142" s="23">
        <f>E140/C140-1</f>
        <v>-0.015177065767284947</v>
      </c>
      <c r="F142" s="23">
        <f>F140/E140-1</f>
        <v>0.022831050228310446</v>
      </c>
      <c r="G142" s="17">
        <f>G140/F140-1</f>
        <v>0.012679549902152809</v>
      </c>
      <c r="H142" s="12"/>
    </row>
    <row r="143">
      <c r="A143" s="12" t="s">
        <v>194</v>
      </c>
      <c r="B143" s="23" t="s">
        <v>39</v>
      </c>
      <c r="C143" s="23" t="s">
        <v>39</v>
      </c>
      <c r="D143" s="23" t="s">
        <v>39</v>
      </c>
      <c r="E143" s="23" t="s">
        <v>39</v>
      </c>
      <c r="F143" s="23" t="s">
        <v>39</v>
      </c>
      <c r="G143" s="17" t="s">
        <v>39</v>
      </c>
      <c r="H143" s="7" t="s">
        <v>195</v>
      </c>
    </row>
    <row r="144">
      <c r="A144" s="12" t="s">
        <v>196</v>
      </c>
      <c r="B144" s="23" t="s">
        <v>39</v>
      </c>
      <c r="C144" s="23" t="s">
        <v>39</v>
      </c>
      <c r="D144" s="23" t="s">
        <v>39</v>
      </c>
      <c r="E144" s="23" t="s">
        <v>39</v>
      </c>
      <c r="F144" s="23" t="s">
        <v>39</v>
      </c>
      <c r="G144" s="17" t="s">
        <v>39</v>
      </c>
      <c r="H144" s="7" t="s">
        <v>197</v>
      </c>
    </row>
    <row r="145">
      <c r="A145" s="12" t="s">
        <v>198</v>
      </c>
      <c r="B145" s="23" t="s">
        <v>39</v>
      </c>
      <c r="C145" s="23" t="s">
        <v>39</v>
      </c>
      <c r="D145" s="23" t="s">
        <v>39</v>
      </c>
      <c r="E145" s="23" t="s">
        <v>39</v>
      </c>
      <c r="F145" s="23" t="s">
        <v>39</v>
      </c>
      <c r="G145" s="17" t="s">
        <v>39</v>
      </c>
      <c r="H145" s="7" t="s">
        <v>199</v>
      </c>
    </row>
    <row r="146">
      <c r="A146" s="12" t="s">
        <v>200</v>
      </c>
      <c r="B146" s="23">
        <f>B140/B270</f>
        <v>0.7007560684440908</v>
      </c>
      <c r="C146" s="23">
        <f>C140/C270</f>
        <v>0.7187878787878788</v>
      </c>
      <c r="D146" s="23">
        <f>D140/D270</f>
        <v>0.7170278637770898</v>
      </c>
      <c r="E146" s="23">
        <f>E140/E270</f>
        <v>0.7177386317083163</v>
      </c>
      <c r="F146" s="23">
        <f>F140/F270</f>
        <v>0.707740916271722</v>
      </c>
      <c r="G146" s="17">
        <f>G140/G270</f>
        <v>0.7164274160576705</v>
      </c>
      <c r="H146" s="12"/>
    </row>
    <row r="147">
      <c r="A147" s="28" t="s">
        <v>201</v>
      </c>
      <c r="B147" s="26">
        <f>B140+B135</f>
        <v>1773</v>
      </c>
      <c r="C147" s="26">
        <f>C140+C135</f>
        <v>1790</v>
      </c>
      <c r="D147" s="26">
        <f>D140+D135</f>
        <v>6992</v>
      </c>
      <c r="E147" s="26">
        <f>E140+E135</f>
        <v>1763</v>
      </c>
      <c r="F147" s="26">
        <f>F140+F135</f>
        <v>1804</v>
      </c>
      <c r="G147" s="39">
        <f>G140+G135</f>
        <v>1826.721753424658</v>
      </c>
      <c r="H147" s="7" t="s">
        <v>202</v>
      </c>
    </row>
    <row r="148">
      <c r="A148" s="12" t="s">
        <v>118</v>
      </c>
      <c r="B148" s="14">
        <f>B147/(Inputs!B125+Inputs!B97)-1</f>
        <v>0.019551466359976954</v>
      </c>
      <c r="C148" s="14">
        <f>C147/(Inputs!C125+Inputs!C97)-1</f>
        <v>0.028735632183908066</v>
      </c>
      <c r="D148" s="14">
        <f>D147/(Inputs!D125+Inputs!D97)-1</f>
        <v>0.013039698638075858</v>
      </c>
      <c r="E148" s="14">
        <f>E147/(Inputs!E125+Inputs!E97)-1</f>
        <v>0.03280609256004685</v>
      </c>
      <c r="F148" s="14">
        <f>F147/(Inputs!F125+Inputs!F97)-1</f>
        <v>0.04761904761904767</v>
      </c>
      <c r="G148" s="17">
        <f>G147/B147-1</f>
        <v>0.03029991732919224</v>
      </c>
      <c r="H148" s="12"/>
    </row>
    <row r="149">
      <c r="A149" s="6" t="s">
        <v>120</v>
      </c>
      <c r="B149" s="8">
        <f>B147-(Inputs!F125+Inputs!F97)</f>
        <v>51</v>
      </c>
      <c r="C149" s="1">
        <f>C147-B147</f>
        <v>17</v>
      </c>
      <c r="D149" s="1"/>
      <c r="E149" s="1">
        <f>E147-C147</f>
        <v>-27</v>
      </c>
      <c r="F149" s="1">
        <f>F147-E147</f>
        <v>41</v>
      </c>
      <c r="G149" s="2">
        <f>G147-F147</f>
        <v>22.72175342465789</v>
      </c>
      <c r="H149" s="12"/>
    </row>
    <row r="150">
      <c r="A150" s="12" t="s">
        <v>203</v>
      </c>
      <c r="B150" s="24">
        <f>B147/B72*365/B$6</f>
        <v>0.03684362446369525</v>
      </c>
      <c r="C150" s="24">
        <f>C147/C72*365/C$6</f>
        <v>0.03691728494007574</v>
      </c>
      <c r="D150" s="24">
        <f>D147/D72*365/D$6</f>
        <v>0.03665646101581177</v>
      </c>
      <c r="E150" s="24">
        <f>E147/E72*365/E$6</f>
        <v>0.03712444024447513</v>
      </c>
      <c r="F150" s="24">
        <f>F147/F72*365/F$6</f>
        <v>0.037065733217687975</v>
      </c>
      <c r="G150" s="56">
        <f>G147/G72*365/G$6</f>
        <v>0.03663963599595552</v>
      </c>
      <c r="H150" s="7" t="s">
        <v>204</v>
      </c>
    </row>
    <row r="151">
      <c r="A151" s="6" t="s">
        <v>123</v>
      </c>
      <c r="B151" s="27">
        <f>(B150-(Inputs!F125+Inputs!F97)/(Inputs!F137+Inputs!F139+Inputs!F141+Inputs!F143+Inputs!F145+Inputs!F147+Inputs!F149+Inputs!F151)*365/Inputs!F135)*10000</f>
        <v>5.9347054487152855</v>
      </c>
      <c r="C151" s="29">
        <f>(C150-B150)*10000</f>
        <v>0.7366047638049378</v>
      </c>
      <c r="D151" s="29"/>
      <c r="E151" s="29">
        <f>(E150-C150)*10000</f>
        <v>2.0715530439938816</v>
      </c>
      <c r="F151" s="29">
        <f>(F150-E150)*10000</f>
        <v>-0.5870702678715395</v>
      </c>
      <c r="G151" s="33">
        <f>(G150-F150)*10000</f>
        <v>-4.260972217324522</v>
      </c>
      <c r="H151" s="12"/>
    </row>
    <row r="152">
      <c r="A152" s="6" t="s">
        <v>124</v>
      </c>
      <c r="B152" s="29" t="s">
        <v>39</v>
      </c>
      <c r="C152" s="29" t="s">
        <v>39</v>
      </c>
      <c r="D152" s="27">
        <f>(D150-(Inputs!D125+Inputs!D97)/(Inputs!D137+Inputs!D139+Inputs!D141+Inputs!D143+Inputs!D145+Inputs!D147+Inputs!D149+Inputs!D151)*365/Inputs!D135)*10000</f>
        <v>8.610477245215368</v>
      </c>
      <c r="E152" s="27">
        <f>(E150-(Inputs!E125+Inputs!E97)/(Inputs!E137+Inputs!E139+Inputs!E141+Inputs!E143+Inputs!E145+Inputs!E147+Inputs!E149+Inputs!E151)*365/Inputs!E135)*10000</f>
        <v>5.18159795791083</v>
      </c>
      <c r="F152" s="27">
        <f>(F150-(Inputs!F125+Inputs!F97)/(Inputs!F137+Inputs!F139+Inputs!F141+Inputs!F143+Inputs!F145+Inputs!F147+Inputs!F149+Inputs!F151)*365/Inputs!F135)*10000</f>
        <v>8.155792988642565</v>
      </c>
      <c r="G152" s="33">
        <f>(G150-B150)*10000</f>
        <v>-2.039884677397241</v>
      </c>
      <c r="H152" s="7" t="s">
        <v>125</v>
      </c>
    </row>
    <row r="153">
      <c r="A153" s="12" t="s">
        <v>205</v>
      </c>
      <c r="B153" s="70">
        <v>0.0369</v>
      </c>
      <c r="C153" s="70">
        <v>0.037000000000000005</v>
      </c>
      <c r="D153" s="70">
        <v>0.0367</v>
      </c>
      <c r="E153" s="70">
        <v>0.037000000000000005</v>
      </c>
      <c r="F153" s="70">
        <v>0.037000000000000005</v>
      </c>
      <c r="G153" s="56"/>
      <c r="H153" s="7" t="s">
        <v>206</v>
      </c>
    </row>
    <row r="154">
      <c r="A154" s="6" t="s">
        <v>123</v>
      </c>
      <c r="B154" s="27">
        <f>(B153-Inputs!F162)*10000</f>
        <v>6.999999999999992</v>
      </c>
      <c r="C154" s="29">
        <f>(C153-B153)*10000</f>
        <v>1.0000000000000286</v>
      </c>
      <c r="D154" s="29"/>
      <c r="E154" s="29">
        <f>(E153-C153)*10000</f>
        <v>0</v>
      </c>
      <c r="F154" s="29">
        <f>(F153-E153)*10000</f>
        <v>0</v>
      </c>
      <c r="G154" s="33" t="s">
        <v>39</v>
      </c>
      <c r="H154" s="12"/>
    </row>
    <row r="155">
      <c r="A155" s="6" t="s">
        <v>124</v>
      </c>
      <c r="B155" s="29" t="s">
        <v>39</v>
      </c>
      <c r="C155" s="29" t="s">
        <v>39</v>
      </c>
      <c r="D155" s="27">
        <f>(D153-Inputs!D162)*10000</f>
        <v>9.00000000000005</v>
      </c>
      <c r="E155" s="27">
        <f>(E153-Inputs!E162)*10000</f>
        <v>5.000000000000074</v>
      </c>
      <c r="F155" s="27">
        <f>(F153-Inputs!F162)*10000</f>
        <v>8.000000000000021</v>
      </c>
      <c r="G155" s="33" t="s">
        <v>39</v>
      </c>
      <c r="H155" s="7" t="s">
        <v>125</v>
      </c>
    </row>
    <row r="156">
      <c r="A156" s="12" t="s">
        <v>207</v>
      </c>
      <c r="B156" s="24">
        <f>B134/B72*365/B$6</f>
        <v>0.055940799242113703</v>
      </c>
      <c r="C156" s="24">
        <f>C134/C72*365/C$6</f>
        <v>0.054612832693475166</v>
      </c>
      <c r="D156" s="24">
        <f>D134/D72*365/D$6</f>
        <v>0.05520488193599799</v>
      </c>
      <c r="E156" s="24">
        <f>E134/E72*365/E$6</f>
        <v>0.05363355037020884</v>
      </c>
      <c r="F156" s="24">
        <f>F134/F72*365/F$6</f>
        <v>0.05407816509365563</v>
      </c>
      <c r="G156" s="56">
        <f>G134/G72*365/G$6</f>
        <v>0.05412315470171891</v>
      </c>
      <c r="H156" s="12"/>
    </row>
    <row r="157">
      <c r="A157" s="6" t="s">
        <v>123</v>
      </c>
      <c r="B157" s="27">
        <f>(B156-(Inputs!F95+Inputs!F97)/(Inputs!F137+Inputs!F139+Inputs!F141+Inputs!F143+Inputs!F145+Inputs!F147+Inputs!F149+Inputs!F151)*365/Inputs!F135)*10000</f>
        <v>8.287766175605753</v>
      </c>
      <c r="C157" s="29">
        <f>(C156-B156)*10000</f>
        <v>-13.279665486385372</v>
      </c>
      <c r="D157" s="29"/>
      <c r="E157" s="29">
        <f>(E156-C156)*10000</f>
        <v>-9.792823232663284</v>
      </c>
      <c r="F157" s="29">
        <f>(F156-E156)*10000</f>
        <v>4.446147234467915</v>
      </c>
      <c r="G157" s="33">
        <f>(G156-F156)*10000</f>
        <v>0.44989608063282505</v>
      </c>
      <c r="H157" s="12"/>
    </row>
    <row r="158">
      <c r="A158" s="6" t="s">
        <v>124</v>
      </c>
      <c r="B158" s="29" t="s">
        <v>39</v>
      </c>
      <c r="C158" s="29" t="s">
        <v>39</v>
      </c>
      <c r="D158" s="27">
        <f>(D156-(Inputs!D95+Inputs!D97)/(Inputs!D137+Inputs!D139+Inputs!D141+Inputs!D143+Inputs!D145+Inputs!D147+Inputs!D149+Inputs!D151)*365/Inputs!D135)*10000</f>
        <v>-22.378879298858983</v>
      </c>
      <c r="E158" s="27">
        <f>(E156-(Inputs!E95+Inputs!E97)/(Inputs!E137+Inputs!E139+Inputs!E141+Inputs!E143+Inputs!E145+Inputs!E147+Inputs!E149+Inputs!E151)*365/Inputs!E135)*10000</f>
        <v>-15.224855489565925</v>
      </c>
      <c r="F158" s="27">
        <f>(F156-(Inputs!F95+Inputs!F97)/(Inputs!F137+Inputs!F139+Inputs!F141+Inputs!F143+Inputs!F145+Inputs!F147+Inputs!F149+Inputs!F151)*365/Inputs!F135)*10000</f>
        <v>-10.338575308974987</v>
      </c>
      <c r="G158" s="33">
        <f>(G156-B156)*10000</f>
        <v>-18.176445403947916</v>
      </c>
      <c r="H158" s="7" t="s">
        <v>125</v>
      </c>
    </row>
    <row r="159">
      <c r="A159" s="12" t="s">
        <v>208</v>
      </c>
      <c r="B159" s="24">
        <f>B139/B107*365/B$6</f>
        <v>0.027178166784907178</v>
      </c>
      <c r="C159" s="24">
        <f>C139/C107*365/C$6</f>
        <v>0.025145128266891487</v>
      </c>
      <c r="D159" s="24">
        <f>D139/D107*365/D$6</f>
        <v>0.026613109476312978</v>
      </c>
      <c r="E159" s="24">
        <f>E139/E107*365/E$6</f>
        <v>0.023312575560573916</v>
      </c>
      <c r="F159" s="24">
        <f>F139/F107*365/F$6</f>
        <v>0.023662303184083824</v>
      </c>
      <c r="G159" s="56">
        <f>G139/G107*365/G$6</f>
        <v>0.024268350877192982</v>
      </c>
      <c r="H159" s="12"/>
    </row>
    <row r="160">
      <c r="A160" s="6" t="s">
        <v>123</v>
      </c>
      <c r="B160" s="27">
        <f>(B159-Inputs!F96/(Inputs!F153+Inputs!F155+Inputs!F157+Inputs!F159)*365/Inputs!F135)*10000</f>
        <v>0.2775162530550476</v>
      </c>
      <c r="C160" s="29">
        <f>(C159-B159)*10000</f>
        <v>-20.330385180156902</v>
      </c>
      <c r="D160" s="29"/>
      <c r="E160" s="29">
        <f>(E159-C159)*10000</f>
        <v>-18.325527063175716</v>
      </c>
      <c r="F160" s="29">
        <f>(F159-E159)*10000</f>
        <v>3.4972762350990796</v>
      </c>
      <c r="G160" s="33">
        <f>(G159-F159)*10000</f>
        <v>6.060476931091588</v>
      </c>
      <c r="H160" s="12"/>
    </row>
    <row r="161">
      <c r="A161" s="6" t="s">
        <v>124</v>
      </c>
      <c r="B161" s="29" t="s">
        <v>39</v>
      </c>
      <c r="C161" s="29" t="s">
        <v>39</v>
      </c>
      <c r="D161" s="27">
        <f>(D159-Inputs!D96/(Inputs!D153+Inputs!D155+Inputs!D157+Inputs!D159)*365/Inputs!D135)*10000</f>
        <v>-51.43549607506647</v>
      </c>
      <c r="E161" s="27">
        <f>(E159-Inputs!E96/(Inputs!E153+Inputs!E155+Inputs!E157+Inputs!E159)*365/Inputs!E135)*10000</f>
        <v>-37.14671259888464</v>
      </c>
      <c r="F161" s="27">
        <f>(F159-Inputs!F96/(Inputs!F153+Inputs!F155+Inputs!F157+Inputs!F159)*365/Inputs!F135)*10000</f>
        <v>-34.88111975517849</v>
      </c>
      <c r="G161" s="33">
        <f>(G159-B159)*10000</f>
        <v>-29.09815907714195</v>
      </c>
      <c r="H161" s="7" t="s">
        <v>125</v>
      </c>
    </row>
    <row r="162">
      <c r="A162" s="12" t="s">
        <v>209</v>
      </c>
      <c r="B162" s="24">
        <f>B156-B159</f>
        <v>0.028762632457206526</v>
      </c>
      <c r="C162" s="24">
        <f>C156-C159</f>
        <v>0.02946770442658368</v>
      </c>
      <c r="D162" s="24">
        <f>D156-D159</f>
        <v>0.028591772459685014</v>
      </c>
      <c r="E162" s="24">
        <f>E156-E159</f>
        <v>0.030320974809634922</v>
      </c>
      <c r="F162" s="24">
        <f>F156-F159</f>
        <v>0.030415861909571806</v>
      </c>
      <c r="G162" s="56">
        <f>G156-G159</f>
        <v>0.02985480382452593</v>
      </c>
      <c r="H162" s="12"/>
    </row>
    <row r="163">
      <c r="A163" s="6" t="s">
        <v>123</v>
      </c>
      <c r="B163" s="27">
        <f>(B162-((Inputs!F95+Inputs!F97)/(Inputs!F137+Inputs!F139+Inputs!F141+Inputs!F143+Inputs!F145+Inputs!F147+Inputs!F149+Inputs!F151)-Inputs!F96/(Inputs!F153+Inputs!F155+Inputs!F157+Inputs!F159))*365/Inputs!F135)*10000</f>
        <v>8.010249922550672</v>
      </c>
      <c r="C163" s="29">
        <f>(C162-B162)*10000</f>
        <v>7.05071969377153</v>
      </c>
      <c r="D163" s="29"/>
      <c r="E163" s="29">
        <f>(E162-C162)*10000</f>
        <v>8.532703830512432</v>
      </c>
      <c r="F163" s="29">
        <f>(F162-E162)*10000</f>
        <v>0.9488709993688351</v>
      </c>
      <c r="G163" s="33">
        <f>(G162-F162)*10000</f>
        <v>-5.610580850458763</v>
      </c>
      <c r="H163" s="12"/>
    </row>
    <row r="164">
      <c r="A164" s="6" t="s">
        <v>124</v>
      </c>
      <c r="B164" s="29" t="s">
        <v>39</v>
      </c>
      <c r="C164" s="29" t="s">
        <v>39</v>
      </c>
      <c r="D164" s="27">
        <f>(D162-((Inputs!D95+Inputs!D97)/(Inputs!D137+Inputs!D139+Inputs!D141+Inputs!D143+Inputs!D145+Inputs!D147+Inputs!D149+Inputs!D151)-Inputs!D96/(Inputs!D153+Inputs!D155+Inputs!D157+Inputs!D159))*365/Inputs!D135)*10000</f>
        <v>29.056616776207516</v>
      </c>
      <c r="E164" s="27">
        <f>(E162-((Inputs!E95+Inputs!E97)/(Inputs!E137+Inputs!E139+Inputs!E141+Inputs!E143+Inputs!E145+Inputs!E147+Inputs!E149+Inputs!E151)-Inputs!E96/(Inputs!E153+Inputs!E155+Inputs!E157+Inputs!E159))*365/Inputs!E135)*10000</f>
        <v>21.92185710931875</v>
      </c>
      <c r="F164" s="27">
        <f>(F162-((Inputs!F95+Inputs!F97)/(Inputs!F137+Inputs!F139+Inputs!F141+Inputs!F143+Inputs!F145+Inputs!F147+Inputs!F149+Inputs!F151)-Inputs!F96/(Inputs!F153+Inputs!F155+Inputs!F157+Inputs!F159))*365/Inputs!F135)*10000</f>
        <v>24.54254444620347</v>
      </c>
      <c r="G164" s="33">
        <f>(G162-B162)*10000</f>
        <v>10.921713673194034</v>
      </c>
      <c r="H164" s="7" t="s">
        <v>125</v>
      </c>
    </row>
    <row r="165">
      <c r="A165" s="6"/>
      <c r="B165" s="11"/>
      <c r="C165" s="11"/>
      <c r="D165" s="11"/>
      <c r="E165" s="11"/>
      <c r="F165" s="11"/>
      <c r="G165" s="20"/>
      <c r="H165" s="12"/>
    </row>
    <row r="166">
      <c r="A166" s="18" t="s">
        <v>210</v>
      </c>
      <c r="B166" s="11"/>
      <c r="C166" s="11"/>
      <c r="D166" s="11"/>
      <c r="E166" s="11"/>
      <c r="F166" s="11"/>
      <c r="G166" s="20"/>
      <c r="H166" s="12"/>
    </row>
    <row r="167">
      <c r="A167" s="6" t="s">
        <v>211</v>
      </c>
      <c r="B167" s="4">
        <v>217</v>
      </c>
      <c r="C167" s="4">
        <v>220</v>
      </c>
      <c r="D167" s="8">
        <f>Inputs!E99+Inputs!F99+B167+C167</f>
        <v>863</v>
      </c>
      <c r="E167" s="4">
        <v>219</v>
      </c>
      <c r="F167" s="4">
        <v>235</v>
      </c>
      <c r="G167" s="21">
        <v>234</v>
      </c>
      <c r="H167" s="7" t="s">
        <v>212</v>
      </c>
    </row>
    <row r="168">
      <c r="A168" s="12" t="s">
        <v>118</v>
      </c>
      <c r="B168" s="23" t="s">
        <v>39</v>
      </c>
      <c r="C168" s="23" t="s">
        <v>39</v>
      </c>
      <c r="D168" s="14">
        <f>D167/Inputs!D99-1</f>
        <v>0.07071960297766755</v>
      </c>
      <c r="E168" s="14">
        <f>E167/Inputs!E99-1</f>
        <v>0.04285714285714293</v>
      </c>
      <c r="F168" s="14">
        <f>F167/Inputs!F99-1</f>
        <v>0.08796296296296302</v>
      </c>
      <c r="G168" s="17">
        <f>G167/B167-1</f>
        <v>0.07834101382488479</v>
      </c>
      <c r="H168" s="7" t="s">
        <v>119</v>
      </c>
    </row>
    <row r="169">
      <c r="A169" s="12" t="s">
        <v>193</v>
      </c>
      <c r="B169" s="14">
        <f>B167/Inputs!F99-1</f>
        <v>0.004629629629629539</v>
      </c>
      <c r="C169" s="23">
        <f>C167/B167-1</f>
        <v>0.01382488479262678</v>
      </c>
      <c r="D169" s="23"/>
      <c r="E169" s="23">
        <f>E167/C167-1</f>
        <v>-0.004545454545454519</v>
      </c>
      <c r="F169" s="23">
        <f>F167/E167-1</f>
        <v>0.0730593607305936</v>
      </c>
      <c r="G169" s="17">
        <f>G167/F167-1</f>
        <v>-0.004255319148936176</v>
      </c>
      <c r="H169" s="12"/>
    </row>
    <row r="170">
      <c r="A170" s="12" t="s">
        <v>194</v>
      </c>
      <c r="B170" s="23" t="s">
        <v>39</v>
      </c>
      <c r="C170" s="23" t="s">
        <v>39</v>
      </c>
      <c r="D170" s="23" t="s">
        <v>39</v>
      </c>
      <c r="E170" s="23" t="s">
        <v>39</v>
      </c>
      <c r="F170" s="23" t="s">
        <v>39</v>
      </c>
      <c r="G170" s="17" t="s">
        <v>39</v>
      </c>
      <c r="H170" s="7" t="s">
        <v>195</v>
      </c>
    </row>
    <row r="171">
      <c r="A171" s="12" t="s">
        <v>196</v>
      </c>
      <c r="B171" s="23" t="s">
        <v>39</v>
      </c>
      <c r="C171" s="23" t="s">
        <v>39</v>
      </c>
      <c r="D171" s="23" t="s">
        <v>39</v>
      </c>
      <c r="E171" s="23" t="s">
        <v>39</v>
      </c>
      <c r="F171" s="23" t="s">
        <v>39</v>
      </c>
      <c r="G171" s="17" t="s">
        <v>39</v>
      </c>
      <c r="H171" s="7" t="s">
        <v>197</v>
      </c>
    </row>
    <row r="172">
      <c r="A172" s="12" t="s">
        <v>198</v>
      </c>
      <c r="B172" s="23" t="s">
        <v>39</v>
      </c>
      <c r="C172" s="23" t="s">
        <v>39</v>
      </c>
      <c r="D172" s="23" t="s">
        <v>39</v>
      </c>
      <c r="E172" s="23" t="s">
        <v>39</v>
      </c>
      <c r="F172" s="23" t="s">
        <v>39</v>
      </c>
      <c r="G172" s="17" t="s">
        <v>39</v>
      </c>
      <c r="H172" s="7" t="s">
        <v>199</v>
      </c>
    </row>
    <row r="173">
      <c r="A173" s="95" t="s">
        <v>213</v>
      </c>
      <c r="B173" s="11"/>
      <c r="C173" s="11"/>
      <c r="D173" s="11"/>
      <c r="E173" s="11"/>
      <c r="F173" s="11"/>
      <c r="G173" s="20"/>
      <c r="H173" s="12"/>
    </row>
    <row r="174">
      <c r="A174" s="6" t="s">
        <v>214</v>
      </c>
      <c r="B174" s="4">
        <v>161785</v>
      </c>
      <c r="C174" s="4">
        <v>156938</v>
      </c>
      <c r="D174" s="1">
        <f>C174</f>
        <v>156938</v>
      </c>
      <c r="E174" s="4">
        <v>123968</v>
      </c>
      <c r="F174" s="4">
        <v>183599</v>
      </c>
      <c r="G174" s="21">
        <v>185000</v>
      </c>
      <c r="H174" s="7" t="s">
        <v>215</v>
      </c>
    </row>
    <row r="175">
      <c r="A175" s="12" t="s">
        <v>118</v>
      </c>
      <c r="B175" s="23" t="s">
        <v>39</v>
      </c>
      <c r="C175" s="23" t="s">
        <v>39</v>
      </c>
      <c r="D175" s="23" t="s">
        <v>39</v>
      </c>
      <c r="E175" s="23" t="s">
        <v>39</v>
      </c>
      <c r="F175" s="14">
        <f>F174/Inputs!F186-1</f>
        <v>0.16490914166793558</v>
      </c>
      <c r="G175" s="17">
        <f>G174/B174-1</f>
        <v>0.14349290725345365</v>
      </c>
      <c r="H175" s="7" t="s">
        <v>119</v>
      </c>
    </row>
    <row r="176">
      <c r="A176" s="6" t="s">
        <v>120</v>
      </c>
      <c r="B176" s="8">
        <f>B174-Inputs!F186</f>
        <v>4177</v>
      </c>
      <c r="C176" s="1">
        <f>C174-B174</f>
        <v>-4847</v>
      </c>
      <c r="D176" s="1"/>
      <c r="E176" s="1">
        <f>E174-C174</f>
        <v>-32970</v>
      </c>
      <c r="F176" s="1">
        <f>F174-E174</f>
        <v>59631</v>
      </c>
      <c r="G176" s="2">
        <f>G174-F174</f>
        <v>1401</v>
      </c>
      <c r="H176" s="12"/>
    </row>
    <row r="177">
      <c r="A177" s="6" t="s">
        <v>216</v>
      </c>
      <c r="B177" s="8">
        <f>AVERAGE(B174,Inputs!F186)</f>
        <v>159696.5</v>
      </c>
      <c r="C177" s="1">
        <f>AVERAGE(B174,C174)</f>
        <v>159361.5</v>
      </c>
      <c r="D177" s="1" t="s">
        <v>39</v>
      </c>
      <c r="E177" s="1">
        <f>AVERAGE(C174,E174)</f>
        <v>140453</v>
      </c>
      <c r="F177" s="1">
        <f>AVERAGE(E174,F174)</f>
        <v>153783.5</v>
      </c>
      <c r="G177" s="2">
        <f>AVERAGE(F174,G174)</f>
        <v>184299.5</v>
      </c>
      <c r="H177" s="12"/>
    </row>
    <row r="178">
      <c r="A178" s="6" t="s">
        <v>217</v>
      </c>
      <c r="B178" s="1" t="s">
        <v>39</v>
      </c>
      <c r="C178" s="1" t="s">
        <v>39</v>
      </c>
      <c r="D178" s="1" t="s">
        <v>39</v>
      </c>
      <c r="E178" s="1">
        <f>E186/E177*365/E$6*10000</f>
        <v>17.90239043982289</v>
      </c>
      <c r="F178" s="1">
        <f>F186/F177*365/F$6*10000</f>
        <v>17.47497382594776</v>
      </c>
      <c r="G178" s="21">
        <v>17.5</v>
      </c>
      <c r="H178" s="7" t="s">
        <v>218</v>
      </c>
    </row>
    <row r="179">
      <c r="A179" s="6" t="s">
        <v>123</v>
      </c>
      <c r="B179" s="29" t="s">
        <v>39</v>
      </c>
      <c r="C179" s="29" t="s">
        <v>39</v>
      </c>
      <c r="D179" s="29"/>
      <c r="E179" s="29" t="s">
        <v>39</v>
      </c>
      <c r="F179" s="29">
        <f>F178-E178</f>
        <v>-0.4274166138751312</v>
      </c>
      <c r="G179" s="33">
        <f>G178-F178</f>
        <v>0.025026174052239725</v>
      </c>
      <c r="H179" s="12"/>
    </row>
    <row r="180">
      <c r="A180" s="6" t="s">
        <v>219</v>
      </c>
      <c r="B180" s="1" t="s">
        <v>39</v>
      </c>
      <c r="C180" s="1" t="s">
        <v>39</v>
      </c>
      <c r="D180" s="1" t="s">
        <v>39</v>
      </c>
      <c r="E180" s="4">
        <v>8</v>
      </c>
      <c r="F180" s="4">
        <v>7</v>
      </c>
      <c r="G180" s="21">
        <v>7</v>
      </c>
      <c r="H180" s="7" t="s">
        <v>220</v>
      </c>
    </row>
    <row r="181">
      <c r="A181" s="6" t="s">
        <v>221</v>
      </c>
      <c r="B181" s="1" t="s">
        <v>39</v>
      </c>
      <c r="C181" s="1" t="s">
        <v>39</v>
      </c>
      <c r="D181" s="1"/>
      <c r="E181" s="1" t="s">
        <v>39</v>
      </c>
      <c r="F181" s="1">
        <f>F180-E180</f>
        <v>-1</v>
      </c>
      <c r="G181" s="2">
        <f>G180-F180</f>
        <v>0</v>
      </c>
      <c r="H181" s="7" t="s">
        <v>222</v>
      </c>
    </row>
    <row r="182">
      <c r="A182" s="6" t="s">
        <v>223</v>
      </c>
      <c r="B182" s="1" t="s">
        <v>39</v>
      </c>
      <c r="C182" s="1" t="s">
        <v>39</v>
      </c>
      <c r="D182" s="1" t="s">
        <v>39</v>
      </c>
      <c r="E182" s="4">
        <v>32</v>
      </c>
      <c r="F182" s="4">
        <v>33</v>
      </c>
      <c r="G182" s="21">
        <v>33</v>
      </c>
      <c r="H182" s="7" t="s">
        <v>220</v>
      </c>
    </row>
    <row r="183">
      <c r="A183" s="6" t="s">
        <v>221</v>
      </c>
      <c r="B183" s="1" t="s">
        <v>39</v>
      </c>
      <c r="C183" s="1" t="s">
        <v>39</v>
      </c>
      <c r="D183" s="1"/>
      <c r="E183" s="1" t="s">
        <v>39</v>
      </c>
      <c r="F183" s="1">
        <f>F182-E182</f>
        <v>1</v>
      </c>
      <c r="G183" s="2">
        <f>G182-F182</f>
        <v>0</v>
      </c>
      <c r="H183" s="7" t="s">
        <v>222</v>
      </c>
    </row>
    <row r="184">
      <c r="A184" s="6" t="s">
        <v>224</v>
      </c>
      <c r="B184" s="1" t="s">
        <v>39</v>
      </c>
      <c r="C184" s="1" t="s">
        <v>39</v>
      </c>
      <c r="D184" s="1" t="s">
        <v>39</v>
      </c>
      <c r="E184" s="4">
        <v>-13</v>
      </c>
      <c r="F184" s="4">
        <v>-11</v>
      </c>
      <c r="G184" s="21">
        <v>-12</v>
      </c>
      <c r="H184" s="7" t="s">
        <v>225</v>
      </c>
    </row>
    <row r="185">
      <c r="A185" s="6" t="s">
        <v>221</v>
      </c>
      <c r="B185" s="1" t="s">
        <v>39</v>
      </c>
      <c r="C185" s="1" t="s">
        <v>39</v>
      </c>
      <c r="D185" s="1"/>
      <c r="E185" s="1" t="s">
        <v>39</v>
      </c>
      <c r="F185" s="1">
        <f>F184-E184</f>
        <v>2</v>
      </c>
      <c r="G185" s="2">
        <f>G184-F184</f>
        <v>-1</v>
      </c>
      <c r="H185" s="7" t="s">
        <v>222</v>
      </c>
    </row>
    <row r="186">
      <c r="A186" s="6" t="s">
        <v>226</v>
      </c>
      <c r="B186" s="1" t="s">
        <v>39</v>
      </c>
      <c r="C186" s="1" t="s">
        <v>39</v>
      </c>
      <c r="D186" s="1" t="s">
        <v>39</v>
      </c>
      <c r="E186" s="4">
        <v>62</v>
      </c>
      <c r="F186" s="4">
        <v>67</v>
      </c>
      <c r="G186" s="2">
        <f>G177*G178/10000*G$6/365</f>
        <v>81.29375205479452</v>
      </c>
      <c r="H186" s="7" t="s">
        <v>227</v>
      </c>
    </row>
    <row r="187">
      <c r="A187" s="6" t="s">
        <v>221</v>
      </c>
      <c r="B187" s="1" t="s">
        <v>39</v>
      </c>
      <c r="C187" s="1" t="s">
        <v>39</v>
      </c>
      <c r="D187" s="1"/>
      <c r="E187" s="1" t="s">
        <v>39</v>
      </c>
      <c r="F187" s="1">
        <f>F186-E186</f>
        <v>5</v>
      </c>
      <c r="G187" s="2">
        <f>G186-F186</f>
        <v>14.293752054794524</v>
      </c>
      <c r="H187" s="12"/>
    </row>
    <row r="188">
      <c r="A188" s="28" t="s">
        <v>228</v>
      </c>
      <c r="B188" s="26" t="s">
        <v>39</v>
      </c>
      <c r="C188" s="26" t="s">
        <v>39</v>
      </c>
      <c r="D188" s="26" t="s">
        <v>39</v>
      </c>
      <c r="E188" s="26">
        <f>E180+E182+E184+E186</f>
        <v>89</v>
      </c>
      <c r="F188" s="26">
        <f>F180+F182+F184+F186</f>
        <v>96</v>
      </c>
      <c r="G188" s="39">
        <f>G180+G182+G184+G186</f>
        <v>109.29375205479452</v>
      </c>
      <c r="H188" s="12"/>
    </row>
    <row r="189">
      <c r="A189" s="6" t="s">
        <v>221</v>
      </c>
      <c r="B189" s="1" t="s">
        <v>39</v>
      </c>
      <c r="C189" s="1" t="s">
        <v>39</v>
      </c>
      <c r="D189" s="1"/>
      <c r="E189" s="1" t="s">
        <v>39</v>
      </c>
      <c r="F189" s="1">
        <f>F188-E188</f>
        <v>7</v>
      </c>
      <c r="G189" s="2">
        <f>G188-F188</f>
        <v>13.293752054794524</v>
      </c>
      <c r="H189" s="7" t="s">
        <v>229</v>
      </c>
    </row>
    <row r="190">
      <c r="A190" s="6" t="s">
        <v>230</v>
      </c>
      <c r="B190" s="1" t="s">
        <v>39</v>
      </c>
      <c r="C190" s="1" t="s">
        <v>39</v>
      </c>
      <c r="D190" s="1" t="s">
        <v>39</v>
      </c>
      <c r="E190" s="4">
        <v>18</v>
      </c>
      <c r="F190" s="4">
        <v>13</v>
      </c>
      <c r="G190" s="21">
        <v>15</v>
      </c>
      <c r="H190" s="7" t="s">
        <v>220</v>
      </c>
    </row>
    <row r="191">
      <c r="A191" s="6" t="s">
        <v>221</v>
      </c>
      <c r="B191" s="1" t="s">
        <v>39</v>
      </c>
      <c r="C191" s="1" t="s">
        <v>39</v>
      </c>
      <c r="D191" s="1"/>
      <c r="E191" s="1" t="s">
        <v>39</v>
      </c>
      <c r="F191" s="1">
        <f>F190-E190</f>
        <v>-5</v>
      </c>
      <c r="G191" s="2">
        <f>G190-F190</f>
        <v>2</v>
      </c>
      <c r="H191" s="7" t="s">
        <v>222</v>
      </c>
    </row>
    <row r="192">
      <c r="A192" s="6" t="s">
        <v>231</v>
      </c>
      <c r="B192" s="1" t="s">
        <v>39</v>
      </c>
      <c r="C192" s="1" t="s">
        <v>39</v>
      </c>
      <c r="D192" s="1" t="s">
        <v>39</v>
      </c>
      <c r="E192" s="4">
        <v>20</v>
      </c>
      <c r="F192" s="4">
        <v>18</v>
      </c>
      <c r="G192" s="21">
        <v>19</v>
      </c>
      <c r="H192" s="7" t="s">
        <v>220</v>
      </c>
    </row>
    <row r="193">
      <c r="A193" s="6" t="s">
        <v>221</v>
      </c>
      <c r="B193" s="1" t="s">
        <v>39</v>
      </c>
      <c r="C193" s="1" t="s">
        <v>39</v>
      </c>
      <c r="D193" s="1"/>
      <c r="E193" s="1" t="s">
        <v>39</v>
      </c>
      <c r="F193" s="1">
        <f>F192-E192</f>
        <v>-2</v>
      </c>
      <c r="G193" s="2">
        <f>G192-F192</f>
        <v>1</v>
      </c>
      <c r="H193" s="7" t="s">
        <v>222</v>
      </c>
    </row>
    <row r="194">
      <c r="A194" s="28" t="s">
        <v>232</v>
      </c>
      <c r="B194" s="26" t="s">
        <v>39</v>
      </c>
      <c r="C194" s="26" t="s">
        <v>39</v>
      </c>
      <c r="D194" s="26" t="s">
        <v>39</v>
      </c>
      <c r="E194" s="26">
        <f>E190+E192</f>
        <v>38</v>
      </c>
      <c r="F194" s="26">
        <f>F190+F192</f>
        <v>31</v>
      </c>
      <c r="G194" s="39">
        <f>G190+G192</f>
        <v>34</v>
      </c>
      <c r="H194" s="12"/>
    </row>
    <row r="195">
      <c r="A195" s="6" t="s">
        <v>221</v>
      </c>
      <c r="B195" s="1" t="s">
        <v>39</v>
      </c>
      <c r="C195" s="1" t="s">
        <v>39</v>
      </c>
      <c r="D195" s="1"/>
      <c r="E195" s="1" t="s">
        <v>39</v>
      </c>
      <c r="F195" s="1">
        <f>F194-E194</f>
        <v>-7</v>
      </c>
      <c r="G195" s="2">
        <f>G194-F194</f>
        <v>3</v>
      </c>
      <c r="H195" s="7" t="s">
        <v>229</v>
      </c>
    </row>
    <row r="196">
      <c r="A196" s="28" t="s">
        <v>233</v>
      </c>
      <c r="B196" s="16">
        <v>147</v>
      </c>
      <c r="C196" s="16">
        <v>155</v>
      </c>
      <c r="D196" s="73">
        <f>Inputs!E100+Inputs!F100+B196+C196</f>
        <v>550</v>
      </c>
      <c r="E196" s="26">
        <f>E188+E194</f>
        <v>127</v>
      </c>
      <c r="F196" s="26">
        <f>F188+F194</f>
        <v>127</v>
      </c>
      <c r="G196" s="39">
        <f>G188+G194</f>
        <v>143.29375205479454</v>
      </c>
      <c r="H196" s="7" t="s">
        <v>234</v>
      </c>
    </row>
    <row r="197">
      <c r="A197" s="12" t="s">
        <v>118</v>
      </c>
      <c r="B197" s="23" t="s">
        <v>39</v>
      </c>
      <c r="C197" s="23" t="s">
        <v>39</v>
      </c>
      <c r="D197" s="14">
        <f>D196/Inputs!D100-1</f>
        <v>0.261467889908257</v>
      </c>
      <c r="E197" s="14">
        <f>E196/Inputs!E100-1</f>
        <v>0.07627118644067798</v>
      </c>
      <c r="F197" s="14">
        <f>F196/Inputs!F100-1</f>
        <v>-0.023076923076923106</v>
      </c>
      <c r="G197" s="17">
        <f>G196/B196-1</f>
        <v>-0.02521257105581942</v>
      </c>
      <c r="H197" s="7" t="s">
        <v>119</v>
      </c>
    </row>
    <row r="198">
      <c r="A198" s="12" t="s">
        <v>193</v>
      </c>
      <c r="B198" s="14">
        <f>B196/Inputs!F100-1</f>
        <v>0.13076923076923075</v>
      </c>
      <c r="C198" s="23">
        <f>C196/B196-1</f>
        <v>0.054421768707483054</v>
      </c>
      <c r="D198" s="23"/>
      <c r="E198" s="23">
        <f>E196/C196-1</f>
        <v>-0.1806451612903226</v>
      </c>
      <c r="F198" s="23">
        <f>F196/E196-1</f>
        <v>0</v>
      </c>
      <c r="G198" s="17">
        <f>G196/F196-1</f>
        <v>0.1282972602739727</v>
      </c>
      <c r="H198" s="12"/>
    </row>
    <row r="199">
      <c r="A199" s="12" t="s">
        <v>194</v>
      </c>
      <c r="B199" s="23" t="s">
        <v>39</v>
      </c>
      <c r="C199" s="23" t="s">
        <v>39</v>
      </c>
      <c r="D199" s="23" t="s">
        <v>39</v>
      </c>
      <c r="E199" s="23" t="s">
        <v>39</v>
      </c>
      <c r="F199" s="23" t="s">
        <v>39</v>
      </c>
      <c r="G199" s="17" t="s">
        <v>39</v>
      </c>
      <c r="H199" s="7" t="s">
        <v>195</v>
      </c>
    </row>
    <row r="200">
      <c r="A200" s="12" t="s">
        <v>196</v>
      </c>
      <c r="B200" s="23" t="s">
        <v>39</v>
      </c>
      <c r="C200" s="23" t="s">
        <v>39</v>
      </c>
      <c r="D200" s="23" t="s">
        <v>39</v>
      </c>
      <c r="E200" s="23" t="s">
        <v>39</v>
      </c>
      <c r="F200" s="23" t="s">
        <v>39</v>
      </c>
      <c r="G200" s="17" t="s">
        <v>39</v>
      </c>
      <c r="H200" s="7" t="s">
        <v>197</v>
      </c>
    </row>
    <row r="201">
      <c r="A201" s="12" t="s">
        <v>198</v>
      </c>
      <c r="B201" s="23" t="s">
        <v>39</v>
      </c>
      <c r="C201" s="23" t="s">
        <v>39</v>
      </c>
      <c r="D201" s="23" t="s">
        <v>39</v>
      </c>
      <c r="E201" s="23" t="s">
        <v>39</v>
      </c>
      <c r="F201" s="23" t="s">
        <v>39</v>
      </c>
      <c r="G201" s="17" t="s">
        <v>39</v>
      </c>
      <c r="H201" s="7" t="s">
        <v>199</v>
      </c>
    </row>
    <row r="202">
      <c r="A202" s="6" t="s">
        <v>235</v>
      </c>
      <c r="B202" s="4">
        <v>105</v>
      </c>
      <c r="C202" s="4">
        <v>105</v>
      </c>
      <c r="D202" s="8">
        <f>Inputs!E101+Inputs!F101+B202+C202</f>
        <v>412</v>
      </c>
      <c r="E202" s="4">
        <v>106</v>
      </c>
      <c r="F202" s="4">
        <v>107</v>
      </c>
      <c r="G202" s="21">
        <v>108</v>
      </c>
      <c r="H202" s="7" t="s">
        <v>236</v>
      </c>
    </row>
    <row r="203">
      <c r="A203" s="12" t="s">
        <v>118</v>
      </c>
      <c r="B203" s="23" t="s">
        <v>39</v>
      </c>
      <c r="C203" s="23" t="s">
        <v>39</v>
      </c>
      <c r="D203" s="14">
        <f>D202/Inputs!D101-1</f>
        <v>0.09866666666666668</v>
      </c>
      <c r="E203" s="14">
        <f>E202/Inputs!E101-1</f>
        <v>0.06000000000000005</v>
      </c>
      <c r="F203" s="14">
        <f>F202/Inputs!F101-1</f>
        <v>0.0490196078431373</v>
      </c>
      <c r="G203" s="17">
        <f>G202/B202-1</f>
        <v>0.02857142857142847</v>
      </c>
      <c r="H203" s="7" t="s">
        <v>119</v>
      </c>
    </row>
    <row r="204">
      <c r="A204" s="12" t="s">
        <v>193</v>
      </c>
      <c r="B204" s="14">
        <f>B202/Inputs!F101-1</f>
        <v>0.02941176470588225</v>
      </c>
      <c r="C204" s="23">
        <f>C202/B202-1</f>
        <v>0</v>
      </c>
      <c r="D204" s="23"/>
      <c r="E204" s="23">
        <f>E202/C202-1</f>
        <v>0.00952380952380949</v>
      </c>
      <c r="F204" s="23">
        <f>F202/E202-1</f>
        <v>0.009433962264151052</v>
      </c>
      <c r="G204" s="17">
        <f>G202/F202-1</f>
        <v>0.009345794392523255</v>
      </c>
      <c r="H204" s="12"/>
    </row>
    <row r="205">
      <c r="A205" s="12" t="s">
        <v>194</v>
      </c>
      <c r="B205" s="23" t="s">
        <v>39</v>
      </c>
      <c r="C205" s="23" t="s">
        <v>39</v>
      </c>
      <c r="D205" s="23" t="s">
        <v>39</v>
      </c>
      <c r="E205" s="23" t="s">
        <v>39</v>
      </c>
      <c r="F205" s="23" t="s">
        <v>39</v>
      </c>
      <c r="G205" s="17" t="s">
        <v>39</v>
      </c>
      <c r="H205" s="7" t="s">
        <v>195</v>
      </c>
    </row>
    <row r="206">
      <c r="A206" s="12" t="s">
        <v>196</v>
      </c>
      <c r="B206" s="23" t="s">
        <v>39</v>
      </c>
      <c r="C206" s="23" t="s">
        <v>39</v>
      </c>
      <c r="D206" s="23" t="s">
        <v>39</v>
      </c>
      <c r="E206" s="23" t="s">
        <v>39</v>
      </c>
      <c r="F206" s="23" t="s">
        <v>39</v>
      </c>
      <c r="G206" s="17" t="s">
        <v>39</v>
      </c>
      <c r="H206" s="7" t="s">
        <v>197</v>
      </c>
    </row>
    <row r="207">
      <c r="A207" s="12" t="s">
        <v>198</v>
      </c>
      <c r="B207" s="23" t="s">
        <v>39</v>
      </c>
      <c r="C207" s="23" t="s">
        <v>39</v>
      </c>
      <c r="D207" s="23" t="s">
        <v>39</v>
      </c>
      <c r="E207" s="23" t="s">
        <v>39</v>
      </c>
      <c r="F207" s="23" t="s">
        <v>39</v>
      </c>
      <c r="G207" s="17" t="s">
        <v>39</v>
      </c>
      <c r="H207" s="7" t="s">
        <v>199</v>
      </c>
    </row>
    <row r="208">
      <c r="A208" s="6" t="s">
        <v>237</v>
      </c>
      <c r="B208" s="4">
        <v>90</v>
      </c>
      <c r="C208" s="4">
        <v>87</v>
      </c>
      <c r="D208" s="8">
        <f>Inputs!E102+Inputs!F102+B208+C208</f>
        <v>344</v>
      </c>
      <c r="E208" s="4">
        <v>78</v>
      </c>
      <c r="F208" s="4">
        <v>89</v>
      </c>
      <c r="G208" s="21">
        <v>90</v>
      </c>
      <c r="H208" s="7" t="s">
        <v>238</v>
      </c>
    </row>
    <row r="209">
      <c r="A209" s="12" t="s">
        <v>118</v>
      </c>
      <c r="B209" s="23" t="s">
        <v>39</v>
      </c>
      <c r="C209" s="23" t="s">
        <v>39</v>
      </c>
      <c r="D209" s="14">
        <f>D208/Inputs!D102-1</f>
        <v>0.0392749244712991</v>
      </c>
      <c r="E209" s="14">
        <f>E208/Inputs!E102-1</f>
        <v>0.026315789473684292</v>
      </c>
      <c r="F209" s="14">
        <f>F208/Inputs!F102-1</f>
        <v>-0.02197802197802201</v>
      </c>
      <c r="G209" s="17">
        <f>G208/B208-1</f>
        <v>0</v>
      </c>
      <c r="H209" s="7" t="s">
        <v>119</v>
      </c>
    </row>
    <row r="210">
      <c r="A210" s="12" t="s">
        <v>193</v>
      </c>
      <c r="B210" s="14">
        <f>B208/Inputs!F102-1</f>
        <v>-0.01098901098901095</v>
      </c>
      <c r="C210" s="23">
        <f>C208/B208-1</f>
        <v>-0.033333333333333326</v>
      </c>
      <c r="D210" s="23"/>
      <c r="E210" s="23">
        <f>E208/C208-1</f>
        <v>-0.10344827586206895</v>
      </c>
      <c r="F210" s="23">
        <f>F208/E208-1</f>
        <v>0.14102564102564097</v>
      </c>
      <c r="G210" s="17">
        <f>G208/F208-1</f>
        <v>0.011235955056179803</v>
      </c>
      <c r="H210" s="12"/>
    </row>
    <row r="211">
      <c r="A211" s="12" t="s">
        <v>194</v>
      </c>
      <c r="B211" s="23" t="s">
        <v>39</v>
      </c>
      <c r="C211" s="23" t="s">
        <v>39</v>
      </c>
      <c r="D211" s="23" t="s">
        <v>39</v>
      </c>
      <c r="E211" s="23" t="s">
        <v>39</v>
      </c>
      <c r="F211" s="23" t="s">
        <v>39</v>
      </c>
      <c r="G211" s="17" t="s">
        <v>39</v>
      </c>
      <c r="H211" s="7" t="s">
        <v>195</v>
      </c>
    </row>
    <row r="212">
      <c r="A212" s="12" t="s">
        <v>196</v>
      </c>
      <c r="B212" s="23" t="s">
        <v>39</v>
      </c>
      <c r="C212" s="23" t="s">
        <v>39</v>
      </c>
      <c r="D212" s="23" t="s">
        <v>39</v>
      </c>
      <c r="E212" s="23" t="s">
        <v>39</v>
      </c>
      <c r="F212" s="23" t="s">
        <v>39</v>
      </c>
      <c r="G212" s="17" t="s">
        <v>39</v>
      </c>
      <c r="H212" s="7" t="s">
        <v>197</v>
      </c>
    </row>
    <row r="213">
      <c r="A213" s="12" t="s">
        <v>198</v>
      </c>
      <c r="B213" s="23" t="s">
        <v>39</v>
      </c>
      <c r="C213" s="23" t="s">
        <v>39</v>
      </c>
      <c r="D213" s="23" t="s">
        <v>39</v>
      </c>
      <c r="E213" s="23" t="s">
        <v>39</v>
      </c>
      <c r="F213" s="23" t="s">
        <v>39</v>
      </c>
      <c r="G213" s="17" t="s">
        <v>39</v>
      </c>
      <c r="H213" s="7" t="s">
        <v>199</v>
      </c>
    </row>
    <row r="214">
      <c r="A214" s="6" t="s">
        <v>239</v>
      </c>
      <c r="B214" s="4">
        <v>45</v>
      </c>
      <c r="C214" s="4">
        <v>47</v>
      </c>
      <c r="D214" s="8">
        <f>Inputs!E103+Inputs!F103+B214+C214</f>
        <v>179</v>
      </c>
      <c r="E214" s="4">
        <v>42</v>
      </c>
      <c r="F214" s="4">
        <v>44</v>
      </c>
      <c r="G214" s="21">
        <v>45</v>
      </c>
      <c r="H214" s="7" t="s">
        <v>240</v>
      </c>
    </row>
    <row r="215">
      <c r="A215" s="12" t="s">
        <v>118</v>
      </c>
      <c r="B215" s="23" t="s">
        <v>39</v>
      </c>
      <c r="C215" s="23" t="s">
        <v>39</v>
      </c>
      <c r="D215" s="14">
        <f>D214/Inputs!D103-1</f>
        <v>0.09146341463414642</v>
      </c>
      <c r="E215" s="14">
        <f>E214/Inputs!E103-1</f>
        <v>-0.023255813953488413</v>
      </c>
      <c r="F215" s="14">
        <f>F214/Inputs!F103-1</f>
        <v>0</v>
      </c>
      <c r="G215" s="17">
        <f>G214/B214-1</f>
        <v>0</v>
      </c>
      <c r="H215" s="7" t="s">
        <v>119</v>
      </c>
    </row>
    <row r="216">
      <c r="A216" s="12" t="s">
        <v>193</v>
      </c>
      <c r="B216" s="14">
        <f>B214/Inputs!F103-1</f>
        <v>0.022727272727272707</v>
      </c>
      <c r="C216" s="23">
        <f>C214/B214-1</f>
        <v>0.04444444444444451</v>
      </c>
      <c r="D216" s="23"/>
      <c r="E216" s="23">
        <f>E214/C214-1</f>
        <v>-0.1063829787234043</v>
      </c>
      <c r="F216" s="23">
        <f>F214/E214-1</f>
        <v>0.04761904761904767</v>
      </c>
      <c r="G216" s="17">
        <f>G214/F214-1</f>
        <v>0.022727272727272707</v>
      </c>
      <c r="H216" s="12"/>
    </row>
    <row r="217">
      <c r="A217" s="12" t="s">
        <v>194</v>
      </c>
      <c r="B217" s="23" t="s">
        <v>39</v>
      </c>
      <c r="C217" s="23" t="s">
        <v>39</v>
      </c>
      <c r="D217" s="23" t="s">
        <v>39</v>
      </c>
      <c r="E217" s="23" t="s">
        <v>39</v>
      </c>
      <c r="F217" s="23" t="s">
        <v>39</v>
      </c>
      <c r="G217" s="17" t="s">
        <v>39</v>
      </c>
      <c r="H217" s="7" t="s">
        <v>195</v>
      </c>
    </row>
    <row r="218">
      <c r="A218" s="12" t="s">
        <v>196</v>
      </c>
      <c r="B218" s="23" t="s">
        <v>39</v>
      </c>
      <c r="C218" s="23" t="s">
        <v>39</v>
      </c>
      <c r="D218" s="23" t="s">
        <v>39</v>
      </c>
      <c r="E218" s="23" t="s">
        <v>39</v>
      </c>
      <c r="F218" s="23" t="s">
        <v>39</v>
      </c>
      <c r="G218" s="17" t="s">
        <v>39</v>
      </c>
      <c r="H218" s="7" t="s">
        <v>197</v>
      </c>
    </row>
    <row r="219">
      <c r="A219" s="12" t="s">
        <v>198</v>
      </c>
      <c r="B219" s="23" t="s">
        <v>39</v>
      </c>
      <c r="C219" s="23" t="s">
        <v>39</v>
      </c>
      <c r="D219" s="23" t="s">
        <v>39</v>
      </c>
      <c r="E219" s="23" t="s">
        <v>39</v>
      </c>
      <c r="F219" s="23" t="s">
        <v>39</v>
      </c>
      <c r="G219" s="17" t="s">
        <v>39</v>
      </c>
      <c r="H219" s="7" t="s">
        <v>199</v>
      </c>
    </row>
    <row r="220">
      <c r="A220" s="6" t="s">
        <v>241</v>
      </c>
      <c r="B220" s="4">
        <v>35</v>
      </c>
      <c r="C220" s="4">
        <v>31</v>
      </c>
      <c r="D220" s="8">
        <f>Inputs!E104+Inputs!F104+B220+C220</f>
        <v>120</v>
      </c>
      <c r="E220" s="4">
        <v>36</v>
      </c>
      <c r="F220" s="4">
        <v>41</v>
      </c>
      <c r="G220" s="21">
        <v>37</v>
      </c>
      <c r="H220" s="7" t="s">
        <v>242</v>
      </c>
    </row>
    <row r="221">
      <c r="A221" s="12" t="s">
        <v>118</v>
      </c>
      <c r="B221" s="23" t="s">
        <v>39</v>
      </c>
      <c r="C221" s="23" t="s">
        <v>39</v>
      </c>
      <c r="D221" s="14">
        <f>D220/Inputs!D104-1</f>
        <v>0.4285714285714286</v>
      </c>
      <c r="E221" s="14">
        <f>E220/Inputs!E104-1</f>
        <v>0.7142857142857142</v>
      </c>
      <c r="F221" s="14">
        <f>F220/Inputs!F104-1</f>
        <v>0.24242424242424243</v>
      </c>
      <c r="G221" s="17">
        <f>G220/B220-1</f>
        <v>0.05714285714285716</v>
      </c>
      <c r="H221" s="7" t="s">
        <v>119</v>
      </c>
    </row>
    <row r="222">
      <c r="A222" s="12" t="s">
        <v>193</v>
      </c>
      <c r="B222" s="14">
        <f>B220/Inputs!F104-1</f>
        <v>0.06060606060606055</v>
      </c>
      <c r="C222" s="23">
        <f>C220/B220-1</f>
        <v>-0.11428571428571432</v>
      </c>
      <c r="D222" s="23"/>
      <c r="E222" s="23">
        <f>E220/C220-1</f>
        <v>0.16129032258064524</v>
      </c>
      <c r="F222" s="23">
        <f>F220/E220-1</f>
        <v>0.13888888888888884</v>
      </c>
      <c r="G222" s="17">
        <f>G220/F220-1</f>
        <v>-0.09756097560975607</v>
      </c>
      <c r="H222" s="12"/>
    </row>
    <row r="223">
      <c r="A223" s="12" t="s">
        <v>194</v>
      </c>
      <c r="B223" s="23" t="s">
        <v>39</v>
      </c>
      <c r="C223" s="23" t="s">
        <v>39</v>
      </c>
      <c r="D223" s="23" t="s">
        <v>39</v>
      </c>
      <c r="E223" s="23" t="s">
        <v>39</v>
      </c>
      <c r="F223" s="23" t="s">
        <v>39</v>
      </c>
      <c r="G223" s="17" t="s">
        <v>39</v>
      </c>
      <c r="H223" s="7" t="s">
        <v>195</v>
      </c>
    </row>
    <row r="224">
      <c r="A224" s="12" t="s">
        <v>196</v>
      </c>
      <c r="B224" s="23" t="s">
        <v>39</v>
      </c>
      <c r="C224" s="23" t="s">
        <v>39</v>
      </c>
      <c r="D224" s="23" t="s">
        <v>39</v>
      </c>
      <c r="E224" s="23" t="s">
        <v>39</v>
      </c>
      <c r="F224" s="23" t="s">
        <v>39</v>
      </c>
      <c r="G224" s="17" t="s">
        <v>39</v>
      </c>
      <c r="H224" s="7" t="s">
        <v>197</v>
      </c>
    </row>
    <row r="225">
      <c r="A225" s="12" t="s">
        <v>198</v>
      </c>
      <c r="B225" s="23" t="s">
        <v>39</v>
      </c>
      <c r="C225" s="23" t="s">
        <v>39</v>
      </c>
      <c r="D225" s="23" t="s">
        <v>39</v>
      </c>
      <c r="E225" s="23" t="s">
        <v>39</v>
      </c>
      <c r="F225" s="23" t="s">
        <v>39</v>
      </c>
      <c r="G225" s="17" t="s">
        <v>39</v>
      </c>
      <c r="H225" s="7" t="s">
        <v>199</v>
      </c>
    </row>
    <row r="226">
      <c r="A226" s="6" t="s">
        <v>243</v>
      </c>
      <c r="B226" s="4">
        <v>1</v>
      </c>
      <c r="C226" s="4">
        <v>1</v>
      </c>
      <c r="D226" s="8">
        <f>Inputs!E105+Inputs!F105+B226+C226</f>
        <v>2</v>
      </c>
      <c r="E226" s="4">
        <v>4</v>
      </c>
      <c r="F226" s="4">
        <v>2</v>
      </c>
      <c r="G226" s="21">
        <v>1</v>
      </c>
      <c r="H226" s="7" t="s">
        <v>244</v>
      </c>
    </row>
    <row r="227">
      <c r="A227" s="12" t="s">
        <v>118</v>
      </c>
      <c r="B227" s="23" t="s">
        <v>39</v>
      </c>
      <c r="C227" s="23" t="s">
        <v>39</v>
      </c>
      <c r="D227" s="14">
        <f>D226/Inputs!D105-1</f>
        <v>-0.8</v>
      </c>
      <c r="E227" s="23" t="s">
        <v>148</v>
      </c>
      <c r="F227" s="23" t="s">
        <v>148</v>
      </c>
      <c r="G227" s="17">
        <f>G226/B226-1</f>
        <v>0</v>
      </c>
      <c r="H227" s="7" t="s">
        <v>119</v>
      </c>
    </row>
    <row r="228">
      <c r="A228" s="12" t="s">
        <v>193</v>
      </c>
      <c r="B228" s="23" t="s">
        <v>148</v>
      </c>
      <c r="C228" s="23">
        <f>C226/B226-1</f>
        <v>0</v>
      </c>
      <c r="D228" s="23"/>
      <c r="E228" s="23">
        <f>E226/C226-1</f>
        <v>3</v>
      </c>
      <c r="F228" s="23">
        <f>F226/E226-1</f>
        <v>-0.5</v>
      </c>
      <c r="G228" s="17">
        <f>G226/F226-1</f>
        <v>-0.5</v>
      </c>
      <c r="H228" s="12"/>
    </row>
    <row r="229">
      <c r="A229" s="12" t="s">
        <v>194</v>
      </c>
      <c r="B229" s="23" t="s">
        <v>39</v>
      </c>
      <c r="C229" s="23" t="s">
        <v>39</v>
      </c>
      <c r="D229" s="23" t="s">
        <v>39</v>
      </c>
      <c r="E229" s="23" t="s">
        <v>39</v>
      </c>
      <c r="F229" s="23" t="s">
        <v>39</v>
      </c>
      <c r="G229" s="17" t="s">
        <v>39</v>
      </c>
      <c r="H229" s="7" t="s">
        <v>195</v>
      </c>
    </row>
    <row r="230">
      <c r="A230" s="12" t="s">
        <v>196</v>
      </c>
      <c r="B230" s="23" t="s">
        <v>39</v>
      </c>
      <c r="C230" s="23" t="s">
        <v>39</v>
      </c>
      <c r="D230" s="23" t="s">
        <v>39</v>
      </c>
      <c r="E230" s="23" t="s">
        <v>39</v>
      </c>
      <c r="F230" s="23" t="s">
        <v>39</v>
      </c>
      <c r="G230" s="17" t="s">
        <v>39</v>
      </c>
      <c r="H230" s="7" t="s">
        <v>197</v>
      </c>
    </row>
    <row r="231">
      <c r="A231" s="12" t="s">
        <v>198</v>
      </c>
      <c r="B231" s="23" t="s">
        <v>39</v>
      </c>
      <c r="C231" s="23" t="s">
        <v>39</v>
      </c>
      <c r="D231" s="23" t="s">
        <v>39</v>
      </c>
      <c r="E231" s="23" t="s">
        <v>39</v>
      </c>
      <c r="F231" s="23" t="s">
        <v>39</v>
      </c>
      <c r="G231" s="17" t="s">
        <v>39</v>
      </c>
      <c r="H231" s="7" t="s">
        <v>199</v>
      </c>
    </row>
    <row r="232">
      <c r="A232" s="95" t="s">
        <v>245</v>
      </c>
      <c r="B232" s="11"/>
      <c r="C232" s="11"/>
      <c r="D232" s="11"/>
      <c r="E232" s="11"/>
      <c r="F232" s="11"/>
      <c r="G232" s="20"/>
      <c r="H232" s="12"/>
    </row>
    <row r="233">
      <c r="A233" s="6" t="s">
        <v>246</v>
      </c>
      <c r="B233" s="4">
        <v>21</v>
      </c>
      <c r="C233" s="4">
        <v>19</v>
      </c>
      <c r="D233" s="8">
        <f>Inputs!E106+Inputs!F106+B233+C233</f>
        <v>75</v>
      </c>
      <c r="E233" s="4">
        <v>18</v>
      </c>
      <c r="F233" s="4">
        <v>20</v>
      </c>
      <c r="G233" s="21">
        <v>20</v>
      </c>
      <c r="H233" s="7" t="s">
        <v>240</v>
      </c>
    </row>
    <row r="234">
      <c r="A234" s="12" t="s">
        <v>118</v>
      </c>
      <c r="B234" s="23" t="s">
        <v>39</v>
      </c>
      <c r="C234" s="23" t="s">
        <v>39</v>
      </c>
      <c r="D234" s="14">
        <f>D233/Inputs!D106-1</f>
        <v>0.15384615384615374</v>
      </c>
      <c r="E234" s="14">
        <f>E233/Inputs!E106-1</f>
        <v>0</v>
      </c>
      <c r="F234" s="14">
        <f>F233/Inputs!F106-1</f>
        <v>0.17647058823529416</v>
      </c>
      <c r="G234" s="17">
        <f>G233/B233-1</f>
        <v>-0.04761904761904767</v>
      </c>
      <c r="H234" s="7" t="s">
        <v>119</v>
      </c>
    </row>
    <row r="235">
      <c r="A235" s="6" t="s">
        <v>120</v>
      </c>
      <c r="B235" s="8">
        <f>B233-Inputs!F106</f>
        <v>4</v>
      </c>
      <c r="C235" s="1">
        <f>C233-B233</f>
        <v>-2</v>
      </c>
      <c r="D235" s="1"/>
      <c r="E235" s="1">
        <f>E233-C233</f>
        <v>-1</v>
      </c>
      <c r="F235" s="1">
        <f>F233-E233</f>
        <v>2</v>
      </c>
      <c r="G235" s="2">
        <f>G233-F233</f>
        <v>0</v>
      </c>
      <c r="H235" s="12"/>
    </row>
    <row r="236">
      <c r="A236" s="6" t="s">
        <v>247</v>
      </c>
      <c r="B236" s="4">
        <v>12</v>
      </c>
      <c r="C236" s="4">
        <v>11</v>
      </c>
      <c r="D236" s="8">
        <f>Inputs!E107+Inputs!F107+B236+C236</f>
        <v>48</v>
      </c>
      <c r="E236" s="4">
        <v>11</v>
      </c>
      <c r="F236" s="4">
        <v>11</v>
      </c>
      <c r="G236" s="21">
        <v>11</v>
      </c>
      <c r="H236" s="7" t="s">
        <v>240</v>
      </c>
    </row>
    <row r="237">
      <c r="A237" s="12" t="s">
        <v>118</v>
      </c>
      <c r="B237" s="23" t="s">
        <v>39</v>
      </c>
      <c r="C237" s="23" t="s">
        <v>39</v>
      </c>
      <c r="D237" s="14">
        <f>D236/Inputs!D107-1</f>
        <v>0.09090909090909083</v>
      </c>
      <c r="E237" s="14">
        <f>E236/Inputs!E107-1</f>
        <v>0</v>
      </c>
      <c r="F237" s="14">
        <f>F236/Inputs!F107-1</f>
        <v>-0.2142857142857143</v>
      </c>
      <c r="G237" s="17">
        <f>G236/B236-1</f>
        <v>-0.08333333333333337</v>
      </c>
      <c r="H237" s="7" t="s">
        <v>119</v>
      </c>
    </row>
    <row r="238">
      <c r="A238" s="6" t="s">
        <v>120</v>
      </c>
      <c r="B238" s="8">
        <f>B236-Inputs!F107</f>
        <v>-2</v>
      </c>
      <c r="C238" s="1">
        <f>C236-B236</f>
        <v>-1</v>
      </c>
      <c r="D238" s="1"/>
      <c r="E238" s="1">
        <f>E236-C236</f>
        <v>0</v>
      </c>
      <c r="F238" s="1">
        <f>F236-E236</f>
        <v>0</v>
      </c>
      <c r="G238" s="2">
        <f>G236-F236</f>
        <v>0</v>
      </c>
      <c r="H238" s="12"/>
    </row>
    <row r="239">
      <c r="A239" s="6" t="s">
        <v>248</v>
      </c>
      <c r="B239" s="4">
        <v>20</v>
      </c>
      <c r="C239" s="4">
        <v>0</v>
      </c>
      <c r="D239" s="8">
        <f>Inputs!E108+Inputs!F108+B239+C239</f>
        <v>20</v>
      </c>
      <c r="E239" s="4">
        <v>33</v>
      </c>
      <c r="F239" s="4">
        <v>47</v>
      </c>
      <c r="G239" s="21">
        <v>12</v>
      </c>
      <c r="H239" s="7" t="s">
        <v>249</v>
      </c>
    </row>
    <row r="240">
      <c r="A240" s="12" t="s">
        <v>118</v>
      </c>
      <c r="B240" s="23" t="s">
        <v>39</v>
      </c>
      <c r="C240" s="23" t="s">
        <v>39</v>
      </c>
      <c r="D240" s="14">
        <f>D239/Inputs!D108-1</f>
        <v>-0.5833333333333333</v>
      </c>
      <c r="E240" s="23" t="s">
        <v>148</v>
      </c>
      <c r="F240" s="23" t="s">
        <v>148</v>
      </c>
      <c r="G240" s="17">
        <f>G239/B239-1</f>
        <v>-0.4</v>
      </c>
      <c r="H240" s="7" t="s">
        <v>119</v>
      </c>
    </row>
    <row r="241">
      <c r="A241" s="6" t="s">
        <v>120</v>
      </c>
      <c r="B241" s="8">
        <f>B239-Inputs!F108</f>
        <v>20</v>
      </c>
      <c r="C241" s="1">
        <f>C239-B239</f>
        <v>-20</v>
      </c>
      <c r="D241" s="1"/>
      <c r="E241" s="1">
        <f>E239-C239</f>
        <v>33</v>
      </c>
      <c r="F241" s="1">
        <f>F239-E239</f>
        <v>14</v>
      </c>
      <c r="G241" s="2">
        <f>G239-F239</f>
        <v>-35</v>
      </c>
      <c r="H241" s="12"/>
    </row>
    <row r="242">
      <c r="A242" s="6" t="s">
        <v>250</v>
      </c>
      <c r="B242" s="4">
        <v>28</v>
      </c>
      <c r="C242" s="4">
        <v>0</v>
      </c>
      <c r="D242" s="8">
        <f>Inputs!E109+Inputs!F109+B242+C242</f>
        <v>28</v>
      </c>
      <c r="E242" s="4">
        <v>0</v>
      </c>
      <c r="F242" s="4">
        <v>0</v>
      </c>
      <c r="G242" s="21">
        <v>0</v>
      </c>
      <c r="H242" s="7" t="s">
        <v>251</v>
      </c>
    </row>
    <row r="243">
      <c r="A243" s="12" t="s">
        <v>118</v>
      </c>
      <c r="B243" s="23" t="s">
        <v>39</v>
      </c>
      <c r="C243" s="23" t="s">
        <v>39</v>
      </c>
      <c r="D243" s="23" t="s">
        <v>148</v>
      </c>
      <c r="E243" s="23" t="s">
        <v>148</v>
      </c>
      <c r="F243" s="23" t="s">
        <v>148</v>
      </c>
      <c r="G243" s="17">
        <f>G242/B242-1</f>
        <v>-1</v>
      </c>
      <c r="H243" s="7" t="s">
        <v>119</v>
      </c>
    </row>
    <row r="244">
      <c r="A244" s="6" t="s">
        <v>120</v>
      </c>
      <c r="B244" s="8">
        <f>B242-Inputs!F109</f>
        <v>28</v>
      </c>
      <c r="C244" s="1">
        <f>C242-B242</f>
        <v>-28</v>
      </c>
      <c r="D244" s="1"/>
      <c r="E244" s="1">
        <f>E242-C242</f>
        <v>0</v>
      </c>
      <c r="F244" s="1">
        <f>F242-E242</f>
        <v>0</v>
      </c>
      <c r="G244" s="2">
        <f>G242-F242</f>
        <v>0</v>
      </c>
      <c r="H244" s="12"/>
    </row>
    <row r="245">
      <c r="A245" s="6" t="s">
        <v>252</v>
      </c>
      <c r="B245" s="4">
        <v>0</v>
      </c>
      <c r="C245" s="4">
        <v>0</v>
      </c>
      <c r="D245" s="8">
        <f>Inputs!E110+Inputs!F110+B245+C245</f>
        <v>15</v>
      </c>
      <c r="E245" s="4">
        <v>0</v>
      </c>
      <c r="F245" s="4">
        <v>0</v>
      </c>
      <c r="G245" s="21">
        <v>0</v>
      </c>
      <c r="H245" s="7" t="s">
        <v>253</v>
      </c>
    </row>
    <row r="246">
      <c r="A246" s="12" t="s">
        <v>118</v>
      </c>
      <c r="B246" s="23" t="s">
        <v>39</v>
      </c>
      <c r="C246" s="23" t="s">
        <v>39</v>
      </c>
      <c r="D246" s="23" t="s">
        <v>148</v>
      </c>
      <c r="E246" s="23" t="s">
        <v>148</v>
      </c>
      <c r="F246" s="14">
        <f>F245/Inputs!F110-1</f>
        <v>-1</v>
      </c>
      <c r="G246" s="17" t="s">
        <v>148</v>
      </c>
      <c r="H246" s="7" t="s">
        <v>119</v>
      </c>
    </row>
    <row r="247">
      <c r="A247" s="6" t="s">
        <v>120</v>
      </c>
      <c r="B247" s="8">
        <f>B245-Inputs!F110</f>
        <v>-15</v>
      </c>
      <c r="C247" s="1">
        <f>C245-B245</f>
        <v>0</v>
      </c>
      <c r="D247" s="1"/>
      <c r="E247" s="1">
        <f>E245-C245</f>
        <v>0</v>
      </c>
      <c r="F247" s="1">
        <f>F245-E245</f>
        <v>0</v>
      </c>
      <c r="G247" s="2">
        <f>G245-F245</f>
        <v>0</v>
      </c>
      <c r="H247" s="12"/>
    </row>
    <row r="248">
      <c r="A248" s="6" t="s">
        <v>254</v>
      </c>
      <c r="B248" s="4">
        <v>0</v>
      </c>
      <c r="C248" s="4">
        <v>0</v>
      </c>
      <c r="D248" s="8">
        <f>Inputs!E111+Inputs!F111+B248+C248</f>
        <v>10</v>
      </c>
      <c r="E248" s="4">
        <v>0</v>
      </c>
      <c r="F248" s="4">
        <v>0</v>
      </c>
      <c r="G248" s="21">
        <v>0</v>
      </c>
      <c r="H248" s="7" t="s">
        <v>253</v>
      </c>
    </row>
    <row r="249">
      <c r="A249" s="12" t="s">
        <v>118</v>
      </c>
      <c r="B249" s="23" t="s">
        <v>39</v>
      </c>
      <c r="C249" s="23" t="s">
        <v>39</v>
      </c>
      <c r="D249" s="23" t="s">
        <v>148</v>
      </c>
      <c r="E249" s="23" t="s">
        <v>148</v>
      </c>
      <c r="F249" s="14">
        <f>F248/Inputs!F111-1</f>
        <v>-1</v>
      </c>
      <c r="G249" s="17" t="s">
        <v>148</v>
      </c>
      <c r="H249" s="7" t="s">
        <v>119</v>
      </c>
    </row>
    <row r="250">
      <c r="A250" s="6" t="s">
        <v>120</v>
      </c>
      <c r="B250" s="8">
        <f>B248-Inputs!F111</f>
        <v>-10</v>
      </c>
      <c r="C250" s="1">
        <f>C248-B248</f>
        <v>0</v>
      </c>
      <c r="D250" s="1"/>
      <c r="E250" s="1">
        <f>E248-C248</f>
        <v>0</v>
      </c>
      <c r="F250" s="1">
        <f>F248-E248</f>
        <v>0</v>
      </c>
      <c r="G250" s="2">
        <f>G248-F248</f>
        <v>0</v>
      </c>
      <c r="H250" s="12"/>
    </row>
    <row r="251">
      <c r="A251" s="6" t="s">
        <v>255</v>
      </c>
      <c r="B251" s="4">
        <v>31</v>
      </c>
      <c r="C251" s="4">
        <v>20</v>
      </c>
      <c r="D251" s="8">
        <f>Inputs!E112+Inputs!F112+B251+C251</f>
        <v>76</v>
      </c>
      <c r="E251" s="4">
        <v>15</v>
      </c>
      <c r="F251" s="4">
        <v>17</v>
      </c>
      <c r="G251" s="21">
        <v>17</v>
      </c>
      <c r="H251" s="7" t="s">
        <v>240</v>
      </c>
    </row>
    <row r="252">
      <c r="A252" s="12" t="s">
        <v>118</v>
      </c>
      <c r="B252" s="23" t="s">
        <v>39</v>
      </c>
      <c r="C252" s="23" t="s">
        <v>39</v>
      </c>
      <c r="D252" s="14">
        <f>D251/Inputs!D112-1</f>
        <v>0.1875</v>
      </c>
      <c r="E252" s="14">
        <f>E251/Inputs!E112-1</f>
        <v>0.0714285714285714</v>
      </c>
      <c r="F252" s="14">
        <f>F251/Inputs!F112-1</f>
        <v>0.5454545454545454</v>
      </c>
      <c r="G252" s="17">
        <f>G251/B251-1</f>
        <v>-0.4516129032258065</v>
      </c>
      <c r="H252" s="7" t="s">
        <v>119</v>
      </c>
    </row>
    <row r="253">
      <c r="A253" s="6" t="s">
        <v>120</v>
      </c>
      <c r="B253" s="8">
        <f>B251-Inputs!F112</f>
        <v>20</v>
      </c>
      <c r="C253" s="1">
        <f>C251-B251</f>
        <v>-11</v>
      </c>
      <c r="D253" s="1"/>
      <c r="E253" s="1">
        <f>E251-C251</f>
        <v>-5</v>
      </c>
      <c r="F253" s="1">
        <f>F251-E251</f>
        <v>2</v>
      </c>
      <c r="G253" s="2">
        <f>G251-F251</f>
        <v>0</v>
      </c>
      <c r="H253" s="12"/>
    </row>
    <row r="254">
      <c r="A254" s="28" t="s">
        <v>256</v>
      </c>
      <c r="B254" s="26">
        <f>SUM(B233,B236,B239,B242,B245,B248,B251)</f>
        <v>112</v>
      </c>
      <c r="C254" s="26">
        <f>SUM(C233,C236,C239,C242,C245,C248,C251)</f>
        <v>50</v>
      </c>
      <c r="D254" s="26">
        <f>SUM(D233,D236,D239,D242,D245,D248,D251)</f>
        <v>272</v>
      </c>
      <c r="E254" s="26">
        <f>SUM(E233,E236,E239,E242,E245,E248,E251)</f>
        <v>77</v>
      </c>
      <c r="F254" s="26">
        <f>SUM(F233,F236,F239,F242,F245,F248,F251)</f>
        <v>95</v>
      </c>
      <c r="G254" s="39">
        <f>SUM(G233,G236,G239,G242,G245,G248,G251)</f>
        <v>60</v>
      </c>
      <c r="H254" s="12"/>
    </row>
    <row r="255">
      <c r="A255" s="12" t="s">
        <v>118</v>
      </c>
      <c r="B255" s="23" t="s">
        <v>39</v>
      </c>
      <c r="C255" s="23" t="s">
        <v>39</v>
      </c>
      <c r="D255" s="14">
        <f>D254/Inputs!D128-1</f>
        <v>0.23076923076923084</v>
      </c>
      <c r="E255" s="14">
        <f>E254/Inputs!E128-1</f>
        <v>0.7906976744186047</v>
      </c>
      <c r="F255" s="14">
        <f>F254/Inputs!F128-1</f>
        <v>0.4179104477611941</v>
      </c>
      <c r="G255" s="17">
        <f>G254/B254-1</f>
        <v>-0.4642857142857143</v>
      </c>
      <c r="H255" s="7" t="s">
        <v>119</v>
      </c>
    </row>
    <row r="256">
      <c r="A256" s="12" t="s">
        <v>193</v>
      </c>
      <c r="B256" s="14">
        <f>B254/Inputs!F128-1</f>
        <v>0.6716417910447761</v>
      </c>
      <c r="C256" s="23">
        <f>C254/B254-1</f>
        <v>-0.5535714285714286</v>
      </c>
      <c r="D256" s="23"/>
      <c r="E256" s="23">
        <f>E254/C254-1</f>
        <v>0.54</v>
      </c>
      <c r="F256" s="23">
        <f>F254/E254-1</f>
        <v>0.23376623376623384</v>
      </c>
      <c r="G256" s="17">
        <f>G254/F254-1</f>
        <v>-0.368421052631579</v>
      </c>
      <c r="H256" s="12"/>
    </row>
    <row r="257">
      <c r="A257" s="12" t="s">
        <v>194</v>
      </c>
      <c r="B257" s="23" t="s">
        <v>39</v>
      </c>
      <c r="C257" s="23" t="s">
        <v>39</v>
      </c>
      <c r="D257" s="23" t="s">
        <v>39</v>
      </c>
      <c r="E257" s="23" t="s">
        <v>39</v>
      </c>
      <c r="F257" s="23" t="s">
        <v>39</v>
      </c>
      <c r="G257" s="17" t="s">
        <v>39</v>
      </c>
      <c r="H257" s="7" t="s">
        <v>195</v>
      </c>
    </row>
    <row r="258">
      <c r="A258" s="12" t="s">
        <v>196</v>
      </c>
      <c r="B258" s="23" t="s">
        <v>39</v>
      </c>
      <c r="C258" s="23" t="s">
        <v>39</v>
      </c>
      <c r="D258" s="23" t="s">
        <v>39</v>
      </c>
      <c r="E258" s="23" t="s">
        <v>39</v>
      </c>
      <c r="F258" s="23" t="s">
        <v>39</v>
      </c>
      <c r="G258" s="17" t="s">
        <v>39</v>
      </c>
      <c r="H258" s="7" t="s">
        <v>197</v>
      </c>
    </row>
    <row r="259">
      <c r="A259" s="12" t="s">
        <v>198</v>
      </c>
      <c r="B259" s="23" t="s">
        <v>39</v>
      </c>
      <c r="C259" s="23" t="s">
        <v>39</v>
      </c>
      <c r="D259" s="23" t="s">
        <v>39</v>
      </c>
      <c r="E259" s="23" t="s">
        <v>39</v>
      </c>
      <c r="F259" s="23" t="s">
        <v>39</v>
      </c>
      <c r="G259" s="17" t="s">
        <v>39</v>
      </c>
      <c r="H259" s="7" t="s">
        <v>199</v>
      </c>
    </row>
    <row r="260">
      <c r="A260" s="28" t="s">
        <v>257</v>
      </c>
      <c r="B260" s="26">
        <f>SUM(B167,B196,B202,B208,B214,B220,B226,B254)</f>
        <v>752</v>
      </c>
      <c r="C260" s="26">
        <f>SUM(C167,C196,C202,C208,C214,C220,C226,C254)</f>
        <v>696</v>
      </c>
      <c r="D260" s="26">
        <f>SUM(D167,D196,D202,D208,D214,D220,D226,D254)</f>
        <v>2742</v>
      </c>
      <c r="E260" s="26">
        <f>SUM(E167,E196,E202,E208,E214,E220,E226,E254)</f>
        <v>689</v>
      </c>
      <c r="F260" s="26">
        <f>SUM(F167,F196,F202,F208,F214,F220,F226,F254)</f>
        <v>740</v>
      </c>
      <c r="G260" s="39">
        <f>SUM(G167,G196,G202,G208,G214,G220,G226,G254)</f>
        <v>718.2937520547946</v>
      </c>
      <c r="H260" s="7" t="s">
        <v>258</v>
      </c>
    </row>
    <row r="261">
      <c r="A261" s="12" t="s">
        <v>118</v>
      </c>
      <c r="B261" s="14">
        <f>B260/Inputs!B113-1</f>
        <v>0.24092409240924084</v>
      </c>
      <c r="C261" s="14">
        <f>C260/Inputs!C113-1</f>
        <v>0.05936073059360725</v>
      </c>
      <c r="D261" s="14">
        <f>D260/Inputs!D113-1</f>
        <v>0.1297898640296662</v>
      </c>
      <c r="E261" s="14">
        <f>E260/Inputs!E113-1</f>
        <v>0.12765957446808507</v>
      </c>
      <c r="F261" s="14">
        <f>F260/Inputs!F113-1</f>
        <v>0.0834553440702781</v>
      </c>
      <c r="G261" s="17">
        <f>G260/B260-1</f>
        <v>-0.044822138225007135</v>
      </c>
      <c r="H261" s="100" t="s">
        <v>259</v>
      </c>
    </row>
    <row r="262">
      <c r="A262" s="12" t="s">
        <v>193</v>
      </c>
      <c r="B262" s="14">
        <f>B260/Inputs!F113-1</f>
        <v>0.10102489019033678</v>
      </c>
      <c r="C262" s="23">
        <f>C260/B260-1</f>
        <v>-0.07446808510638303</v>
      </c>
      <c r="D262" s="23"/>
      <c r="E262" s="23">
        <f>E260/C260-1</f>
        <v>-0.010057471264367845</v>
      </c>
      <c r="F262" s="23">
        <f>F260/E260-1</f>
        <v>0.07402031930333819</v>
      </c>
      <c r="G262" s="17">
        <f>G260/F260-1</f>
        <v>-0.029332767493520873</v>
      </c>
      <c r="H262" s="12"/>
    </row>
    <row r="263">
      <c r="A263" s="12" t="s">
        <v>194</v>
      </c>
      <c r="B263" s="23" t="s">
        <v>39</v>
      </c>
      <c r="C263" s="23" t="s">
        <v>39</v>
      </c>
      <c r="D263" s="23" t="s">
        <v>39</v>
      </c>
      <c r="E263" s="23" t="s">
        <v>39</v>
      </c>
      <c r="F263" s="23" t="s">
        <v>39</v>
      </c>
      <c r="G263" s="17" t="s">
        <v>39</v>
      </c>
      <c r="H263" s="7" t="s">
        <v>195</v>
      </c>
    </row>
    <row r="264">
      <c r="A264" s="12" t="s">
        <v>196</v>
      </c>
      <c r="B264" s="23" t="s">
        <v>39</v>
      </c>
      <c r="C264" s="23" t="s">
        <v>39</v>
      </c>
      <c r="D264" s="23" t="s">
        <v>39</v>
      </c>
      <c r="E264" s="23" t="s">
        <v>39</v>
      </c>
      <c r="F264" s="23" t="s">
        <v>39</v>
      </c>
      <c r="G264" s="17" t="s">
        <v>39</v>
      </c>
      <c r="H264" s="7" t="s">
        <v>197</v>
      </c>
    </row>
    <row r="265">
      <c r="A265" s="12" t="s">
        <v>198</v>
      </c>
      <c r="B265" s="23" t="s">
        <v>39</v>
      </c>
      <c r="C265" s="23" t="s">
        <v>39</v>
      </c>
      <c r="D265" s="23" t="s">
        <v>39</v>
      </c>
      <c r="E265" s="23" t="s">
        <v>39</v>
      </c>
      <c r="F265" s="23" t="s">
        <v>39</v>
      </c>
      <c r="G265" s="17" t="s">
        <v>39</v>
      </c>
      <c r="H265" s="7" t="s">
        <v>199</v>
      </c>
    </row>
    <row r="266">
      <c r="A266" s="12" t="s">
        <v>200</v>
      </c>
      <c r="B266" s="23">
        <f>B260/B270</f>
        <v>0.2992439315559093</v>
      </c>
      <c r="C266" s="23">
        <f>C260/C270</f>
        <v>0.2812121212121212</v>
      </c>
      <c r="D266" s="23">
        <f>D260/D270</f>
        <v>0.28297213622291023</v>
      </c>
      <c r="E266" s="23">
        <f>E260/E270</f>
        <v>0.28226136829168375</v>
      </c>
      <c r="F266" s="23">
        <f>F260/F270</f>
        <v>0.292259083728278</v>
      </c>
      <c r="G266" s="17">
        <f>G260/G270</f>
        <v>0.28357258394232965</v>
      </c>
      <c r="H266" s="12"/>
    </row>
    <row r="267">
      <c r="A267" s="6" t="s">
        <v>260</v>
      </c>
      <c r="B267" s="4">
        <v>752</v>
      </c>
      <c r="C267" s="4">
        <v>696</v>
      </c>
      <c r="D267" s="8">
        <f>Inputs!G391</f>
        <v>2742</v>
      </c>
      <c r="E267" s="4">
        <v>689</v>
      </c>
      <c r="F267" s="4">
        <v>740</v>
      </c>
      <c r="G267" s="2"/>
      <c r="H267" s="7" t="s">
        <v>261</v>
      </c>
    </row>
    <row r="268">
      <c r="A268" s="12" t="s">
        <v>262</v>
      </c>
      <c r="B268" s="32">
        <f>B260-B267</f>
        <v>0</v>
      </c>
      <c r="C268" s="32">
        <f>C260-C267</f>
        <v>0</v>
      </c>
      <c r="D268" s="32">
        <f>D260-D267</f>
        <v>0</v>
      </c>
      <c r="E268" s="32">
        <f>E260-E267</f>
        <v>0</v>
      </c>
      <c r="F268" s="32">
        <f>F260-F267</f>
        <v>0</v>
      </c>
      <c r="G268" s="52"/>
      <c r="H268" s="12"/>
    </row>
    <row r="269">
      <c r="A269" s="6"/>
      <c r="B269" s="11"/>
      <c r="C269" s="11"/>
      <c r="D269" s="11"/>
      <c r="E269" s="11"/>
      <c r="F269" s="11"/>
      <c r="G269" s="20"/>
      <c r="H269" s="12"/>
    </row>
    <row r="270">
      <c r="A270" s="28" t="s">
        <v>263</v>
      </c>
      <c r="B270" s="26">
        <f>B140+B260</f>
        <v>2513</v>
      </c>
      <c r="C270" s="26">
        <f>C140+C260</f>
        <v>2475</v>
      </c>
      <c r="D270" s="26">
        <f>D140+D260</f>
        <v>9690</v>
      </c>
      <c r="E270" s="26">
        <f>E140+E260</f>
        <v>2441</v>
      </c>
      <c r="F270" s="26">
        <f>F140+F260</f>
        <v>2532</v>
      </c>
      <c r="G270" s="39">
        <f>G140+G260</f>
        <v>2533.0155054794523</v>
      </c>
      <c r="H270" s="7" t="s">
        <v>264</v>
      </c>
    </row>
    <row r="271">
      <c r="A271" s="12" t="s">
        <v>118</v>
      </c>
      <c r="B271" s="14">
        <f>B270/(Inputs!B125+Inputs!B113)-1</f>
        <v>0.07761578044596917</v>
      </c>
      <c r="C271" s="14">
        <f>C270/(Inputs!C125+Inputs!C113)-1</f>
        <v>0.037735849056603765</v>
      </c>
      <c r="D271" s="14">
        <f>D270/(Inputs!D125+Inputs!D113)-1</f>
        <v>0.044293566117038496</v>
      </c>
      <c r="E271" s="14">
        <f>E270/(Inputs!E125+Inputs!E113)-1</f>
        <v>0.058542931483087646</v>
      </c>
      <c r="F271" s="14">
        <f>F270/(Inputs!F125+Inputs!F113)-1</f>
        <v>0.056761268781302165</v>
      </c>
      <c r="G271" s="17">
        <f>G270/B270-1</f>
        <v>0.007964785308178346</v>
      </c>
      <c r="H271" s="100" t="s">
        <v>265</v>
      </c>
    </row>
    <row r="272">
      <c r="A272" s="12" t="s">
        <v>193</v>
      </c>
      <c r="B272" s="14">
        <f>B270/(Inputs!F125+Inputs!F113)-1</f>
        <v>0.04883138564273781</v>
      </c>
      <c r="C272" s="23">
        <f>C270/B270-1</f>
        <v>-0.01512136888181459</v>
      </c>
      <c r="D272" s="23"/>
      <c r="E272" s="23">
        <f>E270/C270-1</f>
        <v>-0.013737373737373715</v>
      </c>
      <c r="F272" s="23">
        <f>F270/E270-1</f>
        <v>0.03727980335927894</v>
      </c>
      <c r="G272" s="17">
        <f>G270/F270-1</f>
        <v>0.00040106851479149164</v>
      </c>
      <c r="H272" s="12"/>
    </row>
    <row r="273">
      <c r="A273" s="12" t="s">
        <v>194</v>
      </c>
      <c r="B273" s="23" t="s">
        <v>39</v>
      </c>
      <c r="C273" s="23" t="s">
        <v>39</v>
      </c>
      <c r="D273" s="23" t="s">
        <v>39</v>
      </c>
      <c r="E273" s="23" t="s">
        <v>39</v>
      </c>
      <c r="F273" s="23" t="s">
        <v>39</v>
      </c>
      <c r="G273" s="17" t="s">
        <v>39</v>
      </c>
      <c r="H273" s="7" t="s">
        <v>195</v>
      </c>
    </row>
    <row r="274">
      <c r="A274" s="12" t="s">
        <v>196</v>
      </c>
      <c r="B274" s="23" t="s">
        <v>39</v>
      </c>
      <c r="C274" s="23" t="s">
        <v>39</v>
      </c>
      <c r="D274" s="23" t="s">
        <v>39</v>
      </c>
      <c r="E274" s="23" t="s">
        <v>39</v>
      </c>
      <c r="F274" s="23" t="s">
        <v>39</v>
      </c>
      <c r="G274" s="17" t="s">
        <v>39</v>
      </c>
      <c r="H274" s="7" t="s">
        <v>197</v>
      </c>
    </row>
    <row r="275">
      <c r="A275" s="12" t="s">
        <v>198</v>
      </c>
      <c r="B275" s="23" t="s">
        <v>39</v>
      </c>
      <c r="C275" s="23" t="s">
        <v>39</v>
      </c>
      <c r="D275" s="23" t="s">
        <v>39</v>
      </c>
      <c r="E275" s="23" t="s">
        <v>39</v>
      </c>
      <c r="F275" s="23" t="s">
        <v>39</v>
      </c>
      <c r="G275" s="17" t="s">
        <v>39</v>
      </c>
      <c r="H275" s="7" t="s">
        <v>199</v>
      </c>
    </row>
    <row r="276">
      <c r="A276" s="6" t="s">
        <v>266</v>
      </c>
      <c r="B276" s="8">
        <f>Inputs!H88</f>
        <v>2513</v>
      </c>
      <c r="C276" s="8">
        <f>Inputs!H89</f>
        <v>2475</v>
      </c>
      <c r="D276" s="1"/>
      <c r="E276" s="8">
        <f>Inputs!H90</f>
        <v>2441</v>
      </c>
      <c r="F276" s="8">
        <f>Inputs!H91</f>
        <v>2532</v>
      </c>
      <c r="G276" s="2"/>
      <c r="H276" s="12"/>
    </row>
    <row r="277">
      <c r="A277" s="12" t="s">
        <v>267</v>
      </c>
      <c r="B277" s="32">
        <f>B270-B276</f>
        <v>0</v>
      </c>
      <c r="C277" s="32">
        <f>C270-C276</f>
        <v>0</v>
      </c>
      <c r="D277" s="32"/>
      <c r="E277" s="32">
        <f>E270-E276</f>
        <v>0</v>
      </c>
      <c r="F277" s="32">
        <f>F270-F276</f>
        <v>0</v>
      </c>
      <c r="G277" s="52"/>
      <c r="H277" s="12"/>
    </row>
    <row r="278">
      <c r="A278" s="6"/>
      <c r="B278" s="11"/>
      <c r="C278" s="11"/>
      <c r="D278" s="11"/>
      <c r="E278" s="11"/>
      <c r="F278" s="11"/>
      <c r="G278" s="20"/>
      <c r="H278" s="12"/>
    </row>
    <row r="279">
      <c r="A279" s="18" t="s">
        <v>268</v>
      </c>
      <c r="B279" s="11"/>
      <c r="C279" s="11"/>
      <c r="D279" s="11"/>
      <c r="E279" s="11"/>
      <c r="F279" s="11"/>
      <c r="G279" s="20"/>
      <c r="H279" s="12"/>
    </row>
    <row r="280">
      <c r="A280" s="6" t="s">
        <v>269</v>
      </c>
      <c r="B280" s="8">
        <f>'Segment - Commercial Bank'!B42</f>
        <v>748</v>
      </c>
      <c r="C280" s="8">
        <f>'Segment - Commercial Bank'!C42</f>
        <v>761</v>
      </c>
      <c r="D280" s="8">
        <f>'Segment - Commercial Bank'!D42</f>
        <v>2947</v>
      </c>
      <c r="E280" s="8">
        <f>'Segment - Commercial Bank'!E42</f>
        <v>728</v>
      </c>
      <c r="F280" s="8">
        <f>'Segment - Commercial Bank'!F42</f>
        <v>752</v>
      </c>
      <c r="G280" s="35">
        <f>'Segment - Commercial Bank'!G42</f>
        <v>772.3123073424656</v>
      </c>
      <c r="H280" s="12"/>
    </row>
    <row r="281">
      <c r="A281" s="12" t="s">
        <v>118</v>
      </c>
      <c r="B281" s="14">
        <f>B280/Inputs!B297-1</f>
        <v>0.03457814661134173</v>
      </c>
      <c r="C281" s="14">
        <f>C280/Inputs!C297-1</f>
        <v>0.021476510067114152</v>
      </c>
      <c r="D281" s="14">
        <f>D280/Inputs!D297-1</f>
        <v>0.02184466019417486</v>
      </c>
      <c r="E281" s="14">
        <f>E280/Inputs!E297-1</f>
        <v>0.03703703703703698</v>
      </c>
      <c r="F281" s="14">
        <f>F280/Inputs!F297-1</f>
        <v>0.021739130434782705</v>
      </c>
      <c r="G281" s="17">
        <f>G280/B280-1</f>
        <v>0.032503084682440564</v>
      </c>
      <c r="H281" s="12"/>
    </row>
    <row r="282">
      <c r="A282" s="12" t="s">
        <v>193</v>
      </c>
      <c r="B282" s="14">
        <f>B280/Inputs!F297-1</f>
        <v>0.016304347826086918</v>
      </c>
      <c r="C282" s="23">
        <f>C280/B280-1</f>
        <v>0.017379679144384985</v>
      </c>
      <c r="D282" s="23"/>
      <c r="E282" s="23">
        <f>E280/C280-1</f>
        <v>-0.04336399474375818</v>
      </c>
      <c r="F282" s="23">
        <f>F280/E280-1</f>
        <v>0.03296703296703307</v>
      </c>
      <c r="G282" s="17">
        <f>G280/F280-1</f>
        <v>0.027011046997959642</v>
      </c>
      <c r="H282" s="12"/>
    </row>
    <row r="283">
      <c r="A283" s="12" t="s">
        <v>200</v>
      </c>
      <c r="B283" s="23">
        <f>B280/B270</f>
        <v>0.2976522085157183</v>
      </c>
      <c r="C283" s="23">
        <f>C280/C270</f>
        <v>0.30747474747474746</v>
      </c>
      <c r="D283" s="23">
        <f>D280/D270</f>
        <v>0.3041279669762642</v>
      </c>
      <c r="E283" s="23">
        <f>E280/E270</f>
        <v>0.29823842687423185</v>
      </c>
      <c r="F283" s="23">
        <f>F280/F270</f>
        <v>0.296998420221169</v>
      </c>
      <c r="G283" s="17">
        <f>G280/G270</f>
        <v>0.3048983733703128</v>
      </c>
      <c r="H283" s="12"/>
    </row>
    <row r="284">
      <c r="A284" s="12" t="s">
        <v>194</v>
      </c>
      <c r="B284" s="23" t="s">
        <v>39</v>
      </c>
      <c r="C284" s="23" t="s">
        <v>39</v>
      </c>
      <c r="D284" s="23" t="s">
        <v>39</v>
      </c>
      <c r="E284" s="23" t="s">
        <v>39</v>
      </c>
      <c r="F284" s="23" t="s">
        <v>39</v>
      </c>
      <c r="G284" s="17" t="s">
        <v>39</v>
      </c>
      <c r="H284" s="7" t="s">
        <v>195</v>
      </c>
    </row>
    <row r="285">
      <c r="A285" s="12" t="s">
        <v>196</v>
      </c>
      <c r="B285" s="23" t="s">
        <v>39</v>
      </c>
      <c r="C285" s="23" t="s">
        <v>39</v>
      </c>
      <c r="D285" s="23" t="s">
        <v>39</v>
      </c>
      <c r="E285" s="23" t="s">
        <v>39</v>
      </c>
      <c r="F285" s="23" t="s">
        <v>39</v>
      </c>
      <c r="G285" s="17" t="s">
        <v>39</v>
      </c>
      <c r="H285" s="7" t="s">
        <v>197</v>
      </c>
    </row>
    <row r="286">
      <c r="A286" s="12" t="s">
        <v>198</v>
      </c>
      <c r="B286" s="23" t="s">
        <v>39</v>
      </c>
      <c r="C286" s="23" t="s">
        <v>39</v>
      </c>
      <c r="D286" s="23" t="s">
        <v>39</v>
      </c>
      <c r="E286" s="23" t="s">
        <v>39</v>
      </c>
      <c r="F286" s="23" t="s">
        <v>39</v>
      </c>
      <c r="G286" s="17" t="s">
        <v>39</v>
      </c>
      <c r="H286" s="7" t="s">
        <v>199</v>
      </c>
    </row>
    <row r="287">
      <c r="A287" s="6" t="s">
        <v>270</v>
      </c>
      <c r="B287" s="8">
        <f>'Segment - Retail Bank'!B42</f>
        <v>1248</v>
      </c>
      <c r="C287" s="8">
        <f>'Segment - Retail Bank'!C42</f>
        <v>1218</v>
      </c>
      <c r="D287" s="8">
        <f>'Segment - Retail Bank'!D42</f>
        <v>4868</v>
      </c>
      <c r="E287" s="8">
        <f>'Segment - Retail Bank'!E42</f>
        <v>1167</v>
      </c>
      <c r="F287" s="8">
        <f>'Segment - Retail Bank'!F42</f>
        <v>1210</v>
      </c>
      <c r="G287" s="35">
        <f>'Segment - Retail Bank'!G42</f>
        <v>1233.0468592657535</v>
      </c>
      <c r="H287" s="12"/>
    </row>
    <row r="288">
      <c r="A288" s="12" t="s">
        <v>118</v>
      </c>
      <c r="B288" s="14">
        <f>B287/Inputs!B310-1</f>
        <v>-0.034055727554179516</v>
      </c>
      <c r="C288" s="14">
        <f>C287/Inputs!C310-1</f>
        <v>-0.020900321543408373</v>
      </c>
      <c r="D288" s="14">
        <f>D287/Inputs!D310-1</f>
        <v>-0.045115731659474356</v>
      </c>
      <c r="E288" s="14">
        <f>E287/Inputs!E310-1</f>
        <v>-0.011016949152542366</v>
      </c>
      <c r="F288" s="14">
        <f>F287/Inputs!F310-1</f>
        <v>-0.009819967266775809</v>
      </c>
      <c r="G288" s="17">
        <f>G287/B287-1</f>
        <v>-0.011981683280646194</v>
      </c>
      <c r="H288" s="12"/>
    </row>
    <row r="289">
      <c r="A289" s="12" t="s">
        <v>193</v>
      </c>
      <c r="B289" s="14">
        <f>B287/Inputs!F310-1</f>
        <v>0.02127659574468077</v>
      </c>
      <c r="C289" s="23">
        <f>C287/B287-1</f>
        <v>-0.024038461538461564</v>
      </c>
      <c r="D289" s="23"/>
      <c r="E289" s="23">
        <f>E287/C287-1</f>
        <v>-0.041871921182266014</v>
      </c>
      <c r="F289" s="23">
        <f>F287/E287-1</f>
        <v>0.036846615252784876</v>
      </c>
      <c r="G289" s="17">
        <f>G287/F287-1</f>
        <v>0.01904699112872188</v>
      </c>
      <c r="H289" s="12"/>
    </row>
    <row r="290">
      <c r="A290" s="12" t="s">
        <v>200</v>
      </c>
      <c r="B290" s="23">
        <f>B287/B270</f>
        <v>0.4966175885395941</v>
      </c>
      <c r="C290" s="23">
        <f>C287/C270</f>
        <v>0.4921212121212121</v>
      </c>
      <c r="D290" s="23">
        <f>D287/D270</f>
        <v>0.5023735810113519</v>
      </c>
      <c r="E290" s="23">
        <f>E287/E270</f>
        <v>0.4780827529700942</v>
      </c>
      <c r="F290" s="23">
        <f>F287/F270</f>
        <v>0.47788309636650866</v>
      </c>
      <c r="G290" s="17">
        <f>G287/G270</f>
        <v>0.4867900952830373</v>
      </c>
      <c r="H290" s="12"/>
    </row>
    <row r="291">
      <c r="A291" s="12" t="s">
        <v>194</v>
      </c>
      <c r="B291" s="23" t="s">
        <v>39</v>
      </c>
      <c r="C291" s="23" t="s">
        <v>39</v>
      </c>
      <c r="D291" s="23" t="s">
        <v>39</v>
      </c>
      <c r="E291" s="23" t="s">
        <v>39</v>
      </c>
      <c r="F291" s="23" t="s">
        <v>39</v>
      </c>
      <c r="G291" s="17" t="s">
        <v>39</v>
      </c>
      <c r="H291" s="7" t="s">
        <v>195</v>
      </c>
    </row>
    <row r="292">
      <c r="A292" s="12" t="s">
        <v>196</v>
      </c>
      <c r="B292" s="23" t="s">
        <v>39</v>
      </c>
      <c r="C292" s="23" t="s">
        <v>39</v>
      </c>
      <c r="D292" s="23" t="s">
        <v>39</v>
      </c>
      <c r="E292" s="23" t="s">
        <v>39</v>
      </c>
      <c r="F292" s="23" t="s">
        <v>39</v>
      </c>
      <c r="G292" s="17" t="s">
        <v>39</v>
      </c>
      <c r="H292" s="7" t="s">
        <v>197</v>
      </c>
    </row>
    <row r="293">
      <c r="A293" s="12" t="s">
        <v>198</v>
      </c>
      <c r="B293" s="23" t="s">
        <v>39</v>
      </c>
      <c r="C293" s="23" t="s">
        <v>39</v>
      </c>
      <c r="D293" s="23" t="s">
        <v>39</v>
      </c>
      <c r="E293" s="23" t="s">
        <v>39</v>
      </c>
      <c r="F293" s="23" t="s">
        <v>39</v>
      </c>
      <c r="G293" s="17" t="s">
        <v>39</v>
      </c>
      <c r="H293" s="7" t="s">
        <v>199</v>
      </c>
    </row>
    <row r="294">
      <c r="A294" s="6" t="s">
        <v>271</v>
      </c>
      <c r="B294" s="8">
        <f>'Segment - Inst Services &amp; WM'!B42</f>
        <v>407</v>
      </c>
      <c r="C294" s="8">
        <f>'Segment - Inst Services &amp; WM'!C42</f>
        <v>384</v>
      </c>
      <c r="D294" s="8">
        <f>'Segment - Inst Services &amp; WM'!D42</f>
        <v>1562</v>
      </c>
      <c r="E294" s="8">
        <f>'Segment - Inst Services &amp; WM'!E42</f>
        <v>377</v>
      </c>
      <c r="F294" s="8">
        <f>'Segment - Inst Services &amp; WM'!F42</f>
        <v>384</v>
      </c>
      <c r="G294" s="35">
        <f>'Segment - Inst Services &amp; WM'!G42</f>
        <v>384.0359485808219</v>
      </c>
      <c r="H294" s="12"/>
    </row>
    <row r="295">
      <c r="A295" s="12" t="s">
        <v>118</v>
      </c>
      <c r="B295" s="14">
        <f>B294/Inputs!B323-1</f>
        <v>0.046272493573264795</v>
      </c>
      <c r="C295" s="14">
        <f>C294/Inputs!C323-1</f>
        <v>-0.01538461538461533</v>
      </c>
      <c r="D295" s="14">
        <f>D294/Inputs!D323-1</f>
        <v>0.0032113037893384266</v>
      </c>
      <c r="E295" s="14">
        <f>E294/Inputs!E323-1</f>
        <v>-0.007894736842105288</v>
      </c>
      <c r="F295" s="14">
        <f>F294/Inputs!F323-1</f>
        <v>-0.01790281329923271</v>
      </c>
      <c r="G295" s="17">
        <f>G294/B294-1</f>
        <v>-0.05642273075965132</v>
      </c>
      <c r="H295" s="12"/>
    </row>
    <row r="296">
      <c r="A296" s="12" t="s">
        <v>193</v>
      </c>
      <c r="B296" s="14">
        <f>B294/Inputs!F323-1</f>
        <v>0.04092071611253201</v>
      </c>
      <c r="C296" s="23">
        <f>C294/B294-1</f>
        <v>-0.05651105651105648</v>
      </c>
      <c r="D296" s="23"/>
      <c r="E296" s="23">
        <f>E294/C294-1</f>
        <v>-0.01822916666666663</v>
      </c>
      <c r="F296" s="23">
        <f>F294/E294-1</f>
        <v>0.018567639257294433</v>
      </c>
      <c r="G296" s="17">
        <f>G294/F294-1</f>
        <v>0.0000936160958904253</v>
      </c>
      <c r="H296" s="12"/>
    </row>
    <row r="297">
      <c r="A297" s="12" t="s">
        <v>200</v>
      </c>
      <c r="B297" s="23">
        <f>B294/B270</f>
        <v>0.16195781933943493</v>
      </c>
      <c r="C297" s="23">
        <f>C294/C270</f>
        <v>0.15515151515151515</v>
      </c>
      <c r="D297" s="23">
        <f>D294/D270</f>
        <v>0.1611971104231166</v>
      </c>
      <c r="E297" s="23">
        <f>E294/E270</f>
        <v>0.15444489963129865</v>
      </c>
      <c r="F297" s="23">
        <f>F294/F270</f>
        <v>0.15165876777251186</v>
      </c>
      <c r="G297" s="17">
        <f>G294/G270</f>
        <v>0.15161215861097982</v>
      </c>
      <c r="H297" s="12"/>
    </row>
    <row r="298">
      <c r="A298" s="12" t="s">
        <v>194</v>
      </c>
      <c r="B298" s="23" t="s">
        <v>39</v>
      </c>
      <c r="C298" s="23" t="s">
        <v>39</v>
      </c>
      <c r="D298" s="23" t="s">
        <v>39</v>
      </c>
      <c r="E298" s="23" t="s">
        <v>39</v>
      </c>
      <c r="F298" s="23" t="s">
        <v>39</v>
      </c>
      <c r="G298" s="17" t="s">
        <v>39</v>
      </c>
      <c r="H298" s="7" t="s">
        <v>195</v>
      </c>
    </row>
    <row r="299">
      <c r="A299" s="12" t="s">
        <v>196</v>
      </c>
      <c r="B299" s="23" t="s">
        <v>39</v>
      </c>
      <c r="C299" s="23" t="s">
        <v>39</v>
      </c>
      <c r="D299" s="23" t="s">
        <v>39</v>
      </c>
      <c r="E299" s="23" t="s">
        <v>39</v>
      </c>
      <c r="F299" s="23" t="s">
        <v>39</v>
      </c>
      <c r="G299" s="17" t="s">
        <v>39</v>
      </c>
      <c r="H299" s="7" t="s">
        <v>197</v>
      </c>
    </row>
    <row r="300">
      <c r="A300" s="12" t="s">
        <v>198</v>
      </c>
      <c r="B300" s="23" t="s">
        <v>39</v>
      </c>
      <c r="C300" s="23" t="s">
        <v>39</v>
      </c>
      <c r="D300" s="23" t="s">
        <v>39</v>
      </c>
      <c r="E300" s="23" t="s">
        <v>39</v>
      </c>
      <c r="F300" s="23" t="s">
        <v>39</v>
      </c>
      <c r="G300" s="17" t="s">
        <v>39</v>
      </c>
      <c r="H300" s="7" t="s">
        <v>199</v>
      </c>
    </row>
    <row r="301">
      <c r="A301" s="6" t="s">
        <v>272</v>
      </c>
      <c r="B301" s="4">
        <v>110</v>
      </c>
      <c r="C301" s="8">
        <f>Inputs!H281-Inputs!G281</f>
        <v>112</v>
      </c>
      <c r="D301" s="8">
        <f>Inputs!H281</f>
        <v>313</v>
      </c>
      <c r="E301" s="8">
        <f>Inputs!I281-F301</f>
        <v>169</v>
      </c>
      <c r="F301" s="4">
        <v>186</v>
      </c>
      <c r="G301" s="2">
        <f>G270-G280-G287-G294</f>
        <v>143.62039029041125</v>
      </c>
      <c r="H301" s="7" t="s">
        <v>273</v>
      </c>
    </row>
    <row r="302">
      <c r="A302" s="12" t="s">
        <v>118</v>
      </c>
      <c r="B302" s="23" t="s">
        <v>148</v>
      </c>
      <c r="C302" s="23" t="s">
        <v>148</v>
      </c>
      <c r="D302" s="23" t="s">
        <v>148</v>
      </c>
      <c r="E302" s="14">
        <f>E301/Inputs!E336-1</f>
        <v>2.840909090909091</v>
      </c>
      <c r="F302" s="14">
        <f>F301/Inputs!F336-1</f>
        <v>2.9574468085106385</v>
      </c>
      <c r="G302" s="17">
        <f>G301/B301-1</f>
        <v>0.30563991173101135</v>
      </c>
      <c r="H302" s="7" t="s">
        <v>274</v>
      </c>
    </row>
    <row r="303">
      <c r="A303" s="12" t="s">
        <v>193</v>
      </c>
      <c r="B303" s="14">
        <f>B301/Inputs!F336-1</f>
        <v>1.3404255319148937</v>
      </c>
      <c r="C303" s="23">
        <f>C301/B301-1</f>
        <v>0.018181818181818077</v>
      </c>
      <c r="D303" s="23"/>
      <c r="E303" s="23">
        <f>E301/C301-1</f>
        <v>0.5089285714285714</v>
      </c>
      <c r="F303" s="23">
        <f>F301/E301-1</f>
        <v>0.10059171597633143</v>
      </c>
      <c r="G303" s="17">
        <f>G301/F301-1</f>
        <v>-0.22784736403004702</v>
      </c>
      <c r="H303" s="12"/>
    </row>
    <row r="304">
      <c r="A304" s="12" t="s">
        <v>200</v>
      </c>
      <c r="B304" s="23">
        <f>B301/B270</f>
        <v>0.043772383605252686</v>
      </c>
      <c r="C304" s="23">
        <f>C301/C270</f>
        <v>0.04525252525252525</v>
      </c>
      <c r="D304" s="23">
        <f>D301/D270</f>
        <v>0.032301341589267285</v>
      </c>
      <c r="E304" s="23">
        <f>E301/E270</f>
        <v>0.06923392052437526</v>
      </c>
      <c r="F304" s="23">
        <f>F301/F270</f>
        <v>0.07345971563981042</v>
      </c>
      <c r="G304" s="17">
        <f>G301/G270</f>
        <v>0.05669937273567009</v>
      </c>
      <c r="H304" s="12"/>
    </row>
    <row r="305">
      <c r="A305" s="12" t="s">
        <v>194</v>
      </c>
      <c r="B305" s="23" t="s">
        <v>39</v>
      </c>
      <c r="C305" s="23" t="s">
        <v>39</v>
      </c>
      <c r="D305" s="23" t="s">
        <v>39</v>
      </c>
      <c r="E305" s="23" t="s">
        <v>39</v>
      </c>
      <c r="F305" s="23" t="s">
        <v>39</v>
      </c>
      <c r="G305" s="17" t="s">
        <v>39</v>
      </c>
      <c r="H305" s="7" t="s">
        <v>195</v>
      </c>
    </row>
    <row r="306">
      <c r="A306" s="12" t="s">
        <v>196</v>
      </c>
      <c r="B306" s="23" t="s">
        <v>39</v>
      </c>
      <c r="C306" s="23" t="s">
        <v>39</v>
      </c>
      <c r="D306" s="23" t="s">
        <v>39</v>
      </c>
      <c r="E306" s="23" t="s">
        <v>39</v>
      </c>
      <c r="F306" s="23" t="s">
        <v>39</v>
      </c>
      <c r="G306" s="17" t="s">
        <v>39</v>
      </c>
      <c r="H306" s="7" t="s">
        <v>197</v>
      </c>
    </row>
    <row r="307">
      <c r="A307" s="12" t="s">
        <v>198</v>
      </c>
      <c r="B307" s="23" t="s">
        <v>39</v>
      </c>
      <c r="C307" s="23" t="s">
        <v>39</v>
      </c>
      <c r="D307" s="23" t="s">
        <v>39</v>
      </c>
      <c r="E307" s="23" t="s">
        <v>39</v>
      </c>
      <c r="F307" s="23" t="s">
        <v>39</v>
      </c>
      <c r="G307" s="17" t="s">
        <v>39</v>
      </c>
      <c r="H307" s="7" t="s">
        <v>199</v>
      </c>
    </row>
    <row r="308">
      <c r="A308" s="28" t="s">
        <v>275</v>
      </c>
      <c r="B308" s="26">
        <f>B280+B287+B294+B301</f>
        <v>2513</v>
      </c>
      <c r="C308" s="26">
        <f>C280+C287+C294+C301</f>
        <v>2475</v>
      </c>
      <c r="D308" s="26">
        <f>D280+D287+D294+D301</f>
        <v>9690</v>
      </c>
      <c r="E308" s="26">
        <f>E280+E287+E294+E301</f>
        <v>2441</v>
      </c>
      <c r="F308" s="26">
        <f>F280+F287+F294+F301</f>
        <v>2532</v>
      </c>
      <c r="G308" s="39">
        <f>G280+G287+G294+G301</f>
        <v>2533.0155054794523</v>
      </c>
      <c r="H308" s="12"/>
    </row>
    <row r="309">
      <c r="A309" s="12" t="s">
        <v>276</v>
      </c>
      <c r="B309" s="32">
        <f>B308-B270</f>
        <v>0</v>
      </c>
      <c r="C309" s="32">
        <f>C308-C270</f>
        <v>0</v>
      </c>
      <c r="D309" s="32">
        <f>D308-D270</f>
        <v>0</v>
      </c>
      <c r="E309" s="32">
        <f>E308-E270</f>
        <v>0</v>
      </c>
      <c r="F309" s="32">
        <f>F308-F270</f>
        <v>0</v>
      </c>
      <c r="G309" s="52">
        <f>G308-G270</f>
        <v>0</v>
      </c>
      <c r="H309" s="96" t="s">
        <v>277</v>
      </c>
    </row>
    <row r="310">
      <c r="A310" s="6"/>
      <c r="B310" s="11"/>
      <c r="C310" s="11"/>
      <c r="D310" s="11"/>
      <c r="E310" s="11"/>
      <c r="F310" s="11"/>
      <c r="G310" s="20"/>
      <c r="H310" s="12"/>
    </row>
    <row r="311">
      <c r="A311" s="18" t="s">
        <v>278</v>
      </c>
      <c r="B311" s="11"/>
      <c r="C311" s="11"/>
      <c r="D311" s="11"/>
      <c r="E311" s="11"/>
      <c r="F311" s="11"/>
      <c r="G311" s="20"/>
      <c r="H311" s="12"/>
    </row>
    <row r="312">
      <c r="A312" s="6" t="s">
        <v>269</v>
      </c>
      <c r="B312" s="8">
        <f>'Segment - Commercial Bank'!B64</f>
        <v>228</v>
      </c>
      <c r="C312" s="8">
        <f>'Segment - Commercial Bank'!C64</f>
        <v>214</v>
      </c>
      <c r="D312" s="8">
        <f>'Segment - Commercial Bank'!D64</f>
        <v>904</v>
      </c>
      <c r="E312" s="8">
        <f>'Segment - Commercial Bank'!E64</f>
        <v>250</v>
      </c>
      <c r="F312" s="8">
        <f>'Segment - Commercial Bank'!F64</f>
        <v>271</v>
      </c>
      <c r="G312" s="35">
        <f>'Segment - Commercial Bank'!G64</f>
        <v>267.9187074334245</v>
      </c>
      <c r="H312" s="12"/>
    </row>
    <row r="313">
      <c r="A313" s="6" t="s">
        <v>270</v>
      </c>
      <c r="B313" s="8">
        <f>'Segment - Retail Bank'!B64</f>
        <v>376</v>
      </c>
      <c r="C313" s="8">
        <f>'Segment - Retail Bank'!C64</f>
        <v>344</v>
      </c>
      <c r="D313" s="8">
        <f>'Segment - Retail Bank'!D64</f>
        <v>1442</v>
      </c>
      <c r="E313" s="8">
        <f>'Segment - Retail Bank'!E64</f>
        <v>344</v>
      </c>
      <c r="F313" s="8">
        <f>'Segment - Retail Bank'!F64</f>
        <v>360</v>
      </c>
      <c r="G313" s="35">
        <f>'Segment - Retail Bank'!G64</f>
        <v>363.49061015298633</v>
      </c>
      <c r="H313" s="12"/>
    </row>
    <row r="314">
      <c r="A314" s="6" t="s">
        <v>271</v>
      </c>
      <c r="B314" s="8">
        <f>'Segment - Inst Services &amp; WM'!B64</f>
        <v>142</v>
      </c>
      <c r="C314" s="8">
        <f>'Segment - Inst Services &amp; WM'!C64</f>
        <v>111</v>
      </c>
      <c r="D314" s="8">
        <f>'Segment - Inst Services &amp; WM'!D64</f>
        <v>502</v>
      </c>
      <c r="E314" s="8">
        <f>'Segment - Inst Services &amp; WM'!E64</f>
        <v>112</v>
      </c>
      <c r="F314" s="8">
        <f>'Segment - Inst Services &amp; WM'!F64</f>
        <v>120</v>
      </c>
      <c r="G314" s="35">
        <f>'Segment - Inst Services &amp; WM'!G64</f>
        <v>115.90408169271232</v>
      </c>
      <c r="H314" s="12"/>
    </row>
    <row r="315">
      <c r="A315" s="6" t="s">
        <v>272</v>
      </c>
      <c r="B315" s="4">
        <v>46</v>
      </c>
      <c r="C315" s="8">
        <f>Inputs!H289-Inputs!G289</f>
        <v>90</v>
      </c>
      <c r="D315" s="8">
        <f>Inputs!H289</f>
        <v>3</v>
      </c>
      <c r="E315" s="8">
        <f>Inputs!I289-F315</f>
        <v>-42</v>
      </c>
      <c r="F315" s="4">
        <v>67</v>
      </c>
      <c r="G315" s="35">
        <f>'Income Statement'!G58-G312-G313-G314</f>
        <v>34.50943237978113</v>
      </c>
      <c r="H315" s="96" t="s">
        <v>279</v>
      </c>
    </row>
    <row r="316">
      <c r="A316" s="28" t="s">
        <v>275</v>
      </c>
      <c r="B316" s="26">
        <f>SUM(B312:B315)</f>
        <v>792</v>
      </c>
      <c r="C316" s="26">
        <f>SUM(C312:C315)</f>
        <v>759</v>
      </c>
      <c r="D316" s="26">
        <f>SUM(D312:D315)</f>
        <v>2851</v>
      </c>
      <c r="E316" s="26">
        <f>SUM(E312:E315)</f>
        <v>664</v>
      </c>
      <c r="F316" s="26">
        <f>SUM(F312:F315)</f>
        <v>818</v>
      </c>
      <c r="G316" s="39">
        <f>SUM(G312:G315)</f>
        <v>781.8228316589043</v>
      </c>
      <c r="H316" s="12"/>
    </row>
    <row r="317">
      <c r="A317" s="12" t="s">
        <v>280</v>
      </c>
      <c r="B317" s="10">
        <f>B316-'Income Statement'!B58</f>
        <v>0</v>
      </c>
      <c r="C317" s="10">
        <f>C316-'Income Statement'!C58</f>
        <v>0</v>
      </c>
      <c r="D317" s="10">
        <f>D316-'Income Statement'!D58</f>
        <v>0</v>
      </c>
      <c r="E317" s="10">
        <f>E316-'Income Statement'!E58</f>
        <v>0</v>
      </c>
      <c r="F317" s="10">
        <f>F316-'Income Statement'!F58</f>
        <v>0</v>
      </c>
      <c r="G317" s="37">
        <f>G316-'Income Statement'!G58</f>
        <v>0</v>
      </c>
      <c r="H317" s="96" t="s">
        <v>281</v>
      </c>
    </row>
    <row r="318">
      <c r="A318" s="6"/>
      <c r="B318" s="11"/>
      <c r="C318" s="11"/>
      <c r="D318" s="11"/>
      <c r="E318" s="11"/>
      <c r="F318" s="11"/>
      <c r="G318" s="20"/>
      <c r="H318" s="12"/>
    </row>
    <row r="319">
      <c r="A319" s="6" t="s">
        <v>282</v>
      </c>
      <c r="B319" s="11"/>
      <c r="C319" s="11"/>
      <c r="D319" s="11"/>
      <c r="E319" s="11"/>
      <c r="F319" s="11"/>
      <c r="G319" s="20"/>
      <c r="H319" s="7" t="s">
        <v>283</v>
      </c>
    </row>
    <row r="320">
      <c r="A320" s="6"/>
      <c r="B320" s="6"/>
      <c r="C320" s="6"/>
      <c r="D320" s="6"/>
      <c r="E320" s="6"/>
      <c r="F320" s="6"/>
      <c r="G320" s="6"/>
      <c r="H320" s="6"/>
    </row>
    <row r="321">
      <c r="A321" s="6"/>
      <c r="B321" s="6"/>
      <c r="C321" s="6"/>
      <c r="D321" s="6"/>
      <c r="E321" s="6"/>
      <c r="F321" s="6"/>
      <c r="G321" s="6"/>
      <c r="H321" s="6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H87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284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285</v>
      </c>
      <c r="B8" s="11"/>
      <c r="C8" s="11"/>
      <c r="D8" s="11"/>
      <c r="E8" s="11"/>
      <c r="F8" s="11"/>
      <c r="G8" s="20"/>
      <c r="H8" s="12"/>
    </row>
    <row r="9">
      <c r="A9" s="6" t="s">
        <v>286</v>
      </c>
      <c r="B9" s="11"/>
      <c r="C9" s="11"/>
      <c r="D9" s="11"/>
      <c r="E9" s="11"/>
      <c r="F9" s="11"/>
      <c r="G9" s="20"/>
      <c r="H9" s="12"/>
    </row>
    <row r="10">
      <c r="A10" s="6" t="s">
        <v>287</v>
      </c>
      <c r="B10" s="4">
        <v>78227</v>
      </c>
      <c r="C10" s="8">
        <f>(Inputs!H251*D$6-Inputs!G251*(D$6-C$6))/C$6</f>
        <v>78226.81521739131</v>
      </c>
      <c r="D10" s="8">
        <f>Inputs!H251</f>
        <v>78574</v>
      </c>
      <c r="E10" s="8">
        <f>(Inputs!I251*(E$6+F$6)-F10*F$6)/E$6</f>
        <v>78804.25555555556</v>
      </c>
      <c r="F10" s="4">
        <v>80930</v>
      </c>
      <c r="G10" s="2">
        <f>F10*(1+G13)</f>
        <v>82143.95</v>
      </c>
      <c r="H10" s="7" t="s">
        <v>288</v>
      </c>
    </row>
    <row r="11">
      <c r="A11" s="12" t="s">
        <v>118</v>
      </c>
      <c r="B11" s="14">
        <f>B10/Inputs!B306-1</f>
        <v>-0.02743864534898177</v>
      </c>
      <c r="C11" s="97">
        <f>C10/Inputs!C306-1</f>
        <v>-0.031221050177404064</v>
      </c>
      <c r="D11" s="14">
        <f>D10/Inputs!D306-1</f>
        <v>-0.028319153146022957</v>
      </c>
      <c r="E11" s="14">
        <f>E10/Inputs!E306-1</f>
        <v>-0.007025072243005304</v>
      </c>
      <c r="F11" s="14">
        <f>F10/Inputs!F306-1</f>
        <v>0.03099481508847468</v>
      </c>
      <c r="G11" s="17">
        <f>G10/B10-1</f>
        <v>0.050071586536617696</v>
      </c>
      <c r="H11" s="96" t="s">
        <v>289</v>
      </c>
    </row>
    <row r="12">
      <c r="A12" s="6" t="s">
        <v>120</v>
      </c>
      <c r="B12" s="8">
        <f>B10-Inputs!F306</f>
        <v>-270</v>
      </c>
      <c r="C12" s="1">
        <f>C10-B10</f>
        <v>-0.18478260868869256</v>
      </c>
      <c r="D12" s="1"/>
      <c r="E12" s="1">
        <f>E10-C10</f>
        <v>577.4403381642478</v>
      </c>
      <c r="F12" s="1">
        <f>F10-E10</f>
        <v>2125.744444444441</v>
      </c>
      <c r="G12" s="2">
        <f>G10-F10</f>
        <v>1213.949999999997</v>
      </c>
      <c r="H12" s="12"/>
    </row>
    <row r="13">
      <c r="A13" s="12" t="s">
        <v>290</v>
      </c>
      <c r="B13" s="14">
        <f>B10/Inputs!F306-1</f>
        <v>-0.0034396218963782532</v>
      </c>
      <c r="C13" s="23">
        <f>C10/B10-1</f>
        <v>-0.0000023621333898882213</v>
      </c>
      <c r="D13" s="23"/>
      <c r="E13" s="23">
        <f>E10/C10-1</f>
        <v>0.007381616349324105</v>
      </c>
      <c r="F13" s="23">
        <f>F10/E10-1</f>
        <v>0.026974995569190252</v>
      </c>
      <c r="G13" s="50">
        <v>0.015</v>
      </c>
      <c r="H13" s="7" t="s">
        <v>291</v>
      </c>
    </row>
    <row r="14">
      <c r="A14" s="6" t="s">
        <v>292</v>
      </c>
      <c r="B14" s="8">
        <f>Inputs!B349</f>
        <v>10280</v>
      </c>
      <c r="C14" s="1" t="s">
        <v>39</v>
      </c>
      <c r="D14" s="1" t="s">
        <v>39</v>
      </c>
      <c r="E14" s="8">
        <f>Inputs!D349</f>
        <v>10247</v>
      </c>
      <c r="F14" s="8">
        <f>Inputs!E349</f>
        <v>9689</v>
      </c>
      <c r="G14" s="2">
        <f>F14*(1+G26)</f>
        <v>9785.89</v>
      </c>
      <c r="H14" s="7" t="s">
        <v>293</v>
      </c>
    </row>
    <row r="15">
      <c r="A15" s="12" t="s">
        <v>118</v>
      </c>
      <c r="B15" s="23" t="s">
        <v>39</v>
      </c>
      <c r="C15" s="23" t="s">
        <v>39</v>
      </c>
      <c r="D15" s="23" t="s">
        <v>39</v>
      </c>
      <c r="E15" s="23" t="s">
        <v>39</v>
      </c>
      <c r="F15" s="14">
        <f>F14/Inputs!C349-1</f>
        <v>-0.14536473493869628</v>
      </c>
      <c r="G15" s="17">
        <f>G14/B14-1</f>
        <v>-0.04806517509727637</v>
      </c>
      <c r="H15" s="7" t="s">
        <v>294</v>
      </c>
    </row>
    <row r="16">
      <c r="A16" s="6" t="s">
        <v>120</v>
      </c>
      <c r="B16" s="8">
        <f>B14-Inputs!C349</f>
        <v>-1057</v>
      </c>
      <c r="C16" s="1" t="s">
        <v>39</v>
      </c>
      <c r="D16" s="1"/>
      <c r="E16" s="1" t="s">
        <v>39</v>
      </c>
      <c r="F16" s="1">
        <f>F14-E14</f>
        <v>-558</v>
      </c>
      <c r="G16" s="2">
        <f>G14-F14</f>
        <v>96.88999999999942</v>
      </c>
      <c r="H16" s="7" t="s">
        <v>295</v>
      </c>
    </row>
    <row r="17">
      <c r="A17" s="6" t="s">
        <v>296</v>
      </c>
      <c r="B17" s="8">
        <f>Inputs!B350</f>
        <v>35396</v>
      </c>
      <c r="C17" s="1" t="s">
        <v>39</v>
      </c>
      <c r="D17" s="1" t="s">
        <v>39</v>
      </c>
      <c r="E17" s="8">
        <f>Inputs!D350</f>
        <v>38906</v>
      </c>
      <c r="F17" s="8">
        <f>Inputs!E350</f>
        <v>38555</v>
      </c>
      <c r="G17" s="2">
        <f>F17*(1+G26)</f>
        <v>38940.55</v>
      </c>
      <c r="H17" s="7" t="s">
        <v>293</v>
      </c>
    </row>
    <row r="18">
      <c r="A18" s="12" t="s">
        <v>118</v>
      </c>
      <c r="B18" s="23" t="s">
        <v>39</v>
      </c>
      <c r="C18" s="23" t="s">
        <v>39</v>
      </c>
      <c r="D18" s="23" t="s">
        <v>39</v>
      </c>
      <c r="E18" s="23" t="s">
        <v>39</v>
      </c>
      <c r="F18" s="14">
        <f>F17/Inputs!C350-1</f>
        <v>0.1237248615563975</v>
      </c>
      <c r="G18" s="17">
        <f>G17/B17-1</f>
        <v>0.10013984631031758</v>
      </c>
      <c r="H18" s="7" t="s">
        <v>294</v>
      </c>
    </row>
    <row r="19">
      <c r="A19" s="6" t="s">
        <v>120</v>
      </c>
      <c r="B19" s="8">
        <f>B17-Inputs!C350</f>
        <v>1086</v>
      </c>
      <c r="C19" s="1" t="s">
        <v>39</v>
      </c>
      <c r="D19" s="1"/>
      <c r="E19" s="1" t="s">
        <v>39</v>
      </c>
      <c r="F19" s="1">
        <f>F17-E17</f>
        <v>-351</v>
      </c>
      <c r="G19" s="2">
        <f>G17-F17</f>
        <v>385.5500000000029</v>
      </c>
      <c r="H19" s="7" t="s">
        <v>295</v>
      </c>
    </row>
    <row r="20">
      <c r="A20" s="6" t="s">
        <v>297</v>
      </c>
      <c r="B20" s="8">
        <f>Inputs!B351</f>
        <v>353</v>
      </c>
      <c r="C20" s="1" t="s">
        <v>39</v>
      </c>
      <c r="D20" s="1" t="s">
        <v>39</v>
      </c>
      <c r="E20" s="8">
        <f>Inputs!D351</f>
        <v>294</v>
      </c>
      <c r="F20" s="8">
        <f>Inputs!E351</f>
        <v>330</v>
      </c>
      <c r="G20" s="2">
        <f>F20*(1+G26)</f>
        <v>333.3</v>
      </c>
      <c r="H20" s="7" t="s">
        <v>293</v>
      </c>
    </row>
    <row r="21">
      <c r="A21" s="12" t="s">
        <v>118</v>
      </c>
      <c r="B21" s="23" t="s">
        <v>39</v>
      </c>
      <c r="C21" s="23" t="s">
        <v>39</v>
      </c>
      <c r="D21" s="23" t="s">
        <v>39</v>
      </c>
      <c r="E21" s="23" t="s">
        <v>39</v>
      </c>
      <c r="F21" s="14">
        <f>F20/Inputs!C351-1</f>
        <v>-0.051724137931034475</v>
      </c>
      <c r="G21" s="17">
        <f>G20/B20-1</f>
        <v>-0.05580736543909348</v>
      </c>
      <c r="H21" s="7" t="s">
        <v>294</v>
      </c>
    </row>
    <row r="22">
      <c r="A22" s="6" t="s">
        <v>120</v>
      </c>
      <c r="B22" s="8">
        <f>B20-Inputs!C351</f>
        <v>5</v>
      </c>
      <c r="C22" s="1" t="s">
        <v>39</v>
      </c>
      <c r="D22" s="1"/>
      <c r="E22" s="1" t="s">
        <v>39</v>
      </c>
      <c r="F22" s="1">
        <f>F20-E20</f>
        <v>36</v>
      </c>
      <c r="G22" s="2">
        <f>G20-F20</f>
        <v>3.3000000000000114</v>
      </c>
      <c r="H22" s="7" t="s">
        <v>295</v>
      </c>
    </row>
    <row r="23">
      <c r="A23" s="28" t="s">
        <v>165</v>
      </c>
      <c r="B23" s="26">
        <f>B14+B17+B20</f>
        <v>46029</v>
      </c>
      <c r="C23" s="26" t="s">
        <v>39</v>
      </c>
      <c r="D23" s="26" t="s">
        <v>39</v>
      </c>
      <c r="E23" s="26">
        <f>E14+E17+E20</f>
        <v>49447</v>
      </c>
      <c r="F23" s="26">
        <f>F14+F17+F20</f>
        <v>48574</v>
      </c>
      <c r="G23" s="39">
        <f>G14+G17+G20</f>
        <v>49059.740000000005</v>
      </c>
      <c r="H23" s="12"/>
    </row>
    <row r="24">
      <c r="A24" s="12" t="s">
        <v>118</v>
      </c>
      <c r="B24" s="23" t="s">
        <v>39</v>
      </c>
      <c r="C24" s="23" t="s">
        <v>39</v>
      </c>
      <c r="D24" s="23" t="s">
        <v>39</v>
      </c>
      <c r="E24" s="23" t="s">
        <v>39</v>
      </c>
      <c r="F24" s="14">
        <f>F23/(Inputs!C349+Inputs!C350+Inputs!C351)-1</f>
        <v>0.05607131209914118</v>
      </c>
      <c r="G24" s="17">
        <f>G23/B23-1</f>
        <v>0.06584414173673125</v>
      </c>
      <c r="H24" s="12"/>
    </row>
    <row r="25">
      <c r="A25" s="6" t="s">
        <v>120</v>
      </c>
      <c r="B25" s="8">
        <f>B23-(Inputs!C349+Inputs!C350+Inputs!C351)</f>
        <v>34</v>
      </c>
      <c r="C25" s="1" t="s">
        <v>39</v>
      </c>
      <c r="D25" s="1"/>
      <c r="E25" s="1" t="s">
        <v>39</v>
      </c>
      <c r="F25" s="1">
        <f>F23-E23</f>
        <v>-873</v>
      </c>
      <c r="G25" s="2">
        <f>G23-F23</f>
        <v>485.74000000000524</v>
      </c>
      <c r="H25" s="12"/>
    </row>
    <row r="26">
      <c r="A26" s="12" t="s">
        <v>298</v>
      </c>
      <c r="B26" s="14">
        <f>B23/(Inputs!C349+Inputs!C350+Inputs!C351)-1</f>
        <v>0.0007392107837809192</v>
      </c>
      <c r="C26" s="23" t="s">
        <v>39</v>
      </c>
      <c r="D26" s="23"/>
      <c r="E26" s="23" t="s">
        <v>39</v>
      </c>
      <c r="F26" s="23">
        <f>F23/E23-1</f>
        <v>-0.01765526725584965</v>
      </c>
      <c r="G26" s="50">
        <v>0.01</v>
      </c>
      <c r="H26" s="7" t="s">
        <v>299</v>
      </c>
    </row>
    <row r="27">
      <c r="A27" s="12" t="s">
        <v>300</v>
      </c>
      <c r="B27" s="23">
        <f>B23/B10</f>
        <v>0.5884029810679178</v>
      </c>
      <c r="C27" s="23" t="s">
        <v>39</v>
      </c>
      <c r="D27" s="23" t="s">
        <v>39</v>
      </c>
      <c r="E27" s="23">
        <f>E23/E10</f>
        <v>0.6274661139986377</v>
      </c>
      <c r="F27" s="23">
        <f>F23/F10</f>
        <v>0.6001977017175336</v>
      </c>
      <c r="G27" s="17">
        <f>G23/G10</f>
        <v>0.5972410627928169</v>
      </c>
      <c r="H27" s="12"/>
    </row>
    <row r="28">
      <c r="A28" s="6" t="s">
        <v>123</v>
      </c>
      <c r="B28" s="29" t="s">
        <v>39</v>
      </c>
      <c r="C28" s="29" t="s">
        <v>39</v>
      </c>
      <c r="D28" s="29"/>
      <c r="E28" s="29" t="s">
        <v>39</v>
      </c>
      <c r="F28" s="29">
        <f>(F27-E27)*10000</f>
        <v>-272.68412281104105</v>
      </c>
      <c r="G28" s="33">
        <f>(G27-F27)*10000</f>
        <v>-29.566389247167592</v>
      </c>
      <c r="H28" s="12"/>
    </row>
    <row r="29">
      <c r="A29" s="6" t="s">
        <v>124</v>
      </c>
      <c r="B29" s="29" t="s">
        <v>39</v>
      </c>
      <c r="C29" s="29" t="s">
        <v>39</v>
      </c>
      <c r="D29" s="29" t="s">
        <v>39</v>
      </c>
      <c r="E29" s="29" t="s">
        <v>39</v>
      </c>
      <c r="F29" s="29" t="s">
        <v>39</v>
      </c>
      <c r="G29" s="33">
        <f>(G27-B27)*10000</f>
        <v>88.38081724899082</v>
      </c>
      <c r="H29" s="7" t="s">
        <v>301</v>
      </c>
    </row>
    <row r="30">
      <c r="A30" s="12" t="s">
        <v>302</v>
      </c>
      <c r="B30" s="24">
        <f>B35*365/B$6/B10</f>
        <v>0.02733613602775868</v>
      </c>
      <c r="C30" s="24">
        <f>C35*365/C$6/C10</f>
        <v>0.02804623178391375</v>
      </c>
      <c r="D30" s="24">
        <f>D35*365/D$6/D10</f>
        <v>0.02738819456817777</v>
      </c>
      <c r="E30" s="24">
        <f>E35*365/E$6/E10</f>
        <v>0.027533059057865315</v>
      </c>
      <c r="F30" s="24">
        <f>F35*365/F$6/F10</f>
        <v>0.027704718363312213</v>
      </c>
      <c r="G30" s="55">
        <v>0.0277</v>
      </c>
      <c r="H30" s="7" t="s">
        <v>303</v>
      </c>
    </row>
    <row r="31">
      <c r="A31" s="6" t="s">
        <v>123</v>
      </c>
      <c r="B31" s="27">
        <f>(B30-Inputs!F295*365/Inputs!F135/Inputs!F306)*10000</f>
        <v>2.0344095870935415</v>
      </c>
      <c r="C31" s="29">
        <f>(C30-B30)*10000</f>
        <v>7.1009575615506995</v>
      </c>
      <c r="D31" s="29"/>
      <c r="E31" s="29">
        <f>(E30-C30)*10000</f>
        <v>-5.131727260484359</v>
      </c>
      <c r="F31" s="29">
        <f>(F30-E30)*10000</f>
        <v>1.7165930544689803</v>
      </c>
      <c r="G31" s="33">
        <f>(G30-F30)*10000</f>
        <v>-0.04718363312214424</v>
      </c>
      <c r="H31" s="12"/>
    </row>
    <row r="32">
      <c r="A32" s="6" t="s">
        <v>124</v>
      </c>
      <c r="B32" s="27">
        <f>(B30-Inputs!B295*365/Inputs!B135/Inputs!B306)*10000</f>
        <v>1.5816889078113308</v>
      </c>
      <c r="C32" s="27">
        <f>(C30-Inputs!C295*365/Inputs!C135/Inputs!C306)*10000</f>
        <v>5.317011772291227</v>
      </c>
      <c r="D32" s="27">
        <f>(D30-Inputs!D295*365/Inputs!D135/Inputs!D306)*10000</f>
        <v>0.3362393105865724</v>
      </c>
      <c r="E32" s="27">
        <f>(E30-Inputs!E295*365/Inputs!E135/Inputs!E306)*10000</f>
        <v>5.000344840430486</v>
      </c>
      <c r="F32" s="27">
        <f>(F30-Inputs!F295*365/Inputs!F135/Inputs!F306)*10000</f>
        <v>5.720232942628862</v>
      </c>
      <c r="G32" s="33">
        <f>(G30-B30)*10000</f>
        <v>3.638639722413177</v>
      </c>
      <c r="H32" s="7" t="s">
        <v>125</v>
      </c>
    </row>
    <row r="33">
      <c r="A33" s="6"/>
      <c r="B33" s="11"/>
      <c r="C33" s="11"/>
      <c r="D33" s="11"/>
      <c r="E33" s="11"/>
      <c r="F33" s="11"/>
      <c r="G33" s="20"/>
      <c r="H33" s="12"/>
    </row>
    <row r="34">
      <c r="A34" s="18" t="s">
        <v>304</v>
      </c>
      <c r="B34" s="11"/>
      <c r="C34" s="11"/>
      <c r="D34" s="11"/>
      <c r="E34" s="11"/>
      <c r="F34" s="11"/>
      <c r="G34" s="20"/>
      <c r="H34" s="12"/>
    </row>
    <row r="35">
      <c r="A35" s="6" t="s">
        <v>180</v>
      </c>
      <c r="B35" s="4">
        <v>539</v>
      </c>
      <c r="C35" s="8">
        <f>Inputs!H240-Inputs!G240</f>
        <v>553</v>
      </c>
      <c r="D35" s="8">
        <f>Inputs!H240</f>
        <v>2152</v>
      </c>
      <c r="E35" s="8">
        <f>Inputs!I240-F35</f>
        <v>535</v>
      </c>
      <c r="F35" s="4">
        <v>559</v>
      </c>
      <c r="G35" s="2">
        <f>G10*G30*G$6/365</f>
        <v>573.5223073424656</v>
      </c>
      <c r="H35" s="12"/>
    </row>
    <row r="36">
      <c r="A36" s="12" t="s">
        <v>118</v>
      </c>
      <c r="B36" s="14">
        <f>B35/Inputs!B295-1</f>
        <v>-0.02177858439201452</v>
      </c>
      <c r="C36" s="14">
        <f>C35/Inputs!C295-1</f>
        <v>-0.012499999999999956</v>
      </c>
      <c r="D36" s="14">
        <f>D35/Inputs!D295-1</f>
        <v>-0.027124773960216952</v>
      </c>
      <c r="E36" s="14">
        <f>E35/Inputs!E295-1</f>
        <v>0.011342155009451904</v>
      </c>
      <c r="F36" s="14">
        <f>F35/Inputs!F295-1</f>
        <v>0.052730696798493515</v>
      </c>
      <c r="G36" s="17">
        <f>G35/B35-1</f>
        <v>0.06404880768546506</v>
      </c>
      <c r="H36" s="12"/>
    </row>
    <row r="37">
      <c r="A37" s="12" t="s">
        <v>193</v>
      </c>
      <c r="B37" s="14">
        <f>B35/Inputs!F295-1</f>
        <v>0.015065913370998052</v>
      </c>
      <c r="C37" s="23">
        <f>C35/B35-1</f>
        <v>0.025974025974025983</v>
      </c>
      <c r="D37" s="23"/>
      <c r="E37" s="23">
        <f>E35/C35-1</f>
        <v>-0.032549728752260365</v>
      </c>
      <c r="F37" s="23">
        <f>F35/E35-1</f>
        <v>0.04485981308411224</v>
      </c>
      <c r="G37" s="17">
        <f>G35/F35-1</f>
        <v>0.025979082902443107</v>
      </c>
      <c r="H37" s="12"/>
    </row>
    <row r="38">
      <c r="A38" s="6" t="s">
        <v>305</v>
      </c>
      <c r="B38" s="4">
        <v>209</v>
      </c>
      <c r="C38" s="8">
        <f>Inputs!H241-Inputs!G241</f>
        <v>208</v>
      </c>
      <c r="D38" s="8">
        <f>Inputs!H241</f>
        <v>795</v>
      </c>
      <c r="E38" s="8">
        <f>Inputs!I241-F38</f>
        <v>193</v>
      </c>
      <c r="F38" s="4">
        <v>193</v>
      </c>
      <c r="G38" s="2">
        <f>F38*(1+G41)</f>
        <v>198.79</v>
      </c>
      <c r="H38" s="12"/>
    </row>
    <row r="39">
      <c r="A39" s="12" t="s">
        <v>118</v>
      </c>
      <c r="B39" s="14">
        <f>B38/Inputs!B296-1</f>
        <v>0.21511627906976738</v>
      </c>
      <c r="C39" s="14">
        <f>C38/Inputs!C296-1</f>
        <v>0.12432432432432439</v>
      </c>
      <c r="D39" s="14">
        <f>D38/Inputs!D296-1</f>
        <v>0.1830357142857142</v>
      </c>
      <c r="E39" s="14">
        <f>E38/Inputs!E296-1</f>
        <v>0.11560693641618491</v>
      </c>
      <c r="F39" s="14">
        <f>F38/Inputs!F296-1</f>
        <v>-0.05853658536585371</v>
      </c>
      <c r="G39" s="17">
        <f>G38/B38-1</f>
        <v>-0.04885167464114837</v>
      </c>
      <c r="H39" s="12"/>
    </row>
    <row r="40">
      <c r="A40" s="12" t="s">
        <v>193</v>
      </c>
      <c r="B40" s="14">
        <f>B38/Inputs!F296-1</f>
        <v>0.019512195121951237</v>
      </c>
      <c r="C40" s="23">
        <f>C38/B38-1</f>
        <v>-0.004784688995215336</v>
      </c>
      <c r="D40" s="23"/>
      <c r="E40" s="23">
        <f>E38/C38-1</f>
        <v>-0.07211538461538458</v>
      </c>
      <c r="F40" s="23">
        <f>F38/E38-1</f>
        <v>0</v>
      </c>
      <c r="G40" s="17">
        <f>G38/F38-1</f>
        <v>0.030000000000000027</v>
      </c>
      <c r="H40" s="12"/>
    </row>
    <row r="41">
      <c r="A41" s="12" t="s">
        <v>306</v>
      </c>
      <c r="B41" s="14">
        <f>B38/Inputs!F296-1</f>
        <v>0.019512195121951237</v>
      </c>
      <c r="C41" s="23">
        <f>C38/B38-1</f>
        <v>-0.004784688995215336</v>
      </c>
      <c r="D41" s="23"/>
      <c r="E41" s="23">
        <f>E38/C38-1</f>
        <v>-0.07211538461538458</v>
      </c>
      <c r="F41" s="23">
        <f>F38/E38-1</f>
        <v>0</v>
      </c>
      <c r="G41" s="50">
        <v>0.03</v>
      </c>
      <c r="H41" s="7" t="s">
        <v>307</v>
      </c>
    </row>
    <row r="42">
      <c r="A42" s="28" t="s">
        <v>308</v>
      </c>
      <c r="B42" s="26">
        <f>B35+B38</f>
        <v>748</v>
      </c>
      <c r="C42" s="26">
        <f>C35+C38</f>
        <v>761</v>
      </c>
      <c r="D42" s="26">
        <f>D35+D38</f>
        <v>2947</v>
      </c>
      <c r="E42" s="26">
        <f>E35+E38</f>
        <v>728</v>
      </c>
      <c r="F42" s="26">
        <f>F35+F38</f>
        <v>752</v>
      </c>
      <c r="G42" s="39">
        <f>G35+G38</f>
        <v>772.3123073424656</v>
      </c>
      <c r="H42" s="12"/>
    </row>
    <row r="43">
      <c r="A43" s="12" t="s">
        <v>118</v>
      </c>
      <c r="B43" s="14">
        <f>B42/Inputs!B297-1</f>
        <v>0.03457814661134173</v>
      </c>
      <c r="C43" s="14">
        <f>C42/Inputs!C297-1</f>
        <v>0.021476510067114152</v>
      </c>
      <c r="D43" s="14">
        <f>D42/Inputs!D297-1</f>
        <v>0.02184466019417486</v>
      </c>
      <c r="E43" s="14">
        <f>E42/Inputs!E297-1</f>
        <v>0.03703703703703698</v>
      </c>
      <c r="F43" s="14">
        <f>F42/Inputs!F297-1</f>
        <v>0.021739130434782705</v>
      </c>
      <c r="G43" s="17">
        <f>G42/B42-1</f>
        <v>0.032503084682440564</v>
      </c>
      <c r="H43" s="12"/>
    </row>
    <row r="44">
      <c r="A44" s="12" t="s">
        <v>193</v>
      </c>
      <c r="B44" s="14">
        <f>B42/Inputs!F297-1</f>
        <v>0.016304347826086918</v>
      </c>
      <c r="C44" s="23">
        <f>C42/B42-1</f>
        <v>0.017379679144384985</v>
      </c>
      <c r="D44" s="23"/>
      <c r="E44" s="23">
        <f>E42/C42-1</f>
        <v>-0.04336399474375818</v>
      </c>
      <c r="F44" s="23">
        <f>F42/E42-1</f>
        <v>0.03296703296703307</v>
      </c>
      <c r="G44" s="17">
        <f>G42/F42-1</f>
        <v>0.027011046997959642</v>
      </c>
      <c r="H44" s="12"/>
    </row>
    <row r="45">
      <c r="A45" s="12" t="s">
        <v>194</v>
      </c>
      <c r="B45" s="23" t="s">
        <v>39</v>
      </c>
      <c r="C45" s="23" t="s">
        <v>39</v>
      </c>
      <c r="D45" s="23" t="s">
        <v>39</v>
      </c>
      <c r="E45" s="23" t="s">
        <v>39</v>
      </c>
      <c r="F45" s="23" t="s">
        <v>39</v>
      </c>
      <c r="G45" s="17" t="s">
        <v>39</v>
      </c>
      <c r="H45" s="7" t="s">
        <v>195</v>
      </c>
    </row>
    <row r="46">
      <c r="A46" s="12" t="s">
        <v>196</v>
      </c>
      <c r="B46" s="23" t="s">
        <v>39</v>
      </c>
      <c r="C46" s="23" t="s">
        <v>39</v>
      </c>
      <c r="D46" s="23" t="s">
        <v>39</v>
      </c>
      <c r="E46" s="23" t="s">
        <v>39</v>
      </c>
      <c r="F46" s="23" t="s">
        <v>39</v>
      </c>
      <c r="G46" s="17" t="s">
        <v>39</v>
      </c>
      <c r="H46" s="7" t="s">
        <v>197</v>
      </c>
    </row>
    <row r="47">
      <c r="A47" s="12" t="s">
        <v>198</v>
      </c>
      <c r="B47" s="23" t="s">
        <v>39</v>
      </c>
      <c r="C47" s="23" t="s">
        <v>39</v>
      </c>
      <c r="D47" s="23" t="s">
        <v>39</v>
      </c>
      <c r="E47" s="23" t="s">
        <v>39</v>
      </c>
      <c r="F47" s="23" t="s">
        <v>39</v>
      </c>
      <c r="G47" s="17" t="s">
        <v>39</v>
      </c>
      <c r="H47" s="7" t="s">
        <v>199</v>
      </c>
    </row>
    <row r="48">
      <c r="A48" s="12" t="s">
        <v>309</v>
      </c>
      <c r="B48" s="14">
        <f>B42/'Revenue summary'!B270</f>
        <v>0.2976522085157183</v>
      </c>
      <c r="C48" s="14">
        <f>C42/'Revenue summary'!C270</f>
        <v>0.30747474747474746</v>
      </c>
      <c r="D48" s="14">
        <f>D42/'Revenue summary'!D270</f>
        <v>0.3041279669762642</v>
      </c>
      <c r="E48" s="14">
        <f>E42/'Revenue summary'!E270</f>
        <v>0.29823842687423185</v>
      </c>
      <c r="F48" s="14">
        <f>F42/'Revenue summary'!F270</f>
        <v>0.296998420221169</v>
      </c>
      <c r="G48" s="58">
        <f>G42/'Revenue summary'!G270</f>
        <v>0.3048983733703128</v>
      </c>
      <c r="H48" s="12"/>
    </row>
    <row r="49">
      <c r="A49" s="6" t="s">
        <v>310</v>
      </c>
      <c r="B49" s="4">
        <v>748</v>
      </c>
      <c r="C49" s="8">
        <f>Inputs!H242-Inputs!G242</f>
        <v>761</v>
      </c>
      <c r="D49" s="8">
        <f>Inputs!H242</f>
        <v>2947</v>
      </c>
      <c r="E49" s="8">
        <f>Inputs!I242-F49</f>
        <v>728</v>
      </c>
      <c r="F49" s="4">
        <v>752</v>
      </c>
      <c r="G49" s="2"/>
      <c r="H49" s="7" t="s">
        <v>311</v>
      </c>
    </row>
    <row r="50">
      <c r="A50" s="12" t="s">
        <v>312</v>
      </c>
      <c r="B50" s="32">
        <f>B42-B49</f>
        <v>0</v>
      </c>
      <c r="C50" s="32">
        <f>C42-C49</f>
        <v>0</v>
      </c>
      <c r="D50" s="32">
        <f>D42-D49</f>
        <v>0</v>
      </c>
      <c r="E50" s="32">
        <f>E42-E49</f>
        <v>0</v>
      </c>
      <c r="F50" s="32">
        <f>F42-F49</f>
        <v>0</v>
      </c>
      <c r="G50" s="52"/>
      <c r="H50" s="12"/>
    </row>
    <row r="51">
      <c r="A51" s="6" t="s">
        <v>313</v>
      </c>
      <c r="B51" s="4">
        <v>72</v>
      </c>
      <c r="C51" s="8">
        <f>Inputs!H243-Inputs!G243</f>
        <v>105</v>
      </c>
      <c r="D51" s="8">
        <f>Inputs!H243</f>
        <v>273</v>
      </c>
      <c r="E51" s="8">
        <f>Inputs!I243-F51</f>
        <v>29</v>
      </c>
      <c r="F51" s="4">
        <v>23</v>
      </c>
      <c r="G51" s="21">
        <v>40</v>
      </c>
      <c r="H51" s="7" t="s">
        <v>314</v>
      </c>
    </row>
    <row r="52">
      <c r="A52" s="12" t="s">
        <v>118</v>
      </c>
      <c r="B52" s="14">
        <f>B51/Inputs!B298-1</f>
        <v>0.8461538461538463</v>
      </c>
      <c r="C52" s="14">
        <f>C51/Inputs!C298-1</f>
        <v>0.4383561643835616</v>
      </c>
      <c r="D52" s="14">
        <f>D51/Inputs!D298-1</f>
        <v>0.026315789473684292</v>
      </c>
      <c r="E52" s="14">
        <f>E51/Inputs!E298-1</f>
        <v>-0.19444444444444442</v>
      </c>
      <c r="F52" s="14">
        <f>F51/Inputs!F298-1</f>
        <v>-0.6166666666666667</v>
      </c>
      <c r="G52" s="17">
        <f>G51/B51-1</f>
        <v>-0.4444444444444444</v>
      </c>
      <c r="H52" s="12"/>
    </row>
    <row r="53">
      <c r="A53" s="6" t="s">
        <v>120</v>
      </c>
      <c r="B53" s="8">
        <f>B51-Inputs!F298</f>
        <v>12</v>
      </c>
      <c r="C53" s="1">
        <f>C51-B51</f>
        <v>33</v>
      </c>
      <c r="D53" s="1"/>
      <c r="E53" s="1">
        <f>E51-C51</f>
        <v>-76</v>
      </c>
      <c r="F53" s="1">
        <f>F51-E51</f>
        <v>-6</v>
      </c>
      <c r="G53" s="2">
        <f>G51-F51</f>
        <v>17</v>
      </c>
      <c r="H53" s="12"/>
    </row>
    <row r="54">
      <c r="A54" s="6" t="s">
        <v>315</v>
      </c>
      <c r="B54" s="4">
        <v>160</v>
      </c>
      <c r="C54" s="8">
        <f>Inputs!H244-Inputs!G244</f>
        <v>156</v>
      </c>
      <c r="D54" s="8">
        <f>Inputs!H244</f>
        <v>617</v>
      </c>
      <c r="E54" s="8">
        <f>Inputs!I244-F54</f>
        <v>145</v>
      </c>
      <c r="F54" s="4">
        <v>145</v>
      </c>
      <c r="G54" s="2">
        <f>F54*(1+G58)</f>
        <v>147.9</v>
      </c>
      <c r="H54" s="12"/>
    </row>
    <row r="55">
      <c r="A55" s="6" t="s">
        <v>316</v>
      </c>
      <c r="B55" s="4">
        <v>11</v>
      </c>
      <c r="C55" s="8">
        <f>Inputs!H245-Inputs!G245</f>
        <v>10</v>
      </c>
      <c r="D55" s="8">
        <f>Inputs!H245</f>
        <v>42</v>
      </c>
      <c r="E55" s="8">
        <f>Inputs!I245-F55</f>
        <v>10</v>
      </c>
      <c r="F55" s="4">
        <v>11</v>
      </c>
      <c r="G55" s="2">
        <f>F55*(1+G58)</f>
        <v>11.22</v>
      </c>
      <c r="H55" s="12"/>
    </row>
    <row r="56">
      <c r="A56" s="6" t="s">
        <v>317</v>
      </c>
      <c r="B56" s="4">
        <v>68</v>
      </c>
      <c r="C56" s="8">
        <f>Inputs!H246-Inputs!G246</f>
        <v>74</v>
      </c>
      <c r="D56" s="8">
        <f>Inputs!H246</f>
        <v>282</v>
      </c>
      <c r="E56" s="8">
        <f>Inputs!I246-F56</f>
        <v>78</v>
      </c>
      <c r="F56" s="4">
        <v>73</v>
      </c>
      <c r="G56" s="2">
        <f>F56*(1+G58)</f>
        <v>74.46000000000001</v>
      </c>
      <c r="H56" s="12"/>
    </row>
    <row r="57">
      <c r="A57" s="6" t="s">
        <v>318</v>
      </c>
      <c r="B57" s="4">
        <v>127</v>
      </c>
      <c r="C57" s="8">
        <f>Inputs!H247-Inputs!G247</f>
        <v>126</v>
      </c>
      <c r="D57" s="8">
        <f>Inputs!H247</f>
        <v>505</v>
      </c>
      <c r="E57" s="8">
        <f>Inputs!I247-F57</f>
        <v>127</v>
      </c>
      <c r="F57" s="4">
        <v>134</v>
      </c>
      <c r="G57" s="2">
        <f>F57*(1+G58)</f>
        <v>136.68</v>
      </c>
      <c r="H57" s="12"/>
    </row>
    <row r="58">
      <c r="A58" s="12" t="s">
        <v>319</v>
      </c>
      <c r="B58" s="14">
        <f>B59/(Inputs!F299+Inputs!F300+Inputs!F301+Inputs!F302)-1</f>
        <v>0.008264462809917328</v>
      </c>
      <c r="C58" s="23">
        <f>C59/B59-1</f>
        <v>0</v>
      </c>
      <c r="D58" s="23"/>
      <c r="E58" s="23">
        <f>E59/C59-1</f>
        <v>-0.016393442622950838</v>
      </c>
      <c r="F58" s="23">
        <f>F59/E59-1</f>
        <v>0.008333333333333304</v>
      </c>
      <c r="G58" s="50">
        <v>0.02</v>
      </c>
      <c r="H58" s="7" t="s">
        <v>320</v>
      </c>
    </row>
    <row r="59">
      <c r="A59" s="28" t="s">
        <v>321</v>
      </c>
      <c r="B59" s="26">
        <f>SUM(B54:B57)</f>
        <v>366</v>
      </c>
      <c r="C59" s="26">
        <f>SUM(C54:C57)</f>
        <v>366</v>
      </c>
      <c r="D59" s="26">
        <f>SUM(D54:D57)</f>
        <v>1446</v>
      </c>
      <c r="E59" s="26">
        <f>SUM(E54:E57)</f>
        <v>360</v>
      </c>
      <c r="F59" s="26">
        <f>SUM(F54:F57)</f>
        <v>363</v>
      </c>
      <c r="G59" s="39">
        <f>SUM(G54:G57)</f>
        <v>370.26</v>
      </c>
      <c r="H59" s="12"/>
    </row>
    <row r="60">
      <c r="A60" s="12" t="s">
        <v>118</v>
      </c>
      <c r="B60" s="14">
        <f>B59/(Inputs!B299+Inputs!B300+Inputs!B301+Inputs!B302)-1</f>
        <v>0.022346368715083775</v>
      </c>
      <c r="C60" s="14">
        <f>C59/(Inputs!C299+Inputs!C300+Inputs!C301+Inputs!C302)-1</f>
        <v>0.011049723756906049</v>
      </c>
      <c r="D60" s="14">
        <f>D59/(Inputs!D299+Inputs!D300+Inputs!D301+Inputs!D302)-1</f>
        <v>0.015449438202247201</v>
      </c>
      <c r="E60" s="14">
        <f>E59/(Inputs!E299+Inputs!E300+Inputs!E301+Inputs!E302)-1</f>
        <v>0.02564102564102555</v>
      </c>
      <c r="F60" s="14">
        <f>F59/(Inputs!F299+Inputs!F300+Inputs!F301+Inputs!F302)-1</f>
        <v>0</v>
      </c>
      <c r="G60" s="17">
        <f>G59/B59-1</f>
        <v>0.01163934426229507</v>
      </c>
      <c r="H60" s="12"/>
    </row>
    <row r="61">
      <c r="A61" s="28" t="s">
        <v>322</v>
      </c>
      <c r="B61" s="26">
        <f>B42-B51-B59</f>
        <v>310</v>
      </c>
      <c r="C61" s="26">
        <f>C42-C51-C59</f>
        <v>290</v>
      </c>
      <c r="D61" s="26">
        <f>D42-D51-D59</f>
        <v>1228</v>
      </c>
      <c r="E61" s="26">
        <f>E42-E51-E59</f>
        <v>339</v>
      </c>
      <c r="F61" s="26">
        <f>F42-F51-F59</f>
        <v>366</v>
      </c>
      <c r="G61" s="39">
        <f>G42-G51-G59</f>
        <v>362.0523073424656</v>
      </c>
      <c r="H61" s="12"/>
    </row>
    <row r="62">
      <c r="A62" s="12" t="s">
        <v>118</v>
      </c>
      <c r="B62" s="14">
        <f>B61/Inputs!B303-1</f>
        <v>-0.049079754601227044</v>
      </c>
      <c r="C62" s="14">
        <f>C61/Inputs!C303-1</f>
        <v>-0.06451612903225812</v>
      </c>
      <c r="D62" s="14">
        <f>D61/Inputs!D303-1</f>
        <v>0.028475711892797406</v>
      </c>
      <c r="E62" s="14">
        <f>E61/Inputs!E303-1</f>
        <v>0.07619047619047614</v>
      </c>
      <c r="F62" s="14">
        <f>F61/Inputs!F303-1</f>
        <v>0.1693290734824282</v>
      </c>
      <c r="G62" s="17">
        <f>G61/B61-1</f>
        <v>0.16791066884666317</v>
      </c>
      <c r="H62" s="12"/>
    </row>
    <row r="63">
      <c r="A63" s="6" t="s">
        <v>323</v>
      </c>
      <c r="B63" s="4">
        <v>82</v>
      </c>
      <c r="C63" s="8">
        <f>Inputs!H249-Inputs!G249</f>
        <v>76</v>
      </c>
      <c r="D63" s="8">
        <f>Inputs!H249</f>
        <v>324</v>
      </c>
      <c r="E63" s="8">
        <f>Inputs!I249-F63</f>
        <v>89</v>
      </c>
      <c r="F63" s="4">
        <v>95</v>
      </c>
      <c r="G63" s="2">
        <f>G61*G77</f>
        <v>94.13359990904107</v>
      </c>
      <c r="H63" s="12"/>
    </row>
    <row r="64">
      <c r="A64" s="28" t="s">
        <v>324</v>
      </c>
      <c r="B64" s="26">
        <f>B61-B63</f>
        <v>228</v>
      </c>
      <c r="C64" s="26">
        <f>C61-C63</f>
        <v>214</v>
      </c>
      <c r="D64" s="26">
        <f>D61-D63</f>
        <v>904</v>
      </c>
      <c r="E64" s="26">
        <f>E61-E63</f>
        <v>250</v>
      </c>
      <c r="F64" s="26">
        <f>F61-F63</f>
        <v>271</v>
      </c>
      <c r="G64" s="39">
        <f>G61-G63</f>
        <v>267.9187074334245</v>
      </c>
      <c r="H64" s="12"/>
    </row>
    <row r="65">
      <c r="A65" s="12" t="s">
        <v>118</v>
      </c>
      <c r="B65" s="14">
        <f>B64/Inputs!B305-1</f>
        <v>-0.046025104602510414</v>
      </c>
      <c r="C65" s="14">
        <f>C64/Inputs!C305-1</f>
        <v>-0.053097345132743334</v>
      </c>
      <c r="D65" s="14">
        <f>D64/Inputs!D305-1</f>
        <v>0.03788748564867972</v>
      </c>
      <c r="E65" s="14">
        <f>E64/Inputs!E305-1</f>
        <v>0.08225108225108224</v>
      </c>
      <c r="F65" s="14">
        <f>F64/Inputs!F305-1</f>
        <v>0.17316017316017307</v>
      </c>
      <c r="G65" s="17">
        <f>G64/B64-1</f>
        <v>0.17508205014659883</v>
      </c>
      <c r="H65" s="12"/>
    </row>
    <row r="66">
      <c r="A66" s="12" t="s">
        <v>193</v>
      </c>
      <c r="B66" s="14">
        <f>B64/Inputs!F305-1</f>
        <v>-0.012987012987012991</v>
      </c>
      <c r="C66" s="23">
        <f>C64/B64-1</f>
        <v>-0.06140350877192979</v>
      </c>
      <c r="D66" s="23"/>
      <c r="E66" s="23">
        <f>E64/C64-1</f>
        <v>0.16822429906542058</v>
      </c>
      <c r="F66" s="23">
        <f>F64/E64-1</f>
        <v>0.08400000000000007</v>
      </c>
      <c r="G66" s="17">
        <f>G64/F64-1</f>
        <v>-0.011370083271496245</v>
      </c>
      <c r="H66" s="12"/>
    </row>
    <row r="67">
      <c r="A67" s="6" t="s">
        <v>325</v>
      </c>
      <c r="B67" s="4">
        <v>228</v>
      </c>
      <c r="C67" s="8">
        <f>Inputs!H250-Inputs!G250</f>
        <v>214</v>
      </c>
      <c r="D67" s="8">
        <f>Inputs!H250</f>
        <v>904</v>
      </c>
      <c r="E67" s="8">
        <f>Inputs!I250-F67</f>
        <v>250</v>
      </c>
      <c r="F67" s="4">
        <v>271</v>
      </c>
      <c r="G67" s="2"/>
      <c r="H67" s="7" t="s">
        <v>311</v>
      </c>
    </row>
    <row r="68">
      <c r="A68" s="12" t="s">
        <v>326</v>
      </c>
      <c r="B68" s="32">
        <f>B64-B67</f>
        <v>0</v>
      </c>
      <c r="C68" s="32">
        <f>C64-C67</f>
        <v>0</v>
      </c>
      <c r="D68" s="32">
        <f>D64-D67</f>
        <v>0</v>
      </c>
      <c r="E68" s="32">
        <f>E64-E67</f>
        <v>0</v>
      </c>
      <c r="F68" s="32">
        <f>F64-F67</f>
        <v>0</v>
      </c>
      <c r="G68" s="52"/>
      <c r="H68" s="12"/>
    </row>
    <row r="69">
      <c r="A69" s="6"/>
      <c r="B69" s="11"/>
      <c r="C69" s="11"/>
      <c r="D69" s="11"/>
      <c r="E69" s="11"/>
      <c r="F69" s="11"/>
      <c r="G69" s="20"/>
      <c r="H69" s="12"/>
    </row>
    <row r="70">
      <c r="A70" s="18" t="s">
        <v>327</v>
      </c>
      <c r="B70" s="11"/>
      <c r="C70" s="11"/>
      <c r="D70" s="11"/>
      <c r="E70" s="11"/>
      <c r="F70" s="11"/>
      <c r="G70" s="20"/>
      <c r="H70" s="12"/>
    </row>
    <row r="71">
      <c r="A71" s="12" t="s">
        <v>328</v>
      </c>
      <c r="B71" s="23">
        <f>B59/B42</f>
        <v>0.4893048128342246</v>
      </c>
      <c r="C71" s="23">
        <f>C59/C42</f>
        <v>0.480946123521682</v>
      </c>
      <c r="D71" s="23">
        <f>D59/D42</f>
        <v>0.4906684764166949</v>
      </c>
      <c r="E71" s="23">
        <f>E59/E42</f>
        <v>0.4945054945054945</v>
      </c>
      <c r="F71" s="23">
        <f>F59/F42</f>
        <v>0.48271276595744683</v>
      </c>
      <c r="G71" s="17">
        <f>G59/G42</f>
        <v>0.4794174538977222</v>
      </c>
      <c r="H71" s="12"/>
    </row>
    <row r="72">
      <c r="A72" s="6" t="s">
        <v>123</v>
      </c>
      <c r="B72" s="27">
        <f>(B71-(Inputs!F299+Inputs!F300+Inputs!F301+Inputs!F302)/Inputs!F297)*10000</f>
        <v>-39.01708904905821</v>
      </c>
      <c r="C72" s="29">
        <f>(C71-B71)*10000</f>
        <v>-83.58689312542633</v>
      </c>
      <c r="D72" s="29"/>
      <c r="E72" s="29">
        <f>(E71-C71)*10000</f>
        <v>135.59370983812548</v>
      </c>
      <c r="F72" s="29">
        <f>(F71-E71)*10000</f>
        <v>-117.92728548047693</v>
      </c>
      <c r="G72" s="33">
        <f>(G71-F71)*10000</f>
        <v>-32.95312059724609</v>
      </c>
      <c r="H72" s="12"/>
    </row>
    <row r="73">
      <c r="A73" s="6" t="s">
        <v>124</v>
      </c>
      <c r="B73" s="27">
        <f>(B71-(Inputs!B299+Inputs!B300+Inputs!B301+Inputs!B302)/Inputs!B297)*10000</f>
        <v>-58.54246640187577</v>
      </c>
      <c r="C73" s="27">
        <f>(C71-(Inputs!C299+Inputs!C300+Inputs!C301+Inputs!C302)/Inputs!C297)*10000</f>
        <v>-49.59916746774373</v>
      </c>
      <c r="D73" s="27">
        <f>(D71-(Inputs!D299+Inputs!D300+Inputs!D301+Inputs!D302)/Inputs!D297)*10000</f>
        <v>-30.901920992551513</v>
      </c>
      <c r="E73" s="27">
        <f>(E71-(Inputs!E299+Inputs!E300+Inputs!E301+Inputs!E302)/Inputs!E297)*10000</f>
        <v>-54.94505494505475</v>
      </c>
      <c r="F73" s="27">
        <f>(F71-(Inputs!F299+Inputs!F300+Inputs!F301+Inputs!F302)/Inputs!F297)*10000</f>
        <v>-104.937557816836</v>
      </c>
      <c r="G73" s="33">
        <f>(G71-B71)*10000</f>
        <v>-98.87358936502389</v>
      </c>
      <c r="H73" s="7" t="s">
        <v>125</v>
      </c>
    </row>
    <row r="74">
      <c r="A74" s="12" t="s">
        <v>329</v>
      </c>
      <c r="B74" s="23">
        <f>B61/B42</f>
        <v>0.4144385026737968</v>
      </c>
      <c r="C74" s="23">
        <f>C61/C42</f>
        <v>0.38107752956636004</v>
      </c>
      <c r="D74" s="23">
        <f>D61/D42</f>
        <v>0.4166949440108585</v>
      </c>
      <c r="E74" s="23">
        <f>E61/E42</f>
        <v>0.46565934065934067</v>
      </c>
      <c r="F74" s="23">
        <f>F61/F42</f>
        <v>0.4867021276595745</v>
      </c>
      <c r="G74" s="17">
        <f>G61/G42</f>
        <v>0.4687900269106046</v>
      </c>
      <c r="H74" s="12"/>
    </row>
    <row r="75">
      <c r="A75" s="6" t="s">
        <v>123</v>
      </c>
      <c r="B75" s="27">
        <f>(B74-Inputs!F303/Inputs!F297)*10000</f>
        <v>-108.33236456637974</v>
      </c>
      <c r="C75" s="29">
        <f>(C74-B74)*10000</f>
        <v>-333.6097310743674</v>
      </c>
      <c r="D75" s="29"/>
      <c r="E75" s="29">
        <f>(E74-C74)*10000</f>
        <v>845.8181109298063</v>
      </c>
      <c r="F75" s="29">
        <f>(F74-E74)*10000</f>
        <v>210.4278700023382</v>
      </c>
      <c r="G75" s="33">
        <f>(G74-F74)*10000</f>
        <v>-179.1210074896987</v>
      </c>
      <c r="H75" s="12"/>
    </row>
    <row r="76">
      <c r="A76" s="6" t="s">
        <v>124</v>
      </c>
      <c r="B76" s="27">
        <f>(B74-Inputs!B303/Inputs!B297)*10000</f>
        <v>-364.6052913809811</v>
      </c>
      <c r="C76" s="27">
        <f>(C74-Inputs!C303/Inputs!C297)*10000</f>
        <v>-350.2985298397554</v>
      </c>
      <c r="D76" s="27">
        <f>(D74-Inputs!D303/Inputs!D297)*10000</f>
        <v>26.86622235546443</v>
      </c>
      <c r="E76" s="27">
        <f>(E74-Inputs!E303/Inputs!E297)*10000</f>
        <v>169.41391941391936</v>
      </c>
      <c r="F76" s="27">
        <f>(F74-Inputs!F303/Inputs!F297)*10000</f>
        <v>614.3038852913974</v>
      </c>
      <c r="G76" s="33">
        <f>(G74-B74)*10000</f>
        <v>543.5152423680784</v>
      </c>
      <c r="H76" s="7" t="s">
        <v>125</v>
      </c>
    </row>
    <row r="77">
      <c r="A77" s="12" t="s">
        <v>330</v>
      </c>
      <c r="B77" s="23">
        <f>B63/B61</f>
        <v>0.2645161290322581</v>
      </c>
      <c r="C77" s="23">
        <f>C63/C61</f>
        <v>0.2620689655172414</v>
      </c>
      <c r="D77" s="23">
        <f>D63/D61</f>
        <v>0.26384364820846906</v>
      </c>
      <c r="E77" s="23">
        <f>E63/E61</f>
        <v>0.26253687315634217</v>
      </c>
      <c r="F77" s="23">
        <f>F63/F61</f>
        <v>0.25956284153005466</v>
      </c>
      <c r="G77" s="50">
        <v>0.26</v>
      </c>
      <c r="H77" s="7" t="s">
        <v>331</v>
      </c>
    </row>
    <row r="78">
      <c r="A78" s="6" t="s">
        <v>123</v>
      </c>
      <c r="B78" s="27">
        <f>(B77-Inputs!F304/Inputs!F303)*10000</f>
        <v>25.352983613315395</v>
      </c>
      <c r="C78" s="29">
        <f>(C77-B77)*10000</f>
        <v>-24.471635150166705</v>
      </c>
      <c r="D78" s="29"/>
      <c r="E78" s="29">
        <f>(E77-C77)*10000</f>
        <v>4.679076391007619</v>
      </c>
      <c r="F78" s="29">
        <f>(F77-E77)*10000</f>
        <v>-29.740316262875098</v>
      </c>
      <c r="G78" s="33">
        <f>(G77-F77)*10000</f>
        <v>4.371584699453535</v>
      </c>
      <c r="H78" s="12"/>
    </row>
    <row r="79">
      <c r="A79" s="6" t="s">
        <v>124</v>
      </c>
      <c r="B79" s="27">
        <f>(B77-Inputs!B304/Inputs!B303)*10000</f>
        <v>-23.550366119137188</v>
      </c>
      <c r="C79" s="27">
        <f>(C77-Inputs!C304/Inputs!C303)*10000</f>
        <v>-88.98776418242494</v>
      </c>
      <c r="D79" s="27">
        <f>(D77-Inputs!D304/Inputs!D303)*10000</f>
        <v>-66.75614773105465</v>
      </c>
      <c r="E79" s="27">
        <f>(E77-Inputs!E304/Inputs!E303)*10000</f>
        <v>-41.297935103244974</v>
      </c>
      <c r="F79" s="27">
        <f>(F77-Inputs!F304/Inputs!F303)*10000</f>
        <v>-24.179891408718788</v>
      </c>
      <c r="G79" s="33">
        <f>(G77-B77)*10000</f>
        <v>-45.16129032258065</v>
      </c>
      <c r="H79" s="7" t="s">
        <v>125</v>
      </c>
    </row>
    <row r="80">
      <c r="A80" s="12" t="s">
        <v>332</v>
      </c>
      <c r="B80" s="24">
        <f>B64*365/B$6/B10</f>
        <v>0.011563337688922039</v>
      </c>
      <c r="C80" s="24">
        <f>C64*365/C$6/C10</f>
        <v>0.010853333818729731</v>
      </c>
      <c r="D80" s="24">
        <f>D64*365/D$6/D10</f>
        <v>0.01150507801562858</v>
      </c>
      <c r="E80" s="24">
        <f>E64*365/E$6/E10</f>
        <v>0.012865915447600617</v>
      </c>
      <c r="F80" s="24">
        <f>F64*365/F$6/F10</f>
        <v>0.013431088866650464</v>
      </c>
      <c r="G80" s="56">
        <f>G64*365/G$6/G10</f>
        <v>0.012939946887670702</v>
      </c>
      <c r="H80" s="12"/>
    </row>
    <row r="81">
      <c r="A81" s="6" t="s">
        <v>123</v>
      </c>
      <c r="B81" s="27">
        <f>(B80-Inputs!F305*365/Inputs!F135/Inputs!F306)*10000</f>
        <v>-2.401511264271024</v>
      </c>
      <c r="C81" s="29">
        <f>(C80-B80)*10000</f>
        <v>-7.100038701923078</v>
      </c>
      <c r="D81" s="29"/>
      <c r="E81" s="29">
        <f>(E80-C80)*10000</f>
        <v>20.125816288708855</v>
      </c>
      <c r="F81" s="29">
        <f>(F80-E80)*10000</f>
        <v>5.651734190498473</v>
      </c>
      <c r="G81" s="33">
        <f>(G80-F80)*10000</f>
        <v>-4.911419789797623</v>
      </c>
      <c r="H81" s="12"/>
    </row>
    <row r="82">
      <c r="A82" s="6" t="s">
        <v>124</v>
      </c>
      <c r="B82" s="27">
        <f>(B80-Inputs!B305*365/Inputs!B135/Inputs!B306)*10000</f>
        <v>-2.2529052475787728</v>
      </c>
      <c r="C82" s="27">
        <f>(C80-Inputs!C305*365/Inputs!C135/Inputs!C306)*10000</f>
        <v>-2.507446046822806</v>
      </c>
      <c r="D82" s="27">
        <f>(D80-Inputs!D305*365/Inputs!D135/Inputs!D306)*10000</f>
        <v>7.339066662023827</v>
      </c>
      <c r="E82" s="27">
        <f>(E80-Inputs!E305*365/Inputs!E135/Inputs!E306)*10000</f>
        <v>10.613243766120634</v>
      </c>
      <c r="F82" s="27">
        <f>(F80-Inputs!F305*365/Inputs!F135/Inputs!F306)*10000</f>
        <v>16.276000513013223</v>
      </c>
      <c r="G82" s="33">
        <f>(G80-B80)*10000</f>
        <v>13.766091987486625</v>
      </c>
      <c r="H82" s="7" t="s">
        <v>125</v>
      </c>
    </row>
    <row r="83">
      <c r="A83" s="12" t="s">
        <v>333</v>
      </c>
      <c r="B83" s="24">
        <f>B51*365/B$6/B10</f>
        <v>0.0036515803228174865</v>
      </c>
      <c r="C83" s="24">
        <f>C51*365/C$6/C10</f>
        <v>0.005325233883021598</v>
      </c>
      <c r="D83" s="24">
        <f>D51*365/D$6/D10</f>
        <v>0.0034744317458701352</v>
      </c>
      <c r="E83" s="24">
        <f>E51*365/E$6/E10</f>
        <v>0.0014924461919216714</v>
      </c>
      <c r="F83" s="24">
        <f>F51*365/F$6/F10</f>
        <v>0.0011399079111917368</v>
      </c>
      <c r="G83" s="56">
        <f>G51*365/G$6/G10</f>
        <v>0.0019319213669894502</v>
      </c>
      <c r="H83" s="12"/>
    </row>
    <row r="84">
      <c r="A84" s="6" t="s">
        <v>123</v>
      </c>
      <c r="B84" s="27">
        <f>(B83-Inputs!F298*365/Inputs!F135/Inputs!F306)*10000</f>
        <v>5.857390720774495</v>
      </c>
      <c r="C84" s="29">
        <f>(C83-B83)*10000</f>
        <v>16.736535602041116</v>
      </c>
      <c r="D84" s="29"/>
      <c r="E84" s="29">
        <f>(E83-C83)*10000</f>
        <v>-38.327876910999265</v>
      </c>
      <c r="F84" s="29">
        <f>(F83-E83)*10000</f>
        <v>-3.5253828072993465</v>
      </c>
      <c r="G84" s="33">
        <f>(G83-F83)*10000</f>
        <v>7.920134557977134</v>
      </c>
      <c r="H84" s="12"/>
    </row>
    <row r="85">
      <c r="A85" s="6" t="s">
        <v>124</v>
      </c>
      <c r="B85" s="27">
        <f>(B83-Inputs!B298*365/Inputs!B135/Inputs!B306)*10000</f>
        <v>17.279129574052824</v>
      </c>
      <c r="C85" s="27">
        <f>(C83-Inputs!C298*365/Inputs!C135/Inputs!C306)*10000</f>
        <v>17.3851828607878</v>
      </c>
      <c r="D85" s="27">
        <f>(D83-Inputs!D298*365/Inputs!D135/Inputs!D306)*10000</f>
        <v>1.849580616596091</v>
      </c>
      <c r="E85" s="27">
        <f>(E83-Inputs!E298*365/Inputs!E135/Inputs!E306)*10000</f>
        <v>-3.4723033862199917</v>
      </c>
      <c r="F85" s="27">
        <f>(F83-Inputs!F298*365/Inputs!F135/Inputs!F306)*10000</f>
        <v>-19.259333395483</v>
      </c>
      <c r="G85" s="33">
        <f>(G83-B83)*10000</f>
        <v>-17.196589558280362</v>
      </c>
      <c r="H85" s="7" t="s">
        <v>125</v>
      </c>
    </row>
    <row r="86">
      <c r="A86" s="6"/>
      <c r="B86" s="6"/>
      <c r="C86" s="6"/>
      <c r="D86" s="6"/>
      <c r="E86" s="6"/>
      <c r="F86" s="6"/>
      <c r="G86" s="6"/>
      <c r="H86" s="6"/>
    </row>
    <row r="87">
      <c r="A87" s="6"/>
      <c r="B87" s="6"/>
      <c r="C87" s="6"/>
      <c r="D87" s="6"/>
      <c r="E87" s="6"/>
      <c r="F87" s="6"/>
      <c r="G87" s="6"/>
      <c r="H87" s="6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H87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334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285</v>
      </c>
      <c r="B8" s="11"/>
      <c r="C8" s="11"/>
      <c r="D8" s="11"/>
      <c r="E8" s="11"/>
      <c r="F8" s="11"/>
      <c r="G8" s="20"/>
      <c r="H8" s="12"/>
    </row>
    <row r="9">
      <c r="A9" s="6" t="s">
        <v>286</v>
      </c>
      <c r="B9" s="11"/>
      <c r="C9" s="11"/>
      <c r="D9" s="11"/>
      <c r="E9" s="11"/>
      <c r="F9" s="11"/>
      <c r="G9" s="20"/>
      <c r="H9" s="12"/>
    </row>
    <row r="10">
      <c r="A10" s="6" t="s">
        <v>287</v>
      </c>
      <c r="B10" s="4">
        <v>57653</v>
      </c>
      <c r="C10" s="8">
        <f>(Inputs!H264*D$6-Inputs!G264*(D$6-C$6))/C$6</f>
        <v>58743.63043478261</v>
      </c>
      <c r="D10" s="8">
        <f>Inputs!H264</f>
        <v>56708</v>
      </c>
      <c r="E10" s="8">
        <f>(Inputs!I264*(E$6+F$6)-F10*F$6)/E$6</f>
        <v>58820.35555555556</v>
      </c>
      <c r="F10" s="4">
        <v>60204</v>
      </c>
      <c r="G10" s="2">
        <f>F10*(1+G13)</f>
        <v>60806.04</v>
      </c>
      <c r="H10" s="7" t="s">
        <v>288</v>
      </c>
    </row>
    <row r="11">
      <c r="A11" s="12" t="s">
        <v>118</v>
      </c>
      <c r="B11" s="14">
        <f>B10/Inputs!B319-1</f>
        <v>0.0851716608944435</v>
      </c>
      <c r="C11" s="14">
        <f>C10/Inputs!C319-1</f>
        <v>0.09081268604359205</v>
      </c>
      <c r="D11" s="14">
        <f>D10/Inputs!D319-1</f>
        <v>0.06909488528175256</v>
      </c>
      <c r="E11" s="97">
        <f>E10/Inputs!E319-1</f>
        <v>0.08161265514707883</v>
      </c>
      <c r="F11" s="14">
        <f>F10/Inputs!F319-1</f>
        <v>0.07516742566300572</v>
      </c>
      <c r="G11" s="17">
        <f>G10/B10-1</f>
        <v>0.05468995542296162</v>
      </c>
      <c r="H11" s="96" t="s">
        <v>289</v>
      </c>
    </row>
    <row r="12">
      <c r="A12" s="6" t="s">
        <v>120</v>
      </c>
      <c r="B12" s="8">
        <f>B10-Inputs!F319</f>
        <v>1658</v>
      </c>
      <c r="C12" s="1">
        <f>C10-B10</f>
        <v>1090.630434782608</v>
      </c>
      <c r="D12" s="1"/>
      <c r="E12" s="1">
        <f>E10-C10</f>
        <v>76.7251207729496</v>
      </c>
      <c r="F12" s="1">
        <f>F10-E10</f>
        <v>1383.6444444444423</v>
      </c>
      <c r="G12" s="2">
        <f>G10-F10</f>
        <v>602.0400000000009</v>
      </c>
      <c r="H12" s="12"/>
    </row>
    <row r="13">
      <c r="A13" s="12" t="s">
        <v>290</v>
      </c>
      <c r="B13" s="14">
        <f>B10/Inputs!F319-1</f>
        <v>0.029609786588088216</v>
      </c>
      <c r="C13" s="23">
        <f>C10/B10-1</f>
        <v>0.018917149754264395</v>
      </c>
      <c r="D13" s="23"/>
      <c r="E13" s="23">
        <f>E10/C10-1</f>
        <v>0.0013061011075596873</v>
      </c>
      <c r="F13" s="23">
        <f>F10/E10-1</f>
        <v>0.02352322476421609</v>
      </c>
      <c r="G13" s="50">
        <v>0.01</v>
      </c>
      <c r="H13" s="7" t="s">
        <v>291</v>
      </c>
    </row>
    <row r="14">
      <c r="A14" s="6" t="s">
        <v>292</v>
      </c>
      <c r="B14" s="8">
        <f>Inputs!B352</f>
        <v>24356</v>
      </c>
      <c r="C14" s="1" t="s">
        <v>39</v>
      </c>
      <c r="D14" s="1" t="s">
        <v>39</v>
      </c>
      <c r="E14" s="8">
        <f>Inputs!D352</f>
        <v>24249</v>
      </c>
      <c r="F14" s="8">
        <f>Inputs!E352</f>
        <v>24843</v>
      </c>
      <c r="G14" s="2">
        <f>F14*(1+G26)</f>
        <v>25091.43</v>
      </c>
      <c r="H14" s="7" t="s">
        <v>293</v>
      </c>
    </row>
    <row r="15">
      <c r="A15" s="12" t="s">
        <v>118</v>
      </c>
      <c r="B15" s="23" t="s">
        <v>39</v>
      </c>
      <c r="C15" s="23" t="s">
        <v>39</v>
      </c>
      <c r="D15" s="23" t="s">
        <v>39</v>
      </c>
      <c r="E15" s="23" t="s">
        <v>39</v>
      </c>
      <c r="F15" s="14">
        <f>F14/Inputs!C352-1</f>
        <v>0.016115178534909402</v>
      </c>
      <c r="G15" s="17">
        <f>G14/B14-1</f>
        <v>0.030195023813434085</v>
      </c>
      <c r="H15" s="7" t="s">
        <v>294</v>
      </c>
    </row>
    <row r="16">
      <c r="A16" s="6" t="s">
        <v>120</v>
      </c>
      <c r="B16" s="8">
        <f>B14-Inputs!C352</f>
        <v>-93</v>
      </c>
      <c r="C16" s="1" t="s">
        <v>39</v>
      </c>
      <c r="D16" s="1"/>
      <c r="E16" s="1" t="s">
        <v>39</v>
      </c>
      <c r="F16" s="1">
        <f>F14-E14</f>
        <v>594</v>
      </c>
      <c r="G16" s="2">
        <f>G14-F14</f>
        <v>248.4300000000003</v>
      </c>
      <c r="H16" s="7" t="s">
        <v>295</v>
      </c>
    </row>
    <row r="17">
      <c r="A17" s="6" t="s">
        <v>296</v>
      </c>
      <c r="B17" s="8">
        <f>Inputs!B353</f>
        <v>52987</v>
      </c>
      <c r="C17" s="1" t="s">
        <v>39</v>
      </c>
      <c r="D17" s="1" t="s">
        <v>39</v>
      </c>
      <c r="E17" s="8">
        <f>Inputs!D353</f>
        <v>52174</v>
      </c>
      <c r="F17" s="8">
        <f>Inputs!E353</f>
        <v>52402</v>
      </c>
      <c r="G17" s="2">
        <f>F17*(1+G26)</f>
        <v>52926.020000000004</v>
      </c>
      <c r="H17" s="7" t="s">
        <v>293</v>
      </c>
    </row>
    <row r="18">
      <c r="A18" s="12" t="s">
        <v>118</v>
      </c>
      <c r="B18" s="23" t="s">
        <v>39</v>
      </c>
      <c r="C18" s="23" t="s">
        <v>39</v>
      </c>
      <c r="D18" s="23" t="s">
        <v>39</v>
      </c>
      <c r="E18" s="23" t="s">
        <v>39</v>
      </c>
      <c r="F18" s="14">
        <f>F17/Inputs!C353-1</f>
        <v>-0.008214096449390529</v>
      </c>
      <c r="G18" s="17">
        <f>G17/B17-1</f>
        <v>-0.001150848321286313</v>
      </c>
      <c r="H18" s="7" t="s">
        <v>294</v>
      </c>
    </row>
    <row r="19">
      <c r="A19" s="6" t="s">
        <v>120</v>
      </c>
      <c r="B19" s="8">
        <f>B17-Inputs!C353</f>
        <v>151</v>
      </c>
      <c r="C19" s="1" t="s">
        <v>39</v>
      </c>
      <c r="D19" s="1"/>
      <c r="E19" s="1" t="s">
        <v>39</v>
      </c>
      <c r="F19" s="1">
        <f>F17-E17</f>
        <v>228</v>
      </c>
      <c r="G19" s="2">
        <f>G17-F17</f>
        <v>524.0200000000041</v>
      </c>
      <c r="H19" s="7" t="s">
        <v>295</v>
      </c>
    </row>
    <row r="20">
      <c r="A20" s="6" t="s">
        <v>297</v>
      </c>
      <c r="B20" s="8">
        <f>Inputs!B354</f>
        <v>13100</v>
      </c>
      <c r="C20" s="1" t="s">
        <v>39</v>
      </c>
      <c r="D20" s="1" t="s">
        <v>39</v>
      </c>
      <c r="E20" s="8">
        <f>Inputs!D354</f>
        <v>12422</v>
      </c>
      <c r="F20" s="8">
        <f>Inputs!E354</f>
        <v>12444</v>
      </c>
      <c r="G20" s="2">
        <f>F20*(1+G26)</f>
        <v>12568.44</v>
      </c>
      <c r="H20" s="7" t="s">
        <v>293</v>
      </c>
    </row>
    <row r="21">
      <c r="A21" s="12" t="s">
        <v>118</v>
      </c>
      <c r="B21" s="23" t="s">
        <v>39</v>
      </c>
      <c r="C21" s="23" t="s">
        <v>39</v>
      </c>
      <c r="D21" s="23" t="s">
        <v>39</v>
      </c>
      <c r="E21" s="23" t="s">
        <v>39</v>
      </c>
      <c r="F21" s="14">
        <f>F20/Inputs!C354-1</f>
        <v>-0.06639657888813866</v>
      </c>
      <c r="G21" s="17">
        <f>G20/B20-1</f>
        <v>-0.04057709923664121</v>
      </c>
      <c r="H21" s="7" t="s">
        <v>294</v>
      </c>
    </row>
    <row r="22">
      <c r="A22" s="6" t="s">
        <v>120</v>
      </c>
      <c r="B22" s="8">
        <f>B20-Inputs!C354</f>
        <v>-229</v>
      </c>
      <c r="C22" s="1" t="s">
        <v>39</v>
      </c>
      <c r="D22" s="1"/>
      <c r="E22" s="1" t="s">
        <v>39</v>
      </c>
      <c r="F22" s="1">
        <f>F20-E20</f>
        <v>22</v>
      </c>
      <c r="G22" s="2">
        <f>G20-F20</f>
        <v>124.44000000000051</v>
      </c>
      <c r="H22" s="7" t="s">
        <v>295</v>
      </c>
    </row>
    <row r="23">
      <c r="A23" s="28" t="s">
        <v>165</v>
      </c>
      <c r="B23" s="26">
        <f>B14+B17+B20</f>
        <v>90443</v>
      </c>
      <c r="C23" s="26" t="s">
        <v>39</v>
      </c>
      <c r="D23" s="26" t="s">
        <v>39</v>
      </c>
      <c r="E23" s="26">
        <f>E14+E17+E20</f>
        <v>88845</v>
      </c>
      <c r="F23" s="26">
        <f>F14+F17+F20</f>
        <v>89689</v>
      </c>
      <c r="G23" s="39">
        <f>G14+G17+G20</f>
        <v>90585.89000000001</v>
      </c>
      <c r="H23" s="12"/>
    </row>
    <row r="24">
      <c r="A24" s="12" t="s">
        <v>118</v>
      </c>
      <c r="B24" s="23" t="s">
        <v>39</v>
      </c>
      <c r="C24" s="23" t="s">
        <v>39</v>
      </c>
      <c r="D24" s="23" t="s">
        <v>39</v>
      </c>
      <c r="E24" s="23" t="s">
        <v>39</v>
      </c>
      <c r="F24" s="14">
        <f>F23/(Inputs!C352+Inputs!C353+Inputs!C354)-1</f>
        <v>-0.010208135608184121</v>
      </c>
      <c r="G24" s="17">
        <f>G23/B23-1</f>
        <v>0.0015798900965249274</v>
      </c>
      <c r="H24" s="12"/>
    </row>
    <row r="25">
      <c r="A25" s="6" t="s">
        <v>120</v>
      </c>
      <c r="B25" s="8">
        <f>B23-(Inputs!C352+Inputs!C353+Inputs!C354)</f>
        <v>-171</v>
      </c>
      <c r="C25" s="1" t="s">
        <v>39</v>
      </c>
      <c r="D25" s="1"/>
      <c r="E25" s="1" t="s">
        <v>39</v>
      </c>
      <c r="F25" s="1">
        <f>F23-E23</f>
        <v>844</v>
      </c>
      <c r="G25" s="2">
        <f>G23-F23</f>
        <v>896.890000000014</v>
      </c>
      <c r="H25" s="12"/>
    </row>
    <row r="26">
      <c r="A26" s="12" t="s">
        <v>298</v>
      </c>
      <c r="B26" s="14">
        <f>B23/(Inputs!C352+Inputs!C353+Inputs!C354)-1</f>
        <v>-0.0018871256097291456</v>
      </c>
      <c r="C26" s="23" t="s">
        <v>39</v>
      </c>
      <c r="D26" s="23"/>
      <c r="E26" s="23" t="s">
        <v>39</v>
      </c>
      <c r="F26" s="23">
        <f>F23/E23-1</f>
        <v>0.009499690472170697</v>
      </c>
      <c r="G26" s="50">
        <v>0.01</v>
      </c>
      <c r="H26" s="7" t="s">
        <v>299</v>
      </c>
    </row>
    <row r="27">
      <c r="A27" s="12" t="s">
        <v>300</v>
      </c>
      <c r="B27" s="23">
        <f>B23/B10</f>
        <v>1.5687475066345202</v>
      </c>
      <c r="C27" s="23" t="s">
        <v>39</v>
      </c>
      <c r="D27" s="23" t="s">
        <v>39</v>
      </c>
      <c r="E27" s="23">
        <f>E23/E10</f>
        <v>1.5104464969798814</v>
      </c>
      <c r="F27" s="23">
        <f>F23/F10</f>
        <v>1.4897515115274733</v>
      </c>
      <c r="G27" s="17">
        <f>G23/G10</f>
        <v>1.4897515115274735</v>
      </c>
      <c r="H27" s="12"/>
    </row>
    <row r="28">
      <c r="A28" s="6" t="s">
        <v>123</v>
      </c>
      <c r="B28" s="29" t="s">
        <v>39</v>
      </c>
      <c r="C28" s="29" t="s">
        <v>39</v>
      </c>
      <c r="D28" s="29"/>
      <c r="E28" s="29" t="s">
        <v>39</v>
      </c>
      <c r="F28" s="29">
        <f>(F27-E27)*10000</f>
        <v>-206.9498545240811</v>
      </c>
      <c r="G28" s="33">
        <f>(G27-F27)*10000</f>
        <v>0</v>
      </c>
      <c r="H28" s="12"/>
    </row>
    <row r="29">
      <c r="A29" s="6" t="s">
        <v>124</v>
      </c>
      <c r="B29" s="29" t="s">
        <v>39</v>
      </c>
      <c r="C29" s="29" t="s">
        <v>39</v>
      </c>
      <c r="D29" s="29" t="s">
        <v>39</v>
      </c>
      <c r="E29" s="29" t="s">
        <v>39</v>
      </c>
      <c r="F29" s="29" t="s">
        <v>39</v>
      </c>
      <c r="G29" s="33">
        <f>(G27-B27)*10000</f>
        <v>-789.9599510704669</v>
      </c>
      <c r="H29" s="7" t="s">
        <v>301</v>
      </c>
    </row>
    <row r="30">
      <c r="A30" s="12" t="s">
        <v>302</v>
      </c>
      <c r="B30" s="24">
        <f>B35*365/B$6/B10</f>
        <v>0.06874618689475792</v>
      </c>
      <c r="C30" s="24">
        <f>C35*365/C$6/C10</f>
        <v>0.0667269383877697</v>
      </c>
      <c r="D30" s="24">
        <f>D35*365/D$6/D10</f>
        <v>0.06960217253297594</v>
      </c>
      <c r="E30" s="24">
        <f>E35*365/E$6/E10</f>
        <v>0.0655007563519205</v>
      </c>
      <c r="F30" s="24">
        <f>F35*365/F$6/F10</f>
        <v>0.06489109189926412</v>
      </c>
      <c r="G30" s="55">
        <v>0.0649</v>
      </c>
      <c r="H30" s="7" t="s">
        <v>303</v>
      </c>
    </row>
    <row r="31">
      <c r="A31" s="6" t="s">
        <v>123</v>
      </c>
      <c r="B31" s="27">
        <f>(B30-Inputs!F308*365/Inputs!F135/Inputs!F319)*10000</f>
        <v>-20.254381227819003</v>
      </c>
      <c r="C31" s="29">
        <f>(C30-B30)*10000</f>
        <v>-20.192485069882167</v>
      </c>
      <c r="D31" s="29"/>
      <c r="E31" s="29">
        <f>(E30-C30)*10000</f>
        <v>-12.261820358492049</v>
      </c>
      <c r="F31" s="29">
        <f>(F30-E30)*10000</f>
        <v>-6.0966445265638045</v>
      </c>
      <c r="G31" s="33">
        <f>(G30-F30)*10000</f>
        <v>0.08908100735879887</v>
      </c>
      <c r="H31" s="12"/>
    </row>
    <row r="32">
      <c r="A32" s="6" t="s">
        <v>124</v>
      </c>
      <c r="B32" s="27">
        <f>(B30-Inputs!B308*365/Inputs!B135/Inputs!B319)*10000</f>
        <v>-124.26722829419299</v>
      </c>
      <c r="C32" s="27">
        <f>(C30-Inputs!C308*365/Inputs!C135/Inputs!C319)*10000</f>
        <v>-98.90525711418019</v>
      </c>
      <c r="D32" s="27">
        <f>(D30-Inputs!D308*365/Inputs!D135/Inputs!D319)*10000</f>
        <v>-112.37900615224575</v>
      </c>
      <c r="E32" s="27">
        <f>(E30-Inputs!E308*365/Inputs!E135/Inputs!E319)*10000</f>
        <v>-69.86345201940775</v>
      </c>
      <c r="F32" s="27">
        <f>(F30-Inputs!F308*365/Inputs!F135/Inputs!F319)*10000</f>
        <v>-58.80533118275702</v>
      </c>
      <c r="G32" s="33">
        <f>(G30-B30)*10000</f>
        <v>-38.46186894757922</v>
      </c>
      <c r="H32" s="7" t="s">
        <v>125</v>
      </c>
    </row>
    <row r="33">
      <c r="A33" s="6"/>
      <c r="B33" s="11"/>
      <c r="C33" s="11"/>
      <c r="D33" s="11"/>
      <c r="E33" s="11"/>
      <c r="F33" s="11"/>
      <c r="G33" s="20"/>
      <c r="H33" s="12"/>
    </row>
    <row r="34">
      <c r="A34" s="18" t="s">
        <v>304</v>
      </c>
      <c r="B34" s="11"/>
      <c r="C34" s="11"/>
      <c r="D34" s="11"/>
      <c r="E34" s="11"/>
      <c r="F34" s="11"/>
      <c r="G34" s="20"/>
      <c r="H34" s="12"/>
    </row>
    <row r="35">
      <c r="A35" s="6" t="s">
        <v>180</v>
      </c>
      <c r="B35" s="4">
        <v>999</v>
      </c>
      <c r="C35" s="8">
        <f>Inputs!H253-Inputs!G253</f>
        <v>988</v>
      </c>
      <c r="D35" s="8">
        <f>Inputs!H253</f>
        <v>3947</v>
      </c>
      <c r="E35" s="8">
        <f>Inputs!I253-F35</f>
        <v>950</v>
      </c>
      <c r="F35" s="4">
        <v>974</v>
      </c>
      <c r="G35" s="2">
        <f>G10*G30*G$6/365</f>
        <v>994.6868592657535</v>
      </c>
      <c r="H35" s="12"/>
    </row>
    <row r="36">
      <c r="A36" s="12" t="s">
        <v>118</v>
      </c>
      <c r="B36" s="14">
        <f>B35/Inputs!B308-1</f>
        <v>-0.08095676172953081</v>
      </c>
      <c r="C36" s="14">
        <f>C35/Inputs!C308-1</f>
        <v>-0.050000000000000044</v>
      </c>
      <c r="D36" s="14">
        <f>D35/Inputs!D308-1</f>
        <v>-0.07952425373134331</v>
      </c>
      <c r="E36" s="14">
        <f>E35/Inputs!E308-1</f>
        <v>-0.02263374485596703</v>
      </c>
      <c r="F36" s="14">
        <f>F35/Inputs!F308-1</f>
        <v>-0.014170040485829927</v>
      </c>
      <c r="G36" s="17">
        <f>G35/B35-1</f>
        <v>-0.004317458192439005</v>
      </c>
      <c r="H36" s="12"/>
    </row>
    <row r="37">
      <c r="A37" s="12" t="s">
        <v>193</v>
      </c>
      <c r="B37" s="14">
        <f>B35/Inputs!F308-1</f>
        <v>0.011133603238866474</v>
      </c>
      <c r="C37" s="23">
        <f>C35/B35-1</f>
        <v>-0.011011011011010985</v>
      </c>
      <c r="D37" s="23"/>
      <c r="E37" s="23">
        <f>E35/C35-1</f>
        <v>-0.038461538461538436</v>
      </c>
      <c r="F37" s="23">
        <f>F35/E35-1</f>
        <v>0.025263157894736876</v>
      </c>
      <c r="G37" s="17">
        <f>G35/F35-1</f>
        <v>0.021239075221512804</v>
      </c>
      <c r="H37" s="12"/>
    </row>
    <row r="38">
      <c r="A38" s="6" t="s">
        <v>305</v>
      </c>
      <c r="B38" s="4">
        <v>249</v>
      </c>
      <c r="C38" s="8">
        <f>Inputs!H254-Inputs!G254</f>
        <v>230</v>
      </c>
      <c r="D38" s="8">
        <f>Inputs!H254</f>
        <v>921</v>
      </c>
      <c r="E38" s="8">
        <f>Inputs!I254-F38</f>
        <v>217</v>
      </c>
      <c r="F38" s="4">
        <v>236</v>
      </c>
      <c r="G38" s="2">
        <f>F38*(1+G41)</f>
        <v>238.36</v>
      </c>
      <c r="H38" s="12"/>
    </row>
    <row r="39">
      <c r="A39" s="12" t="s">
        <v>118</v>
      </c>
      <c r="B39" s="14">
        <f>B38/Inputs!B309-1</f>
        <v>0.21463414634146338</v>
      </c>
      <c r="C39" s="14">
        <f>C38/Inputs!C309-1</f>
        <v>0.12745098039215685</v>
      </c>
      <c r="D39" s="14">
        <f>D38/Inputs!D309-1</f>
        <v>0.13703703703703707</v>
      </c>
      <c r="E39" s="14">
        <f>E38/Inputs!E309-1</f>
        <v>0.04326923076923084</v>
      </c>
      <c r="F39" s="14">
        <f>F38/Inputs!F309-1</f>
        <v>0.008547008547008517</v>
      </c>
      <c r="G39" s="17">
        <f>G38/B38-1</f>
        <v>-0.042730923694779044</v>
      </c>
      <c r="H39" s="12"/>
    </row>
    <row r="40">
      <c r="A40" s="12" t="s">
        <v>193</v>
      </c>
      <c r="B40" s="14">
        <f>B38/Inputs!F309-1</f>
        <v>0.0641025641025641</v>
      </c>
      <c r="C40" s="23">
        <f>C38/B38-1</f>
        <v>-0.07630522088353409</v>
      </c>
      <c r="D40" s="23"/>
      <c r="E40" s="23">
        <f>E38/C38-1</f>
        <v>-0.05652173913043479</v>
      </c>
      <c r="F40" s="23">
        <f>F38/E38-1</f>
        <v>0.0875576036866359</v>
      </c>
      <c r="G40" s="17">
        <f>G38/F38-1</f>
        <v>0.010000000000000009</v>
      </c>
      <c r="H40" s="12"/>
    </row>
    <row r="41">
      <c r="A41" s="12" t="s">
        <v>306</v>
      </c>
      <c r="B41" s="14">
        <f>B38/Inputs!F309-1</f>
        <v>0.0641025641025641</v>
      </c>
      <c r="C41" s="23">
        <f>C38/B38-1</f>
        <v>-0.07630522088353409</v>
      </c>
      <c r="D41" s="23"/>
      <c r="E41" s="23">
        <f>E38/C38-1</f>
        <v>-0.05652173913043479</v>
      </c>
      <c r="F41" s="23">
        <f>F38/E38-1</f>
        <v>0.0875576036866359</v>
      </c>
      <c r="G41" s="50">
        <v>0.01</v>
      </c>
      <c r="H41" s="7" t="s">
        <v>335</v>
      </c>
    </row>
    <row r="42">
      <c r="A42" s="28" t="s">
        <v>308</v>
      </c>
      <c r="B42" s="26">
        <f>B35+B38</f>
        <v>1248</v>
      </c>
      <c r="C42" s="26">
        <f>C35+C38</f>
        <v>1218</v>
      </c>
      <c r="D42" s="26">
        <f>D35+D38</f>
        <v>4868</v>
      </c>
      <c r="E42" s="26">
        <f>E35+E38</f>
        <v>1167</v>
      </c>
      <c r="F42" s="26">
        <f>F35+F38</f>
        <v>1210</v>
      </c>
      <c r="G42" s="39">
        <f>G35+G38</f>
        <v>1233.0468592657535</v>
      </c>
      <c r="H42" s="12"/>
    </row>
    <row r="43">
      <c r="A43" s="12" t="s">
        <v>118</v>
      </c>
      <c r="B43" s="14">
        <f>B42/Inputs!B310-1</f>
        <v>-0.034055727554179516</v>
      </c>
      <c r="C43" s="14">
        <f>C42/Inputs!C310-1</f>
        <v>-0.020900321543408373</v>
      </c>
      <c r="D43" s="14">
        <f>D42/Inputs!D310-1</f>
        <v>-0.045115731659474356</v>
      </c>
      <c r="E43" s="14">
        <f>E42/Inputs!E310-1</f>
        <v>-0.011016949152542366</v>
      </c>
      <c r="F43" s="14">
        <f>F42/Inputs!F310-1</f>
        <v>-0.009819967266775809</v>
      </c>
      <c r="G43" s="17">
        <f>G42/B42-1</f>
        <v>-0.011981683280646194</v>
      </c>
      <c r="H43" s="12"/>
    </row>
    <row r="44">
      <c r="A44" s="12" t="s">
        <v>193</v>
      </c>
      <c r="B44" s="14">
        <f>B42/Inputs!F310-1</f>
        <v>0.02127659574468077</v>
      </c>
      <c r="C44" s="23">
        <f>C42/B42-1</f>
        <v>-0.024038461538461564</v>
      </c>
      <c r="D44" s="23"/>
      <c r="E44" s="23">
        <f>E42/C42-1</f>
        <v>-0.041871921182266014</v>
      </c>
      <c r="F44" s="23">
        <f>F42/E42-1</f>
        <v>0.036846615252784876</v>
      </c>
      <c r="G44" s="17">
        <f>G42/F42-1</f>
        <v>0.01904699112872188</v>
      </c>
      <c r="H44" s="12"/>
    </row>
    <row r="45">
      <c r="A45" s="12" t="s">
        <v>194</v>
      </c>
      <c r="B45" s="23" t="s">
        <v>39</v>
      </c>
      <c r="C45" s="23" t="s">
        <v>39</v>
      </c>
      <c r="D45" s="23" t="s">
        <v>39</v>
      </c>
      <c r="E45" s="23" t="s">
        <v>39</v>
      </c>
      <c r="F45" s="23" t="s">
        <v>39</v>
      </c>
      <c r="G45" s="17" t="s">
        <v>39</v>
      </c>
      <c r="H45" s="7" t="s">
        <v>195</v>
      </c>
    </row>
    <row r="46">
      <c r="A46" s="12" t="s">
        <v>196</v>
      </c>
      <c r="B46" s="23" t="s">
        <v>39</v>
      </c>
      <c r="C46" s="23" t="s">
        <v>39</v>
      </c>
      <c r="D46" s="23" t="s">
        <v>39</v>
      </c>
      <c r="E46" s="23" t="s">
        <v>39</v>
      </c>
      <c r="F46" s="23" t="s">
        <v>39</v>
      </c>
      <c r="G46" s="17" t="s">
        <v>39</v>
      </c>
      <c r="H46" s="7" t="s">
        <v>197</v>
      </c>
    </row>
    <row r="47">
      <c r="A47" s="12" t="s">
        <v>198</v>
      </c>
      <c r="B47" s="23" t="s">
        <v>39</v>
      </c>
      <c r="C47" s="23" t="s">
        <v>39</v>
      </c>
      <c r="D47" s="23" t="s">
        <v>39</v>
      </c>
      <c r="E47" s="23" t="s">
        <v>39</v>
      </c>
      <c r="F47" s="23" t="s">
        <v>39</v>
      </c>
      <c r="G47" s="17" t="s">
        <v>39</v>
      </c>
      <c r="H47" s="7" t="s">
        <v>199</v>
      </c>
    </row>
    <row r="48">
      <c r="A48" s="12" t="s">
        <v>309</v>
      </c>
      <c r="B48" s="14">
        <f>B42/'Revenue summary'!B270</f>
        <v>0.4966175885395941</v>
      </c>
      <c r="C48" s="14">
        <f>C42/'Revenue summary'!C270</f>
        <v>0.4921212121212121</v>
      </c>
      <c r="D48" s="14">
        <f>D42/'Revenue summary'!D270</f>
        <v>0.5023735810113519</v>
      </c>
      <c r="E48" s="14">
        <f>E42/'Revenue summary'!E270</f>
        <v>0.4780827529700942</v>
      </c>
      <c r="F48" s="14">
        <f>F42/'Revenue summary'!F270</f>
        <v>0.47788309636650866</v>
      </c>
      <c r="G48" s="58">
        <f>G42/'Revenue summary'!G270</f>
        <v>0.4867900952830373</v>
      </c>
      <c r="H48" s="12"/>
    </row>
    <row r="49">
      <c r="A49" s="6" t="s">
        <v>310</v>
      </c>
      <c r="B49" s="4">
        <v>1248</v>
      </c>
      <c r="C49" s="8">
        <f>Inputs!H255-Inputs!G255</f>
        <v>1218</v>
      </c>
      <c r="D49" s="8">
        <f>Inputs!H255</f>
        <v>4868</v>
      </c>
      <c r="E49" s="8">
        <f>Inputs!I255-F49</f>
        <v>1167</v>
      </c>
      <c r="F49" s="4">
        <v>1210</v>
      </c>
      <c r="G49" s="2"/>
      <c r="H49" s="7" t="s">
        <v>311</v>
      </c>
    </row>
    <row r="50">
      <c r="A50" s="12" t="s">
        <v>312</v>
      </c>
      <c r="B50" s="32">
        <f>B42-B49</f>
        <v>0</v>
      </c>
      <c r="C50" s="32">
        <f>C42-C49</f>
        <v>0</v>
      </c>
      <c r="D50" s="32">
        <f>D42-D49</f>
        <v>0</v>
      </c>
      <c r="E50" s="32">
        <f>E42-E49</f>
        <v>0</v>
      </c>
      <c r="F50" s="32">
        <f>F42-F49</f>
        <v>0</v>
      </c>
      <c r="G50" s="52"/>
      <c r="H50" s="12"/>
    </row>
    <row r="51">
      <c r="A51" s="6" t="s">
        <v>313</v>
      </c>
      <c r="B51" s="4">
        <v>70</v>
      </c>
      <c r="C51" s="8">
        <f>Inputs!H256-Inputs!G256</f>
        <v>87</v>
      </c>
      <c r="D51" s="8">
        <f>Inputs!H256</f>
        <v>307</v>
      </c>
      <c r="E51" s="8">
        <f>Inputs!I256-F51</f>
        <v>82</v>
      </c>
      <c r="F51" s="4">
        <v>70</v>
      </c>
      <c r="G51" s="21">
        <v>75</v>
      </c>
      <c r="H51" s="7" t="s">
        <v>314</v>
      </c>
    </row>
    <row r="52">
      <c r="A52" s="12" t="s">
        <v>118</v>
      </c>
      <c r="B52" s="14">
        <f>B51/Inputs!B311-1</f>
        <v>-0.05405405405405406</v>
      </c>
      <c r="C52" s="14">
        <f>C51/Inputs!C311-1</f>
        <v>0.011627906976744207</v>
      </c>
      <c r="D52" s="14">
        <f>D51/Inputs!D311-1</f>
        <v>0.06597222222222232</v>
      </c>
      <c r="E52" s="14">
        <f>E51/Inputs!E311-1</f>
        <v>0.03797468354430378</v>
      </c>
      <c r="F52" s="14">
        <f>F51/Inputs!F311-1</f>
        <v>-0.014084507042253502</v>
      </c>
      <c r="G52" s="17">
        <f>G51/B51-1</f>
        <v>0.0714285714285714</v>
      </c>
      <c r="H52" s="12"/>
    </row>
    <row r="53">
      <c r="A53" s="6" t="s">
        <v>120</v>
      </c>
      <c r="B53" s="8">
        <f>B51-Inputs!F311</f>
        <v>-1</v>
      </c>
      <c r="C53" s="1">
        <f>C51-B51</f>
        <v>17</v>
      </c>
      <c r="D53" s="1"/>
      <c r="E53" s="1">
        <f>E51-C51</f>
        <v>-5</v>
      </c>
      <c r="F53" s="1">
        <f>F51-E51</f>
        <v>-12</v>
      </c>
      <c r="G53" s="2">
        <f>G51-F51</f>
        <v>5</v>
      </c>
      <c r="H53" s="12"/>
    </row>
    <row r="54">
      <c r="A54" s="6" t="s">
        <v>315</v>
      </c>
      <c r="B54" s="4">
        <v>204</v>
      </c>
      <c r="C54" s="8">
        <f>Inputs!H257-Inputs!G257</f>
        <v>202</v>
      </c>
      <c r="D54" s="8">
        <f>Inputs!H257</f>
        <v>803</v>
      </c>
      <c r="E54" s="8">
        <f>Inputs!I257-F54</f>
        <v>197</v>
      </c>
      <c r="F54" s="4">
        <v>203</v>
      </c>
      <c r="G54" s="2">
        <f>F54*(1+G58)</f>
        <v>207.06</v>
      </c>
      <c r="H54" s="12"/>
    </row>
    <row r="55">
      <c r="A55" s="6" t="s">
        <v>316</v>
      </c>
      <c r="B55" s="4">
        <v>59</v>
      </c>
      <c r="C55" s="8">
        <f>Inputs!H258-Inputs!G258</f>
        <v>60</v>
      </c>
      <c r="D55" s="8">
        <f>Inputs!H258</f>
        <v>241</v>
      </c>
      <c r="E55" s="8">
        <f>Inputs!I258-F55</f>
        <v>36</v>
      </c>
      <c r="F55" s="4">
        <v>34</v>
      </c>
      <c r="G55" s="2">
        <f>F55*(1+G58)</f>
        <v>34.68</v>
      </c>
      <c r="H55" s="12"/>
    </row>
    <row r="56">
      <c r="A56" s="6" t="s">
        <v>317</v>
      </c>
      <c r="B56" s="4">
        <v>116</v>
      </c>
      <c r="C56" s="8">
        <f>Inputs!H259-Inputs!G259</f>
        <v>115</v>
      </c>
      <c r="D56" s="8">
        <f>Inputs!H259</f>
        <v>425</v>
      </c>
      <c r="E56" s="8">
        <f>Inputs!I259-F56</f>
        <v>103</v>
      </c>
      <c r="F56" s="4">
        <v>107</v>
      </c>
      <c r="G56" s="2">
        <f>F56*(1+G58)</f>
        <v>109.14</v>
      </c>
      <c r="H56" s="12"/>
    </row>
    <row r="57">
      <c r="A57" s="6" t="s">
        <v>318</v>
      </c>
      <c r="B57" s="4">
        <v>297</v>
      </c>
      <c r="C57" s="8">
        <f>Inputs!H260-Inputs!G260</f>
        <v>293</v>
      </c>
      <c r="D57" s="8">
        <f>Inputs!H260</f>
        <v>1161</v>
      </c>
      <c r="E57" s="8">
        <f>Inputs!I260-F57</f>
        <v>289</v>
      </c>
      <c r="F57" s="4">
        <v>313</v>
      </c>
      <c r="G57" s="2">
        <f>F57*(1+G58)</f>
        <v>319.26</v>
      </c>
      <c r="H57" s="12"/>
    </row>
    <row r="58">
      <c r="A58" s="12" t="s">
        <v>319</v>
      </c>
      <c r="B58" s="14">
        <f>B59/(Inputs!F312+Inputs!F313+Inputs!F314+Inputs!F315)-1</f>
        <v>0.043209876543209846</v>
      </c>
      <c r="C58" s="23">
        <f>C59/B59-1</f>
        <v>-0.00887573964497046</v>
      </c>
      <c r="D58" s="23"/>
      <c r="E58" s="23">
        <f>E59/C59-1</f>
        <v>-0.06716417910447758</v>
      </c>
      <c r="F58" s="23">
        <f>F59/E59-1</f>
        <v>0.05119999999999991</v>
      </c>
      <c r="G58" s="50">
        <v>0.02</v>
      </c>
      <c r="H58" s="7" t="s">
        <v>320</v>
      </c>
    </row>
    <row r="59">
      <c r="A59" s="28" t="s">
        <v>321</v>
      </c>
      <c r="B59" s="26">
        <f>SUM(B54:B57)</f>
        <v>676</v>
      </c>
      <c r="C59" s="26">
        <f>SUM(C54:C57)</f>
        <v>670</v>
      </c>
      <c r="D59" s="26">
        <f>SUM(D54:D57)</f>
        <v>2630</v>
      </c>
      <c r="E59" s="26">
        <f>SUM(E54:E57)</f>
        <v>625</v>
      </c>
      <c r="F59" s="26">
        <f>SUM(F54:F57)</f>
        <v>657</v>
      </c>
      <c r="G59" s="39">
        <f>SUM(G54:G57)</f>
        <v>670.14</v>
      </c>
      <c r="H59" s="12"/>
    </row>
    <row r="60">
      <c r="A60" s="12" t="s">
        <v>118</v>
      </c>
      <c r="B60" s="14">
        <f>B59/(Inputs!B312+Inputs!B313+Inputs!B314+Inputs!B315)-1</f>
        <v>0.09562398703403563</v>
      </c>
      <c r="C60" s="14">
        <f>C59/(Inputs!C312+Inputs!C313+Inputs!C314+Inputs!C315)-1</f>
        <v>-0.020467836257309968</v>
      </c>
      <c r="D60" s="14">
        <f>D59/(Inputs!D312+Inputs!D313+Inputs!D314+Inputs!D315)-1</f>
        <v>0.05242096838735488</v>
      </c>
      <c r="E60" s="14">
        <f>E59/(Inputs!E312+Inputs!E313+Inputs!E314+Inputs!E315)-1</f>
        <v>-0.01729559748427678</v>
      </c>
      <c r="F60" s="14">
        <f>F59/(Inputs!F312+Inputs!F313+Inputs!F314+Inputs!F315)-1</f>
        <v>0.01388888888888884</v>
      </c>
      <c r="G60" s="17">
        <f>G59/B59-1</f>
        <v>-0.008668639053254434</v>
      </c>
      <c r="H60" s="12"/>
    </row>
    <row r="61">
      <c r="A61" s="28" t="s">
        <v>322</v>
      </c>
      <c r="B61" s="26">
        <f>B42-B51-B59</f>
        <v>502</v>
      </c>
      <c r="C61" s="26">
        <f>C42-C51-C59</f>
        <v>461</v>
      </c>
      <c r="D61" s="26">
        <f>D42-D51-D59</f>
        <v>1931</v>
      </c>
      <c r="E61" s="26">
        <f>E42-E51-E59</f>
        <v>460</v>
      </c>
      <c r="F61" s="26">
        <f>F42-F51-F59</f>
        <v>483</v>
      </c>
      <c r="G61" s="39">
        <f>G42-G51-G59</f>
        <v>487.9068592657535</v>
      </c>
      <c r="H61" s="12"/>
    </row>
    <row r="62">
      <c r="A62" s="12" t="s">
        <v>118</v>
      </c>
      <c r="B62" s="14">
        <f>B61/Inputs!B316-1</f>
        <v>-0.16472545757071544</v>
      </c>
      <c r="C62" s="14">
        <f>C61/Inputs!C316-1</f>
        <v>-0.02742616033755274</v>
      </c>
      <c r="D62" s="14">
        <f>D61/Inputs!D316-1</f>
        <v>-0.1644309822587624</v>
      </c>
      <c r="E62" s="14">
        <f>E61/Inputs!E316-1</f>
        <v>-0.010752688172043001</v>
      </c>
      <c r="F62" s="14">
        <f>F61/Inputs!F316-1</f>
        <v>-0.03976143141153077</v>
      </c>
      <c r="G62" s="17">
        <f>G61/B61-1</f>
        <v>-0.028073985526387513</v>
      </c>
      <c r="H62" s="12"/>
    </row>
    <row r="63">
      <c r="A63" s="6" t="s">
        <v>323</v>
      </c>
      <c r="B63" s="4">
        <v>126</v>
      </c>
      <c r="C63" s="8">
        <f>Inputs!H262-Inputs!G262</f>
        <v>117</v>
      </c>
      <c r="D63" s="8">
        <f>Inputs!H262</f>
        <v>489</v>
      </c>
      <c r="E63" s="8">
        <f>Inputs!I262-F63</f>
        <v>116</v>
      </c>
      <c r="F63" s="4">
        <v>123</v>
      </c>
      <c r="G63" s="2">
        <f>G61*G77</f>
        <v>124.41624911276715</v>
      </c>
      <c r="H63" s="12"/>
    </row>
    <row r="64">
      <c r="A64" s="28" t="s">
        <v>324</v>
      </c>
      <c r="B64" s="26">
        <f>B61-B63</f>
        <v>376</v>
      </c>
      <c r="C64" s="26">
        <f>C61-C63</f>
        <v>344</v>
      </c>
      <c r="D64" s="26">
        <f>D61-D63</f>
        <v>1442</v>
      </c>
      <c r="E64" s="26">
        <f>E61-E63</f>
        <v>344</v>
      </c>
      <c r="F64" s="26">
        <f>F61-F63</f>
        <v>360</v>
      </c>
      <c r="G64" s="39">
        <f>G61-G63</f>
        <v>363.49061015298633</v>
      </c>
      <c r="H64" s="12"/>
    </row>
    <row r="65">
      <c r="A65" s="12" t="s">
        <v>118</v>
      </c>
      <c r="B65" s="14">
        <f>B64/Inputs!B318-1</f>
        <v>-0.15695067264573992</v>
      </c>
      <c r="C65" s="14">
        <f>C64/Inputs!C318-1</f>
        <v>-0.022727272727272707</v>
      </c>
      <c r="D65" s="14">
        <f>D64/Inputs!D318-1</f>
        <v>-0.15967365967365965</v>
      </c>
      <c r="E65" s="14">
        <f>E64/Inputs!E318-1</f>
        <v>-0.008645533141210415</v>
      </c>
      <c r="F65" s="14">
        <f>F64/Inputs!F318-1</f>
        <v>-0.040000000000000036</v>
      </c>
      <c r="G65" s="17">
        <f>G64/B64-1</f>
        <v>-0.033269653848440606</v>
      </c>
      <c r="H65" s="12"/>
    </row>
    <row r="66">
      <c r="A66" s="12" t="s">
        <v>193</v>
      </c>
      <c r="B66" s="14">
        <f>B64/Inputs!F318-1</f>
        <v>0.002666666666666595</v>
      </c>
      <c r="C66" s="23">
        <f>C64/B64-1</f>
        <v>-0.08510638297872342</v>
      </c>
      <c r="D66" s="23"/>
      <c r="E66" s="23">
        <f>E64/C64-1</f>
        <v>0</v>
      </c>
      <c r="F66" s="23">
        <f>F64/E64-1</f>
        <v>0.04651162790697683</v>
      </c>
      <c r="G66" s="17">
        <f>G64/F64-1</f>
        <v>0.009696139313850827</v>
      </c>
      <c r="H66" s="12"/>
    </row>
    <row r="67">
      <c r="A67" s="6" t="s">
        <v>325</v>
      </c>
      <c r="B67" s="4">
        <v>376</v>
      </c>
      <c r="C67" s="8">
        <f>Inputs!H263-Inputs!G263</f>
        <v>344</v>
      </c>
      <c r="D67" s="8">
        <f>Inputs!H263</f>
        <v>1442</v>
      </c>
      <c r="E67" s="8">
        <f>Inputs!I263-F67</f>
        <v>344</v>
      </c>
      <c r="F67" s="4">
        <v>360</v>
      </c>
      <c r="G67" s="2"/>
      <c r="H67" s="7" t="s">
        <v>311</v>
      </c>
    </row>
    <row r="68">
      <c r="A68" s="12" t="s">
        <v>326</v>
      </c>
      <c r="B68" s="32">
        <f>B64-B67</f>
        <v>0</v>
      </c>
      <c r="C68" s="32">
        <f>C64-C67</f>
        <v>0</v>
      </c>
      <c r="D68" s="32">
        <f>D64-D67</f>
        <v>0</v>
      </c>
      <c r="E68" s="32">
        <f>E64-E67</f>
        <v>0</v>
      </c>
      <c r="F68" s="32">
        <f>F64-F67</f>
        <v>0</v>
      </c>
      <c r="G68" s="52"/>
      <c r="H68" s="12"/>
    </row>
    <row r="69">
      <c r="A69" s="6"/>
      <c r="B69" s="11"/>
      <c r="C69" s="11"/>
      <c r="D69" s="11"/>
      <c r="E69" s="11"/>
      <c r="F69" s="11"/>
      <c r="G69" s="20"/>
      <c r="H69" s="12"/>
    </row>
    <row r="70">
      <c r="A70" s="18" t="s">
        <v>327</v>
      </c>
      <c r="B70" s="11"/>
      <c r="C70" s="11"/>
      <c r="D70" s="11"/>
      <c r="E70" s="11"/>
      <c r="F70" s="11"/>
      <c r="G70" s="20"/>
      <c r="H70" s="12"/>
    </row>
    <row r="71">
      <c r="A71" s="12" t="s">
        <v>328</v>
      </c>
      <c r="B71" s="23">
        <f>B59/B42</f>
        <v>0.5416666666666666</v>
      </c>
      <c r="C71" s="23">
        <f>C59/C42</f>
        <v>0.5500821018062397</v>
      </c>
      <c r="D71" s="23">
        <f>D59/D42</f>
        <v>0.5402629416598193</v>
      </c>
      <c r="E71" s="23">
        <f>E59/E42</f>
        <v>0.5355612682090831</v>
      </c>
      <c r="F71" s="23">
        <f>F59/F42</f>
        <v>0.5429752066115703</v>
      </c>
      <c r="G71" s="17">
        <f>G59/G42</f>
        <v>0.5434829949601838</v>
      </c>
      <c r="H71" s="12"/>
    </row>
    <row r="72">
      <c r="A72" s="6" t="s">
        <v>123</v>
      </c>
      <c r="B72" s="27">
        <f>(B71-(Inputs!F312+Inputs!F313+Inputs!F314+Inputs!F315)/Inputs!F310)*10000</f>
        <v>113.88434260774628</v>
      </c>
      <c r="C72" s="29">
        <f>(C71-B71)*10000</f>
        <v>84.15435139573103</v>
      </c>
      <c r="D72" s="29"/>
      <c r="E72" s="29">
        <f>(E71-C71)*10000</f>
        <v>-145.20833597156613</v>
      </c>
      <c r="F72" s="29">
        <f>(F71-E71)*10000</f>
        <v>74.13938402487163</v>
      </c>
      <c r="G72" s="33">
        <f>(G71-F71)*10000</f>
        <v>5.0778834861353594</v>
      </c>
      <c r="H72" s="12"/>
    </row>
    <row r="73">
      <c r="A73" s="6" t="s">
        <v>124</v>
      </c>
      <c r="B73" s="27">
        <f>(B71-(Inputs!B312+Inputs!B313+Inputs!B314+Inputs!B315)/Inputs!B310)*10000</f>
        <v>641.1248710010315</v>
      </c>
      <c r="C73" s="27">
        <f>(C71-(Inputs!C312+Inputs!C313+Inputs!C314+Inputs!C315)/Inputs!C310)*10000</f>
        <v>2.4287351041984984</v>
      </c>
      <c r="D73" s="27">
        <f>(D71-(Inputs!D312+Inputs!D313+Inputs!D314+Inputs!D315)/Inputs!D310)*10000</f>
        <v>500.7070941187886</v>
      </c>
      <c r="E73" s="27">
        <f>(E71-(Inputs!E312+Inputs!E313+Inputs!E314+Inputs!E315)/Inputs!E310)*10000</f>
        <v>-34.217826383745596</v>
      </c>
      <c r="F73" s="27">
        <f>(F71-(Inputs!F312+Inputs!F313+Inputs!F314+Inputs!F315)/Inputs!F310)*10000</f>
        <v>126.96974205678279</v>
      </c>
      <c r="G73" s="33">
        <f>(G71-B71)*10000</f>
        <v>18.163282935171885</v>
      </c>
      <c r="H73" s="7" t="s">
        <v>125</v>
      </c>
    </row>
    <row r="74">
      <c r="A74" s="12" t="s">
        <v>329</v>
      </c>
      <c r="B74" s="23">
        <f>B61/B42</f>
        <v>0.40224358974358976</v>
      </c>
      <c r="C74" s="23">
        <f>C61/C42</f>
        <v>0.3784893267651888</v>
      </c>
      <c r="D74" s="23">
        <f>D61/D42</f>
        <v>0.3966721446179129</v>
      </c>
      <c r="E74" s="23">
        <f>E61/E42</f>
        <v>0.39417309340188517</v>
      </c>
      <c r="F74" s="23">
        <f>F61/F42</f>
        <v>0.39917355371900826</v>
      </c>
      <c r="G74" s="17">
        <f>G61/G42</f>
        <v>0.3956920660389898</v>
      </c>
      <c r="H74" s="12"/>
    </row>
    <row r="75">
      <c r="A75" s="6" t="s">
        <v>123</v>
      </c>
      <c r="B75" s="27">
        <f>(B74-Inputs!F316/Inputs!F310)*10000</f>
        <v>-93.76704855428241</v>
      </c>
      <c r="C75" s="29">
        <f>(C74-B74)*10000</f>
        <v>-237.54262978400942</v>
      </c>
      <c r="D75" s="29"/>
      <c r="E75" s="29">
        <f>(E74-C74)*10000</f>
        <v>156.8376663669635</v>
      </c>
      <c r="F75" s="29">
        <f>(F74-E74)*10000</f>
        <v>50.0046031712309</v>
      </c>
      <c r="G75" s="33">
        <f>(G74-F74)*10000</f>
        <v>-34.81487680018436</v>
      </c>
      <c r="H75" s="12"/>
    </row>
    <row r="76">
      <c r="A76" s="6" t="s">
        <v>124</v>
      </c>
      <c r="B76" s="27">
        <f>(B74-Inputs!B316/Inputs!B310)*10000</f>
        <v>-629.2668889418113</v>
      </c>
      <c r="C76" s="27">
        <f>(C74-Inputs!C316/Inputs!C310)*10000</f>
        <v>-25.396121415636188</v>
      </c>
      <c r="D76" s="27">
        <f>(D74-Inputs!D316/Inputs!D310)*10000</f>
        <v>-566.4288088228325</v>
      </c>
      <c r="E76" s="27">
        <f>(E74-Inputs!E316/Inputs!E310)*10000</f>
        <v>1.0529679171566997</v>
      </c>
      <c r="F76" s="27">
        <f>(F74-Inputs!F316/Inputs!F310)*10000</f>
        <v>-124.46740880009743</v>
      </c>
      <c r="G76" s="33">
        <f>(G74-B74)*10000</f>
        <v>-65.51523704599937</v>
      </c>
      <c r="H76" s="7" t="s">
        <v>125</v>
      </c>
    </row>
    <row r="77">
      <c r="A77" s="12" t="s">
        <v>330</v>
      </c>
      <c r="B77" s="23">
        <f>B63/B61</f>
        <v>0.250996015936255</v>
      </c>
      <c r="C77" s="23">
        <f>C63/C61</f>
        <v>0.25379609544468545</v>
      </c>
      <c r="D77" s="23">
        <f>D63/D61</f>
        <v>0.2532366649404454</v>
      </c>
      <c r="E77" s="23">
        <f>E63/E61</f>
        <v>0.25217391304347825</v>
      </c>
      <c r="F77" s="23">
        <f>F63/F61</f>
        <v>0.2546583850931677</v>
      </c>
      <c r="G77" s="50">
        <v>0.255</v>
      </c>
      <c r="H77" s="7" t="s">
        <v>331</v>
      </c>
    </row>
    <row r="78">
      <c r="A78" s="6" t="s">
        <v>123</v>
      </c>
      <c r="B78" s="27">
        <f>(B77-Inputs!F317/Inputs!F316)*10000</f>
        <v>-34.77145097542211</v>
      </c>
      <c r="C78" s="29">
        <f>(C77-B77)*10000</f>
        <v>28.00079508430475</v>
      </c>
      <c r="D78" s="29"/>
      <c r="E78" s="29">
        <f>(E77-C77)*10000</f>
        <v>-16.221824012072062</v>
      </c>
      <c r="F78" s="29">
        <f>(F77-E77)*10000</f>
        <v>24.844720496894347</v>
      </c>
      <c r="G78" s="33">
        <f>(G77-F77)*10000</f>
        <v>3.4161490683232154</v>
      </c>
      <c r="H78" s="12"/>
    </row>
    <row r="79">
      <c r="A79" s="6" t="s">
        <v>124</v>
      </c>
      <c r="B79" s="27">
        <f>(B77-Inputs!B317/Inputs!B316)*10000</f>
        <v>-69.07478240117726</v>
      </c>
      <c r="C79" s="27">
        <f>(C77-Inputs!C317/Inputs!C316)*10000</f>
        <v>-35.87870800040305</v>
      </c>
      <c r="D79" s="27">
        <f>(D77-Inputs!D317/Inputs!D316)*10000</f>
        <v>-42.27636227880027</v>
      </c>
      <c r="E79" s="27">
        <f>(E77-Inputs!E317/Inputs!E316)*10000</f>
        <v>-15.895278167368243</v>
      </c>
      <c r="F79" s="27">
        <f>(F77-Inputs!F317/Inputs!F316)*10000</f>
        <v>1.8522405937049236</v>
      </c>
      <c r="G79" s="33">
        <f>(G77-B77)*10000</f>
        <v>40.039840637450254</v>
      </c>
      <c r="H79" s="7" t="s">
        <v>125</v>
      </c>
    </row>
    <row r="80">
      <c r="A80" s="12" t="s">
        <v>332</v>
      </c>
      <c r="B80" s="24">
        <f>B64*365/B$6/B10</f>
        <v>0.025874440713142117</v>
      </c>
      <c r="C80" s="24">
        <f>C64*365/C$6/C10</f>
        <v>0.023232861139061516</v>
      </c>
      <c r="D80" s="24">
        <f>D64*365/D$6/D10</f>
        <v>0.025428510968470056</v>
      </c>
      <c r="E80" s="24">
        <f>E64*365/E$6/E10</f>
        <v>0.023718168615853318</v>
      </c>
      <c r="F80" s="24">
        <f>F64*365/F$6/F10</f>
        <v>0.02398438714962534</v>
      </c>
      <c r="G80" s="56">
        <f>G64*365/G$6/G10</f>
        <v>0.023716549966632323</v>
      </c>
      <c r="H80" s="12"/>
    </row>
    <row r="81">
      <c r="A81" s="6" t="s">
        <v>123</v>
      </c>
      <c r="B81" s="27">
        <f>(B80-Inputs!F318*365/Inputs!F135/Inputs!F319)*10000</f>
        <v>-9.87259065782415</v>
      </c>
      <c r="C81" s="29">
        <f>(C80-B80)*10000</f>
        <v>-26.415795740806004</v>
      </c>
      <c r="D81" s="29"/>
      <c r="E81" s="29">
        <f>(E80-C80)*10000</f>
        <v>4.853074767918013</v>
      </c>
      <c r="F81" s="29">
        <f>(F80-E80)*10000</f>
        <v>2.662185337720217</v>
      </c>
      <c r="G81" s="33">
        <f>(G80-F80)*10000</f>
        <v>-2.678371829930165</v>
      </c>
      <c r="H81" s="12"/>
    </row>
    <row r="82">
      <c r="A82" s="6" t="s">
        <v>124</v>
      </c>
      <c r="B82" s="27">
        <f>(B80-Inputs!B318*365/Inputs!B135/Inputs!B319)*10000</f>
        <v>-74.31095383438415</v>
      </c>
      <c r="C82" s="27">
        <f>(C80-Inputs!C318*365/Inputs!C135/Inputs!C319)*10000</f>
        <v>-26.992036329712526</v>
      </c>
      <c r="D82" s="27">
        <f>(D80-Inputs!D318*365/Inputs!D135/Inputs!D319)*10000</f>
        <v>-69.22600394009444</v>
      </c>
      <c r="E82" s="27">
        <f>(E80-Inputs!E318*365/Inputs!E135/Inputs!E319)*10000</f>
        <v>-21.594283380457213</v>
      </c>
      <c r="F82" s="27">
        <f>(F80-Inputs!F318*365/Inputs!F135/Inputs!F319)*10000</f>
        <v>-28.773126292991925</v>
      </c>
      <c r="G82" s="33">
        <f>(G80-B80)*10000</f>
        <v>-21.57890746509794</v>
      </c>
      <c r="H82" s="7" t="s">
        <v>125</v>
      </c>
    </row>
    <row r="83">
      <c r="A83" s="12" t="s">
        <v>333</v>
      </c>
      <c r="B83" s="24">
        <f>B51*365/B$6/B10</f>
        <v>0.00481705013276582</v>
      </c>
      <c r="C83" s="24">
        <f>C51*365/C$6/C10</f>
        <v>0.005875752671797535</v>
      </c>
      <c r="D83" s="24">
        <f>D51*365/D$6/D10</f>
        <v>0.005413698243634055</v>
      </c>
      <c r="E83" s="24">
        <f>E51*365/E$6/E10</f>
        <v>0.0056537494956394535</v>
      </c>
      <c r="F83" s="24">
        <f>F51*365/F$6/F10</f>
        <v>0.0046636308346493715</v>
      </c>
      <c r="G83" s="56">
        <f>G51*365/G$6/G10</f>
        <v>0.004893499853404151</v>
      </c>
      <c r="H83" s="12"/>
    </row>
    <row r="84">
      <c r="A84" s="6" t="s">
        <v>123</v>
      </c>
      <c r="B84" s="27">
        <f>(B83-Inputs!F311*365/Inputs!F135/Inputs!F319)*10000</f>
        <v>-2.687650253772253</v>
      </c>
      <c r="C84" s="29">
        <f>(C83-B83)*10000</f>
        <v>10.58702539031715</v>
      </c>
      <c r="D84" s="29"/>
      <c r="E84" s="29">
        <f>(E83-C83)*10000</f>
        <v>-2.220031761580813</v>
      </c>
      <c r="F84" s="29">
        <f>(F83-E83)*10000</f>
        <v>-9.90118660990082</v>
      </c>
      <c r="G84" s="33">
        <f>(G83-F83)*10000</f>
        <v>2.2986901875477956</v>
      </c>
      <c r="H84" s="12"/>
    </row>
    <row r="85">
      <c r="A85" s="6" t="s">
        <v>124</v>
      </c>
      <c r="B85" s="27">
        <f>(B83-Inputs!B311*365/Inputs!B135/Inputs!B319)*10000</f>
        <v>-7.089805200300526</v>
      </c>
      <c r="C85" s="27">
        <f>(C83-Inputs!C311*365/Inputs!C135/Inputs!C319)*10000</f>
        <v>-4.5992224409683535</v>
      </c>
      <c r="D85" s="27">
        <f>(D83-Inputs!D311*365/Inputs!D135/Inputs!D319)*10000</f>
        <v>-0.15858908110755535</v>
      </c>
      <c r="E85" s="27">
        <f>(E83-Inputs!E311*365/Inputs!E135/Inputs!E319)*10000</f>
        <v>-2.3769188579577434</v>
      </c>
      <c r="F85" s="27">
        <f>(F83-Inputs!F311*365/Inputs!F135/Inputs!F319)*10000</f>
        <v>-4.2218432349367365</v>
      </c>
      <c r="G85" s="33">
        <f>(G83-B83)*10000</f>
        <v>0.7644972063833126</v>
      </c>
      <c r="H85" s="7" t="s">
        <v>125</v>
      </c>
    </row>
    <row r="86">
      <c r="A86" s="6"/>
      <c r="B86" s="6"/>
      <c r="C86" s="6"/>
      <c r="D86" s="6"/>
      <c r="E86" s="6"/>
      <c r="F86" s="6"/>
      <c r="G86" s="6"/>
      <c r="H86" s="6"/>
    </row>
    <row r="87">
      <c r="A87" s="6"/>
      <c r="B87" s="6"/>
      <c r="C87" s="6"/>
      <c r="D87" s="6"/>
      <c r="E87" s="6"/>
      <c r="F87" s="6"/>
      <c r="G87" s="6"/>
      <c r="H87" s="6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H87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336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285</v>
      </c>
      <c r="B8" s="11"/>
      <c r="C8" s="11"/>
      <c r="D8" s="11"/>
      <c r="E8" s="11"/>
      <c r="F8" s="11"/>
      <c r="G8" s="20"/>
      <c r="H8" s="12"/>
    </row>
    <row r="9">
      <c r="A9" s="6" t="s">
        <v>286</v>
      </c>
      <c r="B9" s="11"/>
      <c r="C9" s="11"/>
      <c r="D9" s="11"/>
      <c r="E9" s="11"/>
      <c r="F9" s="11"/>
      <c r="G9" s="20"/>
      <c r="H9" s="12"/>
    </row>
    <row r="10">
      <c r="A10" s="6" t="s">
        <v>287</v>
      </c>
      <c r="B10" s="4">
        <v>4355</v>
      </c>
      <c r="C10" s="8">
        <f>(Inputs!H277*D$6-Inputs!G277*(D$6-C$6))/C$6</f>
        <v>4501.880434782609</v>
      </c>
      <c r="D10" s="8">
        <f>Inputs!H277</f>
        <v>4309</v>
      </c>
      <c r="E10" s="8">
        <f>(Inputs!I277*(E$6+F$6)-F10*F$6)/E$6</f>
        <v>4744.0888888888885</v>
      </c>
      <c r="F10" s="4">
        <v>4728</v>
      </c>
      <c r="G10" s="2">
        <f>F10*(1+G13)</f>
        <v>4751.639999999999</v>
      </c>
      <c r="H10" s="7" t="s">
        <v>288</v>
      </c>
    </row>
    <row r="11">
      <c r="A11" s="12" t="s">
        <v>118</v>
      </c>
      <c r="B11" s="14">
        <f>B10/Inputs!B332-1</f>
        <v>0.11723961005643924</v>
      </c>
      <c r="C11" s="14">
        <f>C10/Inputs!C332-1</f>
        <v>0.12727742848588774</v>
      </c>
      <c r="D11" s="14">
        <f>D10/Inputs!D332-1</f>
        <v>0.1339473684210526</v>
      </c>
      <c r="E11" s="97">
        <f>E10/Inputs!E332-1</f>
        <v>0.1567970305747841</v>
      </c>
      <c r="F11" s="14">
        <f>F10/Inputs!F332-1</f>
        <v>0.10674157303370779</v>
      </c>
      <c r="G11" s="17">
        <f>G10/B10-1</f>
        <v>0.09107692307692283</v>
      </c>
      <c r="H11" s="96" t="s">
        <v>289</v>
      </c>
    </row>
    <row r="12">
      <c r="A12" s="6" t="s">
        <v>120</v>
      </c>
      <c r="B12" s="8">
        <f>B10-Inputs!F332</f>
        <v>83</v>
      </c>
      <c r="C12" s="1">
        <f>C10-B10</f>
        <v>146.88043478260897</v>
      </c>
      <c r="D12" s="1"/>
      <c r="E12" s="1">
        <f>E10-C10</f>
        <v>242.20845410627953</v>
      </c>
      <c r="F12" s="1">
        <f>F10-E10</f>
        <v>-16.088888888888505</v>
      </c>
      <c r="G12" s="2">
        <f>G10-F10</f>
        <v>23.639999999999418</v>
      </c>
      <c r="H12" s="12"/>
    </row>
    <row r="13">
      <c r="A13" s="12" t="s">
        <v>290</v>
      </c>
      <c r="B13" s="14">
        <f>B10/Inputs!F332-1</f>
        <v>0.019428838951310867</v>
      </c>
      <c r="C13" s="23">
        <f>C10/B10-1</f>
        <v>0.03372685069635106</v>
      </c>
      <c r="D13" s="23"/>
      <c r="E13" s="23">
        <f>E10/C10-1</f>
        <v>0.053801618593625644</v>
      </c>
      <c r="F13" s="23">
        <f>F10/E10-1</f>
        <v>-0.003391354855633133</v>
      </c>
      <c r="G13" s="50">
        <v>0.005</v>
      </c>
      <c r="H13" s="7" t="s">
        <v>291</v>
      </c>
    </row>
    <row r="14">
      <c r="A14" s="6" t="s">
        <v>292</v>
      </c>
      <c r="B14" s="8">
        <f>Inputs!B355</f>
        <v>8772</v>
      </c>
      <c r="C14" s="1" t="s">
        <v>39</v>
      </c>
      <c r="D14" s="1" t="s">
        <v>39</v>
      </c>
      <c r="E14" s="8">
        <f>Inputs!D355</f>
        <v>9518</v>
      </c>
      <c r="F14" s="8">
        <f>Inputs!E355</f>
        <v>8766</v>
      </c>
      <c r="G14" s="2">
        <f>F14*(1+G26)</f>
        <v>8853.66</v>
      </c>
      <c r="H14" s="7" t="s">
        <v>293</v>
      </c>
    </row>
    <row r="15">
      <c r="A15" s="12" t="s">
        <v>118</v>
      </c>
      <c r="B15" s="23" t="s">
        <v>39</v>
      </c>
      <c r="C15" s="23" t="s">
        <v>39</v>
      </c>
      <c r="D15" s="23" t="s">
        <v>39</v>
      </c>
      <c r="E15" s="23" t="s">
        <v>39</v>
      </c>
      <c r="F15" s="14">
        <f>F14/Inputs!C355-1</f>
        <v>-0.011502029769959399</v>
      </c>
      <c r="G15" s="17">
        <f>G14/B14-1</f>
        <v>0.009309165526675711</v>
      </c>
      <c r="H15" s="7" t="s">
        <v>294</v>
      </c>
    </row>
    <row r="16">
      <c r="A16" s="6" t="s">
        <v>120</v>
      </c>
      <c r="B16" s="8">
        <f>B14-Inputs!C355</f>
        <v>-96</v>
      </c>
      <c r="C16" s="1" t="s">
        <v>39</v>
      </c>
      <c r="D16" s="1"/>
      <c r="E16" s="1" t="s">
        <v>39</v>
      </c>
      <c r="F16" s="1">
        <f>F14-E14</f>
        <v>-752</v>
      </c>
      <c r="G16" s="2">
        <f>G14-F14</f>
        <v>87.65999999999985</v>
      </c>
      <c r="H16" s="7" t="s">
        <v>295</v>
      </c>
    </row>
    <row r="17">
      <c r="A17" s="6" t="s">
        <v>296</v>
      </c>
      <c r="B17" s="8">
        <f>Inputs!B356</f>
        <v>9726</v>
      </c>
      <c r="C17" s="1" t="s">
        <v>39</v>
      </c>
      <c r="D17" s="1" t="s">
        <v>39</v>
      </c>
      <c r="E17" s="8">
        <f>Inputs!D356</f>
        <v>10102</v>
      </c>
      <c r="F17" s="8">
        <f>Inputs!E356</f>
        <v>9882</v>
      </c>
      <c r="G17" s="2">
        <f>F17*(1+G26)</f>
        <v>9980.82</v>
      </c>
      <c r="H17" s="7" t="s">
        <v>293</v>
      </c>
    </row>
    <row r="18">
      <c r="A18" s="12" t="s">
        <v>118</v>
      </c>
      <c r="B18" s="23" t="s">
        <v>39</v>
      </c>
      <c r="C18" s="23" t="s">
        <v>39</v>
      </c>
      <c r="D18" s="23" t="s">
        <v>39</v>
      </c>
      <c r="E18" s="23" t="s">
        <v>39</v>
      </c>
      <c r="F18" s="14">
        <f>F17/Inputs!C356-1</f>
        <v>-0.03759252045188932</v>
      </c>
      <c r="G18" s="17">
        <f>G17/B17-1</f>
        <v>0.026199876619370732</v>
      </c>
      <c r="H18" s="7" t="s">
        <v>294</v>
      </c>
    </row>
    <row r="19">
      <c r="A19" s="6" t="s">
        <v>120</v>
      </c>
      <c r="B19" s="8">
        <f>B17-Inputs!C356</f>
        <v>-542</v>
      </c>
      <c r="C19" s="1" t="s">
        <v>39</v>
      </c>
      <c r="D19" s="1"/>
      <c r="E19" s="1" t="s">
        <v>39</v>
      </c>
      <c r="F19" s="1">
        <f>F17-E17</f>
        <v>-220</v>
      </c>
      <c r="G19" s="2">
        <f>G17-F17</f>
        <v>98.81999999999971</v>
      </c>
      <c r="H19" s="7" t="s">
        <v>295</v>
      </c>
    </row>
    <row r="20">
      <c r="A20" s="6" t="s">
        <v>297</v>
      </c>
      <c r="B20" s="8">
        <f>Inputs!B357</f>
        <v>48</v>
      </c>
      <c r="C20" s="1" t="s">
        <v>39</v>
      </c>
      <c r="D20" s="1" t="s">
        <v>39</v>
      </c>
      <c r="E20" s="8">
        <f>Inputs!D357</f>
        <v>49</v>
      </c>
      <c r="F20" s="8">
        <f>Inputs!E357</f>
        <v>57</v>
      </c>
      <c r="G20" s="2">
        <f>F20*(1+G26)</f>
        <v>57.57</v>
      </c>
      <c r="H20" s="7" t="s">
        <v>293</v>
      </c>
    </row>
    <row r="21">
      <c r="A21" s="12" t="s">
        <v>118</v>
      </c>
      <c r="B21" s="23" t="s">
        <v>39</v>
      </c>
      <c r="C21" s="23" t="s">
        <v>39</v>
      </c>
      <c r="D21" s="23" t="s">
        <v>39</v>
      </c>
      <c r="E21" s="23" t="s">
        <v>39</v>
      </c>
      <c r="F21" s="14">
        <f>F20/Inputs!C357-1</f>
        <v>0.3255813953488371</v>
      </c>
      <c r="G21" s="17">
        <f>G20/B20-1</f>
        <v>0.19937500000000008</v>
      </c>
      <c r="H21" s="7" t="s">
        <v>294</v>
      </c>
    </row>
    <row r="22">
      <c r="A22" s="6" t="s">
        <v>120</v>
      </c>
      <c r="B22" s="8">
        <f>B20-Inputs!C357</f>
        <v>5</v>
      </c>
      <c r="C22" s="1" t="s">
        <v>39</v>
      </c>
      <c r="D22" s="1"/>
      <c r="E22" s="1" t="s">
        <v>39</v>
      </c>
      <c r="F22" s="1">
        <f>F20-E20</f>
        <v>8</v>
      </c>
      <c r="G22" s="2">
        <f>G20-F20</f>
        <v>0.5700000000000003</v>
      </c>
      <c r="H22" s="7" t="s">
        <v>295</v>
      </c>
    </row>
    <row r="23">
      <c r="A23" s="28" t="s">
        <v>165</v>
      </c>
      <c r="B23" s="26">
        <f>B14+B17+B20</f>
        <v>18546</v>
      </c>
      <c r="C23" s="26" t="s">
        <v>39</v>
      </c>
      <c r="D23" s="26" t="s">
        <v>39</v>
      </c>
      <c r="E23" s="26">
        <f>E14+E17+E20</f>
        <v>19669</v>
      </c>
      <c r="F23" s="26">
        <f>F14+F17+F20</f>
        <v>18705</v>
      </c>
      <c r="G23" s="39">
        <f>G14+G17+G20</f>
        <v>18892.05</v>
      </c>
      <c r="H23" s="12"/>
    </row>
    <row r="24">
      <c r="A24" s="12" t="s">
        <v>118</v>
      </c>
      <c r="B24" s="23" t="s">
        <v>39</v>
      </c>
      <c r="C24" s="23" t="s">
        <v>39</v>
      </c>
      <c r="D24" s="23" t="s">
        <v>39</v>
      </c>
      <c r="E24" s="23" t="s">
        <v>39</v>
      </c>
      <c r="F24" s="14">
        <f>F23/(Inputs!C355+Inputs!C356+Inputs!C357)-1</f>
        <v>-0.024714531518848726</v>
      </c>
      <c r="G24" s="17">
        <f>G23/B23-1</f>
        <v>0.01865901002911685</v>
      </c>
      <c r="H24" s="12"/>
    </row>
    <row r="25">
      <c r="A25" s="6" t="s">
        <v>120</v>
      </c>
      <c r="B25" s="8">
        <f>B23-(Inputs!C355+Inputs!C356+Inputs!C357)</f>
        <v>-633</v>
      </c>
      <c r="C25" s="1" t="s">
        <v>39</v>
      </c>
      <c r="D25" s="1"/>
      <c r="E25" s="1" t="s">
        <v>39</v>
      </c>
      <c r="F25" s="1">
        <f>F23-E23</f>
        <v>-964</v>
      </c>
      <c r="G25" s="2">
        <f>G23-F23</f>
        <v>187.04999999999927</v>
      </c>
      <c r="H25" s="12"/>
    </row>
    <row r="26">
      <c r="A26" s="12" t="s">
        <v>298</v>
      </c>
      <c r="B26" s="14">
        <f>B23/(Inputs!C355+Inputs!C356+Inputs!C357)-1</f>
        <v>-0.03300484905365242</v>
      </c>
      <c r="C26" s="23" t="s">
        <v>39</v>
      </c>
      <c r="D26" s="23"/>
      <c r="E26" s="23" t="s">
        <v>39</v>
      </c>
      <c r="F26" s="23">
        <f>F23/E23-1</f>
        <v>-0.04901113427220505</v>
      </c>
      <c r="G26" s="50">
        <v>0.01</v>
      </c>
      <c r="H26" s="7" t="s">
        <v>299</v>
      </c>
    </row>
    <row r="27">
      <c r="A27" s="12" t="s">
        <v>300</v>
      </c>
      <c r="B27" s="23">
        <f>B23/B10</f>
        <v>4.258553386911596</v>
      </c>
      <c r="C27" s="23" t="s">
        <v>39</v>
      </c>
      <c r="D27" s="23" t="s">
        <v>39</v>
      </c>
      <c r="E27" s="23">
        <f>E23/E10</f>
        <v>4.146001573888442</v>
      </c>
      <c r="F27" s="23">
        <f>F23/F10</f>
        <v>3.956218274111675</v>
      </c>
      <c r="G27" s="17">
        <f>G23/G10</f>
        <v>3.9759009520923305</v>
      </c>
      <c r="H27" s="12"/>
    </row>
    <row r="28">
      <c r="A28" s="6" t="s">
        <v>123</v>
      </c>
      <c r="B28" s="29" t="s">
        <v>39</v>
      </c>
      <c r="C28" s="29" t="s">
        <v>39</v>
      </c>
      <c r="D28" s="29"/>
      <c r="E28" s="29" t="s">
        <v>39</v>
      </c>
      <c r="F28" s="29">
        <f>(F27-E27)*10000</f>
        <v>-1897.8329977676678</v>
      </c>
      <c r="G28" s="33">
        <f>(G27-F27)*10000</f>
        <v>196.82677980655595</v>
      </c>
      <c r="H28" s="12"/>
    </row>
    <row r="29">
      <c r="A29" s="6" t="s">
        <v>124</v>
      </c>
      <c r="B29" s="29" t="s">
        <v>39</v>
      </c>
      <c r="C29" s="29" t="s">
        <v>39</v>
      </c>
      <c r="D29" s="29" t="s">
        <v>39</v>
      </c>
      <c r="E29" s="29" t="s">
        <v>39</v>
      </c>
      <c r="F29" s="29" t="s">
        <v>39</v>
      </c>
      <c r="G29" s="33">
        <f>(G27-B27)*10000</f>
        <v>-2826.524348192656</v>
      </c>
      <c r="H29" s="7" t="s">
        <v>301</v>
      </c>
    </row>
    <row r="30">
      <c r="A30" s="12" t="s">
        <v>302</v>
      </c>
      <c r="B30" s="24">
        <f>B35*365/B$6/B10</f>
        <v>0.14849248739579693</v>
      </c>
      <c r="C30" s="24">
        <f>C35*365/C$6/C10</f>
        <v>0.13659750877048962</v>
      </c>
      <c r="D30" s="24">
        <f>D35*365/D$6/D10</f>
        <v>0.15200742631701092</v>
      </c>
      <c r="E30" s="24">
        <f>E35*365/E$6/E10</f>
        <v>0.13335894024844955</v>
      </c>
      <c r="F30" s="24">
        <f>F35*365/F$6/F10</f>
        <v>0.12640384150536435</v>
      </c>
      <c r="G30" s="55">
        <v>0.1264</v>
      </c>
      <c r="H30" s="7" t="s">
        <v>303</v>
      </c>
    </row>
    <row r="31">
      <c r="A31" s="6" t="s">
        <v>123</v>
      </c>
      <c r="B31" s="27">
        <f>(B30-Inputs!F321*365/Inputs!F135/Inputs!F332)*10000</f>
        <v>-73.65231664169303</v>
      </c>
      <c r="C31" s="29">
        <f>(C30-B30)*10000</f>
        <v>-118.94978625307306</v>
      </c>
      <c r="D31" s="29"/>
      <c r="E31" s="29">
        <f>(E30-C30)*10000</f>
        <v>-32.38568522040075</v>
      </c>
      <c r="F31" s="29">
        <f>(F30-E30)*10000</f>
        <v>-69.55098743085198</v>
      </c>
      <c r="G31" s="33">
        <f>(G30-F30)*10000</f>
        <v>-0.03841505364338138</v>
      </c>
      <c r="H31" s="12"/>
    </row>
    <row r="32">
      <c r="A32" s="6" t="s">
        <v>124</v>
      </c>
      <c r="B32" s="27">
        <f>(B30-Inputs!B321*365/Inputs!B135/Inputs!B332)*10000</f>
        <v>-398.0084028618047</v>
      </c>
      <c r="C32" s="27">
        <f>(C30-Inputs!C321*365/Inputs!C135/Inputs!C332)*10000</f>
        <v>-452.0211562732207</v>
      </c>
      <c r="D32" s="27">
        <f>(D30-Inputs!D321*365/Inputs!D135/Inputs!D332)*10000</f>
        <v>-448.3467894614698</v>
      </c>
      <c r="E32" s="27">
        <f>(E30-Inputs!E321*365/Inputs!E135/Inputs!E332)*10000</f>
        <v>-357.4386526232681</v>
      </c>
      <c r="F32" s="27">
        <f>(F30-Inputs!F321*365/Inputs!F135/Inputs!F332)*10000</f>
        <v>-294.5387755460188</v>
      </c>
      <c r="G32" s="33">
        <f>(G30-B30)*10000</f>
        <v>-220.92487395796917</v>
      </c>
      <c r="H32" s="7" t="s">
        <v>125</v>
      </c>
    </row>
    <row r="33">
      <c r="A33" s="6"/>
      <c r="B33" s="11"/>
      <c r="C33" s="11"/>
      <c r="D33" s="11"/>
      <c r="E33" s="11"/>
      <c r="F33" s="11"/>
      <c r="G33" s="20"/>
      <c r="H33" s="12"/>
    </row>
    <row r="34">
      <c r="A34" s="18" t="s">
        <v>304</v>
      </c>
      <c r="B34" s="11"/>
      <c r="C34" s="11"/>
      <c r="D34" s="11"/>
      <c r="E34" s="11"/>
      <c r="F34" s="11"/>
      <c r="G34" s="20"/>
      <c r="H34" s="12"/>
    </row>
    <row r="35">
      <c r="A35" s="6" t="s">
        <v>180</v>
      </c>
      <c r="B35" s="4">
        <v>163</v>
      </c>
      <c r="C35" s="8">
        <f>Inputs!H266-Inputs!G266</f>
        <v>155</v>
      </c>
      <c r="D35" s="8">
        <f>Inputs!H266</f>
        <v>655</v>
      </c>
      <c r="E35" s="8">
        <f>Inputs!I266-F35</f>
        <v>156</v>
      </c>
      <c r="F35" s="4">
        <v>149</v>
      </c>
      <c r="G35" s="2">
        <f>G10*G30*G$6/365</f>
        <v>151.38594858082192</v>
      </c>
      <c r="H35" s="12"/>
    </row>
    <row r="36">
      <c r="A36" s="12" t="s">
        <v>118</v>
      </c>
      <c r="B36" s="14">
        <f>B35/Inputs!B321-1</f>
        <v>-0.11891891891891893</v>
      </c>
      <c r="C36" s="14">
        <f>C35/Inputs!C321-1</f>
        <v>-0.15300546448087426</v>
      </c>
      <c r="D36" s="14">
        <f>D35/Inputs!D321-1</f>
        <v>-0.12433155080213909</v>
      </c>
      <c r="E36" s="14">
        <f>E35/Inputs!E321-1</f>
        <v>-0.08771929824561409</v>
      </c>
      <c r="F36" s="14">
        <f>F35/Inputs!F321-1</f>
        <v>-0.10240963855421692</v>
      </c>
      <c r="G36" s="17">
        <f>G35/B35-1</f>
        <v>-0.07125184919741157</v>
      </c>
      <c r="H36" s="12"/>
    </row>
    <row r="37">
      <c r="A37" s="12" t="s">
        <v>193</v>
      </c>
      <c r="B37" s="14">
        <f>B35/Inputs!F321-1</f>
        <v>-0.01807228915662651</v>
      </c>
      <c r="C37" s="23">
        <f>C35/B35-1</f>
        <v>-0.049079754601227044</v>
      </c>
      <c r="D37" s="23"/>
      <c r="E37" s="23">
        <f>E35/C35-1</f>
        <v>0.006451612903225712</v>
      </c>
      <c r="F37" s="23">
        <f>F35/E35-1</f>
        <v>-0.04487179487179482</v>
      </c>
      <c r="G37" s="17">
        <f>G35/F35-1</f>
        <v>0.016013077723637137</v>
      </c>
      <c r="H37" s="12"/>
    </row>
    <row r="38">
      <c r="A38" s="6" t="s">
        <v>305</v>
      </c>
      <c r="B38" s="4">
        <v>244</v>
      </c>
      <c r="C38" s="8">
        <f>Inputs!H267-Inputs!G267</f>
        <v>229</v>
      </c>
      <c r="D38" s="8">
        <f>Inputs!H267</f>
        <v>907</v>
      </c>
      <c r="E38" s="8">
        <f>Inputs!I267-F38</f>
        <v>221</v>
      </c>
      <c r="F38" s="4">
        <v>235</v>
      </c>
      <c r="G38" s="2">
        <f>F38*(1+G41)</f>
        <v>232.65</v>
      </c>
      <c r="H38" s="12"/>
    </row>
    <row r="39">
      <c r="A39" s="12" t="s">
        <v>118</v>
      </c>
      <c r="B39" s="14">
        <f>B38/Inputs!B322-1</f>
        <v>0.196078431372549</v>
      </c>
      <c r="C39" s="14">
        <f>C38/Inputs!C322-1</f>
        <v>0.106280193236715</v>
      </c>
      <c r="D39" s="14">
        <f>D38/Inputs!D322-1</f>
        <v>0.12113720642768855</v>
      </c>
      <c r="E39" s="14">
        <f>E38/Inputs!E322-1</f>
        <v>0.05741626794258381</v>
      </c>
      <c r="F39" s="14">
        <f>F38/Inputs!F322-1</f>
        <v>0.04444444444444451</v>
      </c>
      <c r="G39" s="17">
        <f>G38/B38-1</f>
        <v>-0.04651639344262293</v>
      </c>
      <c r="H39" s="12"/>
    </row>
    <row r="40">
      <c r="A40" s="12" t="s">
        <v>193</v>
      </c>
      <c r="B40" s="14">
        <f>B38/Inputs!F322-1</f>
        <v>0.08444444444444454</v>
      </c>
      <c r="C40" s="23">
        <f>C38/B38-1</f>
        <v>-0.061475409836065587</v>
      </c>
      <c r="D40" s="23"/>
      <c r="E40" s="23">
        <f>E38/C38-1</f>
        <v>-0.03493449781659386</v>
      </c>
      <c r="F40" s="23">
        <f>F38/E38-1</f>
        <v>0.06334841628959276</v>
      </c>
      <c r="G40" s="17">
        <f>G38/F38-1</f>
        <v>-0.010000000000000009</v>
      </c>
      <c r="H40" s="12"/>
    </row>
    <row r="41">
      <c r="A41" s="12" t="s">
        <v>306</v>
      </c>
      <c r="B41" s="14">
        <f>B38/Inputs!F322-1</f>
        <v>0.08444444444444454</v>
      </c>
      <c r="C41" s="23">
        <f>C38/B38-1</f>
        <v>-0.061475409836065587</v>
      </c>
      <c r="D41" s="23"/>
      <c r="E41" s="23">
        <f>E38/C38-1</f>
        <v>-0.03493449781659386</v>
      </c>
      <c r="F41" s="23">
        <f>F38/E38-1</f>
        <v>0.06334841628959276</v>
      </c>
      <c r="G41" s="50">
        <v>-0.01</v>
      </c>
      <c r="H41" s="7" t="s">
        <v>337</v>
      </c>
    </row>
    <row r="42">
      <c r="A42" s="28" t="s">
        <v>308</v>
      </c>
      <c r="B42" s="26">
        <f>B35+B38</f>
        <v>407</v>
      </c>
      <c r="C42" s="26">
        <f>C35+C38</f>
        <v>384</v>
      </c>
      <c r="D42" s="26">
        <f>D35+D38</f>
        <v>1562</v>
      </c>
      <c r="E42" s="26">
        <f>E35+E38</f>
        <v>377</v>
      </c>
      <c r="F42" s="26">
        <f>F35+F38</f>
        <v>384</v>
      </c>
      <c r="G42" s="39">
        <f>G35+G38</f>
        <v>384.0359485808219</v>
      </c>
      <c r="H42" s="12"/>
    </row>
    <row r="43">
      <c r="A43" s="12" t="s">
        <v>118</v>
      </c>
      <c r="B43" s="14">
        <f>B42/Inputs!B323-1</f>
        <v>0.046272493573264795</v>
      </c>
      <c r="C43" s="14">
        <f>C42/Inputs!C323-1</f>
        <v>-0.01538461538461533</v>
      </c>
      <c r="D43" s="14">
        <f>D42/Inputs!D323-1</f>
        <v>0.0032113037893384266</v>
      </c>
      <c r="E43" s="14">
        <f>E42/Inputs!E323-1</f>
        <v>-0.007894736842105288</v>
      </c>
      <c r="F43" s="14">
        <f>F42/Inputs!F323-1</f>
        <v>-0.01790281329923271</v>
      </c>
      <c r="G43" s="17">
        <f>G42/B42-1</f>
        <v>-0.05642273075965132</v>
      </c>
      <c r="H43" s="12"/>
    </row>
    <row r="44">
      <c r="A44" s="12" t="s">
        <v>193</v>
      </c>
      <c r="B44" s="14">
        <f>B42/Inputs!F323-1</f>
        <v>0.04092071611253201</v>
      </c>
      <c r="C44" s="23">
        <f>C42/B42-1</f>
        <v>-0.05651105651105648</v>
      </c>
      <c r="D44" s="23"/>
      <c r="E44" s="23">
        <f>E42/C42-1</f>
        <v>-0.01822916666666663</v>
      </c>
      <c r="F44" s="23">
        <f>F42/E42-1</f>
        <v>0.018567639257294433</v>
      </c>
      <c r="G44" s="17">
        <f>G42/F42-1</f>
        <v>0.0000936160958904253</v>
      </c>
      <c r="H44" s="12"/>
    </row>
    <row r="45">
      <c r="A45" s="12" t="s">
        <v>194</v>
      </c>
      <c r="B45" s="23" t="s">
        <v>39</v>
      </c>
      <c r="C45" s="23" t="s">
        <v>39</v>
      </c>
      <c r="D45" s="23" t="s">
        <v>39</v>
      </c>
      <c r="E45" s="23" t="s">
        <v>39</v>
      </c>
      <c r="F45" s="23" t="s">
        <v>39</v>
      </c>
      <c r="G45" s="17" t="s">
        <v>39</v>
      </c>
      <c r="H45" s="7" t="s">
        <v>195</v>
      </c>
    </row>
    <row r="46">
      <c r="A46" s="12" t="s">
        <v>196</v>
      </c>
      <c r="B46" s="23" t="s">
        <v>39</v>
      </c>
      <c r="C46" s="23" t="s">
        <v>39</v>
      </c>
      <c r="D46" s="23" t="s">
        <v>39</v>
      </c>
      <c r="E46" s="23" t="s">
        <v>39</v>
      </c>
      <c r="F46" s="23" t="s">
        <v>39</v>
      </c>
      <c r="G46" s="17" t="s">
        <v>39</v>
      </c>
      <c r="H46" s="7" t="s">
        <v>197</v>
      </c>
    </row>
    <row r="47">
      <c r="A47" s="12" t="s">
        <v>198</v>
      </c>
      <c r="B47" s="23" t="s">
        <v>39</v>
      </c>
      <c r="C47" s="23" t="s">
        <v>39</v>
      </c>
      <c r="D47" s="23" t="s">
        <v>39</v>
      </c>
      <c r="E47" s="23" t="s">
        <v>39</v>
      </c>
      <c r="F47" s="23" t="s">
        <v>39</v>
      </c>
      <c r="G47" s="17" t="s">
        <v>39</v>
      </c>
      <c r="H47" s="7" t="s">
        <v>199</v>
      </c>
    </row>
    <row r="48">
      <c r="A48" s="12" t="s">
        <v>309</v>
      </c>
      <c r="B48" s="14">
        <f>B42/'Revenue summary'!B270</f>
        <v>0.16195781933943493</v>
      </c>
      <c r="C48" s="14">
        <f>C42/'Revenue summary'!C270</f>
        <v>0.15515151515151515</v>
      </c>
      <c r="D48" s="14">
        <f>D42/'Revenue summary'!D270</f>
        <v>0.1611971104231166</v>
      </c>
      <c r="E48" s="14">
        <f>E42/'Revenue summary'!E270</f>
        <v>0.15444489963129865</v>
      </c>
      <c r="F48" s="14">
        <f>F42/'Revenue summary'!F270</f>
        <v>0.15165876777251186</v>
      </c>
      <c r="G48" s="58">
        <f>G42/'Revenue summary'!G270</f>
        <v>0.15161215861097982</v>
      </c>
      <c r="H48" s="12"/>
    </row>
    <row r="49">
      <c r="A49" s="6" t="s">
        <v>310</v>
      </c>
      <c r="B49" s="4">
        <v>407</v>
      </c>
      <c r="C49" s="8">
        <f>Inputs!H268-Inputs!G268</f>
        <v>384</v>
      </c>
      <c r="D49" s="8">
        <f>Inputs!H268</f>
        <v>1562</v>
      </c>
      <c r="E49" s="8">
        <f>Inputs!I268-F49</f>
        <v>377</v>
      </c>
      <c r="F49" s="4">
        <v>384</v>
      </c>
      <c r="G49" s="2"/>
      <c r="H49" s="7" t="s">
        <v>311</v>
      </c>
    </row>
    <row r="50">
      <c r="A50" s="12" t="s">
        <v>312</v>
      </c>
      <c r="B50" s="32">
        <f>B42-B49</f>
        <v>0</v>
      </c>
      <c r="C50" s="32">
        <f>C42-C49</f>
        <v>0</v>
      </c>
      <c r="D50" s="32">
        <f>D42-D49</f>
        <v>0</v>
      </c>
      <c r="E50" s="32">
        <f>E42-E49</f>
        <v>0</v>
      </c>
      <c r="F50" s="32">
        <f>F42-F49</f>
        <v>0</v>
      </c>
      <c r="G50" s="52"/>
      <c r="H50" s="12"/>
    </row>
    <row r="51">
      <c r="A51" s="6" t="s">
        <v>313</v>
      </c>
      <c r="B51" s="4">
        <v>0</v>
      </c>
      <c r="C51" s="8">
        <f>Inputs!H269-Inputs!G269</f>
        <v>0</v>
      </c>
      <c r="D51" s="8">
        <f>Inputs!H269</f>
        <v>5</v>
      </c>
      <c r="E51" s="8">
        <f>Inputs!I269-F51</f>
        <v>0</v>
      </c>
      <c r="F51" s="4">
        <v>0</v>
      </c>
      <c r="G51" s="21">
        <v>1</v>
      </c>
      <c r="H51" s="7" t="s">
        <v>314</v>
      </c>
    </row>
    <row r="52">
      <c r="A52" s="12" t="s">
        <v>118</v>
      </c>
      <c r="B52" s="14">
        <f>B51/Inputs!B324-1</f>
        <v>-1</v>
      </c>
      <c r="C52" s="23" t="s">
        <v>148</v>
      </c>
      <c r="D52" s="14">
        <f>D51/Inputs!D324-1</f>
        <v>-0.16666666666666663</v>
      </c>
      <c r="E52" s="14">
        <f>E51/Inputs!E324-1</f>
        <v>-1</v>
      </c>
      <c r="F52" s="14">
        <f>F51/Inputs!F324-1</f>
        <v>-1</v>
      </c>
      <c r="G52" s="17" t="s">
        <v>148</v>
      </c>
      <c r="H52" s="12"/>
    </row>
    <row r="53">
      <c r="A53" s="6" t="s">
        <v>120</v>
      </c>
      <c r="B53" s="8">
        <f>B51-Inputs!F324</f>
        <v>-2</v>
      </c>
      <c r="C53" s="1">
        <f>C51-B51</f>
        <v>0</v>
      </c>
      <c r="D53" s="1"/>
      <c r="E53" s="1">
        <f>E51-C51</f>
        <v>0</v>
      </c>
      <c r="F53" s="1">
        <f>F51-E51</f>
        <v>0</v>
      </c>
      <c r="G53" s="2">
        <f>G51-F51</f>
        <v>1</v>
      </c>
      <c r="H53" s="12"/>
    </row>
    <row r="54">
      <c r="A54" s="6" t="s">
        <v>315</v>
      </c>
      <c r="B54" s="4">
        <v>112</v>
      </c>
      <c r="C54" s="8">
        <f>Inputs!H270-Inputs!G270</f>
        <v>111</v>
      </c>
      <c r="D54" s="8">
        <f>Inputs!H270</f>
        <v>436</v>
      </c>
      <c r="E54" s="8">
        <f>Inputs!I270-F54</f>
        <v>109</v>
      </c>
      <c r="F54" s="4">
        <v>112</v>
      </c>
      <c r="G54" s="2">
        <f>F54*(1+G58)</f>
        <v>114.24000000000001</v>
      </c>
      <c r="H54" s="12"/>
    </row>
    <row r="55">
      <c r="A55" s="6" t="s">
        <v>316</v>
      </c>
      <c r="B55" s="4">
        <v>2</v>
      </c>
      <c r="C55" s="8">
        <f>Inputs!H271-Inputs!G271</f>
        <v>2</v>
      </c>
      <c r="D55" s="8">
        <f>Inputs!H271</f>
        <v>8</v>
      </c>
      <c r="E55" s="8">
        <f>Inputs!I271-F55</f>
        <v>2</v>
      </c>
      <c r="F55" s="4">
        <v>2</v>
      </c>
      <c r="G55" s="2">
        <f>F55*(1+G58)</f>
        <v>2.04</v>
      </c>
      <c r="H55" s="12"/>
    </row>
    <row r="56">
      <c r="A56" s="6" t="s">
        <v>317</v>
      </c>
      <c r="B56" s="4">
        <v>25</v>
      </c>
      <c r="C56" s="8">
        <f>Inputs!H272-Inputs!G272</f>
        <v>52</v>
      </c>
      <c r="D56" s="8">
        <f>Inputs!H272</f>
        <v>129</v>
      </c>
      <c r="E56" s="8">
        <f>Inputs!I272-F56</f>
        <v>35</v>
      </c>
      <c r="F56" s="4">
        <v>28</v>
      </c>
      <c r="G56" s="2">
        <f>F56*(1+G58)</f>
        <v>28.560000000000002</v>
      </c>
      <c r="H56" s="12"/>
    </row>
    <row r="57">
      <c r="A57" s="6" t="s">
        <v>318</v>
      </c>
      <c r="B57" s="4">
        <v>78</v>
      </c>
      <c r="C57" s="8">
        <f>Inputs!H273-Inputs!G273</f>
        <v>69</v>
      </c>
      <c r="D57" s="8">
        <f>Inputs!H273</f>
        <v>310</v>
      </c>
      <c r="E57" s="8">
        <f>Inputs!I273-F57</f>
        <v>80</v>
      </c>
      <c r="F57" s="4">
        <v>81</v>
      </c>
      <c r="G57" s="2">
        <f>F57*(1+G58)</f>
        <v>82.62</v>
      </c>
      <c r="H57" s="12"/>
    </row>
    <row r="58">
      <c r="A58" s="12" t="s">
        <v>319</v>
      </c>
      <c r="B58" s="14">
        <f>B59/(Inputs!F325+Inputs!F326+Inputs!F327+Inputs!F328)-1</f>
        <v>0</v>
      </c>
      <c r="C58" s="23">
        <f>C59/B59-1</f>
        <v>0.07834101382488479</v>
      </c>
      <c r="D58" s="23"/>
      <c r="E58" s="23">
        <f>E59/C59-1</f>
        <v>-0.03418803418803418</v>
      </c>
      <c r="F58" s="23">
        <f>F59/E59-1</f>
        <v>-0.013274336283185861</v>
      </c>
      <c r="G58" s="50">
        <v>0.02</v>
      </c>
      <c r="H58" s="7" t="s">
        <v>320</v>
      </c>
    </row>
    <row r="59">
      <c r="A59" s="28" t="s">
        <v>321</v>
      </c>
      <c r="B59" s="26">
        <f>SUM(B54:B57)</f>
        <v>217</v>
      </c>
      <c r="C59" s="26">
        <f>SUM(C54:C57)</f>
        <v>234</v>
      </c>
      <c r="D59" s="26">
        <f>SUM(D54:D57)</f>
        <v>883</v>
      </c>
      <c r="E59" s="26">
        <f>SUM(E54:E57)</f>
        <v>226</v>
      </c>
      <c r="F59" s="26">
        <f>SUM(F54:F57)</f>
        <v>223</v>
      </c>
      <c r="G59" s="39">
        <f>SUM(G54:G57)</f>
        <v>227.46</v>
      </c>
      <c r="H59" s="12"/>
    </row>
    <row r="60">
      <c r="A60" s="12" t="s">
        <v>118</v>
      </c>
      <c r="B60" s="14">
        <f>B59/(Inputs!B325+Inputs!B326+Inputs!B327+Inputs!B328)-1</f>
        <v>0.07425742574257432</v>
      </c>
      <c r="C60" s="14">
        <f>C59/(Inputs!C325+Inputs!C326+Inputs!C327+Inputs!C328)-1</f>
        <v>0.05882352941176472</v>
      </c>
      <c r="D60" s="14">
        <f>D59/(Inputs!D325+Inputs!D326+Inputs!D327+Inputs!D328)-1</f>
        <v>0.0625752105896511</v>
      </c>
      <c r="E60" s="14">
        <f>E59/(Inputs!E325+Inputs!E326+Inputs!E327+Inputs!E328)-1</f>
        <v>0.051162790697674376</v>
      </c>
      <c r="F60" s="14">
        <f>F59/(Inputs!F325+Inputs!F326+Inputs!F327+Inputs!F328)-1</f>
        <v>0.02764976958525356</v>
      </c>
      <c r="G60" s="17">
        <f>G59/B59-1</f>
        <v>0.04820276497695852</v>
      </c>
      <c r="H60" s="12"/>
    </row>
    <row r="61">
      <c r="A61" s="28" t="s">
        <v>322</v>
      </c>
      <c r="B61" s="26">
        <f>B42-B51-B59</f>
        <v>190</v>
      </c>
      <c r="C61" s="26">
        <f>C42-C51-C59</f>
        <v>150</v>
      </c>
      <c r="D61" s="26">
        <f>D42-D51-D59</f>
        <v>674</v>
      </c>
      <c r="E61" s="26">
        <f>E42-E51-E59</f>
        <v>151</v>
      </c>
      <c r="F61" s="26">
        <f>F42-F51-F59</f>
        <v>161</v>
      </c>
      <c r="G61" s="39">
        <f>G42-G51-G59</f>
        <v>155.57594858082192</v>
      </c>
      <c r="H61" s="12"/>
    </row>
    <row r="62">
      <c r="A62" s="12" t="s">
        <v>118</v>
      </c>
      <c r="B62" s="14">
        <f>B61/Inputs!B329-1</f>
        <v>0.032608695652173836</v>
      </c>
      <c r="C62" s="14">
        <f>C61/Inputs!C329-1</f>
        <v>-0.1124260355029586</v>
      </c>
      <c r="D62" s="14">
        <f>D61/Inputs!D329-1</f>
        <v>-0.06388888888888888</v>
      </c>
      <c r="E62" s="14">
        <f>E61/Inputs!E329-1</f>
        <v>-0.0679012345679012</v>
      </c>
      <c r="F62" s="14">
        <f>F61/Inputs!F329-1</f>
        <v>-0.06395348837209303</v>
      </c>
      <c r="G62" s="17">
        <f>G61/B61-1</f>
        <v>-0.18117921799567416</v>
      </c>
      <c r="H62" s="12"/>
    </row>
    <row r="63">
      <c r="A63" s="6" t="s">
        <v>323</v>
      </c>
      <c r="B63" s="4">
        <v>48</v>
      </c>
      <c r="C63" s="8">
        <f>Inputs!H275-Inputs!G275</f>
        <v>39</v>
      </c>
      <c r="D63" s="8">
        <f>Inputs!H275</f>
        <v>172</v>
      </c>
      <c r="E63" s="8">
        <f>Inputs!I275-F63</f>
        <v>39</v>
      </c>
      <c r="F63" s="4">
        <v>41</v>
      </c>
      <c r="G63" s="2">
        <f>G61*G77</f>
        <v>39.67186688810959</v>
      </c>
      <c r="H63" s="12"/>
    </row>
    <row r="64">
      <c r="A64" s="28" t="s">
        <v>324</v>
      </c>
      <c r="B64" s="26">
        <f>B61-B63</f>
        <v>142</v>
      </c>
      <c r="C64" s="26">
        <f>C61-C63</f>
        <v>111</v>
      </c>
      <c r="D64" s="26">
        <f>D61-D63</f>
        <v>502</v>
      </c>
      <c r="E64" s="26">
        <f>E61-E63</f>
        <v>112</v>
      </c>
      <c r="F64" s="26">
        <f>F61-F63</f>
        <v>120</v>
      </c>
      <c r="G64" s="39">
        <f>G61-G63</f>
        <v>115.90408169271232</v>
      </c>
      <c r="H64" s="12"/>
    </row>
    <row r="65">
      <c r="A65" s="12" t="s">
        <v>118</v>
      </c>
      <c r="B65" s="14">
        <f>B64/Inputs!B331-1</f>
        <v>0.03649635036496357</v>
      </c>
      <c r="C65" s="14">
        <f>C64/Inputs!C331-1</f>
        <v>-0.11904761904761907</v>
      </c>
      <c r="D65" s="14">
        <f>D64/Inputs!D331-1</f>
        <v>-0.06168224299065417</v>
      </c>
      <c r="E65" s="14">
        <f>E64/Inputs!E331-1</f>
        <v>-0.07438016528925617</v>
      </c>
      <c r="F65" s="14">
        <f>F64/Inputs!F331-1</f>
        <v>-0.0625</v>
      </c>
      <c r="G65" s="17">
        <f>G64/B64-1</f>
        <v>-0.1837740725865329</v>
      </c>
      <c r="H65" s="12"/>
    </row>
    <row r="66">
      <c r="A66" s="12" t="s">
        <v>193</v>
      </c>
      <c r="B66" s="14">
        <f>B64/Inputs!F331-1</f>
        <v>0.109375</v>
      </c>
      <c r="C66" s="23">
        <f>C64/B64-1</f>
        <v>-0.21830985915492962</v>
      </c>
      <c r="D66" s="23"/>
      <c r="E66" s="23">
        <f>E64/C64-1</f>
        <v>0.009009009009008917</v>
      </c>
      <c r="F66" s="23">
        <f>F64/E64-1</f>
        <v>0.0714285714285714</v>
      </c>
      <c r="G66" s="17">
        <f>G64/F64-1</f>
        <v>-0.034132652560730614</v>
      </c>
      <c r="H66" s="12"/>
    </row>
    <row r="67">
      <c r="A67" s="6" t="s">
        <v>325</v>
      </c>
      <c r="B67" s="4">
        <v>142</v>
      </c>
      <c r="C67" s="8">
        <f>Inputs!H276-Inputs!G276</f>
        <v>111</v>
      </c>
      <c r="D67" s="8">
        <f>Inputs!H276</f>
        <v>502</v>
      </c>
      <c r="E67" s="8">
        <f>Inputs!I276-F67</f>
        <v>112</v>
      </c>
      <c r="F67" s="4">
        <v>120</v>
      </c>
      <c r="G67" s="2"/>
      <c r="H67" s="7" t="s">
        <v>311</v>
      </c>
    </row>
    <row r="68">
      <c r="A68" s="12" t="s">
        <v>326</v>
      </c>
      <c r="B68" s="32">
        <f>B64-B67</f>
        <v>0</v>
      </c>
      <c r="C68" s="32">
        <f>C64-C67</f>
        <v>0</v>
      </c>
      <c r="D68" s="32">
        <f>D64-D67</f>
        <v>0</v>
      </c>
      <c r="E68" s="32">
        <f>E64-E67</f>
        <v>0</v>
      </c>
      <c r="F68" s="32">
        <f>F64-F67</f>
        <v>0</v>
      </c>
      <c r="G68" s="52"/>
      <c r="H68" s="12"/>
    </row>
    <row r="69">
      <c r="A69" s="6"/>
      <c r="B69" s="11"/>
      <c r="C69" s="11"/>
      <c r="D69" s="11"/>
      <c r="E69" s="11"/>
      <c r="F69" s="11"/>
      <c r="G69" s="20"/>
      <c r="H69" s="12"/>
    </row>
    <row r="70">
      <c r="A70" s="18" t="s">
        <v>327</v>
      </c>
      <c r="B70" s="11"/>
      <c r="C70" s="11"/>
      <c r="D70" s="11"/>
      <c r="E70" s="11"/>
      <c r="F70" s="11"/>
      <c r="G70" s="20"/>
      <c r="H70" s="12"/>
    </row>
    <row r="71">
      <c r="A71" s="12" t="s">
        <v>328</v>
      </c>
      <c r="B71" s="23">
        <f>B59/B42</f>
        <v>0.5331695331695332</v>
      </c>
      <c r="C71" s="23">
        <f>C59/C42</f>
        <v>0.609375</v>
      </c>
      <c r="D71" s="23">
        <f>D59/D42</f>
        <v>0.5653008962868118</v>
      </c>
      <c r="E71" s="23">
        <f>E59/E42</f>
        <v>0.5994694960212201</v>
      </c>
      <c r="F71" s="23">
        <f>F59/F42</f>
        <v>0.5807291666666666</v>
      </c>
      <c r="G71" s="17">
        <f>G59/G42</f>
        <v>0.5922883022814989</v>
      </c>
      <c r="H71" s="12"/>
    </row>
    <row r="72">
      <c r="A72" s="6" t="s">
        <v>123</v>
      </c>
      <c r="B72" s="27">
        <f>(B71-(Inputs!F325+Inputs!F326+Inputs!F327+Inputs!F328)/Inputs!F323)*10000</f>
        <v>-218.17679106681643</v>
      </c>
      <c r="C72" s="29">
        <f>(C71-B71)*10000</f>
        <v>762.0546683046681</v>
      </c>
      <c r="D72" s="29"/>
      <c r="E72" s="29">
        <f>(E71-C71)*10000</f>
        <v>-99.05503978779873</v>
      </c>
      <c r="F72" s="29">
        <f>(F71-E71)*10000</f>
        <v>-187.40329354553498</v>
      </c>
      <c r="G72" s="33">
        <f>(G71-F71)*10000</f>
        <v>115.59135614832239</v>
      </c>
      <c r="H72" s="12"/>
    </row>
    <row r="73">
      <c r="A73" s="6" t="s">
        <v>124</v>
      </c>
      <c r="B73" s="27">
        <f>(B71-(Inputs!B325+Inputs!B326+Inputs!B327+Inputs!B328)/Inputs!B323)*10000</f>
        <v>138.89327514006177</v>
      </c>
      <c r="C73" s="27">
        <f>(C71-(Inputs!C325+Inputs!C326+Inputs!C327+Inputs!C328)/Inputs!C323)*10000</f>
        <v>427.0833333333335</v>
      </c>
      <c r="D73" s="27">
        <f>(D71-(Inputs!D325+Inputs!D326+Inputs!D327+Inputs!D328)/Inputs!D323)*10000</f>
        <v>315.8220649875787</v>
      </c>
      <c r="E73" s="27">
        <f>(E71-(Inputs!E325+Inputs!E326+Inputs!E327+Inputs!E328)/Inputs!E323)*10000</f>
        <v>336.8002233700962</v>
      </c>
      <c r="F73" s="27">
        <f>(F71-(Inputs!F325+Inputs!F326+Inputs!F327+Inputs!F328)/Inputs!F323)*10000</f>
        <v>257.4195439045179</v>
      </c>
      <c r="G73" s="33">
        <f>(G71-B71)*10000</f>
        <v>591.1876911196567</v>
      </c>
      <c r="H73" s="7" t="s">
        <v>125</v>
      </c>
    </row>
    <row r="74">
      <c r="A74" s="12" t="s">
        <v>329</v>
      </c>
      <c r="B74" s="23">
        <f>B61/B42</f>
        <v>0.4668304668304668</v>
      </c>
      <c r="C74" s="23">
        <f>C61/C42</f>
        <v>0.390625</v>
      </c>
      <c r="D74" s="23">
        <f>D61/D42</f>
        <v>0.43149807938540335</v>
      </c>
      <c r="E74" s="23">
        <f>E61/E42</f>
        <v>0.4005305039787798</v>
      </c>
      <c r="F74" s="23">
        <f>F61/F42</f>
        <v>0.4192708333333333</v>
      </c>
      <c r="G74" s="17">
        <f>G61/G42</f>
        <v>0.40510777482093013</v>
      </c>
      <c r="H74" s="12"/>
    </row>
    <row r="75">
      <c r="A75" s="6" t="s">
        <v>123</v>
      </c>
      <c r="B75" s="27">
        <f>(B74-Inputs!F329/Inputs!F323)*10000</f>
        <v>269.3276862074812</v>
      </c>
      <c r="C75" s="29">
        <f>(C74-B74)*10000</f>
        <v>-762.0546683046681</v>
      </c>
      <c r="D75" s="29"/>
      <c r="E75" s="29">
        <f>(E74-C74)*10000</f>
        <v>99.05503978779817</v>
      </c>
      <c r="F75" s="29">
        <f>(F74-E74)*10000</f>
        <v>187.40329354553498</v>
      </c>
      <c r="G75" s="33">
        <f>(G74-F74)*10000</f>
        <v>-141.63058512403182</v>
      </c>
      <c r="H75" s="12"/>
    </row>
    <row r="76">
      <c r="A76" s="6" t="s">
        <v>124</v>
      </c>
      <c r="B76" s="27">
        <f>(B74-Inputs!B329/Inputs!B323)*10000</f>
        <v>-61.77245251795416</v>
      </c>
      <c r="C76" s="27">
        <f>(C74-Inputs!C329/Inputs!C323)*10000</f>
        <v>-427.0833333333335</v>
      </c>
      <c r="D76" s="27">
        <f>(D74-Inputs!D329/Inputs!D323)*10000</f>
        <v>-309.2966627933652</v>
      </c>
      <c r="E76" s="27">
        <f>(E74-Inputs!E329/Inputs!E323)*10000</f>
        <v>-257.8528549490439</v>
      </c>
      <c r="F76" s="27">
        <f>(F74-Inputs!F329/Inputs!F323)*10000</f>
        <v>-206.26864876385375</v>
      </c>
      <c r="G76" s="33">
        <f>(G74-B74)*10000</f>
        <v>-617.2269200953667</v>
      </c>
      <c r="H76" s="7" t="s">
        <v>125</v>
      </c>
    </row>
    <row r="77">
      <c r="A77" s="12" t="s">
        <v>330</v>
      </c>
      <c r="B77" s="23">
        <f>B63/B61</f>
        <v>0.25263157894736843</v>
      </c>
      <c r="C77" s="23">
        <f>C63/C61</f>
        <v>0.26</v>
      </c>
      <c r="D77" s="23">
        <f>D63/D61</f>
        <v>0.2551928783382789</v>
      </c>
      <c r="E77" s="23">
        <f>E63/E61</f>
        <v>0.2582781456953642</v>
      </c>
      <c r="F77" s="23">
        <f>F63/F61</f>
        <v>0.2546583850931677</v>
      </c>
      <c r="G77" s="50">
        <v>0.255</v>
      </c>
      <c r="H77" s="7" t="s">
        <v>331</v>
      </c>
    </row>
    <row r="78">
      <c r="A78" s="6" t="s">
        <v>123</v>
      </c>
      <c r="B78" s="27">
        <f>(B77-Inputs!F330/Inputs!F329)*10000</f>
        <v>-31.823745410036743</v>
      </c>
      <c r="C78" s="29">
        <f>(C77-B77)*10000</f>
        <v>73.6842105263158</v>
      </c>
      <c r="D78" s="29"/>
      <c r="E78" s="29">
        <f>(E77-C77)*10000</f>
        <v>-17.218543046357837</v>
      </c>
      <c r="F78" s="29">
        <f>(F77-E77)*10000</f>
        <v>-36.19760602196542</v>
      </c>
      <c r="G78" s="33">
        <f>(G77-F77)*10000</f>
        <v>3.4161490683232154</v>
      </c>
      <c r="H78" s="12"/>
    </row>
    <row r="79">
      <c r="A79" s="6" t="s">
        <v>124</v>
      </c>
      <c r="B79" s="27">
        <f>(B77-Inputs!B330/Inputs!B329)*10000</f>
        <v>-28.03203661327247</v>
      </c>
      <c r="C79" s="27">
        <f>(C77-Inputs!C330/Inputs!C329)*10000</f>
        <v>55.62130177514779</v>
      </c>
      <c r="D79" s="27">
        <f>(D77-Inputs!D330/Inputs!D329)*10000</f>
        <v>-17.51566106165503</v>
      </c>
      <c r="E79" s="27">
        <f>(E77-Inputs!E330/Inputs!E329)*10000</f>
        <v>51.91725942277792</v>
      </c>
      <c r="F79" s="27">
        <f>(F77-Inputs!F330/Inputs!F329)*10000</f>
        <v>-11.555683952044205</v>
      </c>
      <c r="G79" s="33">
        <f>(G77-B77)*10000</f>
        <v>23.684210526315752</v>
      </c>
      <c r="H79" s="7" t="s">
        <v>125</v>
      </c>
    </row>
    <row r="80">
      <c r="A80" s="12" t="s">
        <v>332</v>
      </c>
      <c r="B80" s="24">
        <f>B64*365/B$6/B10</f>
        <v>0.12936155343682923</v>
      </c>
      <c r="C80" s="24">
        <f>C64*365/C$6/C10</f>
        <v>0.09782144176467321</v>
      </c>
      <c r="D80" s="24">
        <f>D64*365/D$6/D10</f>
        <v>0.11650034810860989</v>
      </c>
      <c r="E80" s="24">
        <f>E64*365/E$6/E10</f>
        <v>0.09574488017837403</v>
      </c>
      <c r="F80" s="24">
        <f>F64*365/F$6/F10</f>
        <v>0.10180175154794445</v>
      </c>
      <c r="G80" s="56">
        <f>G64*365/G$6/G10</f>
        <v>0.09677434440447656</v>
      </c>
      <c r="H80" s="12"/>
    </row>
    <row r="81">
      <c r="A81" s="6" t="s">
        <v>123</v>
      </c>
      <c r="B81" s="27">
        <f>(B80-Inputs!F331*365/Inputs!F135/Inputs!F332)*10000</f>
        <v>91.82107414686585</v>
      </c>
      <c r="C81" s="29">
        <f>(C80-B80)*10000</f>
        <v>-315.4011167215602</v>
      </c>
      <c r="D81" s="29"/>
      <c r="E81" s="29">
        <f>(E80-C80)*10000</f>
        <v>-20.765615862991805</v>
      </c>
      <c r="F81" s="29">
        <f>(F80-E80)*10000</f>
        <v>60.56871369570421</v>
      </c>
      <c r="G81" s="33">
        <f>(G80-F80)*10000</f>
        <v>-50.27407143467888</v>
      </c>
      <c r="H81" s="12"/>
    </row>
    <row r="82">
      <c r="A82" s="6" t="s">
        <v>124</v>
      </c>
      <c r="B82" s="27">
        <f>(B80-Inputs!B331*365/Inputs!B135/Inputs!B332)*10000</f>
        <v>-100.77289224959401</v>
      </c>
      <c r="C82" s="27">
        <f>(C80-Inputs!C331*365/Inputs!C135/Inputs!C332)*10000</f>
        <v>-273.5207011578732</v>
      </c>
      <c r="D82" s="27">
        <f>(D80-Inputs!D331*365/Inputs!D135/Inputs!D332)*10000</f>
        <v>-242.8912557560063</v>
      </c>
      <c r="E82" s="27">
        <f>(E80-Inputs!E331*365/Inputs!E135/Inputs!E332)*10000</f>
        <v>-239.12660563169473</v>
      </c>
      <c r="F82" s="27">
        <f>(F80-Inputs!F331*365/Inputs!F135/Inputs!F332)*10000</f>
        <v>-183.77694474198194</v>
      </c>
      <c r="G82" s="33">
        <f>(G80-B80)*10000</f>
        <v>-325.87209032352666</v>
      </c>
      <c r="H82" s="7" t="s">
        <v>125</v>
      </c>
    </row>
    <row r="83">
      <c r="A83" s="12" t="s">
        <v>333</v>
      </c>
      <c r="B83" s="24">
        <f>B51*365/B$6/B10</f>
        <v>0</v>
      </c>
      <c r="C83" s="24">
        <f>C51*365/C$6/C10</f>
        <v>0</v>
      </c>
      <c r="D83" s="24">
        <f>D51*365/D$6/D10</f>
        <v>0.0011603620329542817</v>
      </c>
      <c r="E83" s="24">
        <f>E51*365/E$6/E10</f>
        <v>0</v>
      </c>
      <c r="F83" s="24">
        <f>F51*365/F$6/F10</f>
        <v>0</v>
      </c>
      <c r="G83" s="56">
        <f>G51*365/G$6/G10</f>
        <v>0.0008349519964365623</v>
      </c>
      <c r="H83" s="12"/>
    </row>
    <row r="84">
      <c r="A84" s="6" t="s">
        <v>123</v>
      </c>
      <c r="B84" s="27">
        <f>(B83-Inputs!F324*365/Inputs!F135/Inputs!F332)*10000</f>
        <v>-18.778038440959786</v>
      </c>
      <c r="C84" s="29">
        <f>(C83-B83)*10000</f>
        <v>0</v>
      </c>
      <c r="D84" s="29"/>
      <c r="E84" s="29">
        <f>(E83-C83)*10000</f>
        <v>0</v>
      </c>
      <c r="F84" s="29">
        <f>(F83-E83)*10000</f>
        <v>0</v>
      </c>
      <c r="G84" s="33">
        <f>(G83-F83)*10000</f>
        <v>8.349519964365623</v>
      </c>
      <c r="H84" s="12"/>
    </row>
    <row r="85">
      <c r="A85" s="6" t="s">
        <v>124</v>
      </c>
      <c r="B85" s="27">
        <f>(B83-Inputs!B324*365/Inputs!B135/Inputs!B332)*10000</f>
        <v>-30.534053137617956</v>
      </c>
      <c r="C85" s="27">
        <f>(C83-Inputs!C324*365/Inputs!C135/Inputs!C332)*10000</f>
        <v>0</v>
      </c>
      <c r="D85" s="27">
        <f>(D83-Inputs!D324*365/Inputs!D135/Inputs!D332)*10000</f>
        <v>-4.185853354667708</v>
      </c>
      <c r="E85" s="27">
        <f>(E83-Inputs!E324*365/Inputs!E135/Inputs!E332)*10000</f>
        <v>-29.667158861539708</v>
      </c>
      <c r="F85" s="27">
        <f>(F83-Inputs!F324*365/Inputs!F135/Inputs!F332)*10000</f>
        <v>-18.778038440959786</v>
      </c>
      <c r="G85" s="33">
        <f>(G83-B83)*10000</f>
        <v>8.349519964365623</v>
      </c>
      <c r="H85" s="7" t="s">
        <v>125</v>
      </c>
    </row>
    <row r="86">
      <c r="A86" s="6"/>
      <c r="B86" s="6"/>
      <c r="C86" s="6"/>
      <c r="D86" s="6"/>
      <c r="E86" s="6"/>
      <c r="F86" s="6"/>
      <c r="G86" s="6"/>
      <c r="H86" s="6"/>
    </row>
    <row r="87">
      <c r="A87" s="6"/>
      <c r="B87" s="6"/>
      <c r="C87" s="6"/>
      <c r="D87" s="6"/>
      <c r="E87" s="6"/>
      <c r="F87" s="6"/>
      <c r="G87" s="6"/>
      <c r="H87" s="6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H130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338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339</v>
      </c>
      <c r="B8" s="11"/>
      <c r="C8" s="11"/>
      <c r="D8" s="11"/>
      <c r="E8" s="11"/>
      <c r="F8" s="11"/>
      <c r="G8" s="20"/>
      <c r="H8" s="12"/>
    </row>
    <row r="9">
      <c r="A9" s="6" t="s">
        <v>340</v>
      </c>
      <c r="B9" s="8">
        <f>'Revenue summary'!B136</f>
        <v>2680</v>
      </c>
      <c r="C9" s="8">
        <f>'Revenue summary'!C136</f>
        <v>2637</v>
      </c>
      <c r="D9" s="8">
        <f>'Revenue summary'!D136</f>
        <v>10486</v>
      </c>
      <c r="E9" s="8">
        <f>'Revenue summary'!E136</f>
        <v>2536</v>
      </c>
      <c r="F9" s="8">
        <f>'Revenue summary'!F136</f>
        <v>2620</v>
      </c>
      <c r="G9" s="35">
        <f>'Revenue summary'!G136</f>
        <v>2686.3877260273975</v>
      </c>
      <c r="H9" s="12"/>
    </row>
    <row r="10">
      <c r="A10" s="6" t="s">
        <v>190</v>
      </c>
      <c r="B10" s="8">
        <f>'Revenue summary'!B139</f>
        <v>919</v>
      </c>
      <c r="C10" s="8">
        <f>'Revenue summary'!C139</f>
        <v>858</v>
      </c>
      <c r="D10" s="8">
        <f>'Revenue summary'!D139</f>
        <v>3538</v>
      </c>
      <c r="E10" s="8">
        <f>'Revenue summary'!E139</f>
        <v>784</v>
      </c>
      <c r="F10" s="8">
        <f>'Revenue summary'!F139</f>
        <v>828</v>
      </c>
      <c r="G10" s="35">
        <f>'Revenue summary'!G139</f>
        <v>871.6659726027397</v>
      </c>
      <c r="H10" s="12"/>
    </row>
    <row r="11">
      <c r="A11" s="28" t="s">
        <v>180</v>
      </c>
      <c r="B11" s="26">
        <f>B9-B10</f>
        <v>1761</v>
      </c>
      <c r="C11" s="26">
        <f>C9-C10</f>
        <v>1779</v>
      </c>
      <c r="D11" s="26">
        <f>D9-D10</f>
        <v>6948</v>
      </c>
      <c r="E11" s="26">
        <f>E9-E10</f>
        <v>1752</v>
      </c>
      <c r="F11" s="26">
        <f>F9-F10</f>
        <v>1792</v>
      </c>
      <c r="G11" s="39">
        <f>G9-G10</f>
        <v>1814.721753424658</v>
      </c>
      <c r="H11" s="12"/>
    </row>
    <row r="12">
      <c r="A12" s="12" t="s">
        <v>118</v>
      </c>
      <c r="B12" s="14">
        <f>B11/Inputs!B125-1</f>
        <v>0.02027809965237548</v>
      </c>
      <c r="C12" s="14">
        <f>C11/Inputs!C125-1</f>
        <v>0.02951388888888884</v>
      </c>
      <c r="D12" s="14">
        <f>D11/Inputs!D125-1</f>
        <v>0.014010507880910739</v>
      </c>
      <c r="E12" s="14">
        <f>E11/Inputs!E125-1</f>
        <v>0.03362831858407089</v>
      </c>
      <c r="F12" s="14">
        <f>F11/Inputs!F125-1</f>
        <v>0.04611792177466434</v>
      </c>
      <c r="G12" s="17">
        <f>G11/B11-1</f>
        <v>0.030506390360396374</v>
      </c>
      <c r="H12" s="12"/>
    </row>
    <row r="13">
      <c r="A13" s="6" t="s">
        <v>313</v>
      </c>
      <c r="B13" s="4">
        <v>125</v>
      </c>
      <c r="C13" s="4">
        <v>125</v>
      </c>
      <c r="D13" s="8">
        <f>Inputs!E98+Inputs!F98+B13+C13</f>
        <v>505</v>
      </c>
      <c r="E13" s="4">
        <v>140</v>
      </c>
      <c r="F13" s="4">
        <v>120</v>
      </c>
      <c r="G13" s="2">
        <f>G126</f>
        <v>131.34082191780806</v>
      </c>
      <c r="H13" s="7" t="s">
        <v>341</v>
      </c>
    </row>
    <row r="14">
      <c r="A14" s="28" t="s">
        <v>342</v>
      </c>
      <c r="B14" s="26">
        <f>B11-B13</f>
        <v>1636</v>
      </c>
      <c r="C14" s="26">
        <f>C11-C13</f>
        <v>1654</v>
      </c>
      <c r="D14" s="26">
        <f>D11-D13</f>
        <v>6443</v>
      </c>
      <c r="E14" s="26">
        <f>E11-E13</f>
        <v>1612</v>
      </c>
      <c r="F14" s="26">
        <f>F11-F13</f>
        <v>1672</v>
      </c>
      <c r="G14" s="39">
        <f>G11-G13</f>
        <v>1683.3809315068497</v>
      </c>
      <c r="H14" s="12"/>
    </row>
    <row r="15">
      <c r="A15" s="6" t="s">
        <v>343</v>
      </c>
      <c r="B15" s="8">
        <f>'Revenue summary'!B167</f>
        <v>217</v>
      </c>
      <c r="C15" s="8">
        <f>'Revenue summary'!C167</f>
        <v>220</v>
      </c>
      <c r="D15" s="8">
        <f>'Revenue summary'!D167</f>
        <v>863</v>
      </c>
      <c r="E15" s="8">
        <f>'Revenue summary'!E167</f>
        <v>219</v>
      </c>
      <c r="F15" s="8">
        <f>'Revenue summary'!F167</f>
        <v>235</v>
      </c>
      <c r="G15" s="35">
        <f>'Revenue summary'!G167</f>
        <v>234</v>
      </c>
      <c r="H15" s="12"/>
    </row>
    <row r="16">
      <c r="A16" s="6" t="s">
        <v>344</v>
      </c>
      <c r="B16" s="8">
        <f>'Revenue summary'!B196</f>
        <v>147</v>
      </c>
      <c r="C16" s="8">
        <f>'Revenue summary'!C196</f>
        <v>155</v>
      </c>
      <c r="D16" s="8">
        <f>'Revenue summary'!D196</f>
        <v>550</v>
      </c>
      <c r="E16" s="8">
        <f>'Revenue summary'!E196</f>
        <v>127</v>
      </c>
      <c r="F16" s="8">
        <f>'Revenue summary'!F196</f>
        <v>127</v>
      </c>
      <c r="G16" s="35">
        <f>'Revenue summary'!G196</f>
        <v>143.29375205479454</v>
      </c>
      <c r="H16" s="12"/>
    </row>
    <row r="17">
      <c r="A17" s="6" t="s">
        <v>345</v>
      </c>
      <c r="B17" s="8">
        <f>'Revenue summary'!B202</f>
        <v>105</v>
      </c>
      <c r="C17" s="8">
        <f>'Revenue summary'!C202</f>
        <v>105</v>
      </c>
      <c r="D17" s="8">
        <f>'Revenue summary'!D202</f>
        <v>412</v>
      </c>
      <c r="E17" s="8">
        <f>'Revenue summary'!E202</f>
        <v>106</v>
      </c>
      <c r="F17" s="8">
        <f>'Revenue summary'!F202</f>
        <v>107</v>
      </c>
      <c r="G17" s="35">
        <f>'Revenue summary'!G202</f>
        <v>108</v>
      </c>
      <c r="H17" s="12"/>
    </row>
    <row r="18">
      <c r="A18" s="6" t="s">
        <v>346</v>
      </c>
      <c r="B18" s="8">
        <f>'Revenue summary'!B208</f>
        <v>90</v>
      </c>
      <c r="C18" s="8">
        <f>'Revenue summary'!C208</f>
        <v>87</v>
      </c>
      <c r="D18" s="8">
        <f>'Revenue summary'!D208</f>
        <v>344</v>
      </c>
      <c r="E18" s="8">
        <f>'Revenue summary'!E208</f>
        <v>78</v>
      </c>
      <c r="F18" s="8">
        <f>'Revenue summary'!F208</f>
        <v>89</v>
      </c>
      <c r="G18" s="35">
        <f>'Revenue summary'!G208</f>
        <v>90</v>
      </c>
      <c r="H18" s="12"/>
    </row>
    <row r="19">
      <c r="A19" s="6" t="s">
        <v>347</v>
      </c>
      <c r="B19" s="8">
        <f>'Revenue summary'!B214</f>
        <v>45</v>
      </c>
      <c r="C19" s="8">
        <f>'Revenue summary'!C214</f>
        <v>47</v>
      </c>
      <c r="D19" s="8">
        <f>'Revenue summary'!D214</f>
        <v>179</v>
      </c>
      <c r="E19" s="8">
        <f>'Revenue summary'!E214</f>
        <v>42</v>
      </c>
      <c r="F19" s="8">
        <f>'Revenue summary'!F214</f>
        <v>44</v>
      </c>
      <c r="G19" s="35">
        <f>'Revenue summary'!G214</f>
        <v>45</v>
      </c>
      <c r="H19" s="12"/>
    </row>
    <row r="20">
      <c r="A20" s="6" t="s">
        <v>348</v>
      </c>
      <c r="B20" s="8">
        <f>'Revenue summary'!B220</f>
        <v>35</v>
      </c>
      <c r="C20" s="8">
        <f>'Revenue summary'!C220</f>
        <v>31</v>
      </c>
      <c r="D20" s="8">
        <f>'Revenue summary'!D220</f>
        <v>120</v>
      </c>
      <c r="E20" s="8">
        <f>'Revenue summary'!E220</f>
        <v>36</v>
      </c>
      <c r="F20" s="8">
        <f>'Revenue summary'!F220</f>
        <v>41</v>
      </c>
      <c r="G20" s="35">
        <f>'Revenue summary'!G220</f>
        <v>37</v>
      </c>
      <c r="H20" s="12"/>
    </row>
    <row r="21">
      <c r="A21" s="6" t="s">
        <v>349</v>
      </c>
      <c r="B21" s="8">
        <f>'Revenue summary'!B226</f>
        <v>1</v>
      </c>
      <c r="C21" s="8">
        <f>'Revenue summary'!C226</f>
        <v>1</v>
      </c>
      <c r="D21" s="8">
        <f>'Revenue summary'!D226</f>
        <v>2</v>
      </c>
      <c r="E21" s="8">
        <f>'Revenue summary'!E226</f>
        <v>4</v>
      </c>
      <c r="F21" s="8">
        <f>'Revenue summary'!F226</f>
        <v>2</v>
      </c>
      <c r="G21" s="35">
        <f>'Revenue summary'!G226</f>
        <v>1</v>
      </c>
      <c r="H21" s="12"/>
    </row>
    <row r="22">
      <c r="A22" s="6" t="s">
        <v>350</v>
      </c>
      <c r="B22" s="8">
        <f>'Revenue summary'!B254</f>
        <v>112</v>
      </c>
      <c r="C22" s="8">
        <f>'Revenue summary'!C254</f>
        <v>50</v>
      </c>
      <c r="D22" s="8">
        <f>'Revenue summary'!D254</f>
        <v>272</v>
      </c>
      <c r="E22" s="8">
        <f>'Revenue summary'!E254</f>
        <v>77</v>
      </c>
      <c r="F22" s="8">
        <f>'Revenue summary'!F254</f>
        <v>95</v>
      </c>
      <c r="G22" s="35">
        <f>'Revenue summary'!G254</f>
        <v>60</v>
      </c>
      <c r="H22" s="12"/>
    </row>
    <row r="23">
      <c r="A23" s="28" t="s">
        <v>257</v>
      </c>
      <c r="B23" s="26">
        <f>SUM(B15:B22)</f>
        <v>752</v>
      </c>
      <c r="C23" s="26">
        <f>SUM(C15:C22)</f>
        <v>696</v>
      </c>
      <c r="D23" s="26">
        <f>SUM(D15:D22)</f>
        <v>2742</v>
      </c>
      <c r="E23" s="26">
        <f>SUM(E15:E22)</f>
        <v>689</v>
      </c>
      <c r="F23" s="26">
        <f>SUM(F15:F22)</f>
        <v>740</v>
      </c>
      <c r="G23" s="39">
        <f>SUM(G15:G22)</f>
        <v>718.2937520547946</v>
      </c>
      <c r="H23" s="12"/>
    </row>
    <row r="24">
      <c r="A24" s="12" t="s">
        <v>118</v>
      </c>
      <c r="B24" s="14">
        <f>B23/Inputs!B113-1</f>
        <v>0.24092409240924084</v>
      </c>
      <c r="C24" s="14">
        <f>C23/Inputs!C113-1</f>
        <v>0.05936073059360725</v>
      </c>
      <c r="D24" s="14">
        <f>D23/Inputs!D113-1</f>
        <v>0.1297898640296662</v>
      </c>
      <c r="E24" s="14">
        <f>E23/Inputs!E113-1</f>
        <v>0.12765957446808507</v>
      </c>
      <c r="F24" s="14">
        <f>F23/Inputs!F113-1</f>
        <v>0.0834553440702781</v>
      </c>
      <c r="G24" s="17">
        <f>G23/B23-1</f>
        <v>-0.044822138225007135</v>
      </c>
      <c r="H24" s="100" t="s">
        <v>259</v>
      </c>
    </row>
    <row r="25">
      <c r="A25" s="28" t="s">
        <v>308</v>
      </c>
      <c r="B25" s="26">
        <f>B11+B23</f>
        <v>2513</v>
      </c>
      <c r="C25" s="26">
        <f>C11+C23</f>
        <v>2475</v>
      </c>
      <c r="D25" s="26">
        <f>D11+D23</f>
        <v>9690</v>
      </c>
      <c r="E25" s="26">
        <f>E11+E23</f>
        <v>2441</v>
      </c>
      <c r="F25" s="26">
        <f>F11+F23</f>
        <v>2532</v>
      </c>
      <c r="G25" s="39">
        <f>G11+G23</f>
        <v>2533.0155054794523</v>
      </c>
      <c r="H25" s="12"/>
    </row>
    <row r="26">
      <c r="A26" s="12" t="s">
        <v>118</v>
      </c>
      <c r="B26" s="14">
        <f>'Revenue summary'!B271</f>
        <v>0.07761578044596917</v>
      </c>
      <c r="C26" s="14">
        <f>'Revenue summary'!C271</f>
        <v>0.037735849056603765</v>
      </c>
      <c r="D26" s="14">
        <f>'Revenue summary'!D271</f>
        <v>0.044293566117038496</v>
      </c>
      <c r="E26" s="14">
        <f>'Revenue summary'!E271</f>
        <v>0.058542931483087646</v>
      </c>
      <c r="F26" s="14">
        <f>'Revenue summary'!F271</f>
        <v>0.056761268781302165</v>
      </c>
      <c r="G26" s="58">
        <f>'Revenue summary'!G271</f>
        <v>0.007964785308178346</v>
      </c>
      <c r="H26" s="12"/>
    </row>
    <row r="27">
      <c r="A27" s="12" t="s">
        <v>193</v>
      </c>
      <c r="B27" s="14">
        <f>'Revenue summary'!B272</f>
        <v>0.04883138564273781</v>
      </c>
      <c r="C27" s="14">
        <f>'Revenue summary'!C272</f>
        <v>-0.01512136888181459</v>
      </c>
      <c r="D27" s="23"/>
      <c r="E27" s="14">
        <f>'Revenue summary'!E272</f>
        <v>-0.013737373737373715</v>
      </c>
      <c r="F27" s="14">
        <f>'Revenue summary'!F272</f>
        <v>0.03727980335927894</v>
      </c>
      <c r="G27" s="58">
        <f>'Revenue summary'!G272</f>
        <v>0.00040106851479149164</v>
      </c>
      <c r="H27" s="12"/>
    </row>
    <row r="28">
      <c r="A28" s="6" t="s">
        <v>351</v>
      </c>
      <c r="B28" s="4">
        <v>833</v>
      </c>
      <c r="C28" s="4">
        <v>809</v>
      </c>
      <c r="D28" s="8">
        <f>Inputs!E114+Inputs!F114+B28+C28</f>
        <v>3342</v>
      </c>
      <c r="E28" s="4">
        <v>914</v>
      </c>
      <c r="F28" s="4">
        <v>826</v>
      </c>
      <c r="G28" s="21">
        <v>845</v>
      </c>
      <c r="H28" s="7" t="s">
        <v>352</v>
      </c>
    </row>
    <row r="29">
      <c r="A29" s="12" t="s">
        <v>353</v>
      </c>
      <c r="B29" s="23" t="s">
        <v>39</v>
      </c>
      <c r="C29" s="23" t="s">
        <v>39</v>
      </c>
      <c r="D29" s="14">
        <f>D28/Inputs!D114-1</f>
        <v>0.05692599620493355</v>
      </c>
      <c r="E29" s="14">
        <f>E28/Inputs!E114-1</f>
        <v>0.030439684329199634</v>
      </c>
      <c r="F29" s="14">
        <f>F28/Inputs!F114-1</f>
        <v>0.01599015990159902</v>
      </c>
      <c r="G29" s="17">
        <f>G28/B28-1</f>
        <v>0.014405762304922076</v>
      </c>
      <c r="H29" s="7" t="s">
        <v>119</v>
      </c>
    </row>
    <row r="30">
      <c r="A30" s="6" t="s">
        <v>221</v>
      </c>
      <c r="B30" s="8">
        <f>B28-Inputs!F114</f>
        <v>20</v>
      </c>
      <c r="C30" s="1">
        <f>C28-B28</f>
        <v>-24</v>
      </c>
      <c r="D30" s="1"/>
      <c r="E30" s="1">
        <f>E28-C28</f>
        <v>105</v>
      </c>
      <c r="F30" s="1">
        <f>F28-E28</f>
        <v>-88</v>
      </c>
      <c r="G30" s="2">
        <f>G28-F28</f>
        <v>19</v>
      </c>
      <c r="H30" s="12"/>
    </row>
    <row r="31">
      <c r="A31" s="6" t="s">
        <v>354</v>
      </c>
      <c r="B31" s="4">
        <v>138</v>
      </c>
      <c r="C31" s="4">
        <v>146</v>
      </c>
      <c r="D31" s="8">
        <f>Inputs!E115+Inputs!F115+B31+C31</f>
        <v>558</v>
      </c>
      <c r="E31" s="4">
        <v>144</v>
      </c>
      <c r="F31" s="4">
        <v>154</v>
      </c>
      <c r="G31" s="21">
        <v>158</v>
      </c>
      <c r="H31" s="7" t="s">
        <v>355</v>
      </c>
    </row>
    <row r="32">
      <c r="A32" s="12" t="s">
        <v>353</v>
      </c>
      <c r="B32" s="23" t="s">
        <v>39</v>
      </c>
      <c r="C32" s="23" t="s">
        <v>39</v>
      </c>
      <c r="D32" s="14">
        <f>D31/Inputs!D115-1</f>
        <v>0.13414634146341453</v>
      </c>
      <c r="E32" s="14">
        <f>E31/Inputs!E115-1</f>
        <v>0.05882352941176472</v>
      </c>
      <c r="F32" s="14">
        <f>F31/Inputs!F115-1</f>
        <v>0.11594202898550732</v>
      </c>
      <c r="G32" s="17">
        <f>G31/B31-1</f>
        <v>0.14492753623188404</v>
      </c>
      <c r="H32" s="7" t="s">
        <v>119</v>
      </c>
    </row>
    <row r="33">
      <c r="A33" s="6" t="s">
        <v>221</v>
      </c>
      <c r="B33" s="8">
        <f>B31-Inputs!F115</f>
        <v>0</v>
      </c>
      <c r="C33" s="1">
        <f>C31-B31</f>
        <v>8</v>
      </c>
      <c r="D33" s="1"/>
      <c r="E33" s="1">
        <f>E31-C31</f>
        <v>-2</v>
      </c>
      <c r="F33" s="1">
        <f>F31-E31</f>
        <v>10</v>
      </c>
      <c r="G33" s="2">
        <f>G31-F31</f>
        <v>4</v>
      </c>
      <c r="H33" s="12"/>
    </row>
    <row r="34">
      <c r="A34" s="6" t="s">
        <v>356</v>
      </c>
      <c r="B34" s="4">
        <v>129</v>
      </c>
      <c r="C34" s="4">
        <v>134</v>
      </c>
      <c r="D34" s="8">
        <f>Inputs!E116+Inputs!F116+B34+C34</f>
        <v>525</v>
      </c>
      <c r="E34" s="4">
        <v>133</v>
      </c>
      <c r="F34" s="4">
        <v>129</v>
      </c>
      <c r="G34" s="21">
        <v>131</v>
      </c>
      <c r="H34" s="7" t="s">
        <v>240</v>
      </c>
    </row>
    <row r="35">
      <c r="A35" s="12" t="s">
        <v>353</v>
      </c>
      <c r="B35" s="23" t="s">
        <v>39</v>
      </c>
      <c r="C35" s="23" t="s">
        <v>39</v>
      </c>
      <c r="D35" s="14">
        <f>D34/Inputs!D116-1</f>
        <v>0.025390625</v>
      </c>
      <c r="E35" s="14">
        <f>E34/Inputs!E116-1</f>
        <v>0.007575757575757569</v>
      </c>
      <c r="F35" s="14">
        <f>F34/Inputs!F116-1</f>
        <v>-0.007692307692307665</v>
      </c>
      <c r="G35" s="17">
        <f>G34/B34-1</f>
        <v>0.015503875968992276</v>
      </c>
      <c r="H35" s="7" t="s">
        <v>119</v>
      </c>
    </row>
    <row r="36">
      <c r="A36" s="6" t="s">
        <v>221</v>
      </c>
      <c r="B36" s="8">
        <f>B34-Inputs!F116</f>
        <v>-1</v>
      </c>
      <c r="C36" s="1">
        <f>C34-B34</f>
        <v>5</v>
      </c>
      <c r="D36" s="1"/>
      <c r="E36" s="1">
        <f>E34-C34</f>
        <v>-1</v>
      </c>
      <c r="F36" s="1">
        <f>F34-E34</f>
        <v>-4</v>
      </c>
      <c r="G36" s="2">
        <f>G34-F34</f>
        <v>2</v>
      </c>
      <c r="H36" s="12"/>
    </row>
    <row r="37">
      <c r="A37" s="6" t="s">
        <v>357</v>
      </c>
      <c r="B37" s="4">
        <v>81</v>
      </c>
      <c r="C37" s="4">
        <v>105</v>
      </c>
      <c r="D37" s="8">
        <f>Inputs!E117+Inputs!F117+B37+C37</f>
        <v>356</v>
      </c>
      <c r="E37" s="4">
        <v>93</v>
      </c>
      <c r="F37" s="4">
        <v>89</v>
      </c>
      <c r="G37" s="21">
        <v>92</v>
      </c>
      <c r="H37" s="7" t="s">
        <v>240</v>
      </c>
    </row>
    <row r="38">
      <c r="A38" s="12" t="s">
        <v>353</v>
      </c>
      <c r="B38" s="23" t="s">
        <v>39</v>
      </c>
      <c r="C38" s="23" t="s">
        <v>39</v>
      </c>
      <c r="D38" s="14">
        <f>D37/Inputs!D117-1</f>
        <v>0.03488372093023262</v>
      </c>
      <c r="E38" s="14">
        <f>E37/Inputs!E117-1</f>
        <v>0.1071428571428572</v>
      </c>
      <c r="F38" s="14">
        <f>F37/Inputs!F117-1</f>
        <v>0.03488372093023262</v>
      </c>
      <c r="G38" s="17">
        <f>G37/B37-1</f>
        <v>0.1358024691358024</v>
      </c>
      <c r="H38" s="7" t="s">
        <v>119</v>
      </c>
    </row>
    <row r="39">
      <c r="A39" s="6" t="s">
        <v>221</v>
      </c>
      <c r="B39" s="8">
        <f>B37-Inputs!F117</f>
        <v>-5</v>
      </c>
      <c r="C39" s="1">
        <f>C37-B37</f>
        <v>24</v>
      </c>
      <c r="D39" s="1"/>
      <c r="E39" s="1">
        <f>E37-C37</f>
        <v>-12</v>
      </c>
      <c r="F39" s="1">
        <f>F37-E37</f>
        <v>-4</v>
      </c>
      <c r="G39" s="2">
        <f>G37-F37</f>
        <v>3</v>
      </c>
      <c r="H39" s="12"/>
    </row>
    <row r="40">
      <c r="A40" s="6" t="s">
        <v>358</v>
      </c>
      <c r="B40" s="4">
        <v>13</v>
      </c>
      <c r="C40" s="4">
        <v>-8</v>
      </c>
      <c r="D40" s="8">
        <f>Inputs!E118+Inputs!F118+B40+C40</f>
        <v>50</v>
      </c>
      <c r="E40" s="4">
        <v>23</v>
      </c>
      <c r="F40" s="4">
        <v>18</v>
      </c>
      <c r="G40" s="21">
        <v>19</v>
      </c>
      <c r="H40" s="7" t="s">
        <v>240</v>
      </c>
    </row>
    <row r="41">
      <c r="A41" s="12" t="s">
        <v>353</v>
      </c>
      <c r="B41" s="23" t="s">
        <v>39</v>
      </c>
      <c r="C41" s="23" t="s">
        <v>39</v>
      </c>
      <c r="D41" s="14">
        <f>D40/Inputs!D118-1</f>
        <v>-0.6575342465753424</v>
      </c>
      <c r="E41" s="14">
        <f>E40/Inputs!E118-1</f>
        <v>0</v>
      </c>
      <c r="F41" s="14">
        <f>F40/Inputs!F118-1</f>
        <v>-0.18181818181818177</v>
      </c>
      <c r="G41" s="17">
        <f>G40/B40-1</f>
        <v>0.46153846153846145</v>
      </c>
      <c r="H41" s="7" t="s">
        <v>119</v>
      </c>
    </row>
    <row r="42">
      <c r="A42" s="6" t="s">
        <v>221</v>
      </c>
      <c r="B42" s="8">
        <f>B40-Inputs!F118</f>
        <v>-9</v>
      </c>
      <c r="C42" s="1">
        <f>C40-B40</f>
        <v>-21</v>
      </c>
      <c r="D42" s="1"/>
      <c r="E42" s="1">
        <f>E40-C40</f>
        <v>31</v>
      </c>
      <c r="F42" s="1">
        <f>F40-E40</f>
        <v>-5</v>
      </c>
      <c r="G42" s="2">
        <f>G40-F40</f>
        <v>1</v>
      </c>
      <c r="H42" s="12"/>
    </row>
    <row r="43">
      <c r="A43" s="6" t="s">
        <v>359</v>
      </c>
      <c r="B43" s="4">
        <v>23</v>
      </c>
      <c r="C43" s="4">
        <v>32</v>
      </c>
      <c r="D43" s="8">
        <f>Inputs!E119+Inputs!F119+B43+C43</f>
        <v>102</v>
      </c>
      <c r="E43" s="4">
        <v>21</v>
      </c>
      <c r="F43" s="4">
        <v>27</v>
      </c>
      <c r="G43" s="21">
        <v>27</v>
      </c>
      <c r="H43" s="7" t="s">
        <v>240</v>
      </c>
    </row>
    <row r="44">
      <c r="A44" s="12" t="s">
        <v>353</v>
      </c>
      <c r="B44" s="23" t="s">
        <v>39</v>
      </c>
      <c r="C44" s="23" t="s">
        <v>39</v>
      </c>
      <c r="D44" s="14">
        <f>D43/Inputs!D119-1</f>
        <v>-0.019230769230769273</v>
      </c>
      <c r="E44" s="14">
        <f>E43/Inputs!E119-1</f>
        <v>-0.045454545454545414</v>
      </c>
      <c r="F44" s="14">
        <f>F43/Inputs!F119-1</f>
        <v>0.08000000000000007</v>
      </c>
      <c r="G44" s="17">
        <f>G43/B43-1</f>
        <v>0.17391304347826098</v>
      </c>
      <c r="H44" s="7" t="s">
        <v>119</v>
      </c>
    </row>
    <row r="45">
      <c r="A45" s="6" t="s">
        <v>221</v>
      </c>
      <c r="B45" s="8">
        <f>B43-Inputs!F119</f>
        <v>-2</v>
      </c>
      <c r="C45" s="1">
        <f>C43-B43</f>
        <v>9</v>
      </c>
      <c r="D45" s="1"/>
      <c r="E45" s="1">
        <f>E43-C43</f>
        <v>-11</v>
      </c>
      <c r="F45" s="1">
        <f>F43-E43</f>
        <v>6</v>
      </c>
      <c r="G45" s="2">
        <f>G43-F43</f>
        <v>0</v>
      </c>
      <c r="H45" s="12"/>
    </row>
    <row r="46">
      <c r="A46" s="6" t="s">
        <v>360</v>
      </c>
      <c r="B46" s="4">
        <v>10</v>
      </c>
      <c r="C46" s="4">
        <v>10</v>
      </c>
      <c r="D46" s="8">
        <f>Inputs!E120+Inputs!F120+B46+C46</f>
        <v>42</v>
      </c>
      <c r="E46" s="4">
        <v>9</v>
      </c>
      <c r="F46" s="4">
        <v>7</v>
      </c>
      <c r="G46" s="21">
        <v>6</v>
      </c>
      <c r="H46" s="7" t="s">
        <v>361</v>
      </c>
    </row>
    <row r="47">
      <c r="A47" s="12" t="s">
        <v>353</v>
      </c>
      <c r="B47" s="23" t="s">
        <v>39</v>
      </c>
      <c r="C47" s="23" t="s">
        <v>39</v>
      </c>
      <c r="D47" s="14">
        <f>D46/Inputs!D120-1</f>
        <v>-0.2075471698113207</v>
      </c>
      <c r="E47" s="14">
        <f>E46/Inputs!E120-1</f>
        <v>-0.3076923076923077</v>
      </c>
      <c r="F47" s="14">
        <f>F46/Inputs!F120-1</f>
        <v>-0.2222222222222222</v>
      </c>
      <c r="G47" s="17">
        <f>G46/B46-1</f>
        <v>-0.4</v>
      </c>
      <c r="H47" s="7" t="s">
        <v>119</v>
      </c>
    </row>
    <row r="48">
      <c r="A48" s="6" t="s">
        <v>221</v>
      </c>
      <c r="B48" s="8">
        <f>B46-Inputs!F120</f>
        <v>1</v>
      </c>
      <c r="C48" s="1">
        <f>C46-B46</f>
        <v>0</v>
      </c>
      <c r="D48" s="1"/>
      <c r="E48" s="1">
        <f>E46-C46</f>
        <v>-1</v>
      </c>
      <c r="F48" s="1">
        <f>F46-E46</f>
        <v>-2</v>
      </c>
      <c r="G48" s="2">
        <f>G46-F46</f>
        <v>-1</v>
      </c>
      <c r="H48" s="12"/>
    </row>
    <row r="49">
      <c r="A49" s="6" t="s">
        <v>362</v>
      </c>
      <c r="B49" s="4">
        <v>136</v>
      </c>
      <c r="C49" s="4">
        <v>151</v>
      </c>
      <c r="D49" s="8">
        <f>Inputs!E121+Inputs!F121+B49+C49</f>
        <v>518</v>
      </c>
      <c r="E49" s="4">
        <v>101</v>
      </c>
      <c r="F49" s="4">
        <v>99</v>
      </c>
      <c r="G49" s="21">
        <v>107</v>
      </c>
      <c r="H49" s="7" t="s">
        <v>363</v>
      </c>
    </row>
    <row r="50">
      <c r="A50" s="12" t="s">
        <v>353</v>
      </c>
      <c r="B50" s="23" t="s">
        <v>39</v>
      </c>
      <c r="C50" s="23" t="s">
        <v>39</v>
      </c>
      <c r="D50" s="14">
        <f>D49/Inputs!D121-1</f>
        <v>-0.05128205128205132</v>
      </c>
      <c r="E50" s="14">
        <f>E49/Inputs!E121-1</f>
        <v>-0.14406779661016944</v>
      </c>
      <c r="F50" s="14">
        <f>F49/Inputs!F121-1</f>
        <v>-0.12389380530973448</v>
      </c>
      <c r="G50" s="17">
        <f>G49/B49-1</f>
        <v>-0.21323529411764708</v>
      </c>
      <c r="H50" s="7" t="s">
        <v>119</v>
      </c>
    </row>
    <row r="51">
      <c r="A51" s="6" t="s">
        <v>221</v>
      </c>
      <c r="B51" s="8">
        <f>B49-Inputs!F121</f>
        <v>23</v>
      </c>
      <c r="C51" s="1">
        <f>C49-B49</f>
        <v>15</v>
      </c>
      <c r="D51" s="1"/>
      <c r="E51" s="1">
        <f>E49-C49</f>
        <v>-50</v>
      </c>
      <c r="F51" s="1">
        <f>F49-E49</f>
        <v>-2</v>
      </c>
      <c r="G51" s="2">
        <f>G49-F49</f>
        <v>8</v>
      </c>
      <c r="H51" s="12"/>
    </row>
    <row r="52">
      <c r="A52" s="28" t="s">
        <v>321</v>
      </c>
      <c r="B52" s="26">
        <f>B28+B31+B34+B37+B40+B43+B46+B49</f>
        <v>1363</v>
      </c>
      <c r="C52" s="26">
        <f>C28+C31+C34+C37+C40+C43+C46+C49</f>
        <v>1379</v>
      </c>
      <c r="D52" s="26">
        <f>D28+D31+D34+D37+D40+D43+D46+D49</f>
        <v>5493</v>
      </c>
      <c r="E52" s="26">
        <f>E28+E31+E34+E37+E40+E43+E46+E49</f>
        <v>1438</v>
      </c>
      <c r="F52" s="26">
        <f>F28+F31+F34+F37+F40+F43+F46+F49</f>
        <v>1349</v>
      </c>
      <c r="G52" s="39">
        <f>G28+G31+G34+G37+G40+G43+G46+G49</f>
        <v>1385</v>
      </c>
      <c r="H52" s="12"/>
    </row>
    <row r="53">
      <c r="A53" s="12" t="s">
        <v>118</v>
      </c>
      <c r="B53" s="14">
        <f>B52/Inputs!B122-1</f>
        <v>0.04604758250191865</v>
      </c>
      <c r="C53" s="14">
        <f>C52/Inputs!C122-1</f>
        <v>0.011738811445341168</v>
      </c>
      <c r="D53" s="14">
        <f>D52/Inputs!D122-1</f>
        <v>0.025004665049449537</v>
      </c>
      <c r="E53" s="14">
        <f>E52/Inputs!E122-1</f>
        <v>0.016254416961130724</v>
      </c>
      <c r="F53" s="14">
        <f>F52/Inputs!F122-1</f>
        <v>0.009730538922155585</v>
      </c>
      <c r="G53" s="17">
        <f>G52/B52-1</f>
        <v>0.01614086573734408</v>
      </c>
      <c r="H53" s="100" t="s">
        <v>259</v>
      </c>
    </row>
    <row r="54">
      <c r="A54" s="12" t="s">
        <v>193</v>
      </c>
      <c r="B54" s="14">
        <f>B52/Inputs!F122-1</f>
        <v>0.02020958083832336</v>
      </c>
      <c r="C54" s="23">
        <f>C52/B52-1</f>
        <v>0.011738811445341168</v>
      </c>
      <c r="D54" s="23"/>
      <c r="E54" s="23">
        <f>E52/C52-1</f>
        <v>0.042784626540971704</v>
      </c>
      <c r="F54" s="23">
        <f>F52/E52-1</f>
        <v>-0.06189151599443676</v>
      </c>
      <c r="G54" s="17">
        <f>G52/F52-1</f>
        <v>0.026686434395848835</v>
      </c>
      <c r="H54" s="12"/>
    </row>
    <row r="55">
      <c r="A55" s="28" t="s">
        <v>322</v>
      </c>
      <c r="B55" s="26">
        <f>B25-B13-B52</f>
        <v>1025</v>
      </c>
      <c r="C55" s="26">
        <f>C25-C13-C52</f>
        <v>971</v>
      </c>
      <c r="D55" s="26">
        <f>D25-D13-D52</f>
        <v>3692</v>
      </c>
      <c r="E55" s="26">
        <f>E25-E13-E52</f>
        <v>863</v>
      </c>
      <c r="F55" s="26">
        <f>F25-F13-F52</f>
        <v>1063</v>
      </c>
      <c r="G55" s="39">
        <f>G25-G13-G52</f>
        <v>1016.6746835616441</v>
      </c>
      <c r="H55" s="12"/>
    </row>
    <row r="56">
      <c r="A56" s="12" t="s">
        <v>118</v>
      </c>
      <c r="B56" s="14">
        <f>B55/Inputs!B129-1</f>
        <v>0.12761276127612753</v>
      </c>
      <c r="C56" s="14">
        <f>C55/Inputs!C129-1</f>
        <v>0.10090702947845798</v>
      </c>
      <c r="D56" s="14">
        <f>D55/Inputs!D129-1</f>
        <v>0.11540785498489425</v>
      </c>
      <c r="E56" s="14">
        <f>E55/Inputs!E129-1</f>
        <v>0.1340341655716164</v>
      </c>
      <c r="F56" s="14">
        <f>F55/Inputs!F129-1</f>
        <v>0.1368983957219252</v>
      </c>
      <c r="G56" s="17">
        <f>G55/B55-1</f>
        <v>-0.008122259939859378</v>
      </c>
      <c r="H56" s="12"/>
    </row>
    <row r="57">
      <c r="A57" s="6" t="s">
        <v>364</v>
      </c>
      <c r="B57" s="4">
        <v>233</v>
      </c>
      <c r="C57" s="4">
        <v>212</v>
      </c>
      <c r="D57" s="8">
        <f>Inputs!E123+Inputs!F123+B57+C57</f>
        <v>841</v>
      </c>
      <c r="E57" s="4">
        <v>199</v>
      </c>
      <c r="F57" s="4">
        <v>245</v>
      </c>
      <c r="G57" s="2">
        <f>G55*G102</f>
        <v>234.85185190273978</v>
      </c>
      <c r="H57" s="12"/>
    </row>
    <row r="58">
      <c r="A58" s="28" t="s">
        <v>324</v>
      </c>
      <c r="B58" s="26">
        <f>B55-B57</f>
        <v>792</v>
      </c>
      <c r="C58" s="26">
        <f>C55-C57</f>
        <v>759</v>
      </c>
      <c r="D58" s="26">
        <f>D55-D57</f>
        <v>2851</v>
      </c>
      <c r="E58" s="26">
        <f>E55-E57</f>
        <v>664</v>
      </c>
      <c r="F58" s="26">
        <f>F55-F57</f>
        <v>818</v>
      </c>
      <c r="G58" s="39">
        <f>G55-G57</f>
        <v>781.8228316589043</v>
      </c>
      <c r="H58" s="12"/>
    </row>
    <row r="59">
      <c r="A59" s="12" t="s">
        <v>118</v>
      </c>
      <c r="B59" s="14">
        <f>B58/Inputs!B124-1</f>
        <v>0.09847434119278775</v>
      </c>
      <c r="C59" s="14">
        <f>C58/Inputs!C124-1</f>
        <v>0.1145374449339207</v>
      </c>
      <c r="D59" s="14">
        <f>D58/Inputs!D124-1</f>
        <v>0.10162287480680066</v>
      </c>
      <c r="E59" s="14">
        <f>E58/Inputs!E124-1</f>
        <v>0.13698630136986312</v>
      </c>
      <c r="F59" s="14">
        <f>F58/Inputs!F124-1</f>
        <v>0.14245810055865915</v>
      </c>
      <c r="G59" s="17">
        <f>G58/B58-1</f>
        <v>-0.012849960026635965</v>
      </c>
      <c r="H59" s="12"/>
    </row>
    <row r="60">
      <c r="A60" s="12" t="s">
        <v>193</v>
      </c>
      <c r="B60" s="14">
        <f>B58/Inputs!F124-1</f>
        <v>0.1061452513966481</v>
      </c>
      <c r="C60" s="23">
        <f>C58/B58-1</f>
        <v>-0.04166666666666663</v>
      </c>
      <c r="D60" s="23"/>
      <c r="E60" s="23">
        <f>E58/C58-1</f>
        <v>-0.12516469038208167</v>
      </c>
      <c r="F60" s="23">
        <f>F58/E58-1</f>
        <v>0.2319277108433735</v>
      </c>
      <c r="G60" s="17">
        <f>G58/F58-1</f>
        <v>-0.04422636716515371</v>
      </c>
      <c r="H60" s="12"/>
    </row>
    <row r="61">
      <c r="A61" s="6" t="s">
        <v>365</v>
      </c>
      <c r="B61" s="4">
        <v>36</v>
      </c>
      <c r="C61" s="4">
        <v>39</v>
      </c>
      <c r="D61" s="8">
        <f>Inputs!E126+Inputs!F126+B61+C61</f>
        <v>146</v>
      </c>
      <c r="E61" s="4">
        <v>43</v>
      </c>
      <c r="F61" s="4">
        <v>35</v>
      </c>
      <c r="G61" s="21">
        <v>36</v>
      </c>
      <c r="H61" s="7" t="s">
        <v>366</v>
      </c>
    </row>
    <row r="62">
      <c r="A62" s="12" t="s">
        <v>353</v>
      </c>
      <c r="B62" s="14">
        <f>B61/Inputs!B126-1</f>
        <v>-0.23404255319148937</v>
      </c>
      <c r="C62" s="14">
        <f>C61/Inputs!C126-1</f>
        <v>0.11428571428571432</v>
      </c>
      <c r="D62" s="14">
        <f>D61/Inputs!D126-1</f>
        <v>0.08955223880597019</v>
      </c>
      <c r="E62" s="14">
        <f>E61/Inputs!E126-1</f>
        <v>0.19444444444444442</v>
      </c>
      <c r="F62" s="14">
        <f>F61/Inputs!F126-1</f>
        <v>0</v>
      </c>
      <c r="G62" s="17">
        <f>G61/B61-1</f>
        <v>0</v>
      </c>
      <c r="H62" s="12"/>
    </row>
    <row r="63">
      <c r="A63" s="6" t="s">
        <v>221</v>
      </c>
      <c r="B63" s="8">
        <f>B61-Inputs!F126</f>
        <v>1</v>
      </c>
      <c r="C63" s="1">
        <f>C61-B61</f>
        <v>3</v>
      </c>
      <c r="D63" s="1"/>
      <c r="E63" s="1">
        <f>E61-C61</f>
        <v>4</v>
      </c>
      <c r="F63" s="1">
        <f>F61-E61</f>
        <v>-8</v>
      </c>
      <c r="G63" s="2">
        <f>G61-F61</f>
        <v>1</v>
      </c>
      <c r="H63" s="12"/>
    </row>
    <row r="64">
      <c r="A64" s="6" t="s">
        <v>367</v>
      </c>
      <c r="B64" s="4">
        <v>2</v>
      </c>
      <c r="C64" s="4">
        <v>2</v>
      </c>
      <c r="D64" s="4">
        <v>6</v>
      </c>
      <c r="E64" s="4">
        <v>1</v>
      </c>
      <c r="F64" s="4">
        <v>2</v>
      </c>
      <c r="G64" s="21">
        <v>2</v>
      </c>
      <c r="H64" s="7" t="s">
        <v>368</v>
      </c>
    </row>
    <row r="65">
      <c r="A65" s="28" t="s">
        <v>369</v>
      </c>
      <c r="B65" s="26">
        <f>B58-B61-B64</f>
        <v>754</v>
      </c>
      <c r="C65" s="26">
        <f>C58-C61-C64</f>
        <v>718</v>
      </c>
      <c r="D65" s="26">
        <f>D58-D61-D64</f>
        <v>2699</v>
      </c>
      <c r="E65" s="26">
        <f>E58-E61-E64</f>
        <v>620</v>
      </c>
      <c r="F65" s="26">
        <f>F58-F61-F64</f>
        <v>781</v>
      </c>
      <c r="G65" s="39">
        <f>G58-G61-G64</f>
        <v>743.8228316589043</v>
      </c>
      <c r="H65" s="12"/>
    </row>
    <row r="66">
      <c r="A66" s="12" t="s">
        <v>118</v>
      </c>
      <c r="B66" s="14">
        <f>B65/(Inputs!B124-Inputs!B126-Inputs!B127)-1</f>
        <v>0.11869436201780426</v>
      </c>
      <c r="C66" s="14">
        <f>C65/(Inputs!C124-Inputs!C126-Inputs!C127)-1</f>
        <v>0.11490683229813659</v>
      </c>
      <c r="D66" s="14">
        <f>D65/(Inputs!D124-Inputs!D126-Inputs!D127)-1</f>
        <v>0.10208248264597786</v>
      </c>
      <c r="E66" s="14">
        <f>E65/(Inputs!E124-Inputs!E126-Inputs!E127)-1</f>
        <v>0.13345521023766005</v>
      </c>
      <c r="F66" s="14">
        <f>F65/(Inputs!F124-Inputs!F126-Inputs!F127)-1</f>
        <v>0.15022091310751096</v>
      </c>
      <c r="G66" s="17">
        <f>G65/B65-1</f>
        <v>-0.013497570744158693</v>
      </c>
      <c r="H66" s="12"/>
    </row>
    <row r="67">
      <c r="A67" s="6" t="s">
        <v>370</v>
      </c>
      <c r="B67" s="8">
        <f>'Share Count'!B10</f>
        <v>155.558</v>
      </c>
      <c r="C67" s="8">
        <f>'Share Count'!C10</f>
        <v>152.4416135881104</v>
      </c>
      <c r="D67" s="8">
        <f>'Share Count'!D10</f>
        <v>157.875</v>
      </c>
      <c r="E67" s="8">
        <f>'Share Count'!E10</f>
        <v>149.225</v>
      </c>
      <c r="F67" s="8">
        <f>'Share Count'!F10</f>
        <v>145.891</v>
      </c>
      <c r="G67" s="35">
        <f>'Share Count'!G10</f>
        <v>144.18522222222222</v>
      </c>
      <c r="H67" s="12"/>
    </row>
    <row r="68">
      <c r="A68" s="6" t="s">
        <v>371</v>
      </c>
      <c r="B68" s="8">
        <f>'Share Count'!B16</f>
        <v>156.553</v>
      </c>
      <c r="C68" s="8">
        <f>'Share Count'!C16</f>
        <v>153.712</v>
      </c>
      <c r="D68" s="8">
        <f>'Share Count'!D16</f>
        <v>158.791</v>
      </c>
      <c r="E68" s="8">
        <f>'Share Count'!E16</f>
        <v>150.109</v>
      </c>
      <c r="F68" s="8">
        <f>'Share Count'!F16</f>
        <v>146.758</v>
      </c>
      <c r="G68" s="35">
        <f>'Share Count'!G16</f>
        <v>145.05522222222223</v>
      </c>
      <c r="H68" s="12"/>
    </row>
    <row r="69">
      <c r="A69" s="6" t="s">
        <v>372</v>
      </c>
      <c r="B69" s="3">
        <f>B65/B67</f>
        <v>4.847066688952031</v>
      </c>
      <c r="C69" s="3">
        <f>C65/C67</f>
        <v>4.71</v>
      </c>
      <c r="D69" s="3">
        <f>D65/D67</f>
        <v>17.095803642121933</v>
      </c>
      <c r="E69" s="3">
        <f>E65/E67</f>
        <v>4.1547997989613</v>
      </c>
      <c r="F69" s="3">
        <f>F65/F67</f>
        <v>5.3533117190231065</v>
      </c>
      <c r="G69" s="48">
        <f>G65/G67</f>
        <v>5.158800743896654</v>
      </c>
      <c r="H69" s="96" t="s">
        <v>373</v>
      </c>
    </row>
    <row r="70">
      <c r="A70" s="28" t="s">
        <v>374</v>
      </c>
      <c r="B70" s="19">
        <f>B65/B68</f>
        <v>4.816260308010706</v>
      </c>
      <c r="C70" s="19">
        <f>C65/C68</f>
        <v>4.6710731758093065</v>
      </c>
      <c r="D70" s="19">
        <f>D65/D68</f>
        <v>16.997184978997552</v>
      </c>
      <c r="E70" s="19">
        <f>E65/E68</f>
        <v>4.1303319587766225</v>
      </c>
      <c r="F70" s="19">
        <f>F65/F68</f>
        <v>5.321686040965399</v>
      </c>
      <c r="G70" s="46">
        <f>G65/G68</f>
        <v>5.1278597231017295</v>
      </c>
      <c r="H70" s="12"/>
    </row>
    <row r="71">
      <c r="A71" s="12" t="s">
        <v>118</v>
      </c>
      <c r="B71" s="14">
        <f>B70/Inputs!B130-1</f>
        <v>0.19807470348525036</v>
      </c>
      <c r="C71" s="14">
        <f>C70/Inputs!C130-1</f>
        <v>0.21012258440655618</v>
      </c>
      <c r="D71" s="14">
        <f>D70/Inputs!D130-1</f>
        <v>0.16100990293699113</v>
      </c>
      <c r="E71" s="14">
        <f>E70/Inputs!E130-1</f>
        <v>0.24407589119777784</v>
      </c>
      <c r="F71" s="14">
        <f>F70/Inputs!F130-1</f>
        <v>0.2551146323031601</v>
      </c>
      <c r="G71" s="17">
        <f>G70/B70-1</f>
        <v>0.0646973782901128</v>
      </c>
      <c r="H71" s="12"/>
    </row>
    <row r="72">
      <c r="A72" s="6" t="s">
        <v>375</v>
      </c>
      <c r="B72" s="13">
        <v>4.82</v>
      </c>
      <c r="C72" s="13">
        <v>4.67</v>
      </c>
      <c r="D72" s="13">
        <v>17</v>
      </c>
      <c r="E72" s="13">
        <v>4.13</v>
      </c>
      <c r="F72" s="13">
        <v>5.32</v>
      </c>
      <c r="G72" s="48"/>
      <c r="H72" s="7" t="s">
        <v>376</v>
      </c>
    </row>
    <row r="73">
      <c r="A73" s="12" t="s">
        <v>377</v>
      </c>
      <c r="B73" s="32">
        <f>ROUND(B70,2)-B72</f>
        <v>0</v>
      </c>
      <c r="C73" s="32">
        <f>ROUND(C70,2)-C72</f>
        <v>0</v>
      </c>
      <c r="D73" s="32">
        <f>ROUND(D70,2)-D72</f>
        <v>0</v>
      </c>
      <c r="E73" s="32">
        <f>ROUND(E70,2)-E72</f>
        <v>0</v>
      </c>
      <c r="F73" s="32">
        <f>ROUND(F70,2)-F72</f>
        <v>0</v>
      </c>
      <c r="G73" s="52"/>
      <c r="H73" s="12"/>
    </row>
    <row r="74">
      <c r="A74" s="12" t="s">
        <v>378</v>
      </c>
      <c r="B74" s="32"/>
      <c r="C74" s="32"/>
      <c r="D74" s="10">
        <f>ABS(D25-Inputs!G389)+ABS(D11-Inputs!G390)+ABS(D52-Inputs!G392)+ABS(D58-Inputs!G393)</f>
        <v>0</v>
      </c>
      <c r="E74" s="32"/>
      <c r="F74" s="32"/>
      <c r="G74" s="52"/>
      <c r="H74" s="7" t="s">
        <v>379</v>
      </c>
    </row>
    <row r="75">
      <c r="A75" s="6"/>
      <c r="B75" s="11"/>
      <c r="C75" s="11"/>
      <c r="D75" s="11"/>
      <c r="E75" s="11"/>
      <c r="F75" s="11"/>
      <c r="G75" s="20"/>
      <c r="H75" s="12"/>
    </row>
    <row r="76">
      <c r="A76" s="18" t="s">
        <v>380</v>
      </c>
      <c r="B76" s="11"/>
      <c r="C76" s="11"/>
      <c r="D76" s="11"/>
      <c r="E76" s="11"/>
      <c r="F76" s="11"/>
      <c r="G76" s="20"/>
      <c r="H76" s="12"/>
    </row>
    <row r="77">
      <c r="A77" s="6" t="s">
        <v>381</v>
      </c>
      <c r="B77" s="3">
        <f>B70</f>
        <v>4.816260308010706</v>
      </c>
      <c r="C77" s="3">
        <f>C70</f>
        <v>4.6710731758093065</v>
      </c>
      <c r="D77" s="3">
        <f>D70</f>
        <v>16.997184978997552</v>
      </c>
      <c r="E77" s="3">
        <f>E70</f>
        <v>4.1303319587766225</v>
      </c>
      <c r="F77" s="3">
        <f>F70</f>
        <v>5.321686040965399</v>
      </c>
      <c r="G77" s="48">
        <f>G70</f>
        <v>5.1278597231017295</v>
      </c>
      <c r="H77" s="12"/>
    </row>
    <row r="78">
      <c r="A78" s="6" t="s">
        <v>382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38">
        <v>0</v>
      </c>
      <c r="H78" s="7" t="s">
        <v>383</v>
      </c>
    </row>
    <row r="79">
      <c r="A79" s="6" t="s">
        <v>384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38">
        <v>0</v>
      </c>
      <c r="H79" s="7" t="s">
        <v>385</v>
      </c>
    </row>
    <row r="80">
      <c r="A80" s="6" t="s">
        <v>386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38">
        <v>0</v>
      </c>
      <c r="H80" s="7" t="s">
        <v>387</v>
      </c>
    </row>
    <row r="81">
      <c r="A81" s="28" t="s">
        <v>388</v>
      </c>
      <c r="B81" s="19">
        <f>SUM(B77:B80)</f>
        <v>4.816260308010706</v>
      </c>
      <c r="C81" s="19">
        <f>SUM(C77:C80)</f>
        <v>4.6710731758093065</v>
      </c>
      <c r="D81" s="19">
        <f>SUM(D77:D80)</f>
        <v>16.997184978997552</v>
      </c>
      <c r="E81" s="19">
        <f>SUM(E77:E80)</f>
        <v>4.1303319587766225</v>
      </c>
      <c r="F81" s="19">
        <f>SUM(F77:F80)</f>
        <v>5.321686040965399</v>
      </c>
      <c r="G81" s="46">
        <f>SUM(G77:G80)</f>
        <v>5.1278597231017295</v>
      </c>
      <c r="H81" s="12"/>
    </row>
    <row r="82">
      <c r="A82" s="6" t="s">
        <v>389</v>
      </c>
      <c r="B82" s="44">
        <f>Inputs!D88</f>
        <v>4.82</v>
      </c>
      <c r="C82" s="44">
        <f>Inputs!D89</f>
        <v>4.67</v>
      </c>
      <c r="D82" s="3"/>
      <c r="E82" s="44">
        <f>Inputs!D90</f>
        <v>4.13</v>
      </c>
      <c r="F82" s="44">
        <f>Inputs!D91</f>
        <v>5.32</v>
      </c>
      <c r="G82" s="48"/>
      <c r="H82" s="12"/>
    </row>
    <row r="83">
      <c r="A83" s="12" t="s">
        <v>390</v>
      </c>
      <c r="B83" s="32">
        <f>ROUND(B81,2)-B82</f>
        <v>0</v>
      </c>
      <c r="C83" s="32">
        <f>ROUND(C81,2)-C82</f>
        <v>0</v>
      </c>
      <c r="D83" s="32"/>
      <c r="E83" s="32">
        <f>ROUND(E81,2)-E82</f>
        <v>0</v>
      </c>
      <c r="F83" s="32">
        <f>ROUND(F81,2)-F82</f>
        <v>0</v>
      </c>
      <c r="G83" s="52"/>
      <c r="H83" s="12"/>
    </row>
    <row r="84">
      <c r="A84" s="6" t="s">
        <v>391</v>
      </c>
      <c r="B84" s="44">
        <f>Inputs!C88</f>
        <v>4.39</v>
      </c>
      <c r="C84" s="44">
        <f>Inputs!C89</f>
        <v>4.47</v>
      </c>
      <c r="D84" s="3"/>
      <c r="E84" s="44">
        <f>Inputs!C90</f>
        <v>4.02</v>
      </c>
      <c r="F84" s="44">
        <f>Inputs!C91</f>
        <v>4.66</v>
      </c>
      <c r="G84" s="57">
        <f>Inputs!B361</f>
        <v>4.92</v>
      </c>
      <c r="H84" s="12"/>
    </row>
    <row r="85">
      <c r="A85" s="6" t="s">
        <v>392</v>
      </c>
      <c r="B85" s="3">
        <f>B82-B84</f>
        <v>0.4300000000000006</v>
      </c>
      <c r="C85" s="3">
        <f>C82-C84</f>
        <v>0.20000000000000018</v>
      </c>
      <c r="D85" s="3"/>
      <c r="E85" s="3">
        <f>E82-E84</f>
        <v>0.11000000000000032</v>
      </c>
      <c r="F85" s="3">
        <f>F82-F84</f>
        <v>0.6600000000000001</v>
      </c>
      <c r="G85" s="48">
        <f>G81-G84</f>
        <v>0.20785972310172962</v>
      </c>
      <c r="H85" s="111" t="s">
        <v>393</v>
      </c>
    </row>
    <row r="86">
      <c r="A86" s="6" t="s">
        <v>394</v>
      </c>
      <c r="B86" s="1">
        <f>B46*(1-B102)</f>
        <v>7.726829268292683</v>
      </c>
      <c r="C86" s="1">
        <f>C46*(1-C102)</f>
        <v>7.816683831101957</v>
      </c>
      <c r="D86" s="1">
        <f>D46*(1-D102)</f>
        <v>32.432827735644636</v>
      </c>
      <c r="E86" s="1">
        <f>E46*(1-E102)</f>
        <v>6.92468134414832</v>
      </c>
      <c r="F86" s="1">
        <f>F46*(1-F102)</f>
        <v>5.386641580432737</v>
      </c>
      <c r="G86" s="2">
        <f>G46*(1-G102)</f>
        <v>4.614</v>
      </c>
      <c r="H86" s="12"/>
    </row>
    <row r="87" ht="52.5">
      <c r="A87" s="6" t="s">
        <v>395</v>
      </c>
      <c r="B87" s="3">
        <f>B70+B86/B68</f>
        <v>4.865616304180008</v>
      </c>
      <c r="C87" s="3">
        <f>C70+C86/C68</f>
        <v>4.721925964343071</v>
      </c>
      <c r="D87" s="3">
        <f>D70+D86/D68</f>
        <v>17.201433505271993</v>
      </c>
      <c r="E87" s="3">
        <f>E70+E86/E68</f>
        <v>4.176462979196106</v>
      </c>
      <c r="F87" s="3">
        <f>F70+F86/F68</f>
        <v>5.358390285915812</v>
      </c>
      <c r="G87" s="48">
        <f>G70+G86/G68</f>
        <v>5.159668298686354</v>
      </c>
      <c r="H87" s="112" t="s">
        <v>396</v>
      </c>
    </row>
    <row r="88">
      <c r="A88" s="6" t="s">
        <v>397</v>
      </c>
      <c r="B88" s="13">
        <v>4.87</v>
      </c>
      <c r="C88" s="13">
        <v>4.72</v>
      </c>
      <c r="D88" s="13">
        <v>17.2</v>
      </c>
      <c r="E88" s="13">
        <v>4.18</v>
      </c>
      <c r="F88" s="13">
        <v>5.35</v>
      </c>
      <c r="G88" s="48"/>
      <c r="H88" s="7" t="s">
        <v>376</v>
      </c>
    </row>
    <row r="89">
      <c r="A89" s="6"/>
      <c r="B89" s="11"/>
      <c r="C89" s="11"/>
      <c r="D89" s="11"/>
      <c r="E89" s="11"/>
      <c r="F89" s="11"/>
      <c r="G89" s="20"/>
      <c r="H89" s="12"/>
    </row>
    <row r="90">
      <c r="A90" s="18" t="s">
        <v>398</v>
      </c>
      <c r="B90" s="11"/>
      <c r="C90" s="11"/>
      <c r="D90" s="11"/>
      <c r="E90" s="11"/>
      <c r="F90" s="11"/>
      <c r="G90" s="20"/>
      <c r="H90" s="12"/>
    </row>
    <row r="91">
      <c r="A91" s="12" t="s">
        <v>399</v>
      </c>
      <c r="B91" s="23">
        <f>B52/B25</f>
        <v>0.5423796259450856</v>
      </c>
      <c r="C91" s="23">
        <f>C52/C25</f>
        <v>0.5571717171717172</v>
      </c>
      <c r="D91" s="23">
        <f>D52/D25</f>
        <v>0.5668730650154798</v>
      </c>
      <c r="E91" s="23">
        <f>E52/E25</f>
        <v>0.5891028267103646</v>
      </c>
      <c r="F91" s="23">
        <f>F52/F25</f>
        <v>0.532780410742496</v>
      </c>
      <c r="G91" s="17">
        <f>G52/G25</f>
        <v>0.546779124329855</v>
      </c>
      <c r="H91" s="12"/>
    </row>
    <row r="92">
      <c r="A92" s="6" t="s">
        <v>123</v>
      </c>
      <c r="B92" s="27">
        <f>(B91-Inputs!F122/(Inputs!F125+Inputs!F113))*10000</f>
        <v>-152.16367377118067</v>
      </c>
      <c r="C92" s="29">
        <f>(C91-B91)*10000</f>
        <v>147.9209122663161</v>
      </c>
      <c r="D92" s="29"/>
      <c r="E92" s="29">
        <f>(E91-C91)*10000</f>
        <v>319.31109538647416</v>
      </c>
      <c r="F92" s="29">
        <f>(F91-E91)*10000</f>
        <v>-563.2241596786857</v>
      </c>
      <c r="G92" s="33">
        <f>(G91-F91)*10000</f>
        <v>139.98713587358935</v>
      </c>
      <c r="H92" s="12"/>
    </row>
    <row r="93">
      <c r="A93" s="6" t="s">
        <v>124</v>
      </c>
      <c r="B93" s="27">
        <f>(B91-Inputs!B122/(Inputs!B125+Inputs!B113))*10000</f>
        <v>-163.68229972581693</v>
      </c>
      <c r="C93" s="27">
        <f>(C91-Inputs!C122/(Inputs!C125+Inputs!C113))*10000</f>
        <v>-143.16752429959888</v>
      </c>
      <c r="D93" s="27">
        <f>(D91-Inputs!D122/(Inputs!D125+Inputs!D113))*10000</f>
        <v>-106.67618247802824</v>
      </c>
      <c r="E93" s="27">
        <f>(E91-Inputs!E122/(Inputs!E125+Inputs!E113))*10000</f>
        <v>-245.13825501257247</v>
      </c>
      <c r="F93" s="27">
        <f>(F91-Inputs!F122/(Inputs!F125+Inputs!F113))*10000</f>
        <v>-248.15582579707618</v>
      </c>
      <c r="G93" s="33">
        <f>(G91-B91)*10000</f>
        <v>43.994983847693845</v>
      </c>
      <c r="H93" s="7" t="s">
        <v>400</v>
      </c>
    </row>
    <row r="94">
      <c r="A94" s="12" t="s">
        <v>401</v>
      </c>
      <c r="B94" s="14">
        <f>(B52-B46)/('Revenue summary'!B147+B23-B21)</f>
        <v>0.536053882725832</v>
      </c>
      <c r="C94" s="14">
        <f>(C52-C46)/('Revenue summary'!C147+C23-C21)</f>
        <v>0.5509054325955735</v>
      </c>
      <c r="D94" s="14">
        <f>(D52-D46)/('Revenue summary'!D147+D23-D21)</f>
        <v>0.5601109741060419</v>
      </c>
      <c r="E94" s="14">
        <f>(E52-E46)/('Revenue summary'!E147+E23-E21)</f>
        <v>0.5837418300653595</v>
      </c>
      <c r="F94" s="14">
        <f>(F52-F46)/('Revenue summary'!F147+F23-F21)</f>
        <v>0.5279307631785995</v>
      </c>
      <c r="G94" s="58">
        <f>(G52-G46)/('Revenue summary'!G147+G23-G21)</f>
        <v>0.5420564446363741</v>
      </c>
      <c r="H94" s="7" t="s">
        <v>402</v>
      </c>
    </row>
    <row r="95">
      <c r="A95" s="6" t="s">
        <v>123</v>
      </c>
      <c r="B95" s="27">
        <f>(B94-(Inputs!F122-Inputs!F120)/(Inputs!F125+Inputs!F97+Inputs!F113-Inputs!F105))*10000</f>
        <v>-157.13269041319757</v>
      </c>
      <c r="C95" s="29">
        <f>(C94-B94)*10000</f>
        <v>148.51549869741464</v>
      </c>
      <c r="D95" s="29"/>
      <c r="E95" s="29">
        <f>(E94-C94)*10000</f>
        <v>328.3639746978606</v>
      </c>
      <c r="F95" s="29">
        <f>(F94-E94)*10000</f>
        <v>-558.1106688675997</v>
      </c>
      <c r="G95" s="33">
        <f>(G94-F94)*10000</f>
        <v>141.25681457774596</v>
      </c>
      <c r="H95" s="12"/>
    </row>
    <row r="96">
      <c r="A96" s="6" t="s">
        <v>124</v>
      </c>
      <c r="B96" s="29" t="s">
        <v>39</v>
      </c>
      <c r="C96" s="29" t="s">
        <v>39</v>
      </c>
      <c r="D96" s="27">
        <f>(D94-(Inputs!D122-Inputs!D120)/(Inputs!D125+Inputs!D97+Inputs!D113-Inputs!D105))*10000</f>
        <v>-92.6342228842103</v>
      </c>
      <c r="E96" s="27">
        <f>(E94-(Inputs!E122-Inputs!E120)/(Inputs!E125+Inputs!E97+Inputs!E113-Inputs!E105))*10000</f>
        <v>-210.89921444562788</v>
      </c>
      <c r="F96" s="27">
        <f>(F94-(Inputs!F122-Inputs!F120)/(Inputs!F125+Inputs!F97+Inputs!F113-Inputs!F105))*10000</f>
        <v>-238.36388588552194</v>
      </c>
      <c r="G96" s="33">
        <f>(G94-B94)*10000</f>
        <v>60.02561910542159</v>
      </c>
      <c r="H96" s="7" t="s">
        <v>125</v>
      </c>
    </row>
    <row r="97">
      <c r="A97" s="28" t="s">
        <v>403</v>
      </c>
      <c r="B97" s="26">
        <f>B25-B52</f>
        <v>1150</v>
      </c>
      <c r="C97" s="26">
        <f>C25-C52</f>
        <v>1096</v>
      </c>
      <c r="D97" s="26">
        <f>D25-D52</f>
        <v>4197</v>
      </c>
      <c r="E97" s="26">
        <f>E25-E52</f>
        <v>1003</v>
      </c>
      <c r="F97" s="26">
        <f>F25-F52</f>
        <v>1183</v>
      </c>
      <c r="G97" s="39">
        <f>G25-G52</f>
        <v>1148.0155054794523</v>
      </c>
      <c r="H97" s="12"/>
    </row>
    <row r="98">
      <c r="A98" s="12" t="s">
        <v>118</v>
      </c>
      <c r="B98" s="14">
        <f>B97/(Inputs!B125+Inputs!B113-Inputs!B122)-1</f>
        <v>0.11758989310009715</v>
      </c>
      <c r="C98" s="14">
        <f>C97/(Inputs!C125+Inputs!C113-Inputs!C122)-1</f>
        <v>0.07240704500978468</v>
      </c>
      <c r="D98" s="14">
        <f>D97/(Inputs!D125+Inputs!D113-Inputs!D122)-1</f>
        <v>0.07066326530612255</v>
      </c>
      <c r="E98" s="14">
        <f>E97/(Inputs!E125+Inputs!E113-Inputs!E122)-1</f>
        <v>0.12570145903479246</v>
      </c>
      <c r="F98" s="14">
        <f>F97/(Inputs!F125+Inputs!F113-Inputs!F122)-1</f>
        <v>0.11603773584905652</v>
      </c>
      <c r="G98" s="17">
        <f>G97/B97-1</f>
        <v>-0.0017256474091719154</v>
      </c>
      <c r="H98" s="100" t="s">
        <v>404</v>
      </c>
    </row>
    <row r="99">
      <c r="A99" s="12" t="s">
        <v>405</v>
      </c>
      <c r="B99" s="23">
        <f>B55/B25</f>
        <v>0.40787902904894546</v>
      </c>
      <c r="C99" s="23">
        <f>C55/C25</f>
        <v>0.3923232323232323</v>
      </c>
      <c r="D99" s="23">
        <f>D55/D25</f>
        <v>0.3810113519091847</v>
      </c>
      <c r="E99" s="23">
        <f>E55/E25</f>
        <v>0.35354362965997543</v>
      </c>
      <c r="F99" s="23">
        <f>F55/F25</f>
        <v>0.419826224328594</v>
      </c>
      <c r="G99" s="17">
        <f>G55/G25</f>
        <v>0.40136930917412866</v>
      </c>
      <c r="H99" s="12"/>
    </row>
    <row r="100">
      <c r="A100" s="6" t="s">
        <v>123</v>
      </c>
      <c r="B100" s="27">
        <f>(B99-Inputs!F129/(Inputs!F125+Inputs!F113))*10000</f>
        <v>176.45306177493046</v>
      </c>
      <c r="C100" s="29">
        <f>(C99-B99)*10000</f>
        <v>-155.55796725713168</v>
      </c>
      <c r="D100" s="29"/>
      <c r="E100" s="29">
        <f>(E99-C99)*10000</f>
        <v>-387.7960266325686</v>
      </c>
      <c r="F100" s="29">
        <f>(F99-E99)*10000</f>
        <v>662.8259466861858</v>
      </c>
      <c r="G100" s="33">
        <f>(G99-F99)*10000</f>
        <v>-184.56915154465347</v>
      </c>
      <c r="H100" s="12"/>
    </row>
    <row r="101">
      <c r="A101" s="6" t="s">
        <v>124</v>
      </c>
      <c r="B101" s="27">
        <f>(B99-Inputs!B129/(Inputs!B125+Inputs!B113))*10000</f>
        <v>180.8486095289058</v>
      </c>
      <c r="C101" s="27">
        <f>(C99-Inputs!C129/(Inputs!C125+Inputs!C113))*10000</f>
        <v>225.11911568515342</v>
      </c>
      <c r="D101" s="27">
        <f>(D99-Inputs!D129/(Inputs!D125+Inputs!D113))*10000</f>
        <v>242.91877827925967</v>
      </c>
      <c r="E101" s="27">
        <f>(E99-Inputs!E129/(Inputs!E125+Inputs!E113))*10000</f>
        <v>235.34956633089078</v>
      </c>
      <c r="F101" s="27">
        <f>(F99-Inputs!F129/(Inputs!F125+Inputs!F113))*10000</f>
        <v>295.92501457141594</v>
      </c>
      <c r="G101" s="33">
        <f>(G99-B99)*10000</f>
        <v>-65.097198748168</v>
      </c>
      <c r="H101" s="7" t="s">
        <v>406</v>
      </c>
    </row>
    <row r="102">
      <c r="A102" s="12" t="s">
        <v>88</v>
      </c>
      <c r="B102" s="23">
        <f>B57/B55</f>
        <v>0.22731707317073171</v>
      </c>
      <c r="C102" s="23">
        <f>C57/C55</f>
        <v>0.21833161688980432</v>
      </c>
      <c r="D102" s="23">
        <f>D57/D55</f>
        <v>0.22778981581798483</v>
      </c>
      <c r="E102" s="23">
        <f>E57/E55</f>
        <v>0.23059096176129779</v>
      </c>
      <c r="F102" s="23">
        <f>F57/F55</f>
        <v>0.23047977422389465</v>
      </c>
      <c r="G102" s="50">
        <v>0.231</v>
      </c>
      <c r="H102" s="7" t="s">
        <v>407</v>
      </c>
    </row>
    <row r="103">
      <c r="A103" s="6" t="s">
        <v>123</v>
      </c>
      <c r="B103" s="27">
        <f>(B102-Inputs!F123/Inputs!F129)*10000</f>
        <v>-69.07525759749566</v>
      </c>
      <c r="C103" s="29">
        <f>(C102-B102)*10000</f>
        <v>-89.85456280927396</v>
      </c>
      <c r="D103" s="29"/>
      <c r="E103" s="29">
        <f>(E102-C102)*10000</f>
        <v>122.59344871493467</v>
      </c>
      <c r="F103" s="29">
        <f>(F102-E102)*10000</f>
        <v>-1.1118753740313458</v>
      </c>
      <c r="G103" s="33">
        <f>(G102-F102)*10000</f>
        <v>5.2022577610535965</v>
      </c>
      <c r="H103" s="12"/>
    </row>
    <row r="104">
      <c r="A104" s="6" t="s">
        <v>124</v>
      </c>
      <c r="B104" s="27">
        <f>(B102-Inputs!B123/Inputs!B129)*10000</f>
        <v>204.96391102524908</v>
      </c>
      <c r="C104" s="27">
        <f>(C102-Inputs!C123/Inputs!C129)*10000</f>
        <v>-95.59539572780717</v>
      </c>
      <c r="D104" s="27">
        <f>(D102-Inputs!D123/Inputs!D129)*10000</f>
        <v>96.62927600462167</v>
      </c>
      <c r="E104" s="27">
        <f>(E102-Inputs!E123/Inputs!E129)*10000</f>
        <v>-19.977373188599103</v>
      </c>
      <c r="F104" s="27">
        <f>(F102-Inputs!F123/Inputs!F129)*10000</f>
        <v>-37.448247065866305</v>
      </c>
      <c r="G104" s="33">
        <f>(G102-B102)*10000</f>
        <v>36.82926829268296</v>
      </c>
      <c r="H104" s="7" t="s">
        <v>125</v>
      </c>
    </row>
    <row r="105">
      <c r="A105" s="12" t="s">
        <v>408</v>
      </c>
      <c r="B105" s="23">
        <f>B58/B25</f>
        <v>0.31516116195781935</v>
      </c>
      <c r="C105" s="23">
        <f>C58/C25</f>
        <v>0.30666666666666664</v>
      </c>
      <c r="D105" s="23">
        <f>D58/D25</f>
        <v>0.29422084623323014</v>
      </c>
      <c r="E105" s="23">
        <f>E58/E25</f>
        <v>0.2720196640721016</v>
      </c>
      <c r="F105" s="23">
        <f>F58/F25</f>
        <v>0.32306477093206953</v>
      </c>
      <c r="G105" s="17">
        <f>G58/G25</f>
        <v>0.30865299875490493</v>
      </c>
      <c r="H105" s="12"/>
    </row>
    <row r="106">
      <c r="A106" s="6" t="s">
        <v>123</v>
      </c>
      <c r="B106" s="27">
        <f>(B105-Inputs!F124/(Inputs!F125+Inputs!F113))*10000</f>
        <v>163.29776315081423</v>
      </c>
      <c r="C106" s="29">
        <f>(C105-B105)*10000</f>
        <v>-84.94495291152704</v>
      </c>
      <c r="D106" s="29"/>
      <c r="E106" s="29">
        <f>(E105-C105)*10000</f>
        <v>-346.47002594565043</v>
      </c>
      <c r="F106" s="29">
        <f>(F105-E105)*10000</f>
        <v>510.4510685996794</v>
      </c>
      <c r="G106" s="33">
        <f>(G105-F105)*10000</f>
        <v>-144.11772177164605</v>
      </c>
      <c r="H106" s="12"/>
    </row>
    <row r="107">
      <c r="A107" s="6" t="s">
        <v>124</v>
      </c>
      <c r="B107" s="27">
        <f>(B105-Inputs!B124/(Inputs!B125+Inputs!B113))*10000</f>
        <v>59.84489573599816</v>
      </c>
      <c r="C107" s="27">
        <f>(C105-Inputs!C124/(Inputs!C125+Inputs!C113))*10000</f>
        <v>211.32075471698099</v>
      </c>
      <c r="D107" s="27">
        <f>(D105-Inputs!D124/(Inputs!D125+Inputs!D113))*10000</f>
        <v>153.1148099990759</v>
      </c>
      <c r="E107" s="27">
        <f>(E105-Inputs!E124/(Inputs!E125+Inputs!E113))*10000</f>
        <v>187.67278989707813</v>
      </c>
      <c r="F107" s="27">
        <f>(F105-Inputs!F124/(Inputs!F125+Inputs!F113))*10000</f>
        <v>242.3338528933161</v>
      </c>
      <c r="G107" s="33">
        <f>(G105-B105)*10000</f>
        <v>-65.08163202914419</v>
      </c>
      <c r="H107" s="7" t="s">
        <v>406</v>
      </c>
    </row>
    <row r="108">
      <c r="A108" s="6" t="s">
        <v>287</v>
      </c>
      <c r="B108" s="4">
        <v>211053</v>
      </c>
      <c r="C108" s="4">
        <v>212891</v>
      </c>
      <c r="D108" s="4">
        <v>210645</v>
      </c>
      <c r="E108" s="4">
        <v>213828</v>
      </c>
      <c r="F108" s="4">
        <v>216532</v>
      </c>
      <c r="G108" s="35">
        <f>F108+('Revenue summary'!G72-'Revenue summary'!F72)</f>
        <v>219116</v>
      </c>
      <c r="H108" s="7" t="s">
        <v>409</v>
      </c>
    </row>
    <row r="109">
      <c r="A109" s="12" t="s">
        <v>332</v>
      </c>
      <c r="B109" s="24">
        <f>B58*365/B$6/B108</f>
        <v>0.01488807983323373</v>
      </c>
      <c r="C109" s="24">
        <f>C58*365/C$6/C108</f>
        <v>0.014144562240771099</v>
      </c>
      <c r="D109" s="24">
        <f>D58*365/D$6/D108</f>
        <v>0.013534619858055022</v>
      </c>
      <c r="E109" s="24">
        <f>E58*365/E$6/E108</f>
        <v>0.012593714990033526</v>
      </c>
      <c r="F109" s="24">
        <f>F58*365/F$6/F108</f>
        <v>0.015152444031316438</v>
      </c>
      <c r="G109" s="56">
        <f>G58*365/G$6/G108</f>
        <v>0.014155958961756017</v>
      </c>
      <c r="H109" s="12"/>
    </row>
    <row r="110">
      <c r="A110" s="6" t="s">
        <v>123</v>
      </c>
      <c r="B110" s="27">
        <f>(B109-Inputs!F124*365/Inputs!F135/Inputs!F136)*10000</f>
        <v>12.294929727692024</v>
      </c>
      <c r="C110" s="29">
        <f>(C109-B109)*10000</f>
        <v>-7.435175924626319</v>
      </c>
      <c r="D110" s="29"/>
      <c r="E110" s="29">
        <f>(E109-C109)*10000</f>
        <v>-15.508472507375723</v>
      </c>
      <c r="F110" s="29">
        <f>(F109-E109)*10000</f>
        <v>25.58729041282912</v>
      </c>
      <c r="G110" s="33">
        <f>(G109-F109)*10000</f>
        <v>-9.964850695604218</v>
      </c>
      <c r="H110" s="12"/>
    </row>
    <row r="111">
      <c r="A111" s="6" t="s">
        <v>124</v>
      </c>
      <c r="B111" s="29" t="s">
        <v>39</v>
      </c>
      <c r="C111" s="29" t="s">
        <v>39</v>
      </c>
      <c r="D111" s="27">
        <f>(D109-Inputs!D124*365/Inputs!D135/Inputs!D136)*10000</f>
        <v>12.81992265970939</v>
      </c>
      <c r="E111" s="27">
        <f>(E109-Inputs!E124*365/Inputs!E135/Inputs!E136)*10000</f>
        <v>12.24508599681885</v>
      </c>
      <c r="F111" s="27">
        <f>(F109-Inputs!F124*365/Inputs!F135/Inputs!F136)*10000</f>
        <v>14.938571708519103</v>
      </c>
      <c r="G111" s="33">
        <f>(G109-B109)*10000</f>
        <v>-7.321208714777139</v>
      </c>
      <c r="H111" s="7" t="s">
        <v>125</v>
      </c>
    </row>
    <row r="112">
      <c r="A112" s="6"/>
      <c r="B112" s="11"/>
      <c r="C112" s="11"/>
      <c r="D112" s="11"/>
      <c r="E112" s="11"/>
      <c r="F112" s="11"/>
      <c r="G112" s="20"/>
      <c r="H112" s="12"/>
    </row>
    <row r="113">
      <c r="A113" s="18" t="s">
        <v>410</v>
      </c>
      <c r="B113" s="11"/>
      <c r="C113" s="11"/>
      <c r="D113" s="11"/>
      <c r="E113" s="11"/>
      <c r="F113" s="11"/>
      <c r="G113" s="20"/>
      <c r="H113" s="12"/>
    </row>
    <row r="114">
      <c r="A114" s="6" t="s">
        <v>411</v>
      </c>
      <c r="B114" s="8">
        <f>'Revenue summary'!B58</f>
        <v>135890</v>
      </c>
      <c r="C114" s="8">
        <f>'Revenue summary'!C58</f>
        <v>136542</v>
      </c>
      <c r="D114" s="8">
        <f>'Revenue summary'!D58</f>
        <v>135275</v>
      </c>
      <c r="E114" s="8">
        <f>'Revenue summary'!E58</f>
        <v>137421</v>
      </c>
      <c r="F114" s="8">
        <f>'Revenue summary'!F58</f>
        <v>140650</v>
      </c>
      <c r="G114" s="35">
        <f>'Revenue summary'!G58</f>
        <v>143700</v>
      </c>
      <c r="H114" s="12"/>
    </row>
    <row r="115">
      <c r="A115" s="6" t="s">
        <v>412</v>
      </c>
      <c r="B115" s="4">
        <v>146</v>
      </c>
      <c r="C115" s="4">
        <v>185</v>
      </c>
      <c r="D115" s="8">
        <f>Inputs!D173+D124-'Balance Sheet'!D35</f>
        <v>553</v>
      </c>
      <c r="E115" s="4">
        <v>105</v>
      </c>
      <c r="F115" s="4">
        <v>80</v>
      </c>
      <c r="G115" s="2">
        <f>G114*G117*G$6/365</f>
        <v>108.66082191780824</v>
      </c>
      <c r="H115" s="7" t="s">
        <v>413</v>
      </c>
    </row>
    <row r="116">
      <c r="A116" s="12" t="s">
        <v>118</v>
      </c>
      <c r="B116" s="23" t="s">
        <v>39</v>
      </c>
      <c r="C116" s="14">
        <f>C115/Inputs!C134-1</f>
        <v>0.15625</v>
      </c>
      <c r="D116" s="23" t="s">
        <v>39</v>
      </c>
      <c r="E116" s="23" t="s">
        <v>39</v>
      </c>
      <c r="F116" s="14">
        <f>F115/Inputs!F134-1</f>
        <v>-0.2592592592592593</v>
      </c>
      <c r="G116" s="17">
        <f>G115/B115-1</f>
        <v>-0.2557477950835052</v>
      </c>
      <c r="H116" s="7" t="s">
        <v>119</v>
      </c>
    </row>
    <row r="117">
      <c r="A117" s="12" t="s">
        <v>414</v>
      </c>
      <c r="B117" s="24">
        <f>B115*365/B$6/B114</f>
        <v>0.004262558911139765</v>
      </c>
      <c r="C117" s="24">
        <f>C115*365/C$6/C114</f>
        <v>0.005375396517586881</v>
      </c>
      <c r="D117" s="24">
        <f>D115*365/D$6/D114</f>
        <v>0.0040879689521345405</v>
      </c>
      <c r="E117" s="24">
        <f>E115*365/E$6/E114</f>
        <v>0.003098750069737037</v>
      </c>
      <c r="F117" s="24">
        <f>F115*365/F$6/F114</f>
        <v>0.0022814014993183143</v>
      </c>
      <c r="G117" s="55">
        <v>0.003</v>
      </c>
      <c r="H117" s="7" t="s">
        <v>415</v>
      </c>
    </row>
    <row r="118">
      <c r="A118" s="6" t="s">
        <v>123</v>
      </c>
      <c r="B118" s="27">
        <f>(B117-Inputs!F134*365/Inputs!F135/(Inputs!F143+Inputs!F145+Inputs!F147+Inputs!F149))*10000</f>
        <v>10.373069720818084</v>
      </c>
      <c r="C118" s="29">
        <f>(C117-B117)*10000</f>
        <v>11.128376064471158</v>
      </c>
      <c r="D118" s="29"/>
      <c r="E118" s="29">
        <f>(E117-C117)*10000</f>
        <v>-22.76646447849844</v>
      </c>
      <c r="F118" s="29">
        <f>(F117-E117)*10000</f>
        <v>-8.173485704187225</v>
      </c>
      <c r="G118" s="33">
        <f>(G117-F117)*10000</f>
        <v>7.185985006816858</v>
      </c>
      <c r="H118" s="12"/>
    </row>
    <row r="119">
      <c r="A119" s="6" t="s">
        <v>124</v>
      </c>
      <c r="B119" s="29" t="s">
        <v>39</v>
      </c>
      <c r="C119" s="29" t="s">
        <v>39</v>
      </c>
      <c r="D119" s="29" t="s">
        <v>39</v>
      </c>
      <c r="E119" s="29" t="s">
        <v>39</v>
      </c>
      <c r="F119" s="27">
        <f>(F117-Inputs!F134*365/Inputs!F135/(Inputs!F143+Inputs!F145+Inputs!F147+Inputs!F149))*10000</f>
        <v>-9.438504397396423</v>
      </c>
      <c r="G119" s="33">
        <f>(G117-B117)*10000</f>
        <v>-12.625589111397648</v>
      </c>
      <c r="H119" s="7" t="s">
        <v>125</v>
      </c>
    </row>
    <row r="120">
      <c r="A120" s="12" t="s">
        <v>416</v>
      </c>
      <c r="B120" s="45">
        <f>'Balance Sheet'!B35/'Balance Sheet'!B32</f>
        <v>0.015849499431588983</v>
      </c>
      <c r="C120" s="45">
        <f>'Balance Sheet'!C35/'Balance Sheet'!C32</f>
        <v>0.015373996439859048</v>
      </c>
      <c r="D120" s="45">
        <f>'Balance Sheet'!D35/'Balance Sheet'!D32</f>
        <v>0.015373996439859048</v>
      </c>
      <c r="E120" s="45">
        <f>'Balance Sheet'!E35/'Balance Sheet'!E32</f>
        <v>0.015361049384047809</v>
      </c>
      <c r="F120" s="45">
        <f>'Balance Sheet'!F35/'Balance Sheet'!F32</f>
        <v>0.015266961341471971</v>
      </c>
      <c r="G120" s="55">
        <v>0.0152</v>
      </c>
      <c r="H120" s="7" t="s">
        <v>417</v>
      </c>
    </row>
    <row r="121">
      <c r="A121" s="6" t="s">
        <v>123</v>
      </c>
      <c r="B121" s="27">
        <f>(B120-Inputs!F173/(Inputs!F169+Inputs!F170+Inputs!F171+Inputs!F172))*10000</f>
        <v>-3.6559972628866233</v>
      </c>
      <c r="C121" s="29">
        <f>(C120-B120)*10000</f>
        <v>-4.7550299172993515</v>
      </c>
      <c r="D121" s="29"/>
      <c r="E121" s="29">
        <f>(E120-C120)*10000</f>
        <v>-0.12947055811238575</v>
      </c>
      <c r="F121" s="29">
        <f>(F120-E120)*10000</f>
        <v>-0.940880425758378</v>
      </c>
      <c r="G121" s="33">
        <f>(G120-F120)*10000</f>
        <v>-0.6696134147197129</v>
      </c>
      <c r="H121" s="12"/>
    </row>
    <row r="122">
      <c r="A122" s="6" t="s">
        <v>124</v>
      </c>
      <c r="B122" s="29" t="s">
        <v>39</v>
      </c>
      <c r="C122" s="27">
        <f>(C120-Inputs!C173/(Inputs!C169+Inputs!C170+Inputs!C171+Inputs!C172))*10000</f>
        <v>-8.019840067579938</v>
      </c>
      <c r="D122" s="27">
        <f>(D120-Inputs!D173/(Inputs!D169+Inputs!D170+Inputs!D171+Inputs!D172))*10000</f>
        <v>-8.019840067579938</v>
      </c>
      <c r="E122" s="27">
        <f>(E120-Inputs!E173/(Inputs!E169+Inputs!E170+Inputs!E171+Inputs!E172))*10000</f>
        <v>-11.265025142689622</v>
      </c>
      <c r="F122" s="27">
        <f>(F120-Inputs!F173/(Inputs!F169+Inputs!F170+Inputs!F171+Inputs!F172))*10000</f>
        <v>-9.48137816405674</v>
      </c>
      <c r="G122" s="33">
        <f>(G120-B120)*10000</f>
        <v>-6.494994315889828</v>
      </c>
      <c r="H122" s="7" t="s">
        <v>125</v>
      </c>
    </row>
    <row r="123">
      <c r="A123" s="6" t="s">
        <v>418</v>
      </c>
      <c r="B123" s="8">
        <f>'Balance Sheet'!B35-Inputs!F173</f>
        <v>-36</v>
      </c>
      <c r="C123" s="8">
        <f>'Balance Sheet'!C35-'Balance Sheet'!B35</f>
        <v>-45</v>
      </c>
      <c r="D123" s="8">
        <f>'Balance Sheet'!D35-Inputs!D173</f>
        <v>-68</v>
      </c>
      <c r="E123" s="8">
        <f>'Balance Sheet'!E35-'Balance Sheet'!C35</f>
        <v>20</v>
      </c>
      <c r="F123" s="8">
        <f>'Balance Sheet'!F35-'Balance Sheet'!E35</f>
        <v>40</v>
      </c>
      <c r="G123" s="35">
        <f>'Balance Sheet'!G35-'Balance Sheet'!F35</f>
        <v>22.679999999999836</v>
      </c>
      <c r="H123" s="12"/>
    </row>
    <row r="124">
      <c r="A124" s="6" t="s">
        <v>419</v>
      </c>
      <c r="B124" s="4">
        <v>110</v>
      </c>
      <c r="C124" s="4">
        <v>140</v>
      </c>
      <c r="D124" s="1">
        <f>D13-D125</f>
        <v>485</v>
      </c>
      <c r="E124" s="4">
        <v>125</v>
      </c>
      <c r="F124" s="4">
        <v>120</v>
      </c>
      <c r="G124" s="2">
        <f>G115+G123</f>
        <v>131.34082191780806</v>
      </c>
      <c r="H124" s="7" t="s">
        <v>376</v>
      </c>
    </row>
    <row r="125">
      <c r="A125" s="6" t="s">
        <v>420</v>
      </c>
      <c r="B125" s="4">
        <v>15</v>
      </c>
      <c r="C125" s="4">
        <v>-15</v>
      </c>
      <c r="D125" s="8">
        <f>'Balance Sheet'!D92-Inputs!D185</f>
        <v>20</v>
      </c>
      <c r="E125" s="4">
        <v>15</v>
      </c>
      <c r="F125" s="4">
        <v>0</v>
      </c>
      <c r="G125" s="21">
        <v>0</v>
      </c>
      <c r="H125" s="7" t="s">
        <v>421</v>
      </c>
    </row>
    <row r="126">
      <c r="A126" s="28" t="s">
        <v>422</v>
      </c>
      <c r="B126" s="26">
        <f>B124+B125</f>
        <v>125</v>
      </c>
      <c r="C126" s="26">
        <f>C124+C125</f>
        <v>125</v>
      </c>
      <c r="D126" s="26">
        <f>D124+D125</f>
        <v>505</v>
      </c>
      <c r="E126" s="26">
        <f>E124+E125</f>
        <v>140</v>
      </c>
      <c r="F126" s="26">
        <f>F124+F125</f>
        <v>120</v>
      </c>
      <c r="G126" s="39">
        <f>G124+G125</f>
        <v>131.34082191780806</v>
      </c>
      <c r="H126" s="12"/>
    </row>
    <row r="127">
      <c r="A127" s="12" t="s">
        <v>423</v>
      </c>
      <c r="B127" s="32">
        <f>B126-B13</f>
        <v>0</v>
      </c>
      <c r="C127" s="32">
        <f>C126-C13</f>
        <v>0</v>
      </c>
      <c r="D127" s="32">
        <f>D126-D13</f>
        <v>0</v>
      </c>
      <c r="E127" s="32">
        <f>E126-E13</f>
        <v>0</v>
      </c>
      <c r="F127" s="32">
        <f>F126-F13</f>
        <v>0</v>
      </c>
      <c r="G127" s="52"/>
      <c r="H127" s="12"/>
    </row>
    <row r="128">
      <c r="A128" s="12" t="s">
        <v>424</v>
      </c>
      <c r="B128" s="32">
        <f>B123-(B124-B115)</f>
        <v>0</v>
      </c>
      <c r="C128" s="32">
        <f>C123-(C124-C115)</f>
        <v>0</v>
      </c>
      <c r="D128" s="32"/>
      <c r="E128" s="32">
        <f>E123-(E124-E115)</f>
        <v>0</v>
      </c>
      <c r="F128" s="32">
        <f>F123-(F124-F115)</f>
        <v>0</v>
      </c>
      <c r="G128" s="52">
        <f>G123-(G124-G115)</f>
        <v>0</v>
      </c>
      <c r="H128" s="96" t="s">
        <v>425</v>
      </c>
    </row>
    <row r="129">
      <c r="A129" s="6"/>
      <c r="B129" s="6"/>
      <c r="C129" s="6"/>
      <c r="D129" s="6"/>
      <c r="E129" s="6"/>
      <c r="F129" s="6"/>
      <c r="G129" s="6"/>
      <c r="H129" s="6"/>
    </row>
    <row r="130">
      <c r="A130" s="6"/>
      <c r="B130" s="6"/>
      <c r="C130" s="6"/>
      <c r="D130" s="6"/>
      <c r="E130" s="6"/>
      <c r="F130" s="6"/>
      <c r="G130" s="6"/>
      <c r="H130" s="6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H94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426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427</v>
      </c>
      <c r="B8" s="11"/>
      <c r="C8" s="11"/>
      <c r="D8" s="11"/>
      <c r="E8" s="11"/>
      <c r="F8" s="11"/>
      <c r="G8" s="20"/>
      <c r="H8" s="12"/>
    </row>
    <row r="9">
      <c r="A9" s="6" t="s">
        <v>428</v>
      </c>
      <c r="B9" s="4">
        <v>1950</v>
      </c>
      <c r="C9" s="4">
        <v>1701</v>
      </c>
      <c r="D9" s="1">
        <f>C9</f>
        <v>1701</v>
      </c>
      <c r="E9" s="4">
        <v>1903</v>
      </c>
      <c r="F9" s="4">
        <v>1939</v>
      </c>
      <c r="G9" s="21">
        <v>1950</v>
      </c>
      <c r="H9" s="7" t="s">
        <v>429</v>
      </c>
    </row>
    <row r="10">
      <c r="A10" s="12" t="s">
        <v>118</v>
      </c>
      <c r="B10" s="23" t="s">
        <v>39</v>
      </c>
      <c r="C10" s="14">
        <f>C9/Inputs!C165-1</f>
        <v>-0.108957569408067</v>
      </c>
      <c r="D10" s="14">
        <f>D9/Inputs!D165-1</f>
        <v>-0.108957569408067</v>
      </c>
      <c r="E10" s="14">
        <f>E9/Inputs!E165-1</f>
        <v>-0.0976766239924135</v>
      </c>
      <c r="F10" s="14">
        <f>F9/Inputs!F165-1</f>
        <v>-0.08881578947368418</v>
      </c>
      <c r="G10" s="17">
        <f>G9/B9-1</f>
        <v>0</v>
      </c>
      <c r="H10" s="7" t="s">
        <v>119</v>
      </c>
    </row>
    <row r="11">
      <c r="A11" s="6" t="s">
        <v>120</v>
      </c>
      <c r="B11" s="8">
        <f>B9-Inputs!F165</f>
        <v>-178</v>
      </c>
      <c r="C11" s="1">
        <f>C9-B9</f>
        <v>-249</v>
      </c>
      <c r="D11" s="1"/>
      <c r="E11" s="1">
        <f>E9-C9</f>
        <v>202</v>
      </c>
      <c r="F11" s="1">
        <f>F9-E9</f>
        <v>36</v>
      </c>
      <c r="G11" s="2">
        <f>G9-F9</f>
        <v>11</v>
      </c>
      <c r="H11" s="12"/>
    </row>
    <row r="12">
      <c r="A12" s="6" t="s">
        <v>116</v>
      </c>
      <c r="B12" s="4">
        <v>16751</v>
      </c>
      <c r="C12" s="4">
        <v>17068</v>
      </c>
      <c r="D12" s="1">
        <f>C12</f>
        <v>17068</v>
      </c>
      <c r="E12" s="4">
        <v>14445</v>
      </c>
      <c r="F12" s="4">
        <v>15499</v>
      </c>
      <c r="G12" s="2">
        <f>G68-(G9+G13+G16+G36+G37+G38+G39)</f>
        <v>13925.224998325575</v>
      </c>
      <c r="H12" s="7" t="s">
        <v>430</v>
      </c>
    </row>
    <row r="13">
      <c r="A13" s="6" t="s">
        <v>128</v>
      </c>
      <c r="B13" s="4">
        <v>36864</v>
      </c>
      <c r="C13" s="4">
        <v>36649</v>
      </c>
      <c r="D13" s="1">
        <f>C13</f>
        <v>36649</v>
      </c>
      <c r="E13" s="4">
        <v>38621</v>
      </c>
      <c r="F13" s="4">
        <v>38374</v>
      </c>
      <c r="G13" s="21">
        <v>38800</v>
      </c>
      <c r="H13" s="7" t="s">
        <v>431</v>
      </c>
    </row>
    <row r="14">
      <c r="A14" s="12" t="s">
        <v>118</v>
      </c>
      <c r="B14" s="23" t="s">
        <v>39</v>
      </c>
      <c r="C14" s="14">
        <f>C13/Inputs!C167-1</f>
        <v>0.07629731872779066</v>
      </c>
      <c r="D14" s="14">
        <f>D13/Inputs!D167-1</f>
        <v>0.07629731872779066</v>
      </c>
      <c r="E14" s="14">
        <f>E13/Inputs!E167-1</f>
        <v>0.09915473717164236</v>
      </c>
      <c r="F14" s="14">
        <f>F13/Inputs!F167-1</f>
        <v>0.07889113810166437</v>
      </c>
      <c r="G14" s="17">
        <f>G13/B13-1</f>
        <v>0.05251736111111116</v>
      </c>
      <c r="H14" s="7" t="s">
        <v>119</v>
      </c>
    </row>
    <row r="15">
      <c r="A15" s="6" t="s">
        <v>120</v>
      </c>
      <c r="B15" s="8">
        <f>B13-Inputs!F167</f>
        <v>1296</v>
      </c>
      <c r="C15" s="1">
        <f>C13-B13</f>
        <v>-215</v>
      </c>
      <c r="D15" s="1"/>
      <c r="E15" s="1">
        <f>E13-C13</f>
        <v>1972</v>
      </c>
      <c r="F15" s="1">
        <f>F13-E13</f>
        <v>-247</v>
      </c>
      <c r="G15" s="2">
        <f>G13-F13</f>
        <v>426</v>
      </c>
      <c r="H15" s="12"/>
    </row>
    <row r="16">
      <c r="A16" s="6" t="s">
        <v>131</v>
      </c>
      <c r="B16" s="4">
        <v>629</v>
      </c>
      <c r="C16" s="4">
        <v>1067</v>
      </c>
      <c r="D16" s="1">
        <f>C16</f>
        <v>1067</v>
      </c>
      <c r="E16" s="4">
        <v>861</v>
      </c>
      <c r="F16" s="4">
        <v>663</v>
      </c>
      <c r="G16" s="21">
        <v>650</v>
      </c>
      <c r="H16" s="7" t="s">
        <v>429</v>
      </c>
    </row>
    <row r="17">
      <c r="A17" s="12" t="s">
        <v>118</v>
      </c>
      <c r="B17" s="23" t="s">
        <v>39</v>
      </c>
      <c r="C17" s="14">
        <f>C16/Inputs!C168-1</f>
        <v>0.8851590106007068</v>
      </c>
      <c r="D17" s="14">
        <f>D16/Inputs!D168-1</f>
        <v>0.8851590106007068</v>
      </c>
      <c r="E17" s="14">
        <f>E16/Inputs!E168-1</f>
        <v>-0.24473684210526314</v>
      </c>
      <c r="F17" s="14">
        <f>F16/Inputs!F168-1</f>
        <v>0.060799999999999965</v>
      </c>
      <c r="G17" s="17">
        <f>G16/B16-1</f>
        <v>0.03338632750397452</v>
      </c>
      <c r="H17" s="7" t="s">
        <v>119</v>
      </c>
    </row>
    <row r="18">
      <c r="A18" s="6" t="s">
        <v>120</v>
      </c>
      <c r="B18" s="8">
        <f>B16-Inputs!F168</f>
        <v>4</v>
      </c>
      <c r="C18" s="1">
        <f>C16-B16</f>
        <v>438</v>
      </c>
      <c r="D18" s="1"/>
      <c r="E18" s="1">
        <f>E16-C16</f>
        <v>-206</v>
      </c>
      <c r="F18" s="1">
        <f>F16-E16</f>
        <v>-198</v>
      </c>
      <c r="G18" s="2">
        <f>G16-F16</f>
        <v>-13</v>
      </c>
      <c r="H18" s="12"/>
    </row>
    <row r="19">
      <c r="A19" s="6" t="s">
        <v>432</v>
      </c>
      <c r="B19" s="11"/>
      <c r="C19" s="11"/>
      <c r="D19" s="11"/>
      <c r="E19" s="11"/>
      <c r="F19" s="11"/>
      <c r="G19" s="20"/>
      <c r="H19" s="12"/>
    </row>
    <row r="20">
      <c r="A20" s="6" t="s">
        <v>433</v>
      </c>
      <c r="B20" s="4">
        <v>61863</v>
      </c>
      <c r="C20" s="4">
        <v>63406</v>
      </c>
      <c r="D20" s="1">
        <f>C20</f>
        <v>63406</v>
      </c>
      <c r="E20" s="4">
        <v>65216</v>
      </c>
      <c r="F20" s="4">
        <v>65995</v>
      </c>
      <c r="G20" s="21">
        <v>66700</v>
      </c>
      <c r="H20" s="7" t="s">
        <v>434</v>
      </c>
    </row>
    <row r="21">
      <c r="A21" s="12" t="s">
        <v>118</v>
      </c>
      <c r="B21" s="23" t="s">
        <v>39</v>
      </c>
      <c r="C21" s="14">
        <f>C20/Inputs!C169-1</f>
        <v>0.03206588970636104</v>
      </c>
      <c r="D21" s="14">
        <f>D20/Inputs!D169-1</f>
        <v>0.03206588970636104</v>
      </c>
      <c r="E21" s="14">
        <f>E20/Inputs!E169-1</f>
        <v>0.0775941837409122</v>
      </c>
      <c r="F21" s="14">
        <f>F20/Inputs!F169-1</f>
        <v>0.07061743616365468</v>
      </c>
      <c r="G21" s="17">
        <f>G20/B20-1</f>
        <v>0.07818890128186484</v>
      </c>
      <c r="H21" s="7" t="s">
        <v>119</v>
      </c>
    </row>
    <row r="22">
      <c r="A22" s="6" t="s">
        <v>120</v>
      </c>
      <c r="B22" s="8">
        <f>B20-Inputs!F169</f>
        <v>221</v>
      </c>
      <c r="C22" s="1">
        <f>C20-B20</f>
        <v>1543</v>
      </c>
      <c r="D22" s="1"/>
      <c r="E22" s="1">
        <f>E20-C20</f>
        <v>1810</v>
      </c>
      <c r="F22" s="1">
        <f>F20-E20</f>
        <v>779</v>
      </c>
      <c r="G22" s="2">
        <f>G20-F20</f>
        <v>705</v>
      </c>
      <c r="H22" s="12"/>
    </row>
    <row r="23">
      <c r="A23" s="6" t="s">
        <v>435</v>
      </c>
      <c r="B23" s="4">
        <v>23768</v>
      </c>
      <c r="C23" s="4">
        <v>23335</v>
      </c>
      <c r="D23" s="1">
        <f>C23</f>
        <v>23335</v>
      </c>
      <c r="E23" s="4">
        <v>22986</v>
      </c>
      <c r="F23" s="4">
        <v>24233</v>
      </c>
      <c r="G23" s="21">
        <v>24900</v>
      </c>
      <c r="H23" s="7" t="s">
        <v>436</v>
      </c>
    </row>
    <row r="24">
      <c r="A24" s="12" t="s">
        <v>118</v>
      </c>
      <c r="B24" s="23" t="s">
        <v>39</v>
      </c>
      <c r="C24" s="14">
        <f>C23/Inputs!C170-1</f>
        <v>-0.11790277462765553</v>
      </c>
      <c r="D24" s="14">
        <f>D23/Inputs!D170-1</f>
        <v>-0.11790277462765553</v>
      </c>
      <c r="E24" s="14">
        <f>E23/Inputs!E170-1</f>
        <v>-0.07989752621887758</v>
      </c>
      <c r="F24" s="14">
        <f>F23/Inputs!F170-1</f>
        <v>0.0021090066991977796</v>
      </c>
      <c r="G24" s="17">
        <f>G23/B23-1</f>
        <v>0.047627061595422404</v>
      </c>
      <c r="H24" s="7" t="s">
        <v>119</v>
      </c>
    </row>
    <row r="25">
      <c r="A25" s="6" t="s">
        <v>120</v>
      </c>
      <c r="B25" s="8">
        <f>B23-Inputs!F170</f>
        <v>-414</v>
      </c>
      <c r="C25" s="1">
        <f>C23-B23</f>
        <v>-433</v>
      </c>
      <c r="D25" s="1"/>
      <c r="E25" s="1">
        <f>E23-C23</f>
        <v>-349</v>
      </c>
      <c r="F25" s="1">
        <f>F23-E23</f>
        <v>1247</v>
      </c>
      <c r="G25" s="2">
        <f>G23-F23</f>
        <v>667</v>
      </c>
      <c r="H25" s="12"/>
    </row>
    <row r="26">
      <c r="A26" s="6" t="s">
        <v>437</v>
      </c>
      <c r="B26" s="4">
        <v>24335</v>
      </c>
      <c r="C26" s="4">
        <v>24433</v>
      </c>
      <c r="D26" s="1">
        <f>C26</f>
        <v>24433</v>
      </c>
      <c r="E26" s="4">
        <v>24530</v>
      </c>
      <c r="F26" s="4">
        <v>25128</v>
      </c>
      <c r="G26" s="21">
        <v>25450</v>
      </c>
      <c r="H26" s="7" t="s">
        <v>438</v>
      </c>
    </row>
    <row r="27">
      <c r="A27" s="12" t="s">
        <v>118</v>
      </c>
      <c r="B27" s="23" t="s">
        <v>39</v>
      </c>
      <c r="C27" s="14">
        <f>C26/Inputs!C171-1</f>
        <v>0.0643868438248747</v>
      </c>
      <c r="D27" s="14">
        <f>D26/Inputs!D171-1</f>
        <v>0.0643868438248747</v>
      </c>
      <c r="E27" s="14">
        <f>E26/Inputs!E171-1</f>
        <v>0.06167496212940926</v>
      </c>
      <c r="F27" s="14">
        <f>F26/Inputs!F171-1</f>
        <v>0.0516007532956686</v>
      </c>
      <c r="G27" s="17">
        <f>G26/B26-1</f>
        <v>0.04581877953564817</v>
      </c>
      <c r="H27" s="7" t="s">
        <v>119</v>
      </c>
    </row>
    <row r="28">
      <c r="A28" s="6" t="s">
        <v>120</v>
      </c>
      <c r="B28" s="8">
        <f>B26-Inputs!F171</f>
        <v>440</v>
      </c>
      <c r="C28" s="1">
        <f>C26-B26</f>
        <v>98</v>
      </c>
      <c r="D28" s="1"/>
      <c r="E28" s="1">
        <f>E26-C26</f>
        <v>97</v>
      </c>
      <c r="F28" s="1">
        <f>F26-E26</f>
        <v>598</v>
      </c>
      <c r="G28" s="2">
        <f>G26-F26</f>
        <v>322</v>
      </c>
      <c r="H28" s="12"/>
    </row>
    <row r="29">
      <c r="A29" s="6" t="s">
        <v>439</v>
      </c>
      <c r="B29" s="4">
        <v>26379</v>
      </c>
      <c r="C29" s="4">
        <v>26461</v>
      </c>
      <c r="D29" s="1">
        <f>C29</f>
        <v>26461</v>
      </c>
      <c r="E29" s="4">
        <v>26321</v>
      </c>
      <c r="F29" s="4">
        <v>27174</v>
      </c>
      <c r="G29" s="21">
        <v>27600</v>
      </c>
      <c r="H29" s="7" t="s">
        <v>440</v>
      </c>
    </row>
    <row r="30">
      <c r="A30" s="12" t="s">
        <v>118</v>
      </c>
      <c r="B30" s="23" t="s">
        <v>39</v>
      </c>
      <c r="C30" s="14">
        <f>C29/Inputs!C172-1</f>
        <v>0.09478692594124949</v>
      </c>
      <c r="D30" s="14">
        <f>D29/Inputs!D172-1</f>
        <v>0.09478692594124949</v>
      </c>
      <c r="E30" s="14">
        <f>E29/Inputs!E172-1</f>
        <v>0.06017642083215846</v>
      </c>
      <c r="F30" s="14">
        <f>F29/Inputs!F172-1</f>
        <v>0.05440012416576123</v>
      </c>
      <c r="G30" s="17">
        <f>G29/B29-1</f>
        <v>0.04628681906061649</v>
      </c>
      <c r="H30" s="7" t="s">
        <v>119</v>
      </c>
    </row>
    <row r="31">
      <c r="A31" s="6" t="s">
        <v>120</v>
      </c>
      <c r="B31" s="8">
        <f>B29-Inputs!F172</f>
        <v>607</v>
      </c>
      <c r="C31" s="1">
        <f>C29-B29</f>
        <v>82</v>
      </c>
      <c r="D31" s="1"/>
      <c r="E31" s="1">
        <f>E29-C29</f>
        <v>-140</v>
      </c>
      <c r="F31" s="1">
        <f>F29-E29</f>
        <v>853</v>
      </c>
      <c r="G31" s="2">
        <f>G29-F29</f>
        <v>426</v>
      </c>
      <c r="H31" s="12"/>
    </row>
    <row r="32">
      <c r="A32" s="28" t="s">
        <v>143</v>
      </c>
      <c r="B32" s="26">
        <f>SUM(B20,B23,B26,B29)</f>
        <v>136345</v>
      </c>
      <c r="C32" s="26">
        <f>SUM(C20,C23,C26,C29)</f>
        <v>137635</v>
      </c>
      <c r="D32" s="26">
        <f>SUM(D20,D23,D26,D29)</f>
        <v>137635</v>
      </c>
      <c r="E32" s="26">
        <f>SUM(E20,E23,E26,E29)</f>
        <v>139053</v>
      </c>
      <c r="F32" s="26">
        <f>SUM(F20,F23,F26,F29)</f>
        <v>142530</v>
      </c>
      <c r="G32" s="39">
        <f>SUM(G20,G23,G26,G29)</f>
        <v>144650</v>
      </c>
      <c r="H32" s="12"/>
    </row>
    <row r="33">
      <c r="A33" s="12" t="s">
        <v>118</v>
      </c>
      <c r="B33" s="23" t="s">
        <v>39</v>
      </c>
      <c r="C33" s="14">
        <f>C32/Inputs!C188-1</f>
        <v>0.019405251268377555</v>
      </c>
      <c r="D33" s="14">
        <f>D32/Inputs!D188-1</f>
        <v>0.019405251268377555</v>
      </c>
      <c r="E33" s="14">
        <f>E32/Inputs!E188-1</f>
        <v>0.042110706416655486</v>
      </c>
      <c r="F33" s="14">
        <f>F32/Inputs!F188-1</f>
        <v>0.051951790155803756</v>
      </c>
      <c r="G33" s="17">
        <f>G32/B32-1</f>
        <v>0.060911657926583374</v>
      </c>
      <c r="H33" s="7" t="s">
        <v>119</v>
      </c>
    </row>
    <row r="34">
      <c r="A34" s="6" t="s">
        <v>120</v>
      </c>
      <c r="B34" s="8">
        <f>B32-Inputs!F188</f>
        <v>854</v>
      </c>
      <c r="C34" s="1">
        <f>C32-B32</f>
        <v>1290</v>
      </c>
      <c r="D34" s="1"/>
      <c r="E34" s="1">
        <f>E32-C32</f>
        <v>1418</v>
      </c>
      <c r="F34" s="1">
        <f>F32-E32</f>
        <v>3477</v>
      </c>
      <c r="G34" s="2">
        <f>G32-F32</f>
        <v>2120</v>
      </c>
      <c r="H34" s="12"/>
    </row>
    <row r="35">
      <c r="A35" s="6" t="s">
        <v>441</v>
      </c>
      <c r="B35" s="4">
        <v>2161</v>
      </c>
      <c r="C35" s="4">
        <v>2116</v>
      </c>
      <c r="D35" s="1">
        <f>C35</f>
        <v>2116</v>
      </c>
      <c r="E35" s="4">
        <v>2136</v>
      </c>
      <c r="F35" s="4">
        <v>2176</v>
      </c>
      <c r="G35" s="35">
        <f>G32*'Income Statement'!G120</f>
        <v>2198.68</v>
      </c>
      <c r="H35" s="7" t="s">
        <v>442</v>
      </c>
    </row>
    <row r="36">
      <c r="A36" s="28" t="s">
        <v>443</v>
      </c>
      <c r="B36" s="26">
        <f>B32-B35</f>
        <v>134184</v>
      </c>
      <c r="C36" s="26">
        <f>C32-C35</f>
        <v>135519</v>
      </c>
      <c r="D36" s="26">
        <f>D32-D35</f>
        <v>135519</v>
      </c>
      <c r="E36" s="26">
        <f>E32-E35</f>
        <v>136917</v>
      </c>
      <c r="F36" s="26">
        <f>F32-F35</f>
        <v>140354</v>
      </c>
      <c r="G36" s="39">
        <f>G32-G35</f>
        <v>142451.32</v>
      </c>
      <c r="H36" s="12"/>
    </row>
    <row r="37">
      <c r="A37" s="6" t="s">
        <v>444</v>
      </c>
      <c r="B37" s="4">
        <v>8465</v>
      </c>
      <c r="C37" s="4">
        <v>8465</v>
      </c>
      <c r="D37" s="1">
        <f>C37</f>
        <v>8465</v>
      </c>
      <c r="E37" s="4">
        <v>8465</v>
      </c>
      <c r="F37" s="4">
        <v>8465</v>
      </c>
      <c r="G37" s="2">
        <f>F37</f>
        <v>8465</v>
      </c>
      <c r="H37" s="12"/>
    </row>
    <row r="38">
      <c r="A38" s="6" t="s">
        <v>445</v>
      </c>
      <c r="B38" s="4">
        <v>74</v>
      </c>
      <c r="C38" s="4">
        <v>64</v>
      </c>
      <c r="D38" s="1">
        <f>C38</f>
        <v>64</v>
      </c>
      <c r="E38" s="4">
        <v>55</v>
      </c>
      <c r="F38" s="4">
        <v>48</v>
      </c>
      <c r="G38" s="35">
        <f>F38-'Income Statement'!G46</f>
        <v>42</v>
      </c>
      <c r="H38" s="7" t="s">
        <v>446</v>
      </c>
    </row>
    <row r="39">
      <c r="A39" s="6" t="s">
        <v>447</v>
      </c>
      <c r="B39" s="4">
        <v>12360</v>
      </c>
      <c r="C39" s="4">
        <v>12977</v>
      </c>
      <c r="D39" s="1">
        <f>C39</f>
        <v>12977</v>
      </c>
      <c r="E39" s="4">
        <v>13469</v>
      </c>
      <c r="F39" s="4">
        <v>13919</v>
      </c>
      <c r="G39" s="35">
        <f>F39-'Cash Flow Statement'!G38-'Cash Flow Statement'!G11-'Cash Flow Statement'!G14</f>
        <v>13890</v>
      </c>
      <c r="H39" s="7" t="s">
        <v>448</v>
      </c>
    </row>
    <row r="40">
      <c r="A40" s="28" t="s">
        <v>449</v>
      </c>
      <c r="B40" s="26">
        <f>SUM(B9,B12,B13,B16,B36,B37,B38,B39)</f>
        <v>211277</v>
      </c>
      <c r="C40" s="26">
        <f>SUM(C9,C12,C13,C16,C36,C37,C38,C39)</f>
        <v>213510</v>
      </c>
      <c r="D40" s="26">
        <f>SUM(D9,D12,D13,D16,D36,D37,D38,D39)</f>
        <v>213510</v>
      </c>
      <c r="E40" s="26">
        <f>SUM(E9,E12,E13,E16,E36,E37,E38,E39)</f>
        <v>214736</v>
      </c>
      <c r="F40" s="26">
        <f>SUM(F9,F12,F13,F16,F36,F37,F38,F39)</f>
        <v>219261</v>
      </c>
      <c r="G40" s="39">
        <f>SUM(G9,G12,G13,G16,G36,G37,G38,G39)</f>
        <v>220173.54499832558</v>
      </c>
      <c r="H40" s="12"/>
    </row>
    <row r="41">
      <c r="A41" s="12" t="s">
        <v>118</v>
      </c>
      <c r="B41" s="23" t="s">
        <v>39</v>
      </c>
      <c r="C41" s="14">
        <f>C40/(Inputs!C165+Inputs!C166+Inputs!C167+Inputs!C168+Inputs!C169+Inputs!C170+Inputs!C171+Inputs!C172-Inputs!C173+Inputs!C174+Inputs!C175+Inputs!C176)-1</f>
        <v>0.025972465822541535</v>
      </c>
      <c r="D41" s="14">
        <f>D40/(Inputs!D165+Inputs!D166+Inputs!D167+Inputs!D168+Inputs!D169+Inputs!D170+Inputs!D171+Inputs!D172-Inputs!D173+Inputs!D174+Inputs!D175+Inputs!D176)-1</f>
        <v>0.025972465822541535</v>
      </c>
      <c r="E41" s="14">
        <f>E40/(Inputs!E165+Inputs!E166+Inputs!E167+Inputs!E168+Inputs!E169+Inputs!E170+Inputs!E171+Inputs!E172-Inputs!E173+Inputs!E174+Inputs!E175+Inputs!E176)-1</f>
        <v>0.02099172217705325</v>
      </c>
      <c r="F41" s="14">
        <f>F40/(Inputs!F165+Inputs!F166+Inputs!F167+Inputs!F168+Inputs!F169+Inputs!F170+Inputs!F171+Inputs!F172-Inputs!F173+Inputs!F174+Inputs!F175+Inputs!F176)-1</f>
        <v>0.03628346188747722</v>
      </c>
      <c r="G41" s="17">
        <f>G40/B40-1</f>
        <v>0.04210844057008378</v>
      </c>
      <c r="H41" s="7" t="s">
        <v>119</v>
      </c>
    </row>
    <row r="42">
      <c r="A42" s="6" t="s">
        <v>120</v>
      </c>
      <c r="B42" s="8">
        <f>B40-(Inputs!F165+Inputs!F166+Inputs!F167+Inputs!F168+Inputs!F169+Inputs!F170+Inputs!F171+Inputs!F172-Inputs!F173+Inputs!F174+Inputs!F175+Inputs!F176)</f>
        <v>-307</v>
      </c>
      <c r="C42" s="1">
        <f>C40-B40</f>
        <v>2233</v>
      </c>
      <c r="D42" s="1"/>
      <c r="E42" s="1">
        <f>E40-C40</f>
        <v>1226</v>
      </c>
      <c r="F42" s="1">
        <f>F40-E40</f>
        <v>4525</v>
      </c>
      <c r="G42" s="2">
        <f>G40-F40</f>
        <v>912.5449983255821</v>
      </c>
      <c r="H42" s="12"/>
    </row>
    <row r="43">
      <c r="A43" s="6"/>
      <c r="B43" s="11"/>
      <c r="C43" s="11"/>
      <c r="D43" s="11"/>
      <c r="E43" s="11"/>
      <c r="F43" s="11"/>
      <c r="G43" s="20"/>
      <c r="H43" s="12"/>
    </row>
    <row r="44">
      <c r="A44" s="18" t="s">
        <v>450</v>
      </c>
      <c r="B44" s="11"/>
      <c r="C44" s="11"/>
      <c r="D44" s="11"/>
      <c r="E44" s="11"/>
      <c r="F44" s="11"/>
      <c r="G44" s="20"/>
      <c r="H44" s="12"/>
    </row>
    <row r="45">
      <c r="A45" s="6" t="s">
        <v>163</v>
      </c>
      <c r="B45" s="4">
        <v>44994</v>
      </c>
      <c r="C45" s="4">
        <v>46509</v>
      </c>
      <c r="D45" s="1">
        <f>C45</f>
        <v>46509</v>
      </c>
      <c r="E45" s="4">
        <v>45892</v>
      </c>
      <c r="F45" s="4">
        <v>48295</v>
      </c>
      <c r="G45" s="21">
        <v>47000</v>
      </c>
      <c r="H45" s="7" t="s">
        <v>451</v>
      </c>
    </row>
    <row r="46">
      <c r="A46" s="12" t="s">
        <v>118</v>
      </c>
      <c r="B46" s="23" t="s">
        <v>39</v>
      </c>
      <c r="C46" s="14">
        <f>C45/Inputs!C177-1</f>
        <v>0.0106258148631031</v>
      </c>
      <c r="D46" s="14">
        <f>D45/Inputs!D177-1</f>
        <v>0.0106258148631031</v>
      </c>
      <c r="E46" s="14">
        <f>E45/Inputs!E177-1</f>
        <v>-0.06440235673074968</v>
      </c>
      <c r="F46" s="14">
        <f>F45/Inputs!F177-1</f>
        <v>0.017058018321575164</v>
      </c>
      <c r="G46" s="17">
        <f>G45/B45-1</f>
        <v>0.04458372227408103</v>
      </c>
      <c r="H46" s="7" t="s">
        <v>119</v>
      </c>
    </row>
    <row r="47">
      <c r="A47" s="6" t="s">
        <v>120</v>
      </c>
      <c r="B47" s="8">
        <f>B45-Inputs!F177</f>
        <v>-2491</v>
      </c>
      <c r="C47" s="1">
        <f>C45-B45</f>
        <v>1515</v>
      </c>
      <c r="D47" s="1"/>
      <c r="E47" s="1">
        <f>E45-C45</f>
        <v>-617</v>
      </c>
      <c r="F47" s="1">
        <f>F45-E45</f>
        <v>2403</v>
      </c>
      <c r="G47" s="2">
        <f>G45-F45</f>
        <v>-1295</v>
      </c>
      <c r="H47" s="12"/>
    </row>
    <row r="48">
      <c r="A48" s="6" t="s">
        <v>452</v>
      </c>
      <c r="B48" s="4">
        <v>118432</v>
      </c>
      <c r="C48" s="4">
        <v>120400</v>
      </c>
      <c r="D48" s="1">
        <f>C48</f>
        <v>120400</v>
      </c>
      <c r="E48" s="4">
        <v>117849</v>
      </c>
      <c r="F48" s="4">
        <v>120590</v>
      </c>
      <c r="G48" s="21">
        <v>123500</v>
      </c>
      <c r="H48" s="7" t="s">
        <v>453</v>
      </c>
    </row>
    <row r="49">
      <c r="A49" s="12" t="s">
        <v>118</v>
      </c>
      <c r="B49" s="23" t="s">
        <v>39</v>
      </c>
      <c r="C49" s="14">
        <f>C48/Inputs!C178-1</f>
        <v>0.0462741690202042</v>
      </c>
      <c r="D49" s="14">
        <f>D48/Inputs!D178-1</f>
        <v>0.0462741690202042</v>
      </c>
      <c r="E49" s="14">
        <f>E48/Inputs!E178-1</f>
        <v>0.012813901923374393</v>
      </c>
      <c r="F49" s="14">
        <f>F48/Inputs!F178-1</f>
        <v>0.030965734217905716</v>
      </c>
      <c r="G49" s="17">
        <f>G48/B48-1</f>
        <v>0.0427924885166171</v>
      </c>
      <c r="H49" s="7" t="s">
        <v>119</v>
      </c>
    </row>
    <row r="50">
      <c r="A50" s="6" t="s">
        <v>120</v>
      </c>
      <c r="B50" s="8">
        <f>B48-Inputs!F178</f>
        <v>1464</v>
      </c>
      <c r="C50" s="1">
        <f>C48-B48</f>
        <v>1968</v>
      </c>
      <c r="D50" s="1"/>
      <c r="E50" s="1">
        <f>E48-C48</f>
        <v>-2551</v>
      </c>
      <c r="F50" s="1">
        <f>F48-E48</f>
        <v>2741</v>
      </c>
      <c r="G50" s="2">
        <f>G48-F48</f>
        <v>2910</v>
      </c>
      <c r="H50" s="12"/>
    </row>
    <row r="51">
      <c r="A51" s="28" t="s">
        <v>454</v>
      </c>
      <c r="B51" s="26">
        <f>B45+B48</f>
        <v>163426</v>
      </c>
      <c r="C51" s="26">
        <f>C45+C48</f>
        <v>166909</v>
      </c>
      <c r="D51" s="26">
        <f>D45+D48</f>
        <v>166909</v>
      </c>
      <c r="E51" s="26">
        <f>E45+E48</f>
        <v>163741</v>
      </c>
      <c r="F51" s="26">
        <f>F45+F48</f>
        <v>168885</v>
      </c>
      <c r="G51" s="39">
        <f>G45+G48</f>
        <v>170500</v>
      </c>
      <c r="H51" s="12"/>
    </row>
    <row r="52">
      <c r="A52" s="12" t="s">
        <v>118</v>
      </c>
      <c r="B52" s="23" t="s">
        <v>39</v>
      </c>
      <c r="C52" s="14">
        <f>C51/Inputs!C189-1</f>
        <v>0.03609050560228444</v>
      </c>
      <c r="D52" s="14">
        <f>D51/Inputs!D189-1</f>
        <v>0.03609050560228444</v>
      </c>
      <c r="E52" s="14">
        <f>E51/Inputs!E189-1</f>
        <v>-0.010084094577683222</v>
      </c>
      <c r="F52" s="14">
        <f>F51/Inputs!F189-1</f>
        <v>0.026949949225614667</v>
      </c>
      <c r="G52" s="17">
        <f>G51/B51-1</f>
        <v>0.04328564610282326</v>
      </c>
      <c r="H52" s="7" t="s">
        <v>119</v>
      </c>
    </row>
    <row r="53">
      <c r="A53" s="6" t="s">
        <v>120</v>
      </c>
      <c r="B53" s="8">
        <f>B51-Inputs!F189</f>
        <v>-1027</v>
      </c>
      <c r="C53" s="1">
        <f>C51-B51</f>
        <v>3483</v>
      </c>
      <c r="D53" s="1"/>
      <c r="E53" s="1">
        <f>E51-C51</f>
        <v>-3168</v>
      </c>
      <c r="F53" s="1">
        <f>F51-E51</f>
        <v>5144</v>
      </c>
      <c r="G53" s="2">
        <f>G51-F51</f>
        <v>1615</v>
      </c>
      <c r="H53" s="12"/>
    </row>
    <row r="54">
      <c r="A54" s="6" t="s">
        <v>158</v>
      </c>
      <c r="B54" s="4">
        <v>2059</v>
      </c>
      <c r="C54" s="4">
        <v>2149</v>
      </c>
      <c r="D54" s="1">
        <f>C54</f>
        <v>2149</v>
      </c>
      <c r="E54" s="4">
        <v>7851</v>
      </c>
      <c r="F54" s="4">
        <v>4614</v>
      </c>
      <c r="G54" s="21">
        <v>3000</v>
      </c>
      <c r="H54" s="7" t="s">
        <v>455</v>
      </c>
    </row>
    <row r="55">
      <c r="A55" s="12" t="s">
        <v>118</v>
      </c>
      <c r="B55" s="23" t="s">
        <v>39</v>
      </c>
      <c r="C55" s="14">
        <f>C54/Inputs!C179-1</f>
        <v>1.0273584905660376</v>
      </c>
      <c r="D55" s="14">
        <f>D54/Inputs!D179-1</f>
        <v>1.0273584905660376</v>
      </c>
      <c r="E55" s="14">
        <f>E54/Inputs!E179-1</f>
        <v>3.9910998092816277</v>
      </c>
      <c r="F55" s="14">
        <f>F54/Inputs!F179-1</f>
        <v>1.2279092225977788</v>
      </c>
      <c r="G55" s="17">
        <f>G54/B54-1</f>
        <v>0.45701796988829524</v>
      </c>
      <c r="H55" s="7" t="s">
        <v>119</v>
      </c>
    </row>
    <row r="56">
      <c r="A56" s="6" t="s">
        <v>120</v>
      </c>
      <c r="B56" s="8">
        <f>B54-Inputs!F179</f>
        <v>-12</v>
      </c>
      <c r="C56" s="1">
        <f>C54-B54</f>
        <v>90</v>
      </c>
      <c r="D56" s="1"/>
      <c r="E56" s="1">
        <f>E54-C54</f>
        <v>5702</v>
      </c>
      <c r="F56" s="1">
        <f>F54-E54</f>
        <v>-3237</v>
      </c>
      <c r="G56" s="2">
        <f>G54-F54</f>
        <v>-1614</v>
      </c>
      <c r="H56" s="12"/>
    </row>
    <row r="57">
      <c r="A57" s="6" t="s">
        <v>160</v>
      </c>
      <c r="B57" s="4">
        <v>12928</v>
      </c>
      <c r="C57" s="4">
        <v>10911</v>
      </c>
      <c r="D57" s="1">
        <f>C57</f>
        <v>10911</v>
      </c>
      <c r="E57" s="4">
        <v>11175</v>
      </c>
      <c r="F57" s="4">
        <v>13568</v>
      </c>
      <c r="G57" s="21">
        <v>14300</v>
      </c>
      <c r="H57" s="7" t="s">
        <v>456</v>
      </c>
    </row>
    <row r="58">
      <c r="A58" s="12" t="s">
        <v>118</v>
      </c>
      <c r="B58" s="23" t="s">
        <v>39</v>
      </c>
      <c r="C58" s="14">
        <f>C57/Inputs!C180-1</f>
        <v>-0.13439111463704878</v>
      </c>
      <c r="D58" s="14">
        <f>D57/Inputs!D180-1</f>
        <v>-0.13439111463704878</v>
      </c>
      <c r="E58" s="14">
        <f>E57/Inputs!E180-1</f>
        <v>0.06469131097560976</v>
      </c>
      <c r="F58" s="14">
        <f>F57/Inputs!F180-1</f>
        <v>0.09596122778675276</v>
      </c>
      <c r="G58" s="17">
        <f>G57/B57-1</f>
        <v>0.10612623762376239</v>
      </c>
      <c r="H58" s="7" t="s">
        <v>119</v>
      </c>
    </row>
    <row r="59">
      <c r="A59" s="6" t="s">
        <v>120</v>
      </c>
      <c r="B59" s="8">
        <f>B57-Inputs!F180</f>
        <v>548</v>
      </c>
      <c r="C59" s="1">
        <f>C57-B57</f>
        <v>-2017</v>
      </c>
      <c r="D59" s="1"/>
      <c r="E59" s="1">
        <f>E57-C57</f>
        <v>264</v>
      </c>
      <c r="F59" s="1">
        <f>F57-E57</f>
        <v>2393</v>
      </c>
      <c r="G59" s="2">
        <f>G57-F57</f>
        <v>732</v>
      </c>
      <c r="H59" s="12"/>
    </row>
    <row r="60">
      <c r="A60" s="6" t="s">
        <v>457</v>
      </c>
      <c r="B60" s="4">
        <v>4136</v>
      </c>
      <c r="C60" s="4">
        <v>4364</v>
      </c>
      <c r="D60" s="1">
        <f>C60</f>
        <v>4364</v>
      </c>
      <c r="E60" s="4">
        <v>3997</v>
      </c>
      <c r="F60" s="4">
        <v>4248</v>
      </c>
      <c r="G60" s="2">
        <f>F60</f>
        <v>4248</v>
      </c>
      <c r="H60" s="7" t="s">
        <v>458</v>
      </c>
    </row>
    <row r="61">
      <c r="A61" s="28" t="s">
        <v>459</v>
      </c>
      <c r="B61" s="26">
        <f>B51+B54+B57+B60</f>
        <v>182549</v>
      </c>
      <c r="C61" s="26">
        <f>C51+C54+C57+C60</f>
        <v>184333</v>
      </c>
      <c r="D61" s="26">
        <f>D51+D54+D57+D60</f>
        <v>184333</v>
      </c>
      <c r="E61" s="26">
        <f>E51+E54+E57+E60</f>
        <v>186764</v>
      </c>
      <c r="F61" s="26">
        <f>F51+F54+F57+F60</f>
        <v>191315</v>
      </c>
      <c r="G61" s="39">
        <f>G51+G54+G57+G60</f>
        <v>192048</v>
      </c>
      <c r="H61" s="12"/>
    </row>
    <row r="62">
      <c r="A62" s="6" t="s">
        <v>460</v>
      </c>
      <c r="B62" s="4">
        <v>2394</v>
      </c>
      <c r="C62" s="4">
        <v>2834</v>
      </c>
      <c r="D62" s="1">
        <f>C62</f>
        <v>2834</v>
      </c>
      <c r="E62" s="4">
        <v>2434</v>
      </c>
      <c r="F62" s="4">
        <v>2434</v>
      </c>
      <c r="G62" s="2">
        <f>F62</f>
        <v>2434</v>
      </c>
      <c r="H62" s="7" t="s">
        <v>461</v>
      </c>
    </row>
    <row r="63">
      <c r="A63" s="6" t="s">
        <v>462</v>
      </c>
      <c r="B63" s="4">
        <v>26334</v>
      </c>
      <c r="C63" s="4">
        <v>26343</v>
      </c>
      <c r="D63" s="1">
        <f>C63</f>
        <v>26343</v>
      </c>
      <c r="E63" s="4">
        <v>25538</v>
      </c>
      <c r="F63" s="4">
        <v>25512</v>
      </c>
      <c r="G63" s="35">
        <f>F63+'Income Statement'!G58-'Income Statement'!G61-'Share Count'!G38-'Share Count'!G25+G66</f>
        <v>25691.54499832557</v>
      </c>
      <c r="H63" s="7" t="s">
        <v>463</v>
      </c>
    </row>
    <row r="64">
      <c r="A64" s="12" t="s">
        <v>118</v>
      </c>
      <c r="B64" s="23" t="s">
        <v>39</v>
      </c>
      <c r="C64" s="14">
        <f>C63/Inputs!C190-1</f>
        <v>-0.010888747043142022</v>
      </c>
      <c r="D64" s="14">
        <f>D63/Inputs!D190-1</f>
        <v>-0.010888747043142022</v>
      </c>
      <c r="E64" s="14">
        <f>E63/Inputs!E190-1</f>
        <v>-0.039816520660224786</v>
      </c>
      <c r="F64" s="14">
        <f>F63/Inputs!F190-1</f>
        <v>-0.02368833952011018</v>
      </c>
      <c r="G64" s="17">
        <f>G63/B63-1</f>
        <v>-0.02439640774946561</v>
      </c>
      <c r="H64" s="7" t="s">
        <v>119</v>
      </c>
    </row>
    <row r="65">
      <c r="A65" s="6" t="s">
        <v>120</v>
      </c>
      <c r="B65" s="8">
        <f>B63-Inputs!F190</f>
        <v>203</v>
      </c>
      <c r="C65" s="1">
        <f>C63-B63</f>
        <v>9</v>
      </c>
      <c r="D65" s="1"/>
      <c r="E65" s="1">
        <f>E63-C63</f>
        <v>-805</v>
      </c>
      <c r="F65" s="1">
        <f>F63-E63</f>
        <v>-26</v>
      </c>
      <c r="G65" s="2">
        <f>G63-F63</f>
        <v>179.5449983255712</v>
      </c>
      <c r="H65" s="12"/>
    </row>
    <row r="66">
      <c r="A66" s="6" t="s">
        <v>464</v>
      </c>
      <c r="B66" s="8">
        <f>B63-Inputs!F183-('Income Statement'!B58-'Income Statement'!B61-'Share Count'!B38-'Share Count'!B25)</f>
        <v>89.33699999999999</v>
      </c>
      <c r="C66" s="8">
        <f>C63-B63-('Income Statement'!C58-'Income Statement'!C61-'Share Count'!C38-'Share Count'!C25)</f>
        <v>24.662420382165635</v>
      </c>
      <c r="D66" s="8">
        <f>D63-Inputs!D183-('Income Statement'!D58-'Income Statement'!D61-'Share Count'!D38-'Share Count'!D25)</f>
        <v>560.8875</v>
      </c>
      <c r="E66" s="8">
        <f>E63-C63-('Income Statement'!E58-'Income Statement'!E61-'Share Count'!E38-'Share Count'!E25)</f>
        <v>47.83749999999998</v>
      </c>
      <c r="F66" s="8">
        <f>F63-E63-('Income Statement'!F58-'Income Statement'!F61-'Share Count'!F38-'Share Count'!F25)</f>
        <v>-125.1635</v>
      </c>
      <c r="G66" s="21">
        <v>0</v>
      </c>
      <c r="H66" s="7" t="s">
        <v>465</v>
      </c>
    </row>
    <row r="67">
      <c r="A67" s="28" t="s">
        <v>466</v>
      </c>
      <c r="B67" s="26">
        <f>B62+B63</f>
        <v>28728</v>
      </c>
      <c r="C67" s="26">
        <f>C62+C63</f>
        <v>29177</v>
      </c>
      <c r="D67" s="26">
        <f>D62+D63</f>
        <v>29177</v>
      </c>
      <c r="E67" s="26">
        <f>E62+E63</f>
        <v>27972</v>
      </c>
      <c r="F67" s="26">
        <f>F62+F63</f>
        <v>27946</v>
      </c>
      <c r="G67" s="39">
        <f>G62+G63</f>
        <v>28125.54499832557</v>
      </c>
      <c r="H67" s="12"/>
    </row>
    <row r="68">
      <c r="A68" s="28" t="s">
        <v>467</v>
      </c>
      <c r="B68" s="26">
        <f>B61+B67</f>
        <v>211277</v>
      </c>
      <c r="C68" s="26">
        <f>C61+C67</f>
        <v>213510</v>
      </c>
      <c r="D68" s="26">
        <f>D61+D67</f>
        <v>213510</v>
      </c>
      <c r="E68" s="26">
        <f>E61+E67</f>
        <v>214736</v>
      </c>
      <c r="F68" s="26">
        <f>F61+F67</f>
        <v>219261</v>
      </c>
      <c r="G68" s="39">
        <f>G61+G67</f>
        <v>220173.54499832558</v>
      </c>
      <c r="H68" s="12"/>
    </row>
    <row r="69">
      <c r="A69" s="12" t="s">
        <v>468</v>
      </c>
      <c r="B69" s="32">
        <f>B40-B61-B67</f>
        <v>0</v>
      </c>
      <c r="C69" s="32">
        <f>C40-C61-C67</f>
        <v>0</v>
      </c>
      <c r="D69" s="32">
        <f>D40-D61-D67</f>
        <v>0</v>
      </c>
      <c r="E69" s="32">
        <f>E40-E61-E67</f>
        <v>0</v>
      </c>
      <c r="F69" s="32">
        <f>F40-F61-F67</f>
        <v>0</v>
      </c>
      <c r="G69" s="52">
        <f>G40-G61-G67</f>
        <v>0</v>
      </c>
      <c r="H69" s="96" t="s">
        <v>469</v>
      </c>
    </row>
    <row r="70">
      <c r="A70" s="6" t="s">
        <v>470</v>
      </c>
      <c r="B70" s="4">
        <v>211277</v>
      </c>
      <c r="C70" s="4">
        <v>213510</v>
      </c>
      <c r="D70" s="4">
        <v>213510</v>
      </c>
      <c r="E70" s="4">
        <v>214736</v>
      </c>
      <c r="F70" s="4">
        <v>219261</v>
      </c>
      <c r="G70" s="2"/>
      <c r="H70" s="7" t="s">
        <v>471</v>
      </c>
    </row>
    <row r="71">
      <c r="A71" s="12" t="s">
        <v>472</v>
      </c>
      <c r="B71" s="32">
        <f>B40-B70</f>
        <v>0</v>
      </c>
      <c r="C71" s="32">
        <f>C40-C70</f>
        <v>0</v>
      </c>
      <c r="D71" s="32">
        <f>D40-D70</f>
        <v>0</v>
      </c>
      <c r="E71" s="32">
        <f>E40-E70</f>
        <v>0</v>
      </c>
      <c r="F71" s="32">
        <f>F40-F70</f>
        <v>0</v>
      </c>
      <c r="G71" s="52"/>
      <c r="H71" s="12"/>
    </row>
    <row r="72">
      <c r="A72" s="6"/>
      <c r="B72" s="11"/>
      <c r="C72" s="11"/>
      <c r="D72" s="11"/>
      <c r="E72" s="11"/>
      <c r="F72" s="11"/>
      <c r="G72" s="20"/>
      <c r="H72" s="12"/>
    </row>
    <row r="73">
      <c r="A73" s="18" t="s">
        <v>473</v>
      </c>
      <c r="B73" s="11"/>
      <c r="C73" s="11"/>
      <c r="D73" s="11"/>
      <c r="E73" s="11"/>
      <c r="F73" s="11"/>
      <c r="G73" s="20"/>
      <c r="H73" s="12"/>
    </row>
    <row r="74">
      <c r="A74" s="12" t="s">
        <v>474</v>
      </c>
      <c r="B74" s="23">
        <f>B32/B51</f>
        <v>0.8342919731254512</v>
      </c>
      <c r="C74" s="23">
        <f>C32/C51</f>
        <v>0.8246110155833418</v>
      </c>
      <c r="D74" s="23">
        <f>D32/D51</f>
        <v>0.8246110155833418</v>
      </c>
      <c r="E74" s="23">
        <f>E32/E51</f>
        <v>0.8492253009325703</v>
      </c>
      <c r="F74" s="23">
        <f>F32/F51</f>
        <v>0.8439470645705658</v>
      </c>
      <c r="G74" s="17">
        <f>G32/G51</f>
        <v>0.8483870967741935</v>
      </c>
      <c r="H74" s="12"/>
    </row>
    <row r="75">
      <c r="A75" s="6" t="s">
        <v>123</v>
      </c>
      <c r="B75" s="27">
        <f>(B74-(Inputs!F169+Inputs!F170+Inputs!F171+Inputs!F172)/(Inputs!F177+Inputs!F178))*10000</f>
        <v>104.03080858359726</v>
      </c>
      <c r="C75" s="29">
        <f>(C74-B74)*10000</f>
        <v>-96.80957542109402</v>
      </c>
      <c r="D75" s="29"/>
      <c r="E75" s="29">
        <f>(E74-C74)*10000</f>
        <v>246.14285349228493</v>
      </c>
      <c r="F75" s="29">
        <f>(F74-E74)*10000</f>
        <v>-52.78236362004529</v>
      </c>
      <c r="G75" s="33">
        <f>(G74-F74)*10000</f>
        <v>44.40032203627764</v>
      </c>
      <c r="H75" s="12"/>
    </row>
    <row r="76">
      <c r="A76" s="6" t="s">
        <v>124</v>
      </c>
      <c r="B76" s="29" t="s">
        <v>39</v>
      </c>
      <c r="C76" s="27">
        <f>(C74-(Inputs!C169+Inputs!C170+Inputs!C171+Inputs!C172)/(Inputs!C177+Inputs!C178))*10000</f>
        <v>-134.96933142565283</v>
      </c>
      <c r="D76" s="27">
        <f>(D74-(Inputs!D169+Inputs!D170+Inputs!D171+Inputs!D172)/(Inputs!D177+Inputs!D178))*10000</f>
        <v>-134.96933142565283</v>
      </c>
      <c r="E76" s="27">
        <f>(E74-(Inputs!E169+Inputs!E170+Inputs!E171+Inputs!E172)/(Inputs!E177+Inputs!E178))*10000</f>
        <v>425.34008439417016</v>
      </c>
      <c r="F76" s="27">
        <f>(F74-(Inputs!F169+Inputs!F170+Inputs!F171+Inputs!F172)/(Inputs!F177+Inputs!F178))*10000</f>
        <v>200.58172303474288</v>
      </c>
      <c r="G76" s="33">
        <f>(G74-B74)*10000</f>
        <v>140.95123648742324</v>
      </c>
      <c r="H76" s="7" t="s">
        <v>125</v>
      </c>
    </row>
    <row r="77">
      <c r="A77" s="12" t="s">
        <v>475</v>
      </c>
      <c r="B77" s="24">
        <f>B35/B32</f>
        <v>0.015849499431588983</v>
      </c>
      <c r="C77" s="24">
        <f>C35/C32</f>
        <v>0.015373996439859048</v>
      </c>
      <c r="D77" s="24">
        <f>D35/D32</f>
        <v>0.015373996439859048</v>
      </c>
      <c r="E77" s="24">
        <f>E35/E32</f>
        <v>0.015361049384047809</v>
      </c>
      <c r="F77" s="24">
        <f>F35/F32</f>
        <v>0.015266961341471971</v>
      </c>
      <c r="G77" s="56">
        <f>G35/G32</f>
        <v>0.015199999999999998</v>
      </c>
      <c r="H77" s="12"/>
    </row>
    <row r="78">
      <c r="A78" s="6" t="s">
        <v>123</v>
      </c>
      <c r="B78" s="27">
        <f>(B77-Inputs!F173/(Inputs!F169+Inputs!F170+Inputs!F171+Inputs!F172))*10000</f>
        <v>-3.6559972628866233</v>
      </c>
      <c r="C78" s="29">
        <f>(C77-B77)*10000</f>
        <v>-4.7550299172993515</v>
      </c>
      <c r="D78" s="29"/>
      <c r="E78" s="29">
        <f>(E77-C77)*10000</f>
        <v>-0.12947055811238575</v>
      </c>
      <c r="F78" s="29">
        <f>(F77-E77)*10000</f>
        <v>-0.940880425758378</v>
      </c>
      <c r="G78" s="33">
        <f>(G77-F77)*10000</f>
        <v>-0.6696134147197302</v>
      </c>
      <c r="H78" s="12"/>
    </row>
    <row r="79">
      <c r="A79" s="6" t="s">
        <v>124</v>
      </c>
      <c r="B79" s="29" t="s">
        <v>39</v>
      </c>
      <c r="C79" s="27">
        <f>(C77-Inputs!C173/(Inputs!C169+Inputs!C170+Inputs!C171+Inputs!C172))*10000</f>
        <v>-8.019840067579938</v>
      </c>
      <c r="D79" s="27">
        <f>(D77-Inputs!D173/(Inputs!D169+Inputs!D170+Inputs!D171+Inputs!D172))*10000</f>
        <v>-8.019840067579938</v>
      </c>
      <c r="E79" s="27">
        <f>(E77-Inputs!E173/(Inputs!E169+Inputs!E170+Inputs!E171+Inputs!E172))*10000</f>
        <v>-11.265025142689622</v>
      </c>
      <c r="F79" s="27">
        <f>(F77-Inputs!F173/(Inputs!F169+Inputs!F170+Inputs!F171+Inputs!F172))*10000</f>
        <v>-9.48137816405674</v>
      </c>
      <c r="G79" s="33">
        <f>(G77-B77)*10000</f>
        <v>-6.494994315889846</v>
      </c>
      <c r="H79" s="7" t="s">
        <v>125</v>
      </c>
    </row>
    <row r="80">
      <c r="A80" s="12" t="s">
        <v>476</v>
      </c>
      <c r="B80" s="23">
        <f>B67/B40</f>
        <v>0.1359731537270976</v>
      </c>
      <c r="C80" s="23">
        <f>C67/C40</f>
        <v>0.13665402088895134</v>
      </c>
      <c r="D80" s="23">
        <f>D67/D40</f>
        <v>0.13665402088895134</v>
      </c>
      <c r="E80" s="23">
        <f>E67/E40</f>
        <v>0.13026227553833544</v>
      </c>
      <c r="F80" s="23">
        <f>F67/F40</f>
        <v>0.12745540702632935</v>
      </c>
      <c r="G80" s="17">
        <f>G67/G40</f>
        <v>0.12774261775427864</v>
      </c>
      <c r="H80" s="12"/>
    </row>
    <row r="81">
      <c r="A81" s="6" t="s">
        <v>123</v>
      </c>
      <c r="B81" s="27">
        <f>(B80-(Inputs!F182+Inputs!F183)/(Inputs!F165+Inputs!F166+Inputs!F167+Inputs!F168+Inputs!F169+Inputs!F170+Inputs!F171+Inputs!F172-Inputs!F173+Inputs!F174+Inputs!F175+Inputs!F176))*10000</f>
        <v>11.56721482693468</v>
      </c>
      <c r="C81" s="29">
        <f>(C80-B80)*10000</f>
        <v>6.808671618537543</v>
      </c>
      <c r="D81" s="29"/>
      <c r="E81" s="29">
        <f>(E80-C80)*10000</f>
        <v>-63.91745350615901</v>
      </c>
      <c r="F81" s="29">
        <f>(F80-E80)*10000</f>
        <v>-28.068685120060945</v>
      </c>
      <c r="G81" s="33">
        <f>(G80-F80)*10000</f>
        <v>2.8721072794929414</v>
      </c>
      <c r="H81" s="12"/>
    </row>
    <row r="82">
      <c r="A82" s="6" t="s">
        <v>124</v>
      </c>
      <c r="B82" s="29" t="s">
        <v>39</v>
      </c>
      <c r="C82" s="27">
        <f>(C80-(Inputs!C182+Inputs!C183)/(Inputs!C165+Inputs!C166+Inputs!C167+Inputs!C168+Inputs!C169+Inputs!C170+Inputs!C171+Inputs!C172-Inputs!C173+Inputs!C174+Inputs!C175+Inputs!C176))*10000</f>
        <v>-28.284519012266863</v>
      </c>
      <c r="D82" s="27">
        <f>(D80-(Inputs!D182+Inputs!D183)/(Inputs!D165+Inputs!D166+Inputs!D167+Inputs!D168+Inputs!D169+Inputs!D170+Inputs!D171+Inputs!D172-Inputs!D173+Inputs!D174+Inputs!D175+Inputs!D176))*10000</f>
        <v>-28.284519012266863</v>
      </c>
      <c r="E82" s="27">
        <f>(E80-(Inputs!E182+Inputs!E183)/(Inputs!E165+Inputs!E166+Inputs!E167+Inputs!E168+Inputs!E169+Inputs!E170+Inputs!E171+Inputs!E172-Inputs!E173+Inputs!E174+Inputs!E175+Inputs!E176))*10000</f>
        <v>-75.79404560180636</v>
      </c>
      <c r="F82" s="27">
        <f>(F80-(Inputs!F182+Inputs!F183)/(Inputs!F165+Inputs!F166+Inputs!F167+Inputs!F168+Inputs!F169+Inputs!F170+Inputs!F171+Inputs!F172-Inputs!F173+Inputs!F174+Inputs!F175+Inputs!F176))*10000</f>
        <v>-73.61025218074774</v>
      </c>
      <c r="G82" s="33">
        <f>(G80-B80)*10000</f>
        <v>-82.30535972818947</v>
      </c>
      <c r="H82" s="7" t="s">
        <v>125</v>
      </c>
    </row>
    <row r="83">
      <c r="A83" s="12" t="s">
        <v>477</v>
      </c>
      <c r="B83" s="23">
        <f>(B63-B37-B38)/(B40-B37-B38)</f>
        <v>0.08777338239501228</v>
      </c>
      <c r="C83" s="23">
        <f>(C63-C37-C38)/(C40-C37-C38)</f>
        <v>0.0869056156424254</v>
      </c>
      <c r="D83" s="23">
        <f>(D63-D37-D38)/(D40-D37-D38)</f>
        <v>0.0869056156424254</v>
      </c>
      <c r="E83" s="23">
        <f>(E63-E37-E38)/(E40-E37-E38)</f>
        <v>0.08252511929239244</v>
      </c>
      <c r="F83" s="23">
        <f>(F63-F37-F38)/(F40-F37-F38)</f>
        <v>0.08066031468863287</v>
      </c>
      <c r="G83" s="17">
        <f>(G63-G37-G38)/(G40-G37-G38)</f>
        <v>0.08118687343085565</v>
      </c>
      <c r="H83" s="7" t="s">
        <v>478</v>
      </c>
    </row>
    <row r="84">
      <c r="A84" s="6" t="s">
        <v>123</v>
      </c>
      <c r="B84" s="27">
        <f>(B83-(Inputs!F183-Inputs!F174-Inputs!F175)/((Inputs!F165+Inputs!F166+Inputs!F167+Inputs!F168+Inputs!F169+Inputs!F170+Inputs!F171+Inputs!F172-Inputs!F173+Inputs!F174+Inputs!F175+Inputs!F176)-Inputs!F174-Inputs!F175))*10000</f>
        <v>11.774752854006449</v>
      </c>
      <c r="C84" s="29">
        <f>(C83-B83)*10000</f>
        <v>-8.677667525868877</v>
      </c>
      <c r="D84" s="29"/>
      <c r="E84" s="29">
        <f>(E83-C83)*10000</f>
        <v>-43.804963500329585</v>
      </c>
      <c r="F84" s="29">
        <f>(F83-E83)*10000</f>
        <v>-18.648046037595677</v>
      </c>
      <c r="G84" s="33">
        <f>(G83-F83)*10000</f>
        <v>5.265587422227797</v>
      </c>
      <c r="H84" s="12"/>
    </row>
    <row r="85">
      <c r="A85" s="6" t="s">
        <v>124</v>
      </c>
      <c r="B85" s="29" t="s">
        <v>39</v>
      </c>
      <c r="C85" s="27">
        <f>(C83-(Inputs!C183-Inputs!C174-Inputs!C175)/((Inputs!C165+Inputs!C166+Inputs!C167+Inputs!C168+Inputs!C169+Inputs!C170+Inputs!C171+Inputs!C172-Inputs!C173+Inputs!C174+Inputs!C175+Inputs!C176)-Inputs!C174-Inputs!C175))*10000</f>
        <v>-36.69990984617996</v>
      </c>
      <c r="D85" s="27">
        <f>(D83-(Inputs!D183-Inputs!D174-Inputs!D175)/((Inputs!D165+Inputs!D166+Inputs!D167+Inputs!D168+Inputs!D169+Inputs!D170+Inputs!D171+Inputs!D172-Inputs!D173+Inputs!D174+Inputs!D175+Inputs!D176)-Inputs!D174-Inputs!D175))*10000</f>
        <v>-36.69990984617996</v>
      </c>
      <c r="E85" s="27">
        <f>(E83-(Inputs!E183-Inputs!E174-Inputs!E175)/((Inputs!E165+Inputs!E166+Inputs!E167+Inputs!E168+Inputs!E169+Inputs!E170+Inputs!E171+Inputs!E172-Inputs!E173+Inputs!E174+Inputs!E175+Inputs!E176)-Inputs!E174-Inputs!E175))*10000</f>
        <v>-68.8175907480075</v>
      </c>
      <c r="F85" s="27">
        <f>(F83-(Inputs!F183-Inputs!F174-Inputs!F175)/((Inputs!F165+Inputs!F166+Inputs!F167+Inputs!F168+Inputs!F169+Inputs!F170+Inputs!F171+Inputs!F172-Inputs!F173+Inputs!F174+Inputs!F175+Inputs!F176)-Inputs!F174-Inputs!F175))*10000</f>
        <v>-59.355924209787695</v>
      </c>
      <c r="G85" s="33">
        <f>(G83-B83)*10000</f>
        <v>-65.86508964156634</v>
      </c>
      <c r="H85" s="7" t="s">
        <v>125</v>
      </c>
    </row>
    <row r="86">
      <c r="A86" s="6" t="s">
        <v>479</v>
      </c>
      <c r="B86" s="44">
        <f>B63/'Share Count'!B22</f>
        <v>170.42674639847786</v>
      </c>
      <c r="C86" s="44">
        <f>C63/'Share Count'!C22</f>
        <v>173.4918335089568</v>
      </c>
      <c r="D86" s="44">
        <f>D63/'Share Count'!D22</f>
        <v>173.4918335089568</v>
      </c>
      <c r="E86" s="44">
        <f>E63/'Share Count'!E22</f>
        <v>173.8260378308841</v>
      </c>
      <c r="F86" s="44">
        <f>F63/'Share Count'!F22</f>
        <v>176.02616381362424</v>
      </c>
      <c r="G86" s="57">
        <f>G63/'Share Count'!G22</f>
        <v>179.11323711763637</v>
      </c>
      <c r="H86" s="7" t="s">
        <v>480</v>
      </c>
    </row>
    <row r="87">
      <c r="A87" s="6" t="s">
        <v>481</v>
      </c>
      <c r="B87" s="44">
        <f>(B63-B37-B38)/'Share Count'!B22</f>
        <v>115.16457629531834</v>
      </c>
      <c r="C87" s="44">
        <f>(C63-C37-C38)/'Share Count'!C22</f>
        <v>117.3208640674394</v>
      </c>
      <c r="D87" s="44">
        <f>(D63-D37-D38)/'Share Count'!D22</f>
        <v>117.3208640674394</v>
      </c>
      <c r="E87" s="44">
        <f>(E63-E37-E38)/'Share Count'!E22</f>
        <v>115.83411041608527</v>
      </c>
      <c r="F87" s="44">
        <f>(F63-F37-F38)/'Share Count'!F22</f>
        <v>117.28867821683123</v>
      </c>
      <c r="G87" s="57">
        <f>(G63-G37-G38)/'Share Count'!G22</f>
        <v>119.80515314452227</v>
      </c>
      <c r="H87" s="12"/>
    </row>
    <row r="88">
      <c r="A88" s="6" t="s">
        <v>482</v>
      </c>
      <c r="B88" s="4">
        <v>1512</v>
      </c>
      <c r="C88" s="4">
        <v>1252</v>
      </c>
      <c r="D88" s="1">
        <f>C88</f>
        <v>1252</v>
      </c>
      <c r="E88" s="4">
        <v>1240</v>
      </c>
      <c r="F88" s="4">
        <v>1208</v>
      </c>
      <c r="G88" s="2" t="s">
        <v>39</v>
      </c>
      <c r="H88" s="7" t="s">
        <v>483</v>
      </c>
    </row>
    <row r="89">
      <c r="A89" s="12" t="s">
        <v>484</v>
      </c>
      <c r="B89" s="24">
        <f>B88/B32</f>
        <v>0.011089515567127508</v>
      </c>
      <c r="C89" s="24">
        <f>C88/C32</f>
        <v>0.009096523413375959</v>
      </c>
      <c r="D89" s="24">
        <f>D88/D32</f>
        <v>0.009096523413375959</v>
      </c>
      <c r="E89" s="24">
        <f>E88/E32</f>
        <v>0.008917463125570825</v>
      </c>
      <c r="F89" s="24">
        <f>F88/F32</f>
        <v>0.00847540868589069</v>
      </c>
      <c r="G89" s="56" t="s">
        <v>39</v>
      </c>
      <c r="H89" s="12"/>
    </row>
    <row r="90">
      <c r="A90" s="6" t="s">
        <v>123</v>
      </c>
      <c r="B90" s="27">
        <f>(B89-Inputs!F184/(Inputs!F169+Inputs!F170+Inputs!F171+Inputs!F172))*10000</f>
        <v>-5.201116405837061</v>
      </c>
      <c r="C90" s="29">
        <f>(C89-B89)*10000</f>
        <v>-19.929921537515487</v>
      </c>
      <c r="D90" s="29"/>
      <c r="E90" s="29">
        <f>(E89-C89)*10000</f>
        <v>-1.7906028780513388</v>
      </c>
      <c r="F90" s="29">
        <f>(F89-E89)*10000</f>
        <v>-4.4205443968013505</v>
      </c>
      <c r="G90" s="33" t="s">
        <v>39</v>
      </c>
      <c r="H90" s="7" t="s">
        <v>485</v>
      </c>
    </row>
    <row r="91">
      <c r="A91" s="6" t="s">
        <v>124</v>
      </c>
      <c r="B91" s="29" t="s">
        <v>39</v>
      </c>
      <c r="C91" s="29" t="s">
        <v>39</v>
      </c>
      <c r="D91" s="29" t="s">
        <v>39</v>
      </c>
      <c r="E91" s="29" t="s">
        <v>39</v>
      </c>
      <c r="F91" s="27">
        <f>(F89-Inputs!F184/(Inputs!F169+Inputs!F170+Inputs!F171+Inputs!F172))*10000</f>
        <v>-31.342185218205238</v>
      </c>
      <c r="G91" s="33" t="s">
        <v>39</v>
      </c>
      <c r="H91" s="7" t="s">
        <v>486</v>
      </c>
    </row>
    <row r="92">
      <c r="A92" s="6" t="s">
        <v>487</v>
      </c>
      <c r="B92" s="4">
        <v>95</v>
      </c>
      <c r="C92" s="4">
        <v>80</v>
      </c>
      <c r="D92" s="1">
        <f>C92</f>
        <v>80</v>
      </c>
      <c r="E92" s="4">
        <v>95</v>
      </c>
      <c r="F92" s="4">
        <v>95</v>
      </c>
      <c r="G92" s="35">
        <f>F92+'Income Statement'!G125</f>
        <v>95</v>
      </c>
      <c r="H92" s="7" t="s">
        <v>376</v>
      </c>
    </row>
    <row r="93">
      <c r="A93" s="6"/>
      <c r="B93" s="6"/>
      <c r="C93" s="6"/>
      <c r="D93" s="6"/>
      <c r="E93" s="6"/>
      <c r="F93" s="6"/>
      <c r="G93" s="6"/>
      <c r="H93" s="6"/>
    </row>
    <row r="94">
      <c r="A94" s="6"/>
      <c r="B94" s="6"/>
      <c r="C94" s="6"/>
      <c r="D94" s="6"/>
      <c r="E94" s="6"/>
      <c r="F94" s="6"/>
      <c r="G94" s="6"/>
      <c r="H94" s="6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H71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488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489</v>
      </c>
      <c r="B8" s="11"/>
      <c r="C8" s="11"/>
      <c r="D8" s="11"/>
      <c r="E8" s="11"/>
      <c r="F8" s="11"/>
      <c r="G8" s="20"/>
      <c r="H8" s="12"/>
    </row>
    <row r="9">
      <c r="A9" s="6" t="s">
        <v>490</v>
      </c>
      <c r="B9" s="8">
        <f>Inputs!D196-Inputs!B196</f>
        <v>792</v>
      </c>
      <c r="C9" s="8">
        <f>Inputs!E196-Inputs!D196</f>
        <v>759</v>
      </c>
      <c r="D9" s="8">
        <f>Inputs!E196</f>
        <v>2851</v>
      </c>
      <c r="E9" s="8">
        <f>Inputs!F196</f>
        <v>664</v>
      </c>
      <c r="F9" s="8">
        <f>Inputs!G196-Inputs!F196</f>
        <v>818</v>
      </c>
      <c r="G9" s="35">
        <f>'Income Statement'!G58</f>
        <v>781.8228316589043</v>
      </c>
      <c r="H9" s="12"/>
    </row>
    <row r="10">
      <c r="A10" s="6" t="s">
        <v>491</v>
      </c>
      <c r="B10" s="8">
        <f>Inputs!D197-Inputs!B197</f>
        <v>125</v>
      </c>
      <c r="C10" s="8">
        <f>Inputs!E197-Inputs!D197</f>
        <v>125</v>
      </c>
      <c r="D10" s="8">
        <f>Inputs!E197</f>
        <v>505</v>
      </c>
      <c r="E10" s="8">
        <f>Inputs!F197</f>
        <v>140</v>
      </c>
      <c r="F10" s="8">
        <f>Inputs!G197-Inputs!F197</f>
        <v>120</v>
      </c>
      <c r="G10" s="35">
        <f>'Income Statement'!G13</f>
        <v>131.34082191780806</v>
      </c>
      <c r="H10" s="12"/>
    </row>
    <row r="11">
      <c r="A11" s="6" t="s">
        <v>492</v>
      </c>
      <c r="B11" s="8">
        <f>Inputs!D198-Inputs!B198</f>
        <v>79</v>
      </c>
      <c r="C11" s="8">
        <f>Inputs!E198-Inputs!D198</f>
        <v>80</v>
      </c>
      <c r="D11" s="8">
        <f>Inputs!E198</f>
        <v>323</v>
      </c>
      <c r="E11" s="8">
        <f>Inputs!F198</f>
        <v>79</v>
      </c>
      <c r="F11" s="8">
        <f>Inputs!G198-Inputs!F198</f>
        <v>77</v>
      </c>
      <c r="G11" s="21">
        <v>80</v>
      </c>
      <c r="H11" s="7" t="s">
        <v>493</v>
      </c>
    </row>
    <row r="12">
      <c r="A12" s="12" t="s">
        <v>353</v>
      </c>
      <c r="B12" s="23" t="s">
        <v>39</v>
      </c>
      <c r="C12" s="23" t="s">
        <v>39</v>
      </c>
      <c r="D12" s="23" t="s">
        <v>39</v>
      </c>
      <c r="E12" s="23" t="s">
        <v>39</v>
      </c>
      <c r="F12" s="23" t="s">
        <v>39</v>
      </c>
      <c r="G12" s="17">
        <f>G11/B11-1</f>
        <v>0.012658227848101333</v>
      </c>
      <c r="H12" s="7" t="s">
        <v>494</v>
      </c>
    </row>
    <row r="13">
      <c r="A13" s="6" t="s">
        <v>221</v>
      </c>
      <c r="B13" s="1" t="s">
        <v>39</v>
      </c>
      <c r="C13" s="1">
        <f>C11-B11</f>
        <v>1</v>
      </c>
      <c r="D13" s="1"/>
      <c r="E13" s="1">
        <f>E11-C11</f>
        <v>-1</v>
      </c>
      <c r="F13" s="1">
        <f>F11-E11</f>
        <v>-2</v>
      </c>
      <c r="G13" s="2">
        <f>G11-F11</f>
        <v>3</v>
      </c>
      <c r="H13" s="12"/>
    </row>
    <row r="14">
      <c r="A14" s="6" t="s">
        <v>495</v>
      </c>
      <c r="B14" s="8">
        <f>Inputs!D199-Inputs!B199</f>
        <v>33</v>
      </c>
      <c r="C14" s="8">
        <f>Inputs!E199-Inputs!D199</f>
        <v>32</v>
      </c>
      <c r="D14" s="8">
        <f>Inputs!E199</f>
        <v>133</v>
      </c>
      <c r="E14" s="8">
        <f>Inputs!F199</f>
        <v>9</v>
      </c>
      <c r="F14" s="8">
        <f>Inputs!G199-Inputs!F199</f>
        <v>9</v>
      </c>
      <c r="G14" s="21">
        <v>9</v>
      </c>
      <c r="H14" s="7" t="s">
        <v>496</v>
      </c>
    </row>
    <row r="15">
      <c r="A15" s="12" t="s">
        <v>353</v>
      </c>
      <c r="B15" s="23" t="s">
        <v>39</v>
      </c>
      <c r="C15" s="23" t="s">
        <v>39</v>
      </c>
      <c r="D15" s="23" t="s">
        <v>39</v>
      </c>
      <c r="E15" s="23" t="s">
        <v>39</v>
      </c>
      <c r="F15" s="23" t="s">
        <v>39</v>
      </c>
      <c r="G15" s="17">
        <f>G14/B14-1</f>
        <v>-0.7272727272727273</v>
      </c>
      <c r="H15" s="7" t="s">
        <v>494</v>
      </c>
    </row>
    <row r="16">
      <c r="A16" s="6" t="s">
        <v>221</v>
      </c>
      <c r="B16" s="1" t="s">
        <v>39</v>
      </c>
      <c r="C16" s="1">
        <f>C14-B14</f>
        <v>-1</v>
      </c>
      <c r="D16" s="1"/>
      <c r="E16" s="1">
        <f>E14-C14</f>
        <v>-23</v>
      </c>
      <c r="F16" s="1">
        <f>F14-E14</f>
        <v>0</v>
      </c>
      <c r="G16" s="2">
        <f>G14-F14</f>
        <v>0</v>
      </c>
      <c r="H16" s="12"/>
    </row>
    <row r="17">
      <c r="A17" s="6" t="s">
        <v>497</v>
      </c>
      <c r="B17" s="8">
        <f>Inputs!D200-Inputs!B200</f>
        <v>10</v>
      </c>
      <c r="C17" s="8">
        <f>Inputs!E200-Inputs!D200</f>
        <v>10</v>
      </c>
      <c r="D17" s="8">
        <f>Inputs!E200</f>
        <v>42</v>
      </c>
      <c r="E17" s="8">
        <f>Inputs!F200</f>
        <v>9</v>
      </c>
      <c r="F17" s="8">
        <f>Inputs!G200-Inputs!F200</f>
        <v>7</v>
      </c>
      <c r="G17" s="35">
        <f>'Income Statement'!G46</f>
        <v>6</v>
      </c>
      <c r="H17" s="12"/>
    </row>
    <row r="18">
      <c r="A18" s="6" t="s">
        <v>498</v>
      </c>
      <c r="B18" s="8">
        <f>Inputs!D201-Inputs!B201</f>
        <v>-16</v>
      </c>
      <c r="C18" s="8">
        <f>Inputs!E201-Inputs!D201</f>
        <v>20</v>
      </c>
      <c r="D18" s="8">
        <f>Inputs!E201</f>
        <v>-18</v>
      </c>
      <c r="E18" s="8">
        <f>Inputs!F201</f>
        <v>14</v>
      </c>
      <c r="F18" s="8">
        <f>Inputs!G201-Inputs!F201</f>
        <v>16</v>
      </c>
      <c r="G18" s="21">
        <v>0</v>
      </c>
      <c r="H18" s="7" t="s">
        <v>499</v>
      </c>
    </row>
    <row r="19">
      <c r="A19" s="6" t="s">
        <v>500</v>
      </c>
      <c r="B19" s="8">
        <f>Inputs!D202-Inputs!B202</f>
        <v>10</v>
      </c>
      <c r="C19" s="8">
        <f>Inputs!E202-Inputs!D202</f>
        <v>2</v>
      </c>
      <c r="D19" s="8">
        <f>Inputs!E202</f>
        <v>18</v>
      </c>
      <c r="E19" s="8">
        <f>Inputs!F202</f>
        <v>3</v>
      </c>
      <c r="F19" s="8">
        <f>Inputs!G202-Inputs!F202</f>
        <v>0</v>
      </c>
      <c r="G19" s="21">
        <v>0</v>
      </c>
      <c r="H19" s="12"/>
    </row>
    <row r="20">
      <c r="A20" s="6" t="s">
        <v>501</v>
      </c>
      <c r="B20" s="8">
        <f>Inputs!D203-Inputs!B203</f>
        <v>-44</v>
      </c>
      <c r="C20" s="8">
        <f>Inputs!E203-Inputs!D203</f>
        <v>-8</v>
      </c>
      <c r="D20" s="8">
        <f>Inputs!E203</f>
        <v>-87</v>
      </c>
      <c r="E20" s="8">
        <f>Inputs!F203</f>
        <v>-9</v>
      </c>
      <c r="F20" s="8">
        <f>Inputs!G203-Inputs!F203</f>
        <v>-4</v>
      </c>
      <c r="G20" s="21">
        <v>0</v>
      </c>
      <c r="H20" s="12"/>
    </row>
    <row r="21">
      <c r="A21" s="6" t="s">
        <v>502</v>
      </c>
      <c r="B21" s="8">
        <f>Inputs!D204-Inputs!B204</f>
        <v>-73</v>
      </c>
      <c r="C21" s="8">
        <f>Inputs!E204-Inputs!D204</f>
        <v>38</v>
      </c>
      <c r="D21" s="8">
        <f>Inputs!E204</f>
        <v>-48</v>
      </c>
      <c r="E21" s="8">
        <f>Inputs!F204</f>
        <v>-62</v>
      </c>
      <c r="F21" s="8">
        <f>Inputs!G204-Inputs!F204</f>
        <v>101</v>
      </c>
      <c r="G21" s="21">
        <v>0</v>
      </c>
      <c r="H21" s="12"/>
    </row>
    <row r="22">
      <c r="A22" s="6" t="s">
        <v>503</v>
      </c>
      <c r="B22" s="8">
        <f>Inputs!D205-Inputs!B205</f>
        <v>85</v>
      </c>
      <c r="C22" s="8">
        <f>Inputs!E205-Inputs!D205</f>
        <v>-124</v>
      </c>
      <c r="D22" s="8">
        <f>Inputs!E205</f>
        <v>14</v>
      </c>
      <c r="E22" s="8">
        <f>Inputs!F205</f>
        <v>-97</v>
      </c>
      <c r="F22" s="8">
        <f>Inputs!G205-Inputs!F205</f>
        <v>-69</v>
      </c>
      <c r="G22" s="35">
        <f>'Balance Sheet'!G60-'Balance Sheet'!F60</f>
        <v>0</v>
      </c>
      <c r="H22" s="7" t="s">
        <v>504</v>
      </c>
    </row>
    <row r="23">
      <c r="A23" s="6" t="s">
        <v>505</v>
      </c>
      <c r="B23" s="8">
        <f>Inputs!D206-Inputs!B206</f>
        <v>67</v>
      </c>
      <c r="C23" s="8">
        <f>Inputs!E206-Inputs!D206</f>
        <v>-369</v>
      </c>
      <c r="D23" s="8">
        <f>Inputs!E206</f>
        <v>-372</v>
      </c>
      <c r="E23" s="8">
        <f>Inputs!F206</f>
        <v>220</v>
      </c>
      <c r="F23" s="8">
        <f>Inputs!G206-Inputs!F206</f>
        <v>196</v>
      </c>
      <c r="G23" s="35">
        <f>-('Balance Sheet'!G16-'Balance Sheet'!F16)</f>
        <v>13</v>
      </c>
      <c r="H23" s="12"/>
    </row>
    <row r="24">
      <c r="A24" s="6" t="s">
        <v>506</v>
      </c>
      <c r="B24" s="8">
        <f>Inputs!D207-Inputs!B207</f>
        <v>-67</v>
      </c>
      <c r="C24" s="8">
        <f>Inputs!E207-Inputs!D207</f>
        <v>-42</v>
      </c>
      <c r="D24" s="8">
        <f>Inputs!E207</f>
        <v>-358</v>
      </c>
      <c r="E24" s="8">
        <f>Inputs!F207</f>
        <v>42</v>
      </c>
      <c r="F24" s="8">
        <f>Inputs!G207-Inputs!F207</f>
        <v>-3</v>
      </c>
      <c r="G24" s="21">
        <v>0</v>
      </c>
      <c r="H24" s="12"/>
    </row>
    <row r="25">
      <c r="A25" s="28" t="s">
        <v>507</v>
      </c>
      <c r="B25" s="26">
        <f>B9+B10+B11+B14+B17+B18+B19+B20+B21+B22+B23+B24</f>
        <v>1001</v>
      </c>
      <c r="C25" s="26">
        <f>C9+C10+C11+C14+C17+C18+C19+C20+C21+C22+C23+C24</f>
        <v>523</v>
      </c>
      <c r="D25" s="26">
        <f>D9+D10+D11+D14+D17+D18+D19+D20+D21+D22+D23+D24</f>
        <v>3003</v>
      </c>
      <c r="E25" s="26">
        <f>E9+E10+E11+E14+E17+E18+E19+E20+E21+E22+E23+E24</f>
        <v>1012</v>
      </c>
      <c r="F25" s="26">
        <f>F9+F10+F11+F14+F17+F18+F19+F20+F21+F22+F23+F24</f>
        <v>1268</v>
      </c>
      <c r="G25" s="39">
        <f>G9+G10+G11+G14+G17+G18+G19+G20+G21+G22+G23+G24</f>
        <v>1021.1636535767124</v>
      </c>
      <c r="H25" s="7" t="s">
        <v>508</v>
      </c>
    </row>
    <row r="26">
      <c r="A26" s="12" t="s">
        <v>118</v>
      </c>
      <c r="B26" s="23" t="s">
        <v>39</v>
      </c>
      <c r="C26" s="23" t="s">
        <v>39</v>
      </c>
      <c r="D26" s="23" t="s">
        <v>39</v>
      </c>
      <c r="E26" s="23" t="s">
        <v>39</v>
      </c>
      <c r="F26" s="23" t="s">
        <v>39</v>
      </c>
      <c r="G26" s="17">
        <f>G25/B25-1</f>
        <v>0.02014351006664561</v>
      </c>
      <c r="H26" s="7" t="s">
        <v>119</v>
      </c>
    </row>
    <row r="27">
      <c r="A27" s="18" t="s">
        <v>509</v>
      </c>
      <c r="B27" s="11"/>
      <c r="C27" s="11"/>
      <c r="D27" s="11"/>
      <c r="E27" s="11"/>
      <c r="F27" s="11"/>
      <c r="G27" s="20"/>
      <c r="H27" s="12"/>
    </row>
    <row r="28">
      <c r="A28" s="6" t="s">
        <v>510</v>
      </c>
      <c r="B28" s="8">
        <f>Inputs!D208-Inputs!B208</f>
        <v>0</v>
      </c>
      <c r="C28" s="8">
        <f>Inputs!E208-Inputs!D208</f>
        <v>48</v>
      </c>
      <c r="D28" s="8">
        <f>Inputs!E208</f>
        <v>48</v>
      </c>
      <c r="E28" s="8">
        <f>Inputs!F208</f>
        <v>2492</v>
      </c>
      <c r="F28" s="8">
        <f>Inputs!G208-Inputs!F208</f>
        <v>0</v>
      </c>
      <c r="G28" s="102">
        <v>0</v>
      </c>
      <c r="H28" s="96" t="s">
        <v>511</v>
      </c>
    </row>
    <row r="29">
      <c r="A29" s="6" t="s">
        <v>512</v>
      </c>
      <c r="B29" s="8">
        <f>Inputs!D209-Inputs!B209</f>
        <v>76</v>
      </c>
      <c r="C29" s="8">
        <f>Inputs!E209-Inputs!D209</f>
        <v>198</v>
      </c>
      <c r="D29" s="8">
        <f>Inputs!E209</f>
        <v>578</v>
      </c>
      <c r="E29" s="8">
        <f>Inputs!F209</f>
        <v>322</v>
      </c>
      <c r="F29" s="8">
        <f>Inputs!G209-Inputs!F209</f>
        <v>418</v>
      </c>
      <c r="G29" s="102">
        <v>0</v>
      </c>
      <c r="H29" s="96" t="s">
        <v>511</v>
      </c>
    </row>
    <row r="30">
      <c r="A30" s="6" t="s">
        <v>513</v>
      </c>
      <c r="B30" s="8">
        <f>Inputs!D210-Inputs!B210</f>
        <v>34</v>
      </c>
      <c r="C30" s="8">
        <f>Inputs!E210-Inputs!D210</f>
        <v>94</v>
      </c>
      <c r="D30" s="8">
        <f>Inputs!E210</f>
        <v>908</v>
      </c>
      <c r="E30" s="8">
        <f>Inputs!F210</f>
        <v>6</v>
      </c>
      <c r="F30" s="8">
        <f>Inputs!G210-Inputs!F210</f>
        <v>16</v>
      </c>
      <c r="G30" s="102">
        <v>0</v>
      </c>
      <c r="H30" s="96" t="s">
        <v>511</v>
      </c>
    </row>
    <row r="31">
      <c r="A31" s="6" t="s">
        <v>514</v>
      </c>
      <c r="B31" s="8">
        <f>Inputs!D211-Inputs!B211</f>
        <v>1574</v>
      </c>
      <c r="C31" s="8">
        <f>Inputs!E211-Inputs!D211</f>
        <v>812</v>
      </c>
      <c r="D31" s="8">
        <f>Inputs!E211</f>
        <v>4456</v>
      </c>
      <c r="E31" s="8">
        <f>Inputs!F211</f>
        <v>1211</v>
      </c>
      <c r="F31" s="8">
        <f>Inputs!G211-Inputs!F211</f>
        <v>742</v>
      </c>
      <c r="G31" s="102">
        <v>0</v>
      </c>
      <c r="H31" s="96" t="s">
        <v>511</v>
      </c>
    </row>
    <row r="32">
      <c r="A32" s="6" t="s">
        <v>515</v>
      </c>
      <c r="B32" s="8">
        <f>Inputs!D212-Inputs!B212</f>
        <v>319</v>
      </c>
      <c r="C32" s="8">
        <f>Inputs!E212-Inputs!D212</f>
        <v>286</v>
      </c>
      <c r="D32" s="8">
        <f>Inputs!E212</f>
        <v>1766</v>
      </c>
      <c r="E32" s="8">
        <f>Inputs!F212</f>
        <v>315</v>
      </c>
      <c r="F32" s="8">
        <f>Inputs!G212-Inputs!F212</f>
        <v>296</v>
      </c>
      <c r="G32" s="102">
        <v>0</v>
      </c>
      <c r="H32" s="96" t="s">
        <v>511</v>
      </c>
    </row>
    <row r="33">
      <c r="A33" s="6" t="s">
        <v>516</v>
      </c>
      <c r="B33" s="8">
        <f>Inputs!D213-Inputs!B213</f>
        <v>-3089</v>
      </c>
      <c r="C33" s="8">
        <f>Inputs!E213-Inputs!D213</f>
        <v>-878</v>
      </c>
      <c r="D33" s="8">
        <f>Inputs!E213</f>
        <v>-8439</v>
      </c>
      <c r="E33" s="8">
        <f>Inputs!F213</f>
        <v>-5924</v>
      </c>
      <c r="F33" s="8">
        <f>Inputs!G213-Inputs!F213</f>
        <v>-1019</v>
      </c>
      <c r="G33" s="35">
        <f>-('Balance Sheet'!G13-'Balance Sheet'!F13)</f>
        <v>-426</v>
      </c>
      <c r="H33" s="7" t="s">
        <v>517</v>
      </c>
    </row>
    <row r="34">
      <c r="A34" s="6" t="s">
        <v>518</v>
      </c>
      <c r="B34" s="8">
        <f>Inputs!D214-Inputs!B214</f>
        <v>0</v>
      </c>
      <c r="C34" s="8">
        <f>Inputs!E214-Inputs!D214</f>
        <v>0</v>
      </c>
      <c r="D34" s="8">
        <f>Inputs!E214</f>
        <v>0</v>
      </c>
      <c r="E34" s="8">
        <f>Inputs!F214</f>
        <v>0</v>
      </c>
      <c r="F34" s="8">
        <f>Inputs!G214-Inputs!F214</f>
        <v>-80</v>
      </c>
      <c r="G34" s="102">
        <v>0</v>
      </c>
      <c r="H34" s="96" t="s">
        <v>511</v>
      </c>
    </row>
    <row r="35">
      <c r="A35" s="6" t="s">
        <v>519</v>
      </c>
      <c r="B35" s="8">
        <f>Inputs!D215-Inputs!B215</f>
        <v>-62</v>
      </c>
      <c r="C35" s="8">
        <f>Inputs!E215-Inputs!D215</f>
        <v>-225</v>
      </c>
      <c r="D35" s="8">
        <f>Inputs!E215</f>
        <v>-588</v>
      </c>
      <c r="E35" s="8">
        <f>Inputs!F215</f>
        <v>-579</v>
      </c>
      <c r="F35" s="8">
        <f>Inputs!G215-Inputs!F215</f>
        <v>-234</v>
      </c>
      <c r="G35" s="102">
        <v>0</v>
      </c>
      <c r="H35" s="96" t="s">
        <v>511</v>
      </c>
    </row>
    <row r="36">
      <c r="A36" s="6" t="s">
        <v>520</v>
      </c>
      <c r="B36" s="8">
        <f>Inputs!D216-Inputs!B216</f>
        <v>-318</v>
      </c>
      <c r="C36" s="8">
        <f>Inputs!E216-Inputs!D216</f>
        <v>0</v>
      </c>
      <c r="D36" s="8">
        <f>Inputs!E216</f>
        <v>-683</v>
      </c>
      <c r="E36" s="8">
        <f>Inputs!F216</f>
        <v>0</v>
      </c>
      <c r="F36" s="8">
        <f>Inputs!G216-Inputs!F216</f>
        <v>-259</v>
      </c>
      <c r="G36" s="102">
        <v>0</v>
      </c>
      <c r="H36" s="96" t="s">
        <v>511</v>
      </c>
    </row>
    <row r="37">
      <c r="A37" s="6" t="s">
        <v>521</v>
      </c>
      <c r="B37" s="8">
        <f>Inputs!D217-Inputs!B217</f>
        <v>-823</v>
      </c>
      <c r="C37" s="8">
        <f>Inputs!E217-Inputs!D217</f>
        <v>-1671</v>
      </c>
      <c r="D37" s="8">
        <f>Inputs!E217</f>
        <v>-3688</v>
      </c>
      <c r="E37" s="8">
        <f>Inputs!F217</f>
        <v>-1611</v>
      </c>
      <c r="F37" s="8">
        <f>Inputs!G217-Inputs!F217</f>
        <v>-3331</v>
      </c>
      <c r="G37" s="35">
        <f>-('Balance Sheet'!G32-'Balance Sheet'!F32)-'Income Statement'!G115</f>
        <v>-2228.6608219178083</v>
      </c>
      <c r="H37" s="7" t="s">
        <v>522</v>
      </c>
    </row>
    <row r="38">
      <c r="A38" s="6" t="s">
        <v>523</v>
      </c>
      <c r="B38" s="8">
        <f>Inputs!D219-Inputs!B219</f>
        <v>-36</v>
      </c>
      <c r="C38" s="8">
        <f>Inputs!E219-Inputs!D219</f>
        <v>-56</v>
      </c>
      <c r="D38" s="8">
        <f>Inputs!E219</f>
        <v>-143</v>
      </c>
      <c r="E38" s="8">
        <f>Inputs!F219</f>
        <v>-96</v>
      </c>
      <c r="F38" s="8">
        <f>Inputs!G219-Inputs!F219</f>
        <v>-21</v>
      </c>
      <c r="G38" s="21">
        <v>-60</v>
      </c>
      <c r="H38" s="7" t="s">
        <v>524</v>
      </c>
    </row>
    <row r="39">
      <c r="A39" s="12" t="s">
        <v>353</v>
      </c>
      <c r="B39" s="23" t="s">
        <v>39</v>
      </c>
      <c r="C39" s="23" t="s">
        <v>39</v>
      </c>
      <c r="D39" s="23" t="s">
        <v>39</v>
      </c>
      <c r="E39" s="23" t="s">
        <v>39</v>
      </c>
      <c r="F39" s="23" t="s">
        <v>39</v>
      </c>
      <c r="G39" s="17">
        <f>G38/B38-1</f>
        <v>0.6666666666666667</v>
      </c>
      <c r="H39" s="7" t="s">
        <v>494</v>
      </c>
    </row>
    <row r="40">
      <c r="A40" s="6" t="s">
        <v>221</v>
      </c>
      <c r="B40" s="1" t="s">
        <v>39</v>
      </c>
      <c r="C40" s="1">
        <f>C38-B38</f>
        <v>-20</v>
      </c>
      <c r="D40" s="1"/>
      <c r="E40" s="1">
        <f>E38-C38</f>
        <v>-40</v>
      </c>
      <c r="F40" s="1">
        <f>F38-E38</f>
        <v>75</v>
      </c>
      <c r="G40" s="2">
        <f>G38-F38</f>
        <v>-39</v>
      </c>
      <c r="H40" s="12"/>
    </row>
    <row r="41">
      <c r="A41" s="6" t="s">
        <v>525</v>
      </c>
      <c r="B41" s="8">
        <f>Inputs!D220-Inputs!B220</f>
        <v>-199</v>
      </c>
      <c r="C41" s="8">
        <f>Inputs!E220-Inputs!D220</f>
        <v>-139</v>
      </c>
      <c r="D41" s="8">
        <f>Inputs!E220</f>
        <v>-1050</v>
      </c>
      <c r="E41" s="8">
        <f>Inputs!F220</f>
        <v>-280</v>
      </c>
      <c r="F41" s="8">
        <f>Inputs!G220-Inputs!F220</f>
        <v>-164</v>
      </c>
      <c r="G41" s="21">
        <v>0</v>
      </c>
      <c r="H41" s="100" t="s">
        <v>526</v>
      </c>
    </row>
    <row r="42">
      <c r="A42" s="6" t="s">
        <v>527</v>
      </c>
      <c r="B42" s="8">
        <f>Inputs!D221-Inputs!B221</f>
        <v>-21</v>
      </c>
      <c r="C42" s="8">
        <f>Inputs!E221-Inputs!D221</f>
        <v>-179</v>
      </c>
      <c r="D42" s="8">
        <f>Inputs!E221</f>
        <v>19</v>
      </c>
      <c r="E42" s="8">
        <f>Inputs!F221</f>
        <v>-180</v>
      </c>
      <c r="F42" s="8">
        <f>Inputs!G221-Inputs!F221</f>
        <v>-190</v>
      </c>
      <c r="G42" s="21">
        <v>0</v>
      </c>
      <c r="H42" s="100" t="s">
        <v>526</v>
      </c>
    </row>
    <row r="43">
      <c r="A43" s="28" t="s">
        <v>528</v>
      </c>
      <c r="B43" s="26">
        <f>B28+B29+B30+B31+B32+B33+B34+B35+B36+B37+B38+B41+B42</f>
        <v>-2545</v>
      </c>
      <c r="C43" s="26">
        <f>C28+C29+C30+C31+C32+C33+C34+C35+C36+C37+C38+C41+C42</f>
        <v>-1710</v>
      </c>
      <c r="D43" s="26">
        <f>D28+D29+D30+D31+D32+D33+D34+D35+D36+D37+D38+D41+D42</f>
        <v>-6816</v>
      </c>
      <c r="E43" s="26">
        <f>E28+E29+E30+E31+E32+E33+E34+E35+E36+E37+E38+E41+E42</f>
        <v>-4324</v>
      </c>
      <c r="F43" s="26">
        <f>F28+F29+F30+F31+F32+F33+F34+F35+F36+F37+F38+F41+F42</f>
        <v>-3826</v>
      </c>
      <c r="G43" s="39">
        <f>G28+G29+G30+G31+G32+G33+G34+G35+G36+G37+G38+G41+G42</f>
        <v>-2714.6608219178083</v>
      </c>
      <c r="H43" s="7" t="s">
        <v>529</v>
      </c>
    </row>
    <row r="44">
      <c r="A44" s="18" t="s">
        <v>530</v>
      </c>
      <c r="B44" s="11"/>
      <c r="C44" s="11"/>
      <c r="D44" s="11"/>
      <c r="E44" s="11"/>
      <c r="F44" s="11"/>
      <c r="G44" s="20"/>
      <c r="H44" s="12"/>
    </row>
    <row r="45">
      <c r="A45" s="6" t="s">
        <v>531</v>
      </c>
      <c r="B45" s="8">
        <f>Inputs!D222-Inputs!B222</f>
        <v>-1027</v>
      </c>
      <c r="C45" s="8">
        <f>Inputs!E222-Inputs!D222</f>
        <v>3484</v>
      </c>
      <c r="D45" s="8">
        <f>Inputs!E222</f>
        <v>5814</v>
      </c>
      <c r="E45" s="8">
        <f>Inputs!F222</f>
        <v>-3168</v>
      </c>
      <c r="F45" s="8">
        <f>Inputs!G222-Inputs!F222</f>
        <v>5143</v>
      </c>
      <c r="G45" s="35">
        <f>'Balance Sheet'!G51-'Balance Sheet'!F51</f>
        <v>1615</v>
      </c>
      <c r="H45" s="12"/>
    </row>
    <row r="46">
      <c r="A46" s="6" t="s">
        <v>532</v>
      </c>
      <c r="B46" s="8">
        <f>Inputs!D223-Inputs!B223</f>
        <v>-12</v>
      </c>
      <c r="C46" s="8">
        <f>Inputs!E223-Inputs!D223</f>
        <v>90</v>
      </c>
      <c r="D46" s="8">
        <f>Inputs!E223</f>
        <v>1089</v>
      </c>
      <c r="E46" s="8">
        <f>Inputs!F223</f>
        <v>5702</v>
      </c>
      <c r="F46" s="8">
        <f>Inputs!G223-Inputs!F223</f>
        <v>-3237</v>
      </c>
      <c r="G46" s="35">
        <f>'Balance Sheet'!G54-'Balance Sheet'!F54</f>
        <v>-1614</v>
      </c>
      <c r="H46" s="12"/>
    </row>
    <row r="47">
      <c r="A47" s="6" t="s">
        <v>533</v>
      </c>
      <c r="B47" s="8">
        <f>Inputs!D224-Inputs!B224</f>
        <v>747</v>
      </c>
      <c r="C47" s="8">
        <f>Inputs!E224-Inputs!D224</f>
        <v>0</v>
      </c>
      <c r="D47" s="8">
        <f>Inputs!E224</f>
        <v>3533</v>
      </c>
      <c r="E47" s="8">
        <f>Inputs!F224</f>
        <v>508</v>
      </c>
      <c r="F47" s="8">
        <f>Inputs!G224-Inputs!F224</f>
        <v>2695</v>
      </c>
      <c r="G47" s="35">
        <f>'Balance Sheet'!G57-'Balance Sheet'!F57</f>
        <v>732</v>
      </c>
      <c r="H47" s="100" t="s">
        <v>534</v>
      </c>
    </row>
    <row r="48">
      <c r="A48" s="6" t="s">
        <v>535</v>
      </c>
      <c r="B48" s="8">
        <f>Inputs!D225-Inputs!B225</f>
        <v>-215</v>
      </c>
      <c r="C48" s="8">
        <f>Inputs!E225-Inputs!D225</f>
        <v>-2000</v>
      </c>
      <c r="D48" s="8">
        <f>Inputs!E225</f>
        <v>-5380</v>
      </c>
      <c r="E48" s="8">
        <f>Inputs!F225</f>
        <v>-212</v>
      </c>
      <c r="F48" s="8">
        <f>Inputs!G225-Inputs!F225</f>
        <v>-251</v>
      </c>
      <c r="G48" s="102">
        <v>0</v>
      </c>
      <c r="H48" s="100" t="s">
        <v>536</v>
      </c>
    </row>
    <row r="49">
      <c r="A49" s="6" t="s">
        <v>537</v>
      </c>
      <c r="B49" s="8">
        <f>Inputs!D226-Inputs!B226</f>
        <v>0</v>
      </c>
      <c r="C49" s="8">
        <f>Inputs!E226-Inputs!D226</f>
        <v>440</v>
      </c>
      <c r="D49" s="8">
        <f>Inputs!E226</f>
        <v>440</v>
      </c>
      <c r="E49" s="8">
        <f>Inputs!F226</f>
        <v>0</v>
      </c>
      <c r="F49" s="8">
        <f>Inputs!G226-Inputs!F226</f>
        <v>0</v>
      </c>
      <c r="G49" s="21">
        <v>0</v>
      </c>
      <c r="H49" s="100" t="s">
        <v>538</v>
      </c>
    </row>
    <row r="50">
      <c r="A50" s="6" t="s">
        <v>539</v>
      </c>
      <c r="B50" s="8">
        <f>Inputs!D227-Inputs!B227</f>
        <v>0</v>
      </c>
      <c r="C50" s="8">
        <f>Inputs!E227-Inputs!D227</f>
        <v>0</v>
      </c>
      <c r="D50" s="8">
        <f>Inputs!E227</f>
        <v>0</v>
      </c>
      <c r="E50" s="8">
        <f>Inputs!F227</f>
        <v>-400</v>
      </c>
      <c r="F50" s="8">
        <f>Inputs!G227-Inputs!F227</f>
        <v>0</v>
      </c>
      <c r="G50" s="21">
        <v>0</v>
      </c>
      <c r="H50" s="100" t="s">
        <v>538</v>
      </c>
    </row>
    <row r="51">
      <c r="A51" s="6" t="s">
        <v>540</v>
      </c>
      <c r="B51" s="8">
        <f>Inputs!D228-Inputs!B228</f>
        <v>-404</v>
      </c>
      <c r="C51" s="8">
        <f>Inputs!E228-Inputs!D228</f>
        <v>-502</v>
      </c>
      <c r="D51" s="8">
        <f>Inputs!E228</f>
        <v>-2631</v>
      </c>
      <c r="E51" s="8">
        <f>Inputs!F228</f>
        <v>-1238</v>
      </c>
      <c r="F51" s="8">
        <f>Inputs!G228-Inputs!F228</f>
        <v>-460</v>
      </c>
      <c r="G51" s="35">
        <f>-'Share Count'!G25</f>
        <v>-350</v>
      </c>
      <c r="H51" s="12"/>
    </row>
    <row r="52">
      <c r="A52" s="6" t="s">
        <v>541</v>
      </c>
      <c r="B52" s="8">
        <f>Inputs!D229-Inputs!B229</f>
        <v>-233</v>
      </c>
      <c r="C52" s="8">
        <f>Inputs!E229-Inputs!D229</f>
        <v>-228</v>
      </c>
      <c r="D52" s="8">
        <f>Inputs!E229</f>
        <v>-899</v>
      </c>
      <c r="E52" s="8">
        <f>Inputs!F229</f>
        <v>-227</v>
      </c>
      <c r="F52" s="8">
        <f>Inputs!G229-Inputs!F229</f>
        <v>-218</v>
      </c>
      <c r="G52" s="35">
        <f>-'Share Count'!G38</f>
        <v>-216.27783333333332</v>
      </c>
      <c r="H52" s="12"/>
    </row>
    <row r="53">
      <c r="A53" s="6" t="s">
        <v>542</v>
      </c>
      <c r="B53" s="8">
        <f>Inputs!D230-Inputs!B230</f>
        <v>-41</v>
      </c>
      <c r="C53" s="8">
        <f>Inputs!E230-Inputs!D230</f>
        <v>-34</v>
      </c>
      <c r="D53" s="8">
        <f>Inputs!E230</f>
        <v>-146</v>
      </c>
      <c r="E53" s="8">
        <f>Inputs!F230</f>
        <v>-48</v>
      </c>
      <c r="F53" s="8">
        <f>Inputs!G230-Inputs!F230</f>
        <v>-38</v>
      </c>
      <c r="G53" s="35">
        <f>-'Income Statement'!G61</f>
        <v>-36</v>
      </c>
      <c r="H53" s="12"/>
    </row>
    <row r="54">
      <c r="A54" s="6" t="s">
        <v>543</v>
      </c>
      <c r="B54" s="8">
        <f>Inputs!D231-Inputs!B231</f>
        <v>5</v>
      </c>
      <c r="C54" s="8">
        <f>Inputs!E231-Inputs!D231</f>
        <v>5</v>
      </c>
      <c r="D54" s="8">
        <f>Inputs!E231</f>
        <v>-20</v>
      </c>
      <c r="E54" s="8">
        <f>Inputs!F231</f>
        <v>-26</v>
      </c>
      <c r="F54" s="8">
        <f>Inputs!G231-Inputs!F231</f>
        <v>14</v>
      </c>
      <c r="G54" s="35">
        <f>'Balance Sheet'!G66</f>
        <v>0</v>
      </c>
      <c r="H54" s="7" t="s">
        <v>544</v>
      </c>
    </row>
    <row r="55">
      <c r="A55" s="28" t="s">
        <v>545</v>
      </c>
      <c r="B55" s="26">
        <f>B45+B46+B47+B48+B49+B50+B51+B52+B53+B54</f>
        <v>-1180</v>
      </c>
      <c r="C55" s="26">
        <f>C45+C46+C47+C48+C49+C50+C51+C52+C53+C54</f>
        <v>1255</v>
      </c>
      <c r="D55" s="26">
        <f>D45+D46+D47+D48+D49+D50+D51+D52+D53+D54</f>
        <v>1800</v>
      </c>
      <c r="E55" s="26">
        <f>E45+E46+E47+E48+E49+E50+E51+E52+E53+E54</f>
        <v>891</v>
      </c>
      <c r="F55" s="26">
        <f>F45+F46+F47+F48+F49+F50+F51+F52+F53+F54</f>
        <v>3648</v>
      </c>
      <c r="G55" s="39">
        <f>G45+G46+G47+G48+G49+G50+G51+G52+G53+G54</f>
        <v>130.72216666666668</v>
      </c>
      <c r="H55" s="12"/>
    </row>
    <row r="56">
      <c r="A56" s="28" t="s">
        <v>546</v>
      </c>
      <c r="B56" s="26">
        <f>B25+B43+B55</f>
        <v>-2724</v>
      </c>
      <c r="C56" s="26">
        <f>C25+C43+C55</f>
        <v>68</v>
      </c>
      <c r="D56" s="26">
        <f>D25+D43+D55</f>
        <v>-2013</v>
      </c>
      <c r="E56" s="26">
        <f>E25+E43+E55</f>
        <v>-2421</v>
      </c>
      <c r="F56" s="26">
        <f>F25+F43+F55</f>
        <v>1090</v>
      </c>
      <c r="G56" s="39">
        <f>G25+G43+G55</f>
        <v>-1562.7750016744292</v>
      </c>
      <c r="H56" s="12"/>
    </row>
    <row r="57">
      <c r="A57" s="6" t="s">
        <v>547</v>
      </c>
      <c r="B57" s="8">
        <f>Inputs!F165+Inputs!F166</f>
        <v>21425</v>
      </c>
      <c r="C57" s="1">
        <f>B58</f>
        <v>18701</v>
      </c>
      <c r="D57" s="8">
        <f>Inputs!D165+Inputs!D166</f>
        <v>20782</v>
      </c>
      <c r="E57" s="1">
        <f>C58</f>
        <v>18769</v>
      </c>
      <c r="F57" s="1">
        <f>E58</f>
        <v>16348</v>
      </c>
      <c r="G57" s="2">
        <f>F58</f>
        <v>17438</v>
      </c>
      <c r="H57" s="7" t="s">
        <v>548</v>
      </c>
    </row>
    <row r="58">
      <c r="A58" s="28" t="s">
        <v>549</v>
      </c>
      <c r="B58" s="26">
        <f>B57+B56</f>
        <v>18701</v>
      </c>
      <c r="C58" s="26">
        <f>C57+C56</f>
        <v>18769</v>
      </c>
      <c r="D58" s="26">
        <f>D57+D56</f>
        <v>18769</v>
      </c>
      <c r="E58" s="26">
        <f>E57+E56</f>
        <v>16348</v>
      </c>
      <c r="F58" s="26">
        <f>F57+F56</f>
        <v>17438</v>
      </c>
      <c r="G58" s="39">
        <f>G57+G56</f>
        <v>15875.224998325572</v>
      </c>
      <c r="H58" s="12"/>
    </row>
    <row r="59">
      <c r="A59" s="6" t="s">
        <v>550</v>
      </c>
      <c r="B59" s="8">
        <f>'Balance Sheet'!B9+'Balance Sheet'!B12</f>
        <v>18701</v>
      </c>
      <c r="C59" s="8">
        <f>'Balance Sheet'!C9+'Balance Sheet'!C12</f>
        <v>18769</v>
      </c>
      <c r="D59" s="8">
        <f>'Balance Sheet'!D9+'Balance Sheet'!D12</f>
        <v>18769</v>
      </c>
      <c r="E59" s="8">
        <f>'Balance Sheet'!E9+'Balance Sheet'!E12</f>
        <v>16348</v>
      </c>
      <c r="F59" s="8">
        <f>'Balance Sheet'!F9+'Balance Sheet'!F12</f>
        <v>17438</v>
      </c>
      <c r="G59" s="35">
        <f>'Balance Sheet'!G9+'Balance Sheet'!G12</f>
        <v>15875.224998325575</v>
      </c>
      <c r="H59" s="12"/>
    </row>
    <row r="60">
      <c r="A60" s="12" t="s">
        <v>551</v>
      </c>
      <c r="B60" s="32">
        <f>B58-B59</f>
        <v>0</v>
      </c>
      <c r="C60" s="32">
        <f>C58-C59</f>
        <v>0</v>
      </c>
      <c r="D60" s="32">
        <f>D58-D59</f>
        <v>0</v>
      </c>
      <c r="E60" s="32">
        <f>E58-E59</f>
        <v>0</v>
      </c>
      <c r="F60" s="32">
        <f>F58-F59</f>
        <v>0</v>
      </c>
      <c r="G60" s="52">
        <f>G58-G59</f>
        <v>0</v>
      </c>
      <c r="H60" s="12"/>
    </row>
    <row r="61">
      <c r="A61" s="6" t="s">
        <v>552</v>
      </c>
      <c r="B61" s="8">
        <f>Inputs!D232-Inputs!B232</f>
        <v>1001</v>
      </c>
      <c r="C61" s="8">
        <f>Inputs!E232-Inputs!D232</f>
        <v>523</v>
      </c>
      <c r="D61" s="8">
        <f>Inputs!E232</f>
        <v>3003</v>
      </c>
      <c r="E61" s="8">
        <f>Inputs!F232</f>
        <v>1012</v>
      </c>
      <c r="F61" s="8">
        <f>Inputs!G232-Inputs!F232</f>
        <v>1268</v>
      </c>
      <c r="G61" s="2"/>
      <c r="H61" s="12"/>
    </row>
    <row r="62">
      <c r="A62" s="12" t="s">
        <v>553</v>
      </c>
      <c r="B62" s="32">
        <f>B25-B61</f>
        <v>0</v>
      </c>
      <c r="C62" s="32">
        <f>C25-C61</f>
        <v>0</v>
      </c>
      <c r="D62" s="32">
        <f>D25-D61</f>
        <v>0</v>
      </c>
      <c r="E62" s="32">
        <f>E25-E61</f>
        <v>0</v>
      </c>
      <c r="F62" s="32">
        <f>F25-F61</f>
        <v>0</v>
      </c>
      <c r="G62" s="52"/>
      <c r="H62" s="12"/>
    </row>
    <row r="63">
      <c r="A63" s="6" t="s">
        <v>554</v>
      </c>
      <c r="B63" s="8">
        <f>Inputs!D233-Inputs!B233</f>
        <v>-2545</v>
      </c>
      <c r="C63" s="8">
        <f>Inputs!E233-Inputs!D233</f>
        <v>-1710</v>
      </c>
      <c r="D63" s="8">
        <f>Inputs!E233</f>
        <v>-6816</v>
      </c>
      <c r="E63" s="8">
        <f>Inputs!F233</f>
        <v>-4324</v>
      </c>
      <c r="F63" s="8">
        <f>Inputs!G233-Inputs!F233</f>
        <v>-3826</v>
      </c>
      <c r="G63" s="2"/>
      <c r="H63" s="12"/>
    </row>
    <row r="64">
      <c r="A64" s="12" t="s">
        <v>553</v>
      </c>
      <c r="B64" s="32">
        <f>B43-B63</f>
        <v>0</v>
      </c>
      <c r="C64" s="32">
        <f>C43-C63</f>
        <v>0</v>
      </c>
      <c r="D64" s="32">
        <f>D43-D63</f>
        <v>0</v>
      </c>
      <c r="E64" s="32">
        <f>E43-E63</f>
        <v>0</v>
      </c>
      <c r="F64" s="32">
        <f>F43-F63</f>
        <v>0</v>
      </c>
      <c r="G64" s="52"/>
      <c r="H64" s="12"/>
    </row>
    <row r="65">
      <c r="A65" s="6" t="s">
        <v>555</v>
      </c>
      <c r="B65" s="8">
        <f>Inputs!D234-Inputs!B234</f>
        <v>-1180</v>
      </c>
      <c r="C65" s="8">
        <f>Inputs!E234-Inputs!D234</f>
        <v>1255</v>
      </c>
      <c r="D65" s="8">
        <f>Inputs!E234</f>
        <v>1800</v>
      </c>
      <c r="E65" s="8">
        <f>Inputs!F234</f>
        <v>891</v>
      </c>
      <c r="F65" s="8">
        <f>Inputs!G234-Inputs!F234</f>
        <v>3648</v>
      </c>
      <c r="G65" s="2"/>
      <c r="H65" s="12"/>
    </row>
    <row r="66">
      <c r="A66" s="12" t="s">
        <v>553</v>
      </c>
      <c r="B66" s="32">
        <f>B55-B65</f>
        <v>0</v>
      </c>
      <c r="C66" s="32">
        <f>C55-C65</f>
        <v>0</v>
      </c>
      <c r="D66" s="32">
        <f>D55-D65</f>
        <v>0</v>
      </c>
      <c r="E66" s="32">
        <f>E55-E65</f>
        <v>0</v>
      </c>
      <c r="F66" s="32">
        <f>F55-F65</f>
        <v>0</v>
      </c>
      <c r="G66" s="52"/>
      <c r="H66" s="12"/>
    </row>
    <row r="67">
      <c r="A67" s="6"/>
      <c r="B67" s="11"/>
      <c r="C67" s="11"/>
      <c r="D67" s="11"/>
      <c r="E67" s="11"/>
      <c r="F67" s="11"/>
      <c r="G67" s="20"/>
      <c r="H67" s="12"/>
    </row>
    <row r="68">
      <c r="A68" s="6" t="s">
        <v>556</v>
      </c>
      <c r="B68" s="1">
        <f>-B38</f>
        <v>36</v>
      </c>
      <c r="C68" s="1">
        <f>-C38</f>
        <v>56</v>
      </c>
      <c r="D68" s="1">
        <f>-D38</f>
        <v>143</v>
      </c>
      <c r="E68" s="1">
        <f>-E38</f>
        <v>96</v>
      </c>
      <c r="F68" s="1">
        <f>-F38</f>
        <v>21</v>
      </c>
      <c r="G68" s="2">
        <f>-G38</f>
        <v>60</v>
      </c>
      <c r="H68" s="12"/>
    </row>
    <row r="69">
      <c r="A69" s="6" t="s">
        <v>557</v>
      </c>
      <c r="B69" s="11"/>
      <c r="C69" s="11"/>
      <c r="D69" s="11"/>
      <c r="E69" s="11"/>
      <c r="F69" s="11"/>
      <c r="G69" s="20"/>
      <c r="H69" s="7" t="s">
        <v>558</v>
      </c>
    </row>
    <row r="70">
      <c r="A70" s="6"/>
      <c r="B70" s="6"/>
      <c r="C70" s="6"/>
      <c r="D70" s="6"/>
      <c r="E70" s="6"/>
      <c r="F70" s="6"/>
      <c r="G70" s="6"/>
      <c r="H70" s="6"/>
    </row>
    <row r="71">
      <c r="A71" s="6"/>
      <c r="B71" s="6"/>
      <c r="C71" s="6"/>
      <c r="D71" s="6"/>
      <c r="E71" s="6"/>
      <c r="F71" s="6"/>
      <c r="G71" s="6"/>
      <c r="H71" s="6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H45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559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109</v>
      </c>
      <c r="B4" s="9" t="s">
        <v>73</v>
      </c>
      <c r="C4" s="9" t="s">
        <v>110</v>
      </c>
      <c r="D4" s="9" t="s">
        <v>111</v>
      </c>
      <c r="E4" s="9" t="s">
        <v>112</v>
      </c>
      <c r="F4" s="9" t="s">
        <v>72</v>
      </c>
      <c r="G4" s="54" t="s">
        <v>71</v>
      </c>
      <c r="H4" s="34" t="s">
        <v>5</v>
      </c>
    </row>
    <row r="5">
      <c r="A5" s="30" t="s">
        <v>113</v>
      </c>
      <c r="B5" s="22">
        <v>45930</v>
      </c>
      <c r="C5" s="22">
        <v>46022</v>
      </c>
      <c r="D5" s="22">
        <v>46022</v>
      </c>
      <c r="E5" s="22">
        <v>46112</v>
      </c>
      <c r="F5" s="22">
        <v>46203</v>
      </c>
      <c r="G5" s="15">
        <v>46295</v>
      </c>
      <c r="H5" s="30"/>
    </row>
    <row r="6">
      <c r="A6" s="25" t="s">
        <v>114</v>
      </c>
      <c r="B6" s="36">
        <v>92</v>
      </c>
      <c r="C6" s="36">
        <v>92</v>
      </c>
      <c r="D6" s="36">
        <v>365</v>
      </c>
      <c r="E6" s="36">
        <v>90</v>
      </c>
      <c r="F6" s="36">
        <v>91</v>
      </c>
      <c r="G6" s="31">
        <v>92</v>
      </c>
      <c r="H6" s="25"/>
    </row>
    <row r="7">
      <c r="A7" s="6"/>
      <c r="B7" s="6"/>
      <c r="C7" s="6"/>
      <c r="D7" s="6"/>
      <c r="E7" s="6"/>
      <c r="F7" s="6"/>
      <c r="G7" s="40"/>
      <c r="H7" s="6"/>
    </row>
    <row r="8">
      <c r="A8" s="18" t="s">
        <v>560</v>
      </c>
      <c r="B8" s="11"/>
      <c r="C8" s="11"/>
      <c r="D8" s="11"/>
      <c r="E8" s="11"/>
      <c r="F8" s="11"/>
      <c r="G8" s="20"/>
      <c r="H8" s="12"/>
    </row>
    <row r="9">
      <c r="A9" s="6" t="s">
        <v>561</v>
      </c>
      <c r="B9" s="13">
        <v>4.85</v>
      </c>
      <c r="C9" s="13">
        <v>4.71</v>
      </c>
      <c r="D9" s="13">
        <v>17.1</v>
      </c>
      <c r="E9" s="13">
        <v>4.16</v>
      </c>
      <c r="F9" s="13">
        <v>5.35</v>
      </c>
      <c r="G9" s="48"/>
      <c r="H9" s="7" t="s">
        <v>376</v>
      </c>
    </row>
    <row r="10" ht="64.5">
      <c r="A10" s="6" t="s">
        <v>562</v>
      </c>
      <c r="B10" s="4">
        <v>155.558</v>
      </c>
      <c r="C10" s="8">
        <f>'Income Statement'!C65/C9</f>
        <v>152.4416135881104</v>
      </c>
      <c r="D10" s="4">
        <v>157.875</v>
      </c>
      <c r="E10" s="4">
        <v>149.225</v>
      </c>
      <c r="F10" s="4">
        <v>145.891</v>
      </c>
      <c r="G10" s="2">
        <f>AVERAGE(F22,G22)</f>
        <v>144.18522222222222</v>
      </c>
      <c r="H10" s="112" t="s">
        <v>563</v>
      </c>
    </row>
    <row r="11">
      <c r="A11" s="12" t="s">
        <v>118</v>
      </c>
      <c r="B11" s="14">
        <f>B10/Inputs!B133-1</f>
        <v>-0.06667626641707314</v>
      </c>
      <c r="C11" s="14">
        <f>C10/Inputs!C133-1</f>
        <v>-0.08156294918964524</v>
      </c>
      <c r="D11" s="14">
        <f>D10/Inputs!D133-1</f>
        <v>-0.0516821941506137</v>
      </c>
      <c r="E11" s="14">
        <f>E10/Inputs!E133-1</f>
        <v>-0.09124956610173629</v>
      </c>
      <c r="F11" s="14">
        <f>F10/Inputs!F133-1</f>
        <v>-0.08372011229674481</v>
      </c>
      <c r="G11" s="17">
        <f>G10/B10-1</f>
        <v>-0.0731095654211148</v>
      </c>
      <c r="H11" s="12"/>
    </row>
    <row r="12">
      <c r="A12" s="6" t="s">
        <v>564</v>
      </c>
      <c r="B12" s="8">
        <f>B10-Inputs!F133</f>
        <v>-3.663000000000011</v>
      </c>
      <c r="C12" s="1">
        <f>C10-B10</f>
        <v>-3.1163864118895788</v>
      </c>
      <c r="D12" s="1"/>
      <c r="E12" s="1">
        <f>E10-C10</f>
        <v>-3.2166135881104196</v>
      </c>
      <c r="F12" s="1">
        <f>F10-E10</f>
        <v>-3.334000000000003</v>
      </c>
      <c r="G12" s="2">
        <f>G10-F10</f>
        <v>-1.7057777777777687</v>
      </c>
      <c r="H12" s="12"/>
    </row>
    <row r="13">
      <c r="A13" s="6" t="s">
        <v>565</v>
      </c>
      <c r="B13" s="1">
        <f>B16-B10</f>
        <v>0.9950000000000045</v>
      </c>
      <c r="C13" s="1">
        <f>C16-C10</f>
        <v>1.2703864118895751</v>
      </c>
      <c r="D13" s="1">
        <f>D16-D10</f>
        <v>0.9159999999999968</v>
      </c>
      <c r="E13" s="1">
        <f>E16-E10</f>
        <v>0.8840000000000146</v>
      </c>
      <c r="F13" s="1">
        <f>F16-F10</f>
        <v>0.8670000000000186</v>
      </c>
      <c r="G13" s="21">
        <v>0.87</v>
      </c>
      <c r="H13" s="7" t="s">
        <v>566</v>
      </c>
    </row>
    <row r="14">
      <c r="A14" s="12" t="s">
        <v>118</v>
      </c>
      <c r="B14" s="14">
        <f>B13/(Inputs!B132-Inputs!B133)-1</f>
        <v>0.11049107142855785</v>
      </c>
      <c r="C14" s="14">
        <f>C13/(Inputs!C132-Inputs!C133)-1</f>
        <v>0.28371320776815656</v>
      </c>
      <c r="D14" s="14">
        <f>D13/(Inputs!D132-Inputs!D133)-1</f>
        <v>0.09047619047621924</v>
      </c>
      <c r="E14" s="14">
        <f>E13/(Inputs!E132-Inputs!E133)-1</f>
        <v>0.054892601432005916</v>
      </c>
      <c r="F14" s="14">
        <f>F13/(Inputs!F132-Inputs!F133)-1</f>
        <v>0.10586734693881095</v>
      </c>
      <c r="G14" s="17">
        <f>G13/B13-1</f>
        <v>-0.12562814070352157</v>
      </c>
      <c r="H14" s="12"/>
    </row>
    <row r="15">
      <c r="A15" s="6" t="s">
        <v>564</v>
      </c>
      <c r="B15" s="8">
        <f>B13-(Inputs!F132-Inputs!F133)</f>
        <v>0.21100000000001273</v>
      </c>
      <c r="C15" s="1">
        <f>C13-B13</f>
        <v>0.2753864118895706</v>
      </c>
      <c r="D15" s="1"/>
      <c r="E15" s="1">
        <f>E13-C13</f>
        <v>-0.3863864118895606</v>
      </c>
      <c r="F15" s="1">
        <f>F13-E13</f>
        <v>-0.016999999999995907</v>
      </c>
      <c r="G15" s="2">
        <f>G13-F13</f>
        <v>0.002999999999981351</v>
      </c>
      <c r="H15" s="12"/>
    </row>
    <row r="16">
      <c r="A16" s="28" t="s">
        <v>567</v>
      </c>
      <c r="B16" s="16">
        <v>156.553</v>
      </c>
      <c r="C16" s="16">
        <v>153.712</v>
      </c>
      <c r="D16" s="16">
        <v>158.791</v>
      </c>
      <c r="E16" s="16">
        <v>150.109</v>
      </c>
      <c r="F16" s="16">
        <v>146.758</v>
      </c>
      <c r="G16" s="39">
        <f>G10+G13</f>
        <v>145.05522222222223</v>
      </c>
      <c r="H16" s="7" t="s">
        <v>568</v>
      </c>
    </row>
    <row r="17">
      <c r="A17" s="12" t="s">
        <v>118</v>
      </c>
      <c r="B17" s="14">
        <f>B16/Inputs!B132-1</f>
        <v>-0.06572893230767396</v>
      </c>
      <c r="C17" s="14">
        <f>C16/Inputs!C132-1</f>
        <v>-0.0793979720786494</v>
      </c>
      <c r="D17" s="14">
        <f>D16/Inputs!D132-1</f>
        <v>-0.050968509254776806</v>
      </c>
      <c r="E17" s="14">
        <f>E16/Inputs!E132-1</f>
        <v>-0.09050755239416641</v>
      </c>
      <c r="F17" s="14">
        <f>F16/Inputs!F132-1</f>
        <v>-0.08279116277616316</v>
      </c>
      <c r="G17" s="17">
        <f>G16/B16-1</f>
        <v>-0.07344335642100608</v>
      </c>
      <c r="H17" s="12"/>
    </row>
    <row r="18">
      <c r="A18" s="6" t="s">
        <v>564</v>
      </c>
      <c r="B18" s="8">
        <f>B16-Inputs!F132</f>
        <v>-3.451999999999998</v>
      </c>
      <c r="C18" s="1">
        <f>C16-B16</f>
        <v>-2.841000000000008</v>
      </c>
      <c r="D18" s="1"/>
      <c r="E18" s="1">
        <f>E16-C16</f>
        <v>-3.60299999999998</v>
      </c>
      <c r="F18" s="1">
        <f>F16-E16</f>
        <v>-3.350999999999999</v>
      </c>
      <c r="G18" s="2">
        <f>G16-F16</f>
        <v>-1.7027777777777828</v>
      </c>
      <c r="H18" s="12"/>
    </row>
    <row r="19">
      <c r="A19" s="6"/>
      <c r="B19" s="11"/>
      <c r="C19" s="11"/>
      <c r="D19" s="11"/>
      <c r="E19" s="11"/>
      <c r="F19" s="11"/>
      <c r="G19" s="20"/>
      <c r="H19" s="12"/>
    </row>
    <row r="20">
      <c r="A20" s="18" t="s">
        <v>569</v>
      </c>
      <c r="B20" s="11"/>
      <c r="C20" s="11"/>
      <c r="D20" s="11"/>
      <c r="E20" s="11"/>
      <c r="F20" s="11"/>
      <c r="G20" s="20"/>
      <c r="H20" s="12"/>
    </row>
    <row r="21">
      <c r="A21" s="6" t="s">
        <v>570</v>
      </c>
      <c r="B21" s="8">
        <f>Inputs!F187</f>
        <v>156.532</v>
      </c>
      <c r="C21" s="1">
        <f>B22</f>
        <v>154.518</v>
      </c>
      <c r="D21" s="8">
        <f>Inputs!D187</f>
        <v>165.526</v>
      </c>
      <c r="E21" s="1">
        <f>C22</f>
        <v>151.84</v>
      </c>
      <c r="F21" s="1">
        <f>E22</f>
        <v>146.917</v>
      </c>
      <c r="G21" s="2">
        <f>F22</f>
        <v>144.933</v>
      </c>
      <c r="H21" s="7" t="s">
        <v>169</v>
      </c>
    </row>
    <row r="22">
      <c r="A22" s="6" t="s">
        <v>571</v>
      </c>
      <c r="B22" s="4">
        <v>154.518</v>
      </c>
      <c r="C22" s="4">
        <v>151.84</v>
      </c>
      <c r="D22" s="101">
        <f>C22</f>
        <v>151.84</v>
      </c>
      <c r="E22" s="4">
        <v>146.917</v>
      </c>
      <c r="F22" s="4">
        <v>144.933</v>
      </c>
      <c r="G22" s="2">
        <f>F22-G31+G32</f>
        <v>143.43744444444445</v>
      </c>
      <c r="H22" s="7" t="s">
        <v>572</v>
      </c>
    </row>
    <row r="23">
      <c r="A23" s="12" t="s">
        <v>118</v>
      </c>
      <c r="B23" s="23" t="s">
        <v>39</v>
      </c>
      <c r="C23" s="14">
        <f>C22/Inputs!C187-1</f>
        <v>-0.08268187475079447</v>
      </c>
      <c r="D23" s="14">
        <f>D22/Inputs!D187-1</f>
        <v>-0.08268187475079447</v>
      </c>
      <c r="E23" s="23" t="s">
        <v>39</v>
      </c>
      <c r="F23" s="14">
        <f>F22/Inputs!F187-1</f>
        <v>-0.07409986456443418</v>
      </c>
      <c r="G23" s="17">
        <f>G22/B22-1</f>
        <v>-0.07171045156910871</v>
      </c>
      <c r="H23" s="7" t="s">
        <v>119</v>
      </c>
    </row>
    <row r="24">
      <c r="A24" s="6" t="s">
        <v>564</v>
      </c>
      <c r="B24" s="8">
        <f>B22-Inputs!F187</f>
        <v>-2.01400000000001</v>
      </c>
      <c r="C24" s="1">
        <f>C22-B22</f>
        <v>-2.6779999999999973</v>
      </c>
      <c r="D24" s="1"/>
      <c r="E24" s="1">
        <f>E22-C22</f>
        <v>-4.923000000000002</v>
      </c>
      <c r="F24" s="1">
        <f>F22-E22</f>
        <v>-1.9840000000000089</v>
      </c>
      <c r="G24" s="2">
        <f>G22-F22</f>
        <v>-1.4955555555555406</v>
      </c>
      <c r="H24" s="12"/>
    </row>
    <row r="25">
      <c r="A25" s="6" t="s">
        <v>573</v>
      </c>
      <c r="B25" s="4">
        <v>409</v>
      </c>
      <c r="C25" s="4">
        <v>507</v>
      </c>
      <c r="D25" s="8">
        <f>Inputs!B192+B25+C25</f>
        <v>2656</v>
      </c>
      <c r="E25" s="4">
        <v>1250</v>
      </c>
      <c r="F25" s="4">
        <v>465</v>
      </c>
      <c r="G25" s="21">
        <v>350</v>
      </c>
      <c r="H25" s="7" t="s">
        <v>574</v>
      </c>
    </row>
    <row r="26">
      <c r="A26" s="12" t="s">
        <v>118</v>
      </c>
      <c r="B26" s="23" t="s">
        <v>39</v>
      </c>
      <c r="C26" s="23" t="s">
        <v>39</v>
      </c>
      <c r="D26" s="23" t="s">
        <v>39</v>
      </c>
      <c r="E26" s="23" t="s">
        <v>39</v>
      </c>
      <c r="F26" s="23" t="s">
        <v>39</v>
      </c>
      <c r="G26" s="17">
        <f>G25/B25-1</f>
        <v>-0.1442542787286064</v>
      </c>
      <c r="H26" s="7" t="s">
        <v>119</v>
      </c>
    </row>
    <row r="27">
      <c r="A27" s="6" t="s">
        <v>120</v>
      </c>
      <c r="B27" s="1" t="s">
        <v>39</v>
      </c>
      <c r="C27" s="1">
        <f>C25-B25</f>
        <v>98</v>
      </c>
      <c r="D27" s="1"/>
      <c r="E27" s="1">
        <f>E25-C25</f>
        <v>743</v>
      </c>
      <c r="F27" s="1">
        <f>F25-E25</f>
        <v>-785</v>
      </c>
      <c r="G27" s="2">
        <f>G25-F25</f>
        <v>-115</v>
      </c>
      <c r="H27" s="12"/>
    </row>
    <row r="28">
      <c r="A28" s="6" t="s">
        <v>575</v>
      </c>
      <c r="B28" s="3">
        <f>B25/B31</f>
        <v>194.76190476190476</v>
      </c>
      <c r="C28" s="3">
        <f>C25/C31</f>
        <v>187.77777777777777</v>
      </c>
      <c r="D28" s="3">
        <f>D25/D31</f>
        <v>185.73426573426573</v>
      </c>
      <c r="E28" s="3">
        <f>E25/E31</f>
        <v>227.27272727272728</v>
      </c>
      <c r="F28" s="3">
        <f>F25/F31</f>
        <v>221.42857142857142</v>
      </c>
      <c r="G28" s="38">
        <v>225</v>
      </c>
      <c r="H28" s="7" t="s">
        <v>576</v>
      </c>
    </row>
    <row r="29">
      <c r="A29" s="12" t="s">
        <v>118</v>
      </c>
      <c r="B29" s="23" t="s">
        <v>39</v>
      </c>
      <c r="C29" s="23" t="s">
        <v>39</v>
      </c>
      <c r="D29" s="23" t="s">
        <v>39</v>
      </c>
      <c r="E29" s="23" t="s">
        <v>39</v>
      </c>
      <c r="F29" s="23" t="s">
        <v>39</v>
      </c>
      <c r="G29" s="17">
        <f>G28/B28-1</f>
        <v>0.15525672371638133</v>
      </c>
      <c r="H29" s="7" t="s">
        <v>119</v>
      </c>
    </row>
    <row r="30">
      <c r="A30" s="6" t="s">
        <v>577</v>
      </c>
      <c r="B30" s="1" t="s">
        <v>39</v>
      </c>
      <c r="C30" s="1">
        <f>C28-B28</f>
        <v>-6.984126984126988</v>
      </c>
      <c r="D30" s="1"/>
      <c r="E30" s="1">
        <f>E28-C28</f>
        <v>39.49494949494951</v>
      </c>
      <c r="F30" s="1">
        <f>F28-E28</f>
        <v>-5.844155844155864</v>
      </c>
      <c r="G30" s="2">
        <f>G28-F28</f>
        <v>3.5714285714285836</v>
      </c>
      <c r="H30" s="12"/>
    </row>
    <row r="31">
      <c r="A31" s="6" t="s">
        <v>578</v>
      </c>
      <c r="B31" s="4">
        <v>2.1</v>
      </c>
      <c r="C31" s="4">
        <v>2.7</v>
      </c>
      <c r="D31" s="8">
        <f>Inputs!B191+B31+C31</f>
        <v>14.3</v>
      </c>
      <c r="E31" s="4">
        <v>5.5</v>
      </c>
      <c r="F31" s="4">
        <v>2.1</v>
      </c>
      <c r="G31" s="2">
        <f>G25/G28</f>
        <v>1.5555555555555556</v>
      </c>
      <c r="H31" s="7" t="s">
        <v>376</v>
      </c>
    </row>
    <row r="32">
      <c r="A32" s="6" t="s">
        <v>579</v>
      </c>
      <c r="B32" s="8">
        <f>B22-Inputs!F187+B31</f>
        <v>0.08599999999999008</v>
      </c>
      <c r="C32" s="1">
        <f>C22-B22+C31</f>
        <v>0.022000000000002906</v>
      </c>
      <c r="D32" s="8">
        <f>D22-Inputs!D187+D31</f>
        <v>0.6139999999999937</v>
      </c>
      <c r="E32" s="1">
        <f>E22-C22+E31</f>
        <v>0.5769999999999982</v>
      </c>
      <c r="F32" s="1">
        <f>F22-E22+F31</f>
        <v>0.11599999999999122</v>
      </c>
      <c r="G32" s="21">
        <v>0.06</v>
      </c>
      <c r="H32" s="7" t="s">
        <v>580</v>
      </c>
    </row>
    <row r="33">
      <c r="A33" s="6" t="s">
        <v>581</v>
      </c>
      <c r="B33" s="1">
        <f>AVERAGE(B21,B22)</f>
        <v>155.525</v>
      </c>
      <c r="C33" s="1">
        <f>AVERAGE(C21,C22)</f>
        <v>153.179</v>
      </c>
      <c r="D33" s="1">
        <f>AVERAGE(D21,D22)</f>
        <v>158.683</v>
      </c>
      <c r="E33" s="1">
        <f>AVERAGE(E21,E22)</f>
        <v>149.3785</v>
      </c>
      <c r="F33" s="1">
        <f>AVERAGE(F21,F22)</f>
        <v>145.925</v>
      </c>
      <c r="G33" s="2">
        <f>AVERAGE(G21,G22)</f>
        <v>144.18522222222222</v>
      </c>
      <c r="H33" s="12"/>
    </row>
    <row r="34">
      <c r="A34" s="6" t="s">
        <v>582</v>
      </c>
      <c r="B34" s="1">
        <f>B10-B33</f>
        <v>0.03299999999998704</v>
      </c>
      <c r="C34" s="1">
        <f>C10-C33</f>
        <v>-0.7373864118895881</v>
      </c>
      <c r="D34" s="1">
        <f>D10-D33</f>
        <v>-0.8079999999999927</v>
      </c>
      <c r="E34" s="1">
        <f>E10-E33</f>
        <v>-0.15350000000000819</v>
      </c>
      <c r="F34" s="1">
        <f>F10-F33</f>
        <v>-0.034000000000020236</v>
      </c>
      <c r="G34" s="2">
        <f>G10-G33</f>
        <v>0</v>
      </c>
      <c r="H34" s="7" t="s">
        <v>583</v>
      </c>
    </row>
    <row r="35">
      <c r="A35" s="6" t="s">
        <v>584</v>
      </c>
      <c r="B35" s="13">
        <v>1.5</v>
      </c>
      <c r="C35" s="13">
        <v>1.5</v>
      </c>
      <c r="D35" s="13">
        <v>5.7</v>
      </c>
      <c r="E35" s="13">
        <v>1.5</v>
      </c>
      <c r="F35" s="13">
        <v>1.5</v>
      </c>
      <c r="G35" s="38">
        <v>1.5</v>
      </c>
      <c r="H35" s="7" t="s">
        <v>585</v>
      </c>
    </row>
    <row r="36">
      <c r="A36" s="12" t="s">
        <v>118</v>
      </c>
      <c r="B36" s="23" t="s">
        <v>39</v>
      </c>
      <c r="C36" s="23" t="s">
        <v>39</v>
      </c>
      <c r="D36" s="23" t="s">
        <v>39</v>
      </c>
      <c r="E36" s="23" t="s">
        <v>39</v>
      </c>
      <c r="F36" s="23" t="s">
        <v>39</v>
      </c>
      <c r="G36" s="17">
        <f>G35/B35-1</f>
        <v>0</v>
      </c>
      <c r="H36" s="7" t="s">
        <v>119</v>
      </c>
    </row>
    <row r="37">
      <c r="A37" s="6" t="s">
        <v>577</v>
      </c>
      <c r="B37" s="1" t="s">
        <v>39</v>
      </c>
      <c r="C37" s="1">
        <f>C35-B35</f>
        <v>0</v>
      </c>
      <c r="D37" s="1"/>
      <c r="E37" s="1">
        <f>E35-C35</f>
        <v>0</v>
      </c>
      <c r="F37" s="1">
        <f>F35-E35</f>
        <v>0</v>
      </c>
      <c r="G37" s="2">
        <f>G35-F35</f>
        <v>0</v>
      </c>
      <c r="H37" s="12"/>
    </row>
    <row r="38">
      <c r="A38" s="6" t="s">
        <v>586</v>
      </c>
      <c r="B38" s="1">
        <f>B35*B10</f>
        <v>233.337</v>
      </c>
      <c r="C38" s="1">
        <f>C35*C10</f>
        <v>228.66242038216564</v>
      </c>
      <c r="D38" s="1">
        <f>D35*D10</f>
        <v>899.8875</v>
      </c>
      <c r="E38" s="1">
        <f>E35*E10</f>
        <v>223.83749999999998</v>
      </c>
      <c r="F38" s="1">
        <f>F35*F10</f>
        <v>218.8365</v>
      </c>
      <c r="G38" s="2">
        <f>G35*G10</f>
        <v>216.27783333333332</v>
      </c>
      <c r="H38" s="7" t="s">
        <v>587</v>
      </c>
    </row>
    <row r="39">
      <c r="A39" s="6"/>
      <c r="B39" s="11"/>
      <c r="C39" s="11"/>
      <c r="D39" s="11"/>
      <c r="E39" s="11"/>
      <c r="F39" s="11"/>
      <c r="G39" s="20"/>
      <c r="H39" s="12"/>
    </row>
    <row r="40">
      <c r="A40" s="18" t="s">
        <v>588</v>
      </c>
      <c r="B40" s="11"/>
      <c r="C40" s="11"/>
      <c r="D40" s="11"/>
      <c r="E40" s="11"/>
      <c r="F40" s="11"/>
      <c r="G40" s="20"/>
      <c r="H40" s="12"/>
    </row>
    <row r="41">
      <c r="A41" s="6" t="s">
        <v>369</v>
      </c>
      <c r="B41" s="8">
        <f>'Income Statement'!B65</f>
        <v>754</v>
      </c>
      <c r="C41" s="8">
        <f>'Income Statement'!C65</f>
        <v>718</v>
      </c>
      <c r="D41" s="8">
        <f>'Income Statement'!D65</f>
        <v>2699</v>
      </c>
      <c r="E41" s="8">
        <f>'Income Statement'!E65</f>
        <v>620</v>
      </c>
      <c r="F41" s="8">
        <f>'Income Statement'!F65</f>
        <v>781</v>
      </c>
      <c r="G41" s="35">
        <f>'Income Statement'!G65</f>
        <v>743.8228316589043</v>
      </c>
      <c r="H41" s="12"/>
    </row>
    <row r="42">
      <c r="A42" s="28" t="s">
        <v>589</v>
      </c>
      <c r="B42" s="19">
        <f>B41/B16</f>
        <v>4.816260308010706</v>
      </c>
      <c r="C42" s="19">
        <f>C41/C16</f>
        <v>4.6710731758093065</v>
      </c>
      <c r="D42" s="19">
        <f>D41/D16</f>
        <v>16.997184978997552</v>
      </c>
      <c r="E42" s="19">
        <f>E41/E16</f>
        <v>4.1303319587766225</v>
      </c>
      <c r="F42" s="19">
        <f>F41/F16</f>
        <v>5.321686040965399</v>
      </c>
      <c r="G42" s="46">
        <f>G41/G16</f>
        <v>5.1278597231017295</v>
      </c>
      <c r="H42" s="12"/>
    </row>
    <row r="43">
      <c r="A43" s="12" t="s">
        <v>590</v>
      </c>
      <c r="B43" s="10">
        <f>B42-'Income Statement'!B70</f>
        <v>0</v>
      </c>
      <c r="C43" s="10">
        <f>C42-'Income Statement'!C70</f>
        <v>0</v>
      </c>
      <c r="D43" s="10">
        <f>D42-'Income Statement'!D70</f>
        <v>0</v>
      </c>
      <c r="E43" s="10">
        <f>E42-'Income Statement'!E70</f>
        <v>0</v>
      </c>
      <c r="F43" s="10">
        <f>F42-'Income Statement'!F70</f>
        <v>0</v>
      </c>
      <c r="G43" s="37">
        <f>G42-'Income Statement'!G70</f>
        <v>0</v>
      </c>
      <c r="H43" s="100" t="s">
        <v>591</v>
      </c>
    </row>
    <row r="44">
      <c r="A44" s="6"/>
      <c r="B44" s="6"/>
      <c r="C44" s="6"/>
      <c r="D44" s="6"/>
      <c r="E44" s="6"/>
      <c r="F44" s="6"/>
      <c r="G44" s="6"/>
      <c r="H44" s="6"/>
    </row>
    <row r="45">
      <c r="A45" s="6"/>
      <c r="B45" s="6"/>
      <c r="C45" s="6"/>
      <c r="D45" s="6"/>
      <c r="E45" s="6"/>
      <c r="F45" s="6"/>
      <c r="G45" s="6"/>
      <c r="H45" s="6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H74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7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592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593</v>
      </c>
      <c r="B4" s="92" t="s">
        <v>594</v>
      </c>
      <c r="C4" s="9"/>
      <c r="D4" s="9"/>
      <c r="E4" s="9"/>
      <c r="F4" s="9"/>
      <c r="G4" s="110"/>
      <c r="H4" s="34" t="s">
        <v>5</v>
      </c>
    </row>
    <row r="5">
      <c r="A5" s="30"/>
      <c r="B5" s="22"/>
      <c r="C5" s="22"/>
      <c r="D5" s="22"/>
      <c r="E5" s="22"/>
      <c r="F5" s="22"/>
      <c r="G5" s="109"/>
      <c r="H5" s="30"/>
    </row>
    <row r="6">
      <c r="A6" s="25"/>
      <c r="B6" s="36"/>
      <c r="C6" s="36"/>
      <c r="D6" s="36"/>
      <c r="E6" s="36"/>
      <c r="F6" s="36"/>
      <c r="G6" s="108"/>
      <c r="H6" s="25"/>
    </row>
    <row r="7">
      <c r="A7" s="6"/>
      <c r="B7" s="6"/>
      <c r="C7" s="6"/>
      <c r="D7" s="6"/>
      <c r="E7" s="6"/>
      <c r="F7" s="6"/>
      <c r="G7" s="6"/>
      <c r="H7" s="6"/>
    </row>
    <row r="8">
      <c r="A8" s="18" t="s">
        <v>595</v>
      </c>
      <c r="B8" s="11"/>
      <c r="C8" s="11"/>
      <c r="D8" s="11"/>
      <c r="E8" s="11"/>
      <c r="F8" s="11"/>
      <c r="G8" s="11"/>
      <c r="H8" s="12"/>
    </row>
    <row r="9" ht="30">
      <c r="A9" s="41" t="s">
        <v>596</v>
      </c>
      <c r="B9" s="72" t="s">
        <v>597</v>
      </c>
      <c r="C9" s="42" t="s">
        <v>109</v>
      </c>
      <c r="D9" s="42" t="s">
        <v>598</v>
      </c>
      <c r="E9" s="42" t="s">
        <v>599</v>
      </c>
      <c r="F9" s="42" t="s">
        <v>600</v>
      </c>
      <c r="G9" s="42" t="s">
        <v>601</v>
      </c>
      <c r="H9" s="51" t="s">
        <v>602</v>
      </c>
    </row>
    <row r="10">
      <c r="A10" s="95" t="s">
        <v>603</v>
      </c>
      <c r="B10" s="65"/>
      <c r="C10" s="11"/>
      <c r="D10" s="11"/>
      <c r="E10" s="11"/>
      <c r="F10" s="11"/>
      <c r="G10" s="11"/>
      <c r="H10" s="12"/>
    </row>
    <row r="11">
      <c r="A11" s="6" t="s">
        <v>604</v>
      </c>
      <c r="B11" s="66">
        <v>45673</v>
      </c>
      <c r="C11" s="1" t="s">
        <v>605</v>
      </c>
      <c r="D11" s="4">
        <v>7100</v>
      </c>
      <c r="E11" s="4">
        <v>7200</v>
      </c>
      <c r="F11" s="1">
        <f>AVERAGE(D11,E11)</f>
        <v>7150</v>
      </c>
      <c r="G11" s="8">
        <f>'Revenue summary'!D147</f>
        <v>6992</v>
      </c>
      <c r="H11" s="63" t="str">
        <f>IF(G11&gt;F11,"Beat",IF(G11&lt;F11,"Miss","In line"))</f>
        <v>Miss</v>
      </c>
    </row>
    <row r="12">
      <c r="A12" s="6" t="s">
        <v>305</v>
      </c>
      <c r="B12" s="66">
        <v>45673</v>
      </c>
      <c r="C12" s="1" t="s">
        <v>605</v>
      </c>
      <c r="D12" s="4">
        <v>2500</v>
      </c>
      <c r="E12" s="4">
        <v>2600</v>
      </c>
      <c r="F12" s="1">
        <f>AVERAGE(D12,E12)</f>
        <v>2550</v>
      </c>
      <c r="G12" s="8">
        <f>'Revenue summary'!D260</f>
        <v>2742</v>
      </c>
      <c r="H12" s="63" t="str">
        <f>IF(G12&gt;F12,"Beat",IF(G12&lt;F12,"Miss","In line"))</f>
        <v>Beat</v>
      </c>
    </row>
    <row r="13">
      <c r="A13" s="6" t="s">
        <v>606</v>
      </c>
      <c r="B13" s="66">
        <v>45673</v>
      </c>
      <c r="C13" s="1" t="s">
        <v>607</v>
      </c>
      <c r="D13" s="4">
        <v>5400</v>
      </c>
      <c r="E13" s="4">
        <v>5500</v>
      </c>
      <c r="F13" s="1">
        <f>AVERAGE(D13,E13)</f>
        <v>5450</v>
      </c>
      <c r="G13" s="8">
        <f>'Income Statement'!D52</f>
        <v>5493</v>
      </c>
      <c r="H13" s="63" t="str">
        <f>IF(G13&lt;F13,"Beat (lower)",IF(G13&gt;F13,"Miss (higher)","In line"))</f>
        <v>Miss (higher)</v>
      </c>
    </row>
    <row r="14">
      <c r="A14" s="6" t="s">
        <v>608</v>
      </c>
      <c r="B14" s="66">
        <v>45673</v>
      </c>
      <c r="C14" s="29" t="s">
        <v>605</v>
      </c>
      <c r="D14" s="64">
        <v>40</v>
      </c>
      <c r="E14" s="64">
        <v>40</v>
      </c>
      <c r="F14" s="29">
        <f>AVERAGE(D14,E14)</f>
        <v>40</v>
      </c>
      <c r="G14" s="27">
        <f>'Income Statement'!D117*10000</f>
        <v>40.879689521345405</v>
      </c>
      <c r="H14" s="69" t="str">
        <f>IF(G14&lt;F14,"Beat (lower)",IF(G14&gt;F14,"Miss (higher)","In line"))</f>
        <v>Miss (higher)</v>
      </c>
    </row>
    <row r="15">
      <c r="A15" s="6" t="s">
        <v>609</v>
      </c>
      <c r="B15" s="66">
        <v>45673</v>
      </c>
      <c r="C15" s="1" t="s">
        <v>605</v>
      </c>
      <c r="D15" s="4">
        <v>137000</v>
      </c>
      <c r="E15" s="4">
        <v>139000</v>
      </c>
      <c r="F15" s="1">
        <f>AVERAGE(D15,E15)</f>
        <v>138000</v>
      </c>
      <c r="G15" s="8">
        <f>'Revenue summary'!D58+'Revenue summary'!D23</f>
        <v>136103</v>
      </c>
      <c r="H15" s="63" t="str">
        <f>IF(G15&gt;F15,"Beat",IF(G15&lt;F15,"Miss","In line"))</f>
        <v>Miss</v>
      </c>
    </row>
    <row r="16">
      <c r="A16" s="6" t="s">
        <v>610</v>
      </c>
      <c r="B16" s="66">
        <v>45673</v>
      </c>
      <c r="C16" s="1" t="s">
        <v>605</v>
      </c>
      <c r="D16" s="4">
        <v>164000</v>
      </c>
      <c r="E16" s="4">
        <v>166000</v>
      </c>
      <c r="F16" s="1">
        <f>AVERAGE(D16,E16)</f>
        <v>165000</v>
      </c>
      <c r="G16" s="8">
        <f>'Revenue summary'!D113</f>
        <v>162973</v>
      </c>
      <c r="H16" s="63" t="str">
        <f>IF(G16&gt;F16,"Beat",IF(G16&lt;F16,"Miss","In line"))</f>
        <v>Miss</v>
      </c>
    </row>
    <row r="17">
      <c r="A17" s="95" t="s">
        <v>611</v>
      </c>
      <c r="B17" s="65"/>
      <c r="C17" s="11"/>
      <c r="D17" s="11"/>
      <c r="E17" s="11"/>
      <c r="F17" s="11"/>
      <c r="G17" s="11"/>
      <c r="H17" s="12"/>
    </row>
    <row r="18">
      <c r="A18" s="6" t="s">
        <v>612</v>
      </c>
      <c r="B18" s="66">
        <v>45946</v>
      </c>
      <c r="C18" s="1" t="s">
        <v>613</v>
      </c>
      <c r="D18" s="4">
        <v>1800</v>
      </c>
      <c r="E18" s="4">
        <v>1800</v>
      </c>
      <c r="F18" s="1">
        <f>AVERAGE(D18,E18)</f>
        <v>1800</v>
      </c>
      <c r="G18" s="8">
        <f>'Revenue summary'!C147</f>
        <v>1790</v>
      </c>
      <c r="H18" s="63" t="str">
        <f>IF(G18&gt;F18,"Beat",IF(G18&lt;F18,"Miss","In line"))</f>
        <v>Miss</v>
      </c>
    </row>
    <row r="19">
      <c r="A19" s="6" t="s">
        <v>305</v>
      </c>
      <c r="B19" s="66">
        <v>45946</v>
      </c>
      <c r="C19" s="1" t="s">
        <v>613</v>
      </c>
      <c r="D19" s="4">
        <v>670</v>
      </c>
      <c r="E19" s="4">
        <v>690</v>
      </c>
      <c r="F19" s="1">
        <f>AVERAGE(D19,E19)</f>
        <v>680</v>
      </c>
      <c r="G19" s="8">
        <f>'Revenue summary'!C260</f>
        <v>696</v>
      </c>
      <c r="H19" s="63" t="str">
        <f>IF(G19&gt;F19,"Beat",IF(G19&lt;F19,"Miss","In line"))</f>
        <v>Beat</v>
      </c>
    </row>
    <row r="20">
      <c r="A20" s="6" t="s">
        <v>614</v>
      </c>
      <c r="B20" s="66">
        <v>45946</v>
      </c>
      <c r="C20" s="1" t="s">
        <v>613</v>
      </c>
      <c r="D20" s="4">
        <v>1350</v>
      </c>
      <c r="E20" s="4">
        <v>1370</v>
      </c>
      <c r="F20" s="1">
        <f>AVERAGE(D20,E20)</f>
        <v>1360</v>
      </c>
      <c r="G20" s="8">
        <f>'Income Statement'!C52</f>
        <v>1379</v>
      </c>
      <c r="H20" s="63" t="str">
        <f>IF(G20&lt;F20,"Beat (lower)",IF(G20&gt;F20,"Miss (higher)","In line"))</f>
        <v>Miss (higher)</v>
      </c>
    </row>
    <row r="21">
      <c r="A21" s="6" t="s">
        <v>615</v>
      </c>
      <c r="B21" s="66">
        <v>45946</v>
      </c>
      <c r="C21" s="29" t="s">
        <v>613</v>
      </c>
      <c r="D21" s="64">
        <v>40</v>
      </c>
      <c r="E21" s="64">
        <v>50</v>
      </c>
      <c r="F21" s="29">
        <f>AVERAGE(D21,E21)</f>
        <v>45</v>
      </c>
      <c r="G21" s="27">
        <f>'Income Statement'!C117*10000</f>
        <v>53.75396517586881</v>
      </c>
      <c r="H21" s="69" t="str">
        <f>IF(G21&lt;F21,"Beat (lower)",IF(G21&gt;F21,"Miss (higher)","In line"))</f>
        <v>Miss (higher)</v>
      </c>
    </row>
    <row r="22">
      <c r="A22" s="12" t="s">
        <v>616</v>
      </c>
      <c r="B22" s="62">
        <v>45946</v>
      </c>
      <c r="C22" s="23" t="s">
        <v>613</v>
      </c>
      <c r="D22" s="68">
        <v>0.235</v>
      </c>
      <c r="E22" s="68">
        <v>0.24</v>
      </c>
      <c r="F22" s="23">
        <f>AVERAGE(D22,E22)</f>
        <v>0.2375</v>
      </c>
      <c r="G22" s="14">
        <f>('Income Statement'!C57+'Revenue summary'!C135)/('Income Statement'!C55+'Revenue summary'!C135)</f>
        <v>0.22708757637474541</v>
      </c>
      <c r="H22" s="63" t="str">
        <f>IF(G22&lt;F22,"Beat (lower)",IF(G22&gt;F22,"Miss (higher)","In line"))</f>
        <v>Beat (lower)</v>
      </c>
    </row>
    <row r="23">
      <c r="A23" s="6" t="s">
        <v>609</v>
      </c>
      <c r="B23" s="66">
        <v>45946</v>
      </c>
      <c r="C23" s="1" t="s">
        <v>613</v>
      </c>
      <c r="D23" s="4">
        <v>137000</v>
      </c>
      <c r="E23" s="4">
        <v>138000</v>
      </c>
      <c r="F23" s="1">
        <f>AVERAGE(D23,E23)</f>
        <v>137500</v>
      </c>
      <c r="G23" s="8">
        <f>'Revenue summary'!C58+'Revenue summary'!C23</f>
        <v>137600</v>
      </c>
      <c r="H23" s="63" t="str">
        <f>IF(G23&gt;F23,"Beat",IF(G23&lt;F23,"Miss","In line"))</f>
        <v>Beat</v>
      </c>
    </row>
    <row r="24">
      <c r="A24" s="6" t="s">
        <v>610</v>
      </c>
      <c r="B24" s="66">
        <v>45946</v>
      </c>
      <c r="C24" s="1" t="s">
        <v>613</v>
      </c>
      <c r="D24" s="4">
        <v>163000</v>
      </c>
      <c r="E24" s="4">
        <v>164000</v>
      </c>
      <c r="F24" s="1">
        <f>AVERAGE(D24,E24)</f>
        <v>163500</v>
      </c>
      <c r="G24" s="8">
        <f>'Revenue summary'!C113</f>
        <v>164940</v>
      </c>
      <c r="H24" s="63" t="str">
        <f>IF(G24&gt;F24,"Beat",IF(G24&lt;F24,"Miss","In line"))</f>
        <v>Beat</v>
      </c>
    </row>
    <row r="25">
      <c r="A25" s="12" t="s">
        <v>617</v>
      </c>
      <c r="B25" s="62">
        <v>45946</v>
      </c>
      <c r="C25" s="24" t="s">
        <v>613</v>
      </c>
      <c r="D25" s="70">
        <v>0.1075</v>
      </c>
      <c r="E25" s="70">
        <v>0.11</v>
      </c>
      <c r="F25" s="24">
        <f>AVERAGE(D25,E25)</f>
        <v>0.10875</v>
      </c>
      <c r="G25" s="70">
        <v>0.1084</v>
      </c>
      <c r="H25" s="12" t="str">
        <f>IF(G25&gt;F25,"Beat",IF(G25&lt;F25,"Miss","In line"))</f>
        <v>Miss</v>
      </c>
    </row>
    <row r="26">
      <c r="A26" s="95" t="s">
        <v>618</v>
      </c>
      <c r="B26" s="65"/>
      <c r="C26" s="11"/>
      <c r="D26" s="11"/>
      <c r="E26" s="11"/>
      <c r="F26" s="11"/>
      <c r="G26" s="11"/>
      <c r="H26" s="12"/>
    </row>
    <row r="27">
      <c r="A27" s="6" t="s">
        <v>604</v>
      </c>
      <c r="B27" s="66">
        <v>46038</v>
      </c>
      <c r="C27" s="1" t="s">
        <v>619</v>
      </c>
      <c r="D27" s="4">
        <v>7200</v>
      </c>
      <c r="E27" s="4">
        <v>7350</v>
      </c>
      <c r="F27" s="1">
        <f>AVERAGE(D27,E27)</f>
        <v>7275</v>
      </c>
      <c r="G27" s="1" t="s">
        <v>620</v>
      </c>
      <c r="H27" s="7" t="s">
        <v>621</v>
      </c>
    </row>
    <row r="28">
      <c r="A28" s="6" t="s">
        <v>305</v>
      </c>
      <c r="B28" s="66">
        <v>46038</v>
      </c>
      <c r="C28" s="1" t="s">
        <v>619</v>
      </c>
      <c r="D28" s="4">
        <v>2675</v>
      </c>
      <c r="E28" s="4">
        <v>2775</v>
      </c>
      <c r="F28" s="1">
        <f>AVERAGE(D28,E28)</f>
        <v>2725</v>
      </c>
      <c r="G28" s="1" t="s">
        <v>620</v>
      </c>
      <c r="H28" s="7" t="s">
        <v>621</v>
      </c>
    </row>
    <row r="29">
      <c r="A29" s="6" t="s">
        <v>606</v>
      </c>
      <c r="B29" s="66">
        <v>46038</v>
      </c>
      <c r="C29" s="1" t="s">
        <v>619</v>
      </c>
      <c r="D29" s="4">
        <v>5500</v>
      </c>
      <c r="E29" s="4">
        <v>5600</v>
      </c>
      <c r="F29" s="1">
        <f>AVERAGE(D29,E29)</f>
        <v>5550</v>
      </c>
      <c r="G29" s="1" t="s">
        <v>620</v>
      </c>
      <c r="H29" s="7" t="s">
        <v>621</v>
      </c>
    </row>
    <row r="30">
      <c r="A30" s="6" t="s">
        <v>622</v>
      </c>
      <c r="B30" s="66">
        <v>46038</v>
      </c>
      <c r="C30" s="1" t="s">
        <v>619</v>
      </c>
      <c r="D30" s="4">
        <v>140000</v>
      </c>
      <c r="E30" s="4">
        <v>142000</v>
      </c>
      <c r="F30" s="1">
        <f>AVERAGE(D30,E30)</f>
        <v>141000</v>
      </c>
      <c r="G30" s="1" t="s">
        <v>620</v>
      </c>
      <c r="H30" s="7" t="s">
        <v>621</v>
      </c>
    </row>
    <row r="31">
      <c r="A31" s="6" t="s">
        <v>610</v>
      </c>
      <c r="B31" s="66">
        <v>46038</v>
      </c>
      <c r="C31" s="1" t="s">
        <v>619</v>
      </c>
      <c r="D31" s="4">
        <v>165000</v>
      </c>
      <c r="E31" s="4">
        <v>167000</v>
      </c>
      <c r="F31" s="1">
        <f>AVERAGE(D31,E31)</f>
        <v>166000</v>
      </c>
      <c r="G31" s="1" t="s">
        <v>620</v>
      </c>
      <c r="H31" s="7" t="s">
        <v>621</v>
      </c>
    </row>
    <row r="32">
      <c r="A32" s="6" t="s">
        <v>623</v>
      </c>
      <c r="B32" s="66">
        <v>46038</v>
      </c>
      <c r="C32" s="29" t="s">
        <v>619</v>
      </c>
      <c r="D32" s="64">
        <v>40</v>
      </c>
      <c r="E32" s="64">
        <v>40</v>
      </c>
      <c r="F32" s="29">
        <f>AVERAGE(D32,E32)</f>
        <v>40</v>
      </c>
      <c r="G32" s="29" t="s">
        <v>620</v>
      </c>
      <c r="H32" s="7" t="s">
        <v>621</v>
      </c>
    </row>
    <row r="33">
      <c r="A33" s="12" t="s">
        <v>616</v>
      </c>
      <c r="B33" s="62">
        <v>46038</v>
      </c>
      <c r="C33" s="23" t="s">
        <v>619</v>
      </c>
      <c r="D33" s="68">
        <v>0.24</v>
      </c>
      <c r="E33" s="68">
        <v>0.245</v>
      </c>
      <c r="F33" s="23">
        <f>AVERAGE(D33,E33)</f>
        <v>0.2425</v>
      </c>
      <c r="G33" s="23" t="s">
        <v>620</v>
      </c>
      <c r="H33" s="7" t="s">
        <v>621</v>
      </c>
    </row>
    <row r="34">
      <c r="A34" s="12" t="s">
        <v>624</v>
      </c>
      <c r="B34" s="62">
        <v>46038</v>
      </c>
      <c r="C34" s="24" t="s">
        <v>619</v>
      </c>
      <c r="D34" s="70">
        <v>0.1025</v>
      </c>
      <c r="E34" s="70">
        <v>0.105</v>
      </c>
      <c r="F34" s="24">
        <f>AVERAGE(D34,E34)</f>
        <v>0.10375</v>
      </c>
      <c r="G34" s="24" t="s">
        <v>620</v>
      </c>
      <c r="H34" s="7" t="s">
        <v>621</v>
      </c>
    </row>
    <row r="35">
      <c r="A35" s="95" t="s">
        <v>625</v>
      </c>
      <c r="B35" s="65"/>
      <c r="C35" s="11"/>
      <c r="D35" s="11"/>
      <c r="E35" s="11"/>
      <c r="F35" s="11"/>
      <c r="G35" s="11"/>
      <c r="H35" s="12"/>
    </row>
    <row r="36">
      <c r="A36" s="6" t="s">
        <v>604</v>
      </c>
      <c r="B36" s="66">
        <v>46127</v>
      </c>
      <c r="C36" s="1" t="s">
        <v>626</v>
      </c>
      <c r="D36" s="4">
        <v>7200</v>
      </c>
      <c r="E36" s="4">
        <v>7350</v>
      </c>
      <c r="F36" s="1">
        <f>AVERAGE(D36,E36)</f>
        <v>7275</v>
      </c>
      <c r="G36" s="1" t="s">
        <v>620</v>
      </c>
      <c r="H36" s="7" t="s">
        <v>621</v>
      </c>
    </row>
    <row r="37">
      <c r="A37" s="6" t="s">
        <v>627</v>
      </c>
      <c r="B37" s="66">
        <v>46127</v>
      </c>
      <c r="C37" s="1" t="s">
        <v>626</v>
      </c>
      <c r="D37" s="4">
        <v>2675</v>
      </c>
      <c r="E37" s="4">
        <v>2775</v>
      </c>
      <c r="F37" s="1">
        <f>AVERAGE(D37,E37)</f>
        <v>2725</v>
      </c>
      <c r="G37" s="1" t="s">
        <v>620</v>
      </c>
      <c r="H37" s="7" t="s">
        <v>621</v>
      </c>
    </row>
    <row r="38">
      <c r="A38" s="6" t="s">
        <v>628</v>
      </c>
      <c r="B38" s="66">
        <v>46127</v>
      </c>
      <c r="C38" s="1" t="s">
        <v>626</v>
      </c>
      <c r="D38" s="4">
        <v>5500</v>
      </c>
      <c r="E38" s="4">
        <v>5600</v>
      </c>
      <c r="F38" s="1">
        <f>AVERAGE(D38,E38)</f>
        <v>5550</v>
      </c>
      <c r="G38" s="1" t="s">
        <v>620</v>
      </c>
      <c r="H38" s="7" t="s">
        <v>621</v>
      </c>
    </row>
    <row r="39">
      <c r="A39" s="12" t="s">
        <v>629</v>
      </c>
      <c r="B39" s="62">
        <v>46127</v>
      </c>
      <c r="C39" s="23" t="s">
        <v>626</v>
      </c>
      <c r="D39" s="68">
        <v>0.24</v>
      </c>
      <c r="E39" s="68">
        <v>0.24</v>
      </c>
      <c r="F39" s="23">
        <f>AVERAGE(D39,E39)</f>
        <v>0.24</v>
      </c>
      <c r="G39" s="23" t="s">
        <v>620</v>
      </c>
      <c r="H39" s="7" t="s">
        <v>621</v>
      </c>
    </row>
    <row r="40">
      <c r="A40" s="95" t="s">
        <v>630</v>
      </c>
      <c r="B40" s="65"/>
      <c r="C40" s="11"/>
      <c r="D40" s="11"/>
      <c r="E40" s="11"/>
      <c r="F40" s="11"/>
      <c r="G40" s="11"/>
      <c r="H40" s="12"/>
    </row>
    <row r="41">
      <c r="A41" s="6" t="s">
        <v>631</v>
      </c>
      <c r="B41" s="66">
        <v>46218</v>
      </c>
      <c r="C41" s="1" t="s">
        <v>632</v>
      </c>
      <c r="D41" s="4">
        <v>7200</v>
      </c>
      <c r="E41" s="4">
        <v>7275</v>
      </c>
      <c r="F41" s="1">
        <f>AVERAGE(D41,E41)</f>
        <v>7237.5</v>
      </c>
      <c r="G41" s="1" t="s">
        <v>620</v>
      </c>
      <c r="H41" s="7" t="s">
        <v>621</v>
      </c>
    </row>
    <row r="42">
      <c r="A42" s="6" t="s">
        <v>305</v>
      </c>
      <c r="B42" s="66">
        <v>46218</v>
      </c>
      <c r="C42" s="1" t="s">
        <v>632</v>
      </c>
      <c r="D42" s="4">
        <v>2800</v>
      </c>
      <c r="E42" s="4">
        <v>2850</v>
      </c>
      <c r="F42" s="1">
        <f>AVERAGE(D42,E42)</f>
        <v>2825</v>
      </c>
      <c r="G42" s="1" t="s">
        <v>620</v>
      </c>
      <c r="H42" s="7" t="s">
        <v>621</v>
      </c>
    </row>
    <row r="43">
      <c r="A43" s="6" t="s">
        <v>633</v>
      </c>
      <c r="B43" s="66">
        <v>46218</v>
      </c>
      <c r="C43" s="1" t="s">
        <v>632</v>
      </c>
      <c r="D43" s="4">
        <v>5550</v>
      </c>
      <c r="E43" s="4">
        <v>5600</v>
      </c>
      <c r="F43" s="1">
        <f>AVERAGE(D43,E43)</f>
        <v>5575</v>
      </c>
      <c r="G43" s="1" t="s">
        <v>620</v>
      </c>
      <c r="H43" s="7" t="s">
        <v>621</v>
      </c>
    </row>
    <row r="44">
      <c r="A44" s="6" t="s">
        <v>622</v>
      </c>
      <c r="B44" s="66">
        <v>46218</v>
      </c>
      <c r="C44" s="1" t="s">
        <v>632</v>
      </c>
      <c r="D44" s="4">
        <v>141000</v>
      </c>
      <c r="E44" s="4">
        <v>143000</v>
      </c>
      <c r="F44" s="1">
        <f>AVERAGE(D44,E44)</f>
        <v>142000</v>
      </c>
      <c r="G44" s="1" t="s">
        <v>620</v>
      </c>
      <c r="H44" s="7" t="s">
        <v>621</v>
      </c>
    </row>
    <row r="45">
      <c r="A45" s="6" t="s">
        <v>610</v>
      </c>
      <c r="B45" s="66">
        <v>46218</v>
      </c>
      <c r="C45" s="1" t="s">
        <v>632</v>
      </c>
      <c r="D45" s="4">
        <v>165000</v>
      </c>
      <c r="E45" s="4">
        <v>167000</v>
      </c>
      <c r="F45" s="1">
        <f>AVERAGE(D45,E45)</f>
        <v>166000</v>
      </c>
      <c r="G45" s="1" t="s">
        <v>620</v>
      </c>
      <c r="H45" s="7" t="s">
        <v>621</v>
      </c>
    </row>
    <row r="46">
      <c r="A46" s="6" t="s">
        <v>615</v>
      </c>
      <c r="B46" s="66">
        <v>46218</v>
      </c>
      <c r="C46" s="29" t="s">
        <v>632</v>
      </c>
      <c r="D46" s="64">
        <v>37</v>
      </c>
      <c r="E46" s="64">
        <v>37</v>
      </c>
      <c r="F46" s="29">
        <f>AVERAGE(D46,E46)</f>
        <v>37</v>
      </c>
      <c r="G46" s="29" t="s">
        <v>620</v>
      </c>
      <c r="H46" s="7" t="s">
        <v>621</v>
      </c>
    </row>
    <row r="47">
      <c r="A47" s="95" t="s">
        <v>634</v>
      </c>
      <c r="B47" s="65"/>
      <c r="C47" s="11"/>
      <c r="D47" s="11"/>
      <c r="E47" s="11"/>
      <c r="F47" s="11"/>
      <c r="G47" s="11"/>
      <c r="H47" s="12"/>
    </row>
    <row r="48">
      <c r="A48" s="6" t="s">
        <v>635</v>
      </c>
      <c r="B48" s="66">
        <v>46279</v>
      </c>
      <c r="C48" s="1" t="s">
        <v>636</v>
      </c>
      <c r="D48" s="4">
        <v>7200</v>
      </c>
      <c r="E48" s="4">
        <v>7275</v>
      </c>
      <c r="F48" s="1">
        <f>AVERAGE(D48,E48)</f>
        <v>7237.5</v>
      </c>
      <c r="G48" s="1" t="s">
        <v>620</v>
      </c>
      <c r="H48" s="7" t="s">
        <v>621</v>
      </c>
    </row>
    <row r="49">
      <c r="A49" s="6" t="s">
        <v>637</v>
      </c>
      <c r="B49" s="66">
        <v>46279</v>
      </c>
      <c r="C49" s="1" t="s">
        <v>636</v>
      </c>
      <c r="D49" s="4">
        <v>2825</v>
      </c>
      <c r="E49" s="4">
        <v>2850</v>
      </c>
      <c r="F49" s="1">
        <f>AVERAGE(D49,E49)</f>
        <v>2837.5</v>
      </c>
      <c r="G49" s="1" t="s">
        <v>620</v>
      </c>
      <c r="H49" s="7" t="s">
        <v>621</v>
      </c>
    </row>
    <row r="50">
      <c r="A50" s="6" t="s">
        <v>633</v>
      </c>
      <c r="B50" s="66">
        <v>46279</v>
      </c>
      <c r="C50" s="1" t="s">
        <v>636</v>
      </c>
      <c r="D50" s="4">
        <v>5550</v>
      </c>
      <c r="E50" s="4">
        <v>5600</v>
      </c>
      <c r="F50" s="1">
        <f>AVERAGE(D50,E50)</f>
        <v>5575</v>
      </c>
      <c r="G50" s="1" t="s">
        <v>620</v>
      </c>
      <c r="H50" s="7" t="s">
        <v>621</v>
      </c>
    </row>
    <row r="51">
      <c r="A51" s="6" t="s">
        <v>638</v>
      </c>
      <c r="B51" s="66">
        <v>46279</v>
      </c>
      <c r="C51" s="29" t="s">
        <v>636</v>
      </c>
      <c r="D51" s="64">
        <v>37</v>
      </c>
      <c r="E51" s="64">
        <v>37</v>
      </c>
      <c r="F51" s="29">
        <f>AVERAGE(D51,E51)</f>
        <v>37</v>
      </c>
      <c r="G51" s="29" t="s">
        <v>620</v>
      </c>
      <c r="H51" s="7" t="s">
        <v>621</v>
      </c>
    </row>
    <row r="52">
      <c r="A52" s="12" t="s">
        <v>639</v>
      </c>
      <c r="B52" s="62">
        <v>46279</v>
      </c>
      <c r="C52" s="23" t="s">
        <v>636</v>
      </c>
      <c r="D52" s="68">
        <v>0.24</v>
      </c>
      <c r="E52" s="68">
        <v>0.24</v>
      </c>
      <c r="F52" s="23">
        <f>AVERAGE(D52,E52)</f>
        <v>0.24</v>
      </c>
      <c r="G52" s="23" t="s">
        <v>620</v>
      </c>
      <c r="H52" s="7" t="s">
        <v>621</v>
      </c>
    </row>
    <row r="53">
      <c r="A53" s="6" t="s">
        <v>622</v>
      </c>
      <c r="B53" s="66">
        <v>46279</v>
      </c>
      <c r="C53" s="1" t="s">
        <v>636</v>
      </c>
      <c r="D53" s="4">
        <v>141000</v>
      </c>
      <c r="E53" s="4">
        <v>143000</v>
      </c>
      <c r="F53" s="1">
        <f>AVERAGE(D53,E53)</f>
        <v>142000</v>
      </c>
      <c r="G53" s="1" t="s">
        <v>620</v>
      </c>
      <c r="H53" s="7" t="s">
        <v>621</v>
      </c>
    </row>
    <row r="54">
      <c r="A54" s="6" t="s">
        <v>610</v>
      </c>
      <c r="B54" s="66">
        <v>46279</v>
      </c>
      <c r="C54" s="1" t="s">
        <v>636</v>
      </c>
      <c r="D54" s="4">
        <v>165000</v>
      </c>
      <c r="E54" s="4">
        <v>167000</v>
      </c>
      <c r="F54" s="1">
        <f>AVERAGE(D54,E54)</f>
        <v>166000</v>
      </c>
      <c r="G54" s="1" t="s">
        <v>620</v>
      </c>
      <c r="H54" s="7" t="s">
        <v>621</v>
      </c>
    </row>
    <row r="55">
      <c r="A55" s="12" t="s">
        <v>624</v>
      </c>
      <c r="B55" s="62">
        <v>46279</v>
      </c>
      <c r="C55" s="24" t="s">
        <v>636</v>
      </c>
      <c r="D55" s="70">
        <v>0.1</v>
      </c>
      <c r="E55" s="70">
        <v>0.105</v>
      </c>
      <c r="F55" s="24">
        <f>AVERAGE(D55,E55)</f>
        <v>0.10250000000000001</v>
      </c>
      <c r="G55" s="24" t="s">
        <v>620</v>
      </c>
      <c r="H55" s="7" t="s">
        <v>621</v>
      </c>
    </row>
    <row r="56">
      <c r="A56" s="6"/>
      <c r="B56" s="65"/>
      <c r="C56" s="11"/>
      <c r="D56" s="11"/>
      <c r="E56" s="11"/>
      <c r="F56" s="11"/>
      <c r="G56" s="11"/>
      <c r="H56" s="12"/>
    </row>
    <row r="57">
      <c r="A57" s="18" t="s">
        <v>640</v>
      </c>
      <c r="B57" s="65"/>
      <c r="C57" s="11"/>
      <c r="D57" s="11"/>
      <c r="E57" s="11"/>
      <c r="F57" s="11"/>
      <c r="G57" s="11"/>
      <c r="H57" s="12"/>
    </row>
    <row r="58">
      <c r="A58" s="6" t="s">
        <v>641</v>
      </c>
      <c r="B58" s="65"/>
      <c r="C58" s="1"/>
      <c r="D58" s="1"/>
      <c r="E58" s="1"/>
      <c r="F58" s="1"/>
      <c r="G58" s="8">
        <f>'Revenue summary'!E147+'Revenue summary'!F147</f>
        <v>3567</v>
      </c>
      <c r="H58" s="12"/>
    </row>
    <row r="59">
      <c r="A59" s="6" t="s">
        <v>642</v>
      </c>
      <c r="B59" s="65"/>
      <c r="C59" s="1"/>
      <c r="D59" s="1"/>
      <c r="E59" s="1"/>
      <c r="F59" s="1"/>
      <c r="G59" s="1">
        <f>F48</f>
        <v>7237.5</v>
      </c>
      <c r="H59" s="7" t="s">
        <v>643</v>
      </c>
    </row>
    <row r="60">
      <c r="A60" s="6" t="s">
        <v>644</v>
      </c>
      <c r="B60" s="65"/>
      <c r="C60" s="1"/>
      <c r="D60" s="1"/>
      <c r="E60" s="1"/>
      <c r="F60" s="1"/>
      <c r="G60" s="1">
        <f>(G59-G58)/2</f>
        <v>1835.25</v>
      </c>
      <c r="H60" s="12"/>
    </row>
    <row r="61">
      <c r="A61" s="6" t="s">
        <v>645</v>
      </c>
      <c r="B61" s="65"/>
      <c r="C61" s="1"/>
      <c r="D61" s="1"/>
      <c r="E61" s="1"/>
      <c r="F61" s="1"/>
      <c r="G61" s="8">
        <f>G60-'Revenue summary'!G135</f>
        <v>1823.25</v>
      </c>
      <c r="H61" s="7" t="s">
        <v>646</v>
      </c>
    </row>
    <row r="62">
      <c r="A62" s="6" t="s">
        <v>647</v>
      </c>
      <c r="B62" s="65"/>
      <c r="C62" s="1"/>
      <c r="D62" s="1"/>
      <c r="E62" s="1"/>
      <c r="F62" s="1"/>
      <c r="G62" s="8">
        <f>(E49-'Income Statement'!E23-'Income Statement'!F23)/2</f>
        <v>710.5</v>
      </c>
      <c r="H62" s="7" t="s">
        <v>648</v>
      </c>
    </row>
    <row r="63">
      <c r="A63" s="28" t="s">
        <v>649</v>
      </c>
      <c r="B63" s="71"/>
      <c r="C63" s="26"/>
      <c r="D63" s="26"/>
      <c r="E63" s="26"/>
      <c r="F63" s="26"/>
      <c r="G63" s="26">
        <f>G61+G62</f>
        <v>2533.75</v>
      </c>
      <c r="H63" s="12"/>
    </row>
    <row r="64">
      <c r="A64" s="6" t="s">
        <v>650</v>
      </c>
      <c r="B64" s="65"/>
      <c r="C64" s="1"/>
      <c r="D64" s="1"/>
      <c r="E64" s="1"/>
      <c r="F64" s="1"/>
      <c r="G64" s="8">
        <f>(E50-'Income Statement'!E52-'Income Statement'!F52)/2</f>
        <v>1406.5</v>
      </c>
      <c r="H64" s="7" t="s">
        <v>651</v>
      </c>
    </row>
    <row r="65">
      <c r="A65" s="6" t="s">
        <v>652</v>
      </c>
      <c r="B65" s="65"/>
      <c r="C65" s="1"/>
      <c r="D65" s="1"/>
      <c r="E65" s="1"/>
      <c r="F65" s="1"/>
      <c r="G65" s="8">
        <f>(D51/10000*AVERAGE(D53,E53)-'Income Statement'!E115-'Income Statement'!F115)/2</f>
        <v>170.2</v>
      </c>
      <c r="H65" s="7" t="s">
        <v>653</v>
      </c>
    </row>
    <row r="66">
      <c r="A66" s="28" t="s">
        <v>654</v>
      </c>
      <c r="B66" s="71"/>
      <c r="C66" s="26"/>
      <c r="D66" s="26"/>
      <c r="E66" s="26"/>
      <c r="F66" s="26"/>
      <c r="G66" s="26">
        <f>G63-G64-G65</f>
        <v>957.05</v>
      </c>
      <c r="H66" s="12"/>
    </row>
    <row r="67">
      <c r="A67" s="6" t="s">
        <v>655</v>
      </c>
      <c r="B67" s="65"/>
      <c r="C67" s="1"/>
      <c r="D67" s="1"/>
      <c r="E67" s="1"/>
      <c r="F67" s="1"/>
      <c r="G67" s="8">
        <f>D52*(G66+'Revenue summary'!G135)-'Revenue summary'!G135</f>
        <v>220.57199999999997</v>
      </c>
      <c r="H67" s="7" t="s">
        <v>656</v>
      </c>
    </row>
    <row r="68">
      <c r="A68" s="28" t="s">
        <v>657</v>
      </c>
      <c r="B68" s="71"/>
      <c r="C68" s="26"/>
      <c r="D68" s="26"/>
      <c r="E68" s="26"/>
      <c r="F68" s="26"/>
      <c r="G68" s="26">
        <f>G66-G67</f>
        <v>736.478</v>
      </c>
      <c r="H68" s="12"/>
    </row>
    <row r="69">
      <c r="A69" s="6" t="s">
        <v>658</v>
      </c>
      <c r="B69" s="65"/>
      <c r="C69" s="1"/>
      <c r="D69" s="1"/>
      <c r="E69" s="1"/>
      <c r="F69" s="1"/>
      <c r="G69" s="8">
        <f>G68-'Income Statement'!G61-'Income Statement'!G64</f>
        <v>698.478</v>
      </c>
      <c r="H69" s="7" t="s">
        <v>659</v>
      </c>
    </row>
    <row r="70">
      <c r="A70" s="28" t="s">
        <v>660</v>
      </c>
      <c r="B70" s="71"/>
      <c r="C70" s="19"/>
      <c r="D70" s="19"/>
      <c r="E70" s="19"/>
      <c r="F70" s="19"/>
      <c r="G70" s="43">
        <f>G69/'Share Count'!G16</f>
        <v>4.815255799132437</v>
      </c>
      <c r="H70" s="7" t="s">
        <v>661</v>
      </c>
    </row>
    <row r="71">
      <c r="A71" s="6" t="s">
        <v>662</v>
      </c>
      <c r="B71" s="65"/>
      <c r="C71" s="3"/>
      <c r="D71" s="3"/>
      <c r="E71" s="3"/>
      <c r="F71" s="3"/>
      <c r="G71" s="44">
        <f>'Income Statement'!G70</f>
        <v>5.1278597231017295</v>
      </c>
      <c r="H71" s="12"/>
    </row>
    <row r="72">
      <c r="A72" s="6" t="s">
        <v>663</v>
      </c>
      <c r="B72" s="65"/>
      <c r="C72" s="3"/>
      <c r="D72" s="3"/>
      <c r="E72" s="3"/>
      <c r="F72" s="3"/>
      <c r="G72" s="3">
        <f>G71-G70</f>
        <v>0.3126039239692924</v>
      </c>
      <c r="H72" s="7" t="s">
        <v>664</v>
      </c>
    </row>
    <row r="73">
      <c r="A73" s="6"/>
      <c r="B73" s="6"/>
      <c r="C73" s="6"/>
      <c r="D73" s="6"/>
      <c r="E73" s="6"/>
      <c r="F73" s="6"/>
      <c r="G73" s="6"/>
      <c r="H73" s="6"/>
    </row>
    <row r="74">
      <c r="A74" s="6"/>
      <c r="B74" s="6"/>
      <c r="C74" s="6"/>
      <c r="D74" s="6"/>
      <c r="E74" s="6"/>
      <c r="F74" s="6"/>
      <c r="G74" s="6"/>
      <c r="H74" s="6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H41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90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</row>
    <row r="2">
      <c r="A2" s="28" t="s">
        <v>665</v>
      </c>
      <c r="B2" s="6"/>
      <c r="C2" s="6"/>
      <c r="D2" s="6"/>
      <c r="E2" s="6"/>
      <c r="F2" s="6"/>
      <c r="G2" s="6"/>
      <c r="H2" s="6"/>
    </row>
    <row r="3">
      <c r="A3" s="12" t="s">
        <v>108</v>
      </c>
      <c r="B3" s="6"/>
      <c r="C3" s="6"/>
      <c r="D3" s="6"/>
      <c r="E3" s="6"/>
      <c r="F3" s="6"/>
      <c r="G3" s="6"/>
      <c r="H3" s="6"/>
    </row>
    <row r="4">
      <c r="A4" s="34" t="s">
        <v>593</v>
      </c>
      <c r="B4" s="92" t="s">
        <v>594</v>
      </c>
      <c r="C4" s="9"/>
      <c r="D4" s="9"/>
      <c r="E4" s="9"/>
      <c r="F4" s="9"/>
      <c r="G4" s="110"/>
      <c r="H4" s="34" t="s">
        <v>5</v>
      </c>
    </row>
    <row r="5">
      <c r="A5" s="30"/>
      <c r="B5" s="22"/>
      <c r="C5" s="22"/>
      <c r="D5" s="22"/>
      <c r="E5" s="22"/>
      <c r="F5" s="22"/>
      <c r="G5" s="109"/>
      <c r="H5" s="30"/>
    </row>
    <row r="6">
      <c r="A6" s="25"/>
      <c r="B6" s="36"/>
      <c r="C6" s="36"/>
      <c r="D6" s="36"/>
      <c r="E6" s="36"/>
      <c r="F6" s="36"/>
      <c r="G6" s="108"/>
      <c r="H6" s="25"/>
    </row>
    <row r="7">
      <c r="A7" s="6"/>
      <c r="B7" s="6"/>
      <c r="C7" s="6"/>
      <c r="D7" s="6"/>
      <c r="E7" s="6"/>
      <c r="F7" s="6"/>
      <c r="G7" s="6"/>
      <c r="H7" s="6"/>
    </row>
    <row r="8" ht="30">
      <c r="A8" s="41" t="s">
        <v>666</v>
      </c>
      <c r="B8" s="93" t="s">
        <v>667</v>
      </c>
      <c r="C8" s="61" t="s">
        <v>668</v>
      </c>
      <c r="D8" s="61"/>
      <c r="E8" s="61"/>
      <c r="F8" s="93" t="s">
        <v>669</v>
      </c>
      <c r="G8" s="61"/>
      <c r="H8" s="51" t="s">
        <v>670</v>
      </c>
    </row>
    <row r="9">
      <c r="A9" s="6" t="s">
        <v>671</v>
      </c>
      <c r="B9" s="91">
        <v>46306</v>
      </c>
      <c r="C9" s="49" t="s">
        <v>672</v>
      </c>
      <c r="D9" s="49"/>
      <c r="E9" s="49"/>
      <c r="F9" s="91">
        <v>46307</v>
      </c>
      <c r="G9" s="49"/>
      <c r="H9" s="7" t="s">
        <v>673</v>
      </c>
    </row>
    <row r="10">
      <c r="A10" s="6" t="s">
        <v>674</v>
      </c>
      <c r="B10" s="91">
        <v>46218</v>
      </c>
      <c r="C10" s="49" t="s">
        <v>675</v>
      </c>
      <c r="D10" s="49"/>
      <c r="E10" s="49"/>
      <c r="F10" s="91">
        <v>46307</v>
      </c>
      <c r="G10" s="49"/>
      <c r="H10" s="7" t="s">
        <v>676</v>
      </c>
    </row>
    <row r="11">
      <c r="A11" s="6" t="s">
        <v>677</v>
      </c>
      <c r="B11" s="91">
        <v>46218</v>
      </c>
      <c r="C11" s="49" t="s">
        <v>678</v>
      </c>
      <c r="D11" s="49"/>
      <c r="E11" s="49"/>
      <c r="F11" s="91">
        <v>46307</v>
      </c>
      <c r="G11" s="49"/>
      <c r="H11" s="7" t="s">
        <v>679</v>
      </c>
    </row>
    <row r="12">
      <c r="A12" s="6" t="s">
        <v>680</v>
      </c>
      <c r="B12" s="91">
        <v>46238</v>
      </c>
      <c r="C12" s="49" t="s">
        <v>681</v>
      </c>
      <c r="D12" s="49"/>
      <c r="E12" s="49"/>
      <c r="F12" s="91">
        <v>46307</v>
      </c>
      <c r="G12" s="49"/>
      <c r="H12" s="7" t="s">
        <v>682</v>
      </c>
    </row>
    <row r="13">
      <c r="A13" s="6" t="s">
        <v>683</v>
      </c>
      <c r="B13" s="91">
        <v>45957</v>
      </c>
      <c r="C13" s="49" t="s">
        <v>684</v>
      </c>
      <c r="D13" s="49"/>
      <c r="E13" s="49"/>
      <c r="F13" s="91">
        <v>46307</v>
      </c>
      <c r="G13" s="49"/>
      <c r="H13" s="7" t="s">
        <v>685</v>
      </c>
    </row>
    <row r="14">
      <c r="A14" s="6" t="s">
        <v>686</v>
      </c>
      <c r="B14" s="91">
        <v>46071</v>
      </c>
      <c r="C14" s="49" t="s">
        <v>687</v>
      </c>
      <c r="D14" s="49"/>
      <c r="E14" s="49"/>
      <c r="F14" s="91">
        <v>46307</v>
      </c>
      <c r="G14" s="49"/>
      <c r="H14" s="7" t="s">
        <v>688</v>
      </c>
    </row>
    <row r="15">
      <c r="A15" s="6" t="s">
        <v>471</v>
      </c>
      <c r="B15" s="91">
        <v>46293</v>
      </c>
      <c r="C15" s="49" t="s">
        <v>689</v>
      </c>
      <c r="D15" s="49"/>
      <c r="E15" s="49"/>
      <c r="F15" s="91">
        <v>46307</v>
      </c>
      <c r="G15" s="49"/>
      <c r="H15" s="7" t="s">
        <v>690</v>
      </c>
    </row>
    <row r="16">
      <c r="A16" s="6" t="s">
        <v>691</v>
      </c>
      <c r="B16" s="91">
        <v>46147</v>
      </c>
      <c r="C16" s="49" t="s">
        <v>692</v>
      </c>
      <c r="D16" s="49"/>
      <c r="E16" s="49"/>
      <c r="F16" s="91">
        <v>46307</v>
      </c>
      <c r="G16" s="49"/>
      <c r="H16" s="7" t="s">
        <v>693</v>
      </c>
    </row>
    <row r="17">
      <c r="A17" s="6" t="s">
        <v>694</v>
      </c>
      <c r="B17" s="91">
        <v>46038</v>
      </c>
      <c r="C17" s="49" t="s">
        <v>695</v>
      </c>
      <c r="D17" s="49"/>
      <c r="E17" s="49"/>
      <c r="F17" s="91">
        <v>46307</v>
      </c>
      <c r="G17" s="49"/>
      <c r="H17" s="7" t="s">
        <v>696</v>
      </c>
    </row>
    <row r="18">
      <c r="A18" s="6" t="s">
        <v>697</v>
      </c>
      <c r="B18" s="91">
        <v>46071</v>
      </c>
      <c r="C18" s="49" t="s">
        <v>698</v>
      </c>
      <c r="D18" s="49"/>
      <c r="E18" s="49"/>
      <c r="F18" s="91">
        <v>46307</v>
      </c>
      <c r="G18" s="49"/>
      <c r="H18" s="7" t="s">
        <v>699</v>
      </c>
    </row>
    <row r="19">
      <c r="A19" s="6" t="s">
        <v>700</v>
      </c>
      <c r="B19" s="91">
        <v>46218</v>
      </c>
      <c r="C19" s="49" t="s">
        <v>701</v>
      </c>
      <c r="D19" s="49"/>
      <c r="E19" s="49"/>
      <c r="F19" s="91">
        <v>46307</v>
      </c>
      <c r="G19" s="49"/>
      <c r="H19" s="7" t="s">
        <v>702</v>
      </c>
    </row>
    <row r="20">
      <c r="A20" s="6" t="s">
        <v>703</v>
      </c>
      <c r="B20" s="91">
        <v>46279</v>
      </c>
      <c r="C20" s="49" t="s">
        <v>704</v>
      </c>
      <c r="D20" s="49"/>
      <c r="E20" s="49"/>
      <c r="F20" s="91">
        <v>46307</v>
      </c>
      <c r="G20" s="49"/>
      <c r="H20" s="7" t="s">
        <v>705</v>
      </c>
    </row>
    <row r="21">
      <c r="A21" s="6" t="s">
        <v>706</v>
      </c>
      <c r="B21" s="91">
        <v>46281</v>
      </c>
      <c r="C21" s="49" t="s">
        <v>701</v>
      </c>
      <c r="D21" s="49"/>
      <c r="E21" s="49"/>
      <c r="F21" s="91">
        <v>46307</v>
      </c>
      <c r="G21" s="49"/>
      <c r="H21" s="7" t="s">
        <v>707</v>
      </c>
    </row>
    <row r="22">
      <c r="A22" s="6" t="s">
        <v>708</v>
      </c>
      <c r="B22" s="91">
        <v>46038</v>
      </c>
      <c r="C22" s="49" t="s">
        <v>701</v>
      </c>
      <c r="D22" s="49"/>
      <c r="E22" s="49"/>
      <c r="F22" s="91">
        <v>46307</v>
      </c>
      <c r="G22" s="49"/>
      <c r="H22" s="7" t="s">
        <v>709</v>
      </c>
    </row>
    <row r="23">
      <c r="A23" s="6" t="s">
        <v>710</v>
      </c>
      <c r="B23" s="91">
        <v>46283</v>
      </c>
      <c r="C23" s="49" t="s">
        <v>711</v>
      </c>
      <c r="D23" s="49"/>
      <c r="E23" s="49"/>
      <c r="F23" s="91">
        <v>46307</v>
      </c>
      <c r="G23" s="49"/>
      <c r="H23" s="7" t="s">
        <v>712</v>
      </c>
    </row>
    <row r="24">
      <c r="A24" s="6" t="s">
        <v>713</v>
      </c>
      <c r="B24" s="91">
        <v>46281</v>
      </c>
      <c r="C24" s="49" t="s">
        <v>714</v>
      </c>
      <c r="D24" s="49"/>
      <c r="E24" s="49"/>
      <c r="F24" s="91">
        <v>46307</v>
      </c>
      <c r="G24" s="49"/>
      <c r="H24" s="7" t="s">
        <v>715</v>
      </c>
    </row>
    <row r="25">
      <c r="A25" s="6" t="s">
        <v>716</v>
      </c>
      <c r="B25" s="91">
        <v>46127</v>
      </c>
      <c r="C25" s="49" t="s">
        <v>717</v>
      </c>
      <c r="D25" s="49"/>
      <c r="E25" s="49"/>
      <c r="F25" s="91">
        <v>46307</v>
      </c>
      <c r="G25" s="49"/>
      <c r="H25" s="7" t="s">
        <v>718</v>
      </c>
    </row>
    <row r="26">
      <c r="A26" s="6" t="s">
        <v>719</v>
      </c>
      <c r="B26" s="91">
        <v>45946</v>
      </c>
      <c r="C26" s="49" t="s">
        <v>720</v>
      </c>
      <c r="D26" s="49"/>
      <c r="E26" s="49"/>
      <c r="F26" s="91">
        <v>46307</v>
      </c>
      <c r="G26" s="49"/>
      <c r="H26" s="7" t="s">
        <v>721</v>
      </c>
    </row>
    <row r="27">
      <c r="A27" s="6" t="s">
        <v>722</v>
      </c>
      <c r="B27" s="91">
        <v>46303</v>
      </c>
      <c r="C27" s="49" t="s">
        <v>723</v>
      </c>
      <c r="D27" s="49"/>
      <c r="E27" s="49"/>
      <c r="F27" s="91">
        <v>46307</v>
      </c>
      <c r="G27" s="49"/>
      <c r="H27" s="7" t="s">
        <v>724</v>
      </c>
    </row>
    <row r="28">
      <c r="A28" s="6" t="s">
        <v>725</v>
      </c>
      <c r="B28" s="91">
        <v>46304</v>
      </c>
      <c r="C28" s="49" t="s">
        <v>726</v>
      </c>
      <c r="D28" s="49"/>
      <c r="E28" s="49"/>
      <c r="F28" s="91">
        <v>46307</v>
      </c>
      <c r="G28" s="49"/>
      <c r="H28" s="7" t="s">
        <v>727</v>
      </c>
    </row>
    <row r="29">
      <c r="A29" s="6" t="s">
        <v>728</v>
      </c>
      <c r="B29" s="91">
        <v>46303</v>
      </c>
      <c r="C29" s="49" t="s">
        <v>729</v>
      </c>
      <c r="D29" s="49"/>
      <c r="E29" s="49"/>
      <c r="F29" s="91">
        <v>46307</v>
      </c>
      <c r="G29" s="49"/>
      <c r="H29" s="7" t="s">
        <v>730</v>
      </c>
    </row>
    <row r="30">
      <c r="A30" s="6" t="s">
        <v>731</v>
      </c>
      <c r="B30" s="91">
        <v>46304</v>
      </c>
      <c r="C30" s="49" t="s">
        <v>732</v>
      </c>
      <c r="D30" s="49"/>
      <c r="E30" s="49"/>
      <c r="F30" s="91">
        <v>46307</v>
      </c>
      <c r="G30" s="49"/>
      <c r="H30" s="7" t="s">
        <v>733</v>
      </c>
    </row>
    <row r="31">
      <c r="A31" s="6" t="s">
        <v>734</v>
      </c>
      <c r="B31" s="91">
        <v>45673</v>
      </c>
      <c r="C31" s="49" t="s">
        <v>735</v>
      </c>
      <c r="D31" s="49"/>
      <c r="E31" s="49"/>
      <c r="F31" s="91">
        <v>46307</v>
      </c>
      <c r="G31" s="49"/>
      <c r="H31" s="7" t="s">
        <v>736</v>
      </c>
    </row>
    <row r="32">
      <c r="A32" s="6" t="s">
        <v>737</v>
      </c>
      <c r="B32" s="91">
        <v>46252</v>
      </c>
      <c r="C32" s="49" t="s">
        <v>711</v>
      </c>
      <c r="D32" s="49"/>
      <c r="E32" s="49"/>
      <c r="F32" s="91">
        <v>46307</v>
      </c>
      <c r="G32" s="49"/>
      <c r="H32" s="7" t="s">
        <v>738</v>
      </c>
    </row>
    <row r="33">
      <c r="A33" s="6" t="s">
        <v>739</v>
      </c>
      <c r="B33" s="91">
        <v>45948</v>
      </c>
      <c r="C33" s="49" t="s">
        <v>740</v>
      </c>
      <c r="D33" s="49"/>
      <c r="E33" s="49"/>
      <c r="F33" s="91">
        <v>46307</v>
      </c>
      <c r="G33" s="49"/>
      <c r="H33" s="7" t="s">
        <v>741</v>
      </c>
    </row>
    <row r="34">
      <c r="A34" s="6"/>
      <c r="B34" s="60"/>
      <c r="C34" s="49"/>
      <c r="D34" s="49"/>
      <c r="E34" s="49"/>
      <c r="F34" s="60"/>
      <c r="G34" s="49"/>
      <c r="H34" s="12"/>
    </row>
    <row r="35">
      <c r="A35" s="6" t="s">
        <v>742</v>
      </c>
      <c r="B35" s="60"/>
      <c r="C35" s="49"/>
      <c r="D35" s="49"/>
      <c r="E35" s="49"/>
      <c r="F35" s="60"/>
      <c r="G35" s="49"/>
      <c r="H35" s="12"/>
    </row>
    <row r="36">
      <c r="A36" s="6" t="s">
        <v>743</v>
      </c>
      <c r="B36" s="60"/>
      <c r="C36" s="49"/>
      <c r="D36" s="49"/>
      <c r="E36" s="49"/>
      <c r="F36" s="60"/>
      <c r="G36" s="49"/>
      <c r="H36" s="12"/>
    </row>
    <row r="37">
      <c r="A37" s="6" t="s">
        <v>744</v>
      </c>
      <c r="B37" s="60"/>
      <c r="C37" s="49"/>
      <c r="D37" s="49"/>
      <c r="E37" s="49"/>
      <c r="F37" s="60"/>
      <c r="G37" s="49"/>
      <c r="H37" s="12"/>
    </row>
    <row r="38">
      <c r="A38" s="6" t="s">
        <v>745</v>
      </c>
      <c r="B38" s="60"/>
      <c r="C38" s="49"/>
      <c r="D38" s="49"/>
      <c r="E38" s="49"/>
      <c r="F38" s="60"/>
      <c r="G38" s="49"/>
      <c r="H38" s="12"/>
    </row>
    <row r="39">
      <c r="A39" s="6" t="s">
        <v>746</v>
      </c>
      <c r="B39" s="60"/>
      <c r="C39" s="49"/>
      <c r="D39" s="49"/>
      <c r="E39" s="49"/>
      <c r="F39" s="60"/>
      <c r="G39" s="49"/>
      <c r="H39" s="12"/>
    </row>
    <row r="40">
      <c r="A40" s="90" t="s">
        <v>747</v>
      </c>
      <c r="B40" s="6"/>
      <c r="C40" s="6"/>
      <c r="D40" s="6"/>
      <c r="E40" s="6"/>
      <c r="F40" s="6"/>
      <c r="G40" s="6"/>
      <c r="H40" s="6"/>
    </row>
    <row r="41">
      <c r="A41" s="6"/>
      <c r="B41" s="6"/>
      <c r="C41" s="6"/>
      <c r="D41" s="6"/>
      <c r="E41" s="6"/>
      <c r="F41" s="6"/>
      <c r="G41" s="6"/>
      <c r="H41" s="6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I397"/>
  <sheetViews>
    <sheetView showGridLines="0" workbookViewId="0"/>
  </sheetViews>
  <sheetFormatPr defaultColWidth="8.42578125" defaultRowHeight="15"/>
  <cols>
    <col min="1" max="1" width="34" customWidth="1"/>
    <col min="2" max="2" width="16" customWidth="1"/>
    <col min="3" max="8" width="26" customWidth="1"/>
    <col min="9" max="9" width="12" customWidth="1"/>
  </cols>
  <sheetData>
    <row r="1">
      <c r="A1" s="5" t="s">
        <v>106</v>
      </c>
      <c r="B1" s="6"/>
      <c r="C1" s="6"/>
      <c r="D1" s="6"/>
      <c r="E1" s="6"/>
      <c r="F1" s="6"/>
      <c r="G1" s="6"/>
      <c r="H1" s="6"/>
      <c r="I1" s="6"/>
    </row>
    <row r="2">
      <c r="A2" s="28" t="s">
        <v>748</v>
      </c>
      <c r="B2" s="6"/>
      <c r="C2" s="6"/>
      <c r="D2" s="6"/>
      <c r="E2" s="6"/>
      <c r="F2" s="6"/>
      <c r="G2" s="6"/>
      <c r="H2" s="6"/>
      <c r="I2" s="6"/>
    </row>
    <row r="3">
      <c r="A3" s="12" t="s">
        <v>108</v>
      </c>
      <c r="B3" s="6"/>
      <c r="C3" s="6"/>
      <c r="D3" s="6"/>
      <c r="E3" s="6"/>
      <c r="F3" s="6"/>
      <c r="G3" s="6"/>
      <c r="H3" s="6"/>
      <c r="I3" s="6"/>
    </row>
    <row r="4">
      <c r="A4" s="34" t="s">
        <v>593</v>
      </c>
      <c r="B4" s="92" t="s">
        <v>749</v>
      </c>
      <c r="C4" s="9"/>
      <c r="D4" s="9"/>
      <c r="E4" s="9"/>
      <c r="F4" s="9"/>
      <c r="G4" s="110"/>
      <c r="H4" s="34"/>
      <c r="I4" s="6"/>
    </row>
    <row r="5">
      <c r="A5" s="30"/>
      <c r="B5" s="22"/>
      <c r="C5" s="22"/>
      <c r="D5" s="22"/>
      <c r="E5" s="22"/>
      <c r="F5" s="22"/>
      <c r="G5" s="109"/>
      <c r="H5" s="30"/>
      <c r="I5" s="6"/>
    </row>
    <row r="6">
      <c r="A6" s="25"/>
      <c r="B6" s="36"/>
      <c r="C6" s="36"/>
      <c r="D6" s="36"/>
      <c r="E6" s="36"/>
      <c r="F6" s="36"/>
      <c r="G6" s="108"/>
      <c r="H6" s="25"/>
      <c r="I6" s="6"/>
    </row>
    <row r="7">
      <c r="A7" s="6"/>
      <c r="B7" s="6"/>
      <c r="C7" s="6"/>
      <c r="D7" s="6"/>
      <c r="E7" s="6"/>
      <c r="F7" s="6"/>
      <c r="G7" s="6"/>
      <c r="H7" s="6"/>
      <c r="I7" s="6"/>
    </row>
    <row r="8">
      <c r="A8" s="28" t="s">
        <v>750</v>
      </c>
      <c r="B8" s="6"/>
      <c r="C8" s="6"/>
      <c r="D8" s="6"/>
      <c r="E8" s="6"/>
      <c r="F8" s="6"/>
      <c r="G8" s="6"/>
      <c r="H8" s="6"/>
      <c r="I8" s="6"/>
    </row>
    <row r="9" ht="33">
      <c r="A9" s="61" t="s">
        <v>751</v>
      </c>
      <c r="B9" s="42" t="s">
        <v>752</v>
      </c>
      <c r="C9" s="42"/>
      <c r="D9" s="42"/>
      <c r="E9" s="42"/>
      <c r="F9" s="42"/>
      <c r="G9" s="42"/>
      <c r="H9" s="42"/>
      <c r="I9" s="42"/>
    </row>
    <row r="10">
      <c r="A10" s="6" t="s">
        <v>753</v>
      </c>
      <c r="B10" s="76" t="s">
        <v>10</v>
      </c>
      <c r="C10" s="6"/>
      <c r="D10" s="6"/>
      <c r="E10" s="6"/>
      <c r="F10" s="6"/>
      <c r="G10" s="6"/>
      <c r="H10" s="6"/>
      <c r="I10" s="6"/>
    </row>
    <row r="11">
      <c r="A11" s="6" t="s">
        <v>754</v>
      </c>
      <c r="B11" s="76" t="s">
        <v>8</v>
      </c>
      <c r="C11" s="6"/>
      <c r="D11" s="6"/>
      <c r="E11" s="6"/>
      <c r="F11" s="6"/>
      <c r="G11" s="6"/>
      <c r="H11" s="6"/>
      <c r="I11" s="6"/>
    </row>
    <row r="12">
      <c r="A12" s="6" t="s">
        <v>755</v>
      </c>
      <c r="B12" s="76" t="s">
        <v>756</v>
      </c>
      <c r="C12" s="6"/>
      <c r="D12" s="6"/>
      <c r="E12" s="6"/>
      <c r="F12" s="6"/>
      <c r="G12" s="6"/>
      <c r="H12" s="6"/>
      <c r="I12" s="6"/>
    </row>
    <row r="13">
      <c r="A13" s="6" t="s">
        <v>757</v>
      </c>
      <c r="B13" s="76">
        <v>272285</v>
      </c>
      <c r="C13" s="6"/>
      <c r="D13" s="6"/>
      <c r="E13" s="6"/>
      <c r="F13" s="6"/>
      <c r="G13" s="6"/>
      <c r="H13" s="6"/>
      <c r="I13" s="6"/>
    </row>
    <row r="14">
      <c r="A14" s="6" t="s">
        <v>758</v>
      </c>
      <c r="B14" s="76" t="s">
        <v>759</v>
      </c>
      <c r="C14" s="6"/>
      <c r="D14" s="6"/>
      <c r="E14" s="6"/>
      <c r="F14" s="6"/>
      <c r="G14" s="6"/>
      <c r="H14" s="6"/>
      <c r="I14" s="6"/>
    </row>
    <row r="15">
      <c r="A15" s="6" t="s">
        <v>760</v>
      </c>
      <c r="B15" s="6"/>
      <c r="C15" s="6"/>
      <c r="D15" s="6"/>
      <c r="E15" s="6"/>
      <c r="F15" s="6"/>
      <c r="G15" s="6"/>
      <c r="H15" s="6"/>
      <c r="I15" s="6"/>
    </row>
    <row r="16">
      <c r="A16" s="6" t="s">
        <v>761</v>
      </c>
      <c r="B16" s="76" t="s">
        <v>762</v>
      </c>
      <c r="C16" s="6"/>
      <c r="D16" s="6"/>
      <c r="E16" s="6"/>
      <c r="F16" s="6"/>
      <c r="G16" s="6"/>
      <c r="H16" s="6"/>
      <c r="I16" s="6"/>
    </row>
    <row r="17">
      <c r="A17" s="6" t="s">
        <v>763</v>
      </c>
      <c r="B17" s="106" t="s">
        <v>764</v>
      </c>
      <c r="C17" s="6"/>
      <c r="D17" s="6"/>
      <c r="E17" s="6"/>
      <c r="F17" s="6"/>
      <c r="G17" s="6"/>
      <c r="H17" s="6"/>
      <c r="I17" s="6"/>
    </row>
    <row r="18">
      <c r="A18" s="6" t="s">
        <v>765</v>
      </c>
      <c r="B18" s="106" t="s">
        <v>766</v>
      </c>
      <c r="C18" s="6"/>
      <c r="D18" s="6"/>
      <c r="E18" s="6"/>
      <c r="F18" s="6"/>
      <c r="G18" s="6"/>
      <c r="H18" s="6"/>
      <c r="I18" s="6"/>
    </row>
    <row r="19">
      <c r="A19" s="6" t="s">
        <v>767</v>
      </c>
      <c r="B19" s="76" t="s">
        <v>768</v>
      </c>
      <c r="C19" s="6"/>
      <c r="D19" s="6"/>
      <c r="E19" s="6"/>
      <c r="F19" s="6"/>
      <c r="G19" s="6"/>
      <c r="H19" s="6"/>
      <c r="I19" s="6"/>
    </row>
    <row r="20">
      <c r="A20" s="6" t="s">
        <v>769</v>
      </c>
      <c r="B20" s="76">
        <v>22</v>
      </c>
      <c r="C20" s="6"/>
      <c r="D20" s="6"/>
      <c r="E20" s="6"/>
      <c r="F20" s="6"/>
      <c r="G20" s="6"/>
      <c r="H20" s="6"/>
      <c r="I20" s="6"/>
    </row>
    <row r="21">
      <c r="A21" s="6" t="s">
        <v>770</v>
      </c>
      <c r="B21" s="76">
        <v>4.92</v>
      </c>
      <c r="C21" s="6"/>
      <c r="D21" s="6"/>
      <c r="E21" s="6"/>
      <c r="F21" s="6"/>
      <c r="G21" s="6"/>
      <c r="H21" s="6"/>
      <c r="I21" s="6"/>
    </row>
    <row r="22">
      <c r="A22" s="6" t="s">
        <v>771</v>
      </c>
      <c r="B22" s="76">
        <v>4.91</v>
      </c>
      <c r="C22" s="6"/>
      <c r="D22" s="6"/>
      <c r="E22" s="6"/>
      <c r="F22" s="6"/>
      <c r="G22" s="6"/>
      <c r="H22" s="6"/>
      <c r="I22" s="6"/>
    </row>
    <row r="23">
      <c r="A23" s="6" t="s">
        <v>772</v>
      </c>
      <c r="B23" s="76">
        <v>5.14</v>
      </c>
      <c r="C23" s="6"/>
      <c r="D23" s="6"/>
      <c r="E23" s="6"/>
      <c r="F23" s="6"/>
      <c r="G23" s="6"/>
      <c r="H23" s="6"/>
      <c r="I23" s="6"/>
    </row>
    <row r="24">
      <c r="A24" s="6" t="s">
        <v>773</v>
      </c>
      <c r="B24" s="76">
        <v>4.79</v>
      </c>
      <c r="C24" s="6"/>
      <c r="D24" s="6"/>
      <c r="E24" s="6"/>
      <c r="F24" s="6"/>
      <c r="G24" s="6"/>
      <c r="H24" s="6"/>
      <c r="I24" s="6"/>
    </row>
    <row r="25">
      <c r="A25" s="6" t="s">
        <v>774</v>
      </c>
      <c r="B25" s="76">
        <v>0.08</v>
      </c>
      <c r="C25" s="6"/>
      <c r="D25" s="6"/>
      <c r="E25" s="6"/>
      <c r="F25" s="6"/>
      <c r="G25" s="6"/>
      <c r="H25" s="6"/>
      <c r="I25" s="6"/>
    </row>
    <row r="26">
      <c r="A26" s="6" t="s">
        <v>775</v>
      </c>
      <c r="B26" s="76">
        <v>15</v>
      </c>
      <c r="C26" s="6"/>
      <c r="D26" s="6"/>
      <c r="E26" s="6"/>
      <c r="F26" s="6"/>
      <c r="G26" s="6"/>
      <c r="H26" s="6"/>
      <c r="I26" s="6"/>
    </row>
    <row r="27">
      <c r="A27" s="6" t="s">
        <v>776</v>
      </c>
      <c r="B27" s="6"/>
      <c r="C27" s="6"/>
      <c r="D27" s="6"/>
      <c r="E27" s="6"/>
      <c r="F27" s="6"/>
      <c r="G27" s="6"/>
      <c r="H27" s="6"/>
      <c r="I27" s="6"/>
    </row>
    <row r="28">
      <c r="A28" s="6" t="s">
        <v>777</v>
      </c>
      <c r="B28" s="6"/>
      <c r="C28" s="6"/>
      <c r="D28" s="6"/>
      <c r="E28" s="6"/>
      <c r="F28" s="6"/>
      <c r="G28" s="6"/>
      <c r="H28" s="6"/>
      <c r="I28" s="6"/>
    </row>
    <row r="29">
      <c r="A29" s="6" t="s">
        <v>778</v>
      </c>
      <c r="B29" s="6"/>
      <c r="C29" s="6"/>
      <c r="D29" s="6"/>
      <c r="E29" s="6"/>
      <c r="F29" s="6"/>
      <c r="G29" s="6"/>
      <c r="H29" s="6"/>
      <c r="I29" s="6"/>
    </row>
    <row r="30">
      <c r="A30" s="6" t="s">
        <v>779</v>
      </c>
      <c r="B30" s="76">
        <v>4.93</v>
      </c>
      <c r="C30" s="6"/>
      <c r="D30" s="6"/>
      <c r="E30" s="6"/>
      <c r="F30" s="6"/>
      <c r="G30" s="6"/>
      <c r="H30" s="6"/>
      <c r="I30" s="6"/>
    </row>
    <row r="31">
      <c r="A31" s="6" t="s">
        <v>780</v>
      </c>
      <c r="B31" s="76">
        <v>4.93</v>
      </c>
      <c r="C31" s="6"/>
      <c r="D31" s="6"/>
      <c r="E31" s="6"/>
      <c r="F31" s="6"/>
      <c r="G31" s="6"/>
      <c r="H31" s="6"/>
      <c r="I31" s="6"/>
    </row>
    <row r="32">
      <c r="A32" s="6" t="s">
        <v>781</v>
      </c>
      <c r="B32" s="76">
        <v>5.14</v>
      </c>
      <c r="C32" s="6"/>
      <c r="D32" s="6"/>
      <c r="E32" s="6"/>
      <c r="F32" s="6"/>
      <c r="G32" s="6"/>
      <c r="H32" s="6"/>
      <c r="I32" s="6"/>
    </row>
    <row r="33">
      <c r="A33" s="6" t="s">
        <v>782</v>
      </c>
      <c r="B33" s="76">
        <v>4.79</v>
      </c>
      <c r="C33" s="6"/>
      <c r="D33" s="6"/>
      <c r="E33" s="6"/>
      <c r="F33" s="6"/>
      <c r="G33" s="6"/>
      <c r="H33" s="6"/>
      <c r="I33" s="6"/>
    </row>
    <row r="34">
      <c r="A34" s="6" t="s">
        <v>783</v>
      </c>
      <c r="B34" s="76">
        <v>0.08</v>
      </c>
      <c r="C34" s="6"/>
      <c r="D34" s="6"/>
      <c r="E34" s="6"/>
      <c r="F34" s="6"/>
      <c r="G34" s="6"/>
      <c r="H34" s="6"/>
      <c r="I34" s="6"/>
    </row>
    <row r="35">
      <c r="A35" s="6" t="s">
        <v>784</v>
      </c>
      <c r="B35" s="76">
        <v>18</v>
      </c>
      <c r="C35" s="6"/>
      <c r="D35" s="6"/>
      <c r="E35" s="6"/>
      <c r="F35" s="6"/>
      <c r="G35" s="6"/>
      <c r="H35" s="6"/>
      <c r="I35" s="6"/>
    </row>
    <row r="36">
      <c r="A36" s="6" t="s">
        <v>785</v>
      </c>
      <c r="B36" s="6"/>
      <c r="C36" s="6"/>
      <c r="D36" s="6"/>
      <c r="E36" s="6"/>
      <c r="F36" s="6"/>
      <c r="G36" s="6"/>
      <c r="H36" s="6"/>
      <c r="I36" s="6"/>
    </row>
    <row r="37">
      <c r="A37" s="6" t="s">
        <v>786</v>
      </c>
      <c r="B37" s="76">
        <v>2523.25</v>
      </c>
      <c r="C37" s="6"/>
      <c r="D37" s="6"/>
      <c r="E37" s="6"/>
      <c r="F37" s="6"/>
      <c r="G37" s="6"/>
      <c r="H37" s="6"/>
      <c r="I37" s="6"/>
    </row>
    <row r="38">
      <c r="A38" s="6" t="s">
        <v>787</v>
      </c>
      <c r="B38" s="76">
        <v>2523</v>
      </c>
      <c r="C38" s="6"/>
      <c r="D38" s="6"/>
      <c r="E38" s="6"/>
      <c r="F38" s="6"/>
      <c r="G38" s="6"/>
      <c r="H38" s="6"/>
      <c r="I38" s="6"/>
    </row>
    <row r="39">
      <c r="A39" s="6" t="s">
        <v>788</v>
      </c>
      <c r="B39" s="76">
        <v>2541.15</v>
      </c>
      <c r="C39" s="6"/>
      <c r="D39" s="6"/>
      <c r="E39" s="6"/>
      <c r="F39" s="6"/>
      <c r="G39" s="6"/>
      <c r="H39" s="6"/>
      <c r="I39" s="6"/>
    </row>
    <row r="40">
      <c r="A40" s="6" t="s">
        <v>789</v>
      </c>
      <c r="B40" s="76">
        <v>2507</v>
      </c>
      <c r="C40" s="6"/>
      <c r="D40" s="6"/>
      <c r="E40" s="6"/>
      <c r="F40" s="6"/>
      <c r="G40" s="6"/>
      <c r="H40" s="6"/>
      <c r="I40" s="6"/>
    </row>
    <row r="41">
      <c r="A41" s="6" t="s">
        <v>790</v>
      </c>
      <c r="B41" s="76">
        <v>8.51</v>
      </c>
      <c r="C41" s="6"/>
      <c r="D41" s="6"/>
      <c r="E41" s="6"/>
      <c r="F41" s="6"/>
      <c r="G41" s="6"/>
      <c r="H41" s="6"/>
      <c r="I41" s="6"/>
    </row>
    <row r="42">
      <c r="A42" s="6" t="s">
        <v>791</v>
      </c>
      <c r="B42" s="76">
        <v>9</v>
      </c>
      <c r="C42" s="6"/>
      <c r="D42" s="6"/>
      <c r="E42" s="6"/>
      <c r="F42" s="6"/>
      <c r="G42" s="6"/>
      <c r="H42" s="6"/>
      <c r="I42" s="6"/>
    </row>
    <row r="43">
      <c r="A43" s="6" t="s">
        <v>792</v>
      </c>
      <c r="B43" s="6"/>
      <c r="C43" s="6"/>
      <c r="D43" s="6"/>
      <c r="E43" s="6"/>
      <c r="F43" s="6"/>
      <c r="G43" s="6"/>
      <c r="H43" s="6"/>
      <c r="I43" s="6"/>
    </row>
    <row r="44">
      <c r="A44" s="6" t="s">
        <v>793</v>
      </c>
      <c r="B44" s="6"/>
      <c r="C44" s="6"/>
      <c r="D44" s="6"/>
      <c r="E44" s="6"/>
      <c r="F44" s="6"/>
      <c r="G44" s="6"/>
      <c r="H44" s="6"/>
      <c r="I44" s="6"/>
    </row>
    <row r="45">
      <c r="A45" s="6" t="s">
        <v>794</v>
      </c>
      <c r="B45" s="6"/>
      <c r="C45" s="6"/>
      <c r="D45" s="6"/>
      <c r="E45" s="6"/>
      <c r="F45" s="6"/>
      <c r="G45" s="6"/>
      <c r="H45" s="6"/>
      <c r="I45" s="6"/>
    </row>
    <row r="46">
      <c r="A46" s="6" t="s">
        <v>795</v>
      </c>
      <c r="B46" s="6"/>
      <c r="C46" s="6"/>
      <c r="D46" s="6"/>
      <c r="E46" s="6"/>
      <c r="F46" s="6"/>
      <c r="G46" s="6"/>
      <c r="H46" s="6"/>
      <c r="I46" s="6"/>
    </row>
    <row r="47">
      <c r="A47" s="6" t="s">
        <v>796</v>
      </c>
      <c r="B47" s="76">
        <v>1138.44</v>
      </c>
      <c r="C47" s="6"/>
      <c r="D47" s="6"/>
      <c r="E47" s="6"/>
      <c r="F47" s="6"/>
      <c r="G47" s="6"/>
      <c r="H47" s="6"/>
      <c r="I47" s="6"/>
    </row>
    <row r="48">
      <c r="A48" s="6" t="s">
        <v>797</v>
      </c>
      <c r="B48" s="76">
        <v>989.3</v>
      </c>
      <c r="C48" s="6"/>
      <c r="D48" s="6"/>
      <c r="E48" s="6"/>
      <c r="F48" s="6"/>
      <c r="G48" s="6"/>
      <c r="H48" s="6"/>
      <c r="I48" s="6"/>
    </row>
    <row r="49">
      <c r="A49" s="6" t="s">
        <v>798</v>
      </c>
      <c r="B49" s="76">
        <v>990.35</v>
      </c>
      <c r="C49" s="6"/>
      <c r="D49" s="6"/>
      <c r="E49" s="6"/>
      <c r="F49" s="6"/>
      <c r="G49" s="6"/>
      <c r="H49" s="6"/>
      <c r="I49" s="6"/>
    </row>
    <row r="50">
      <c r="A50" s="6" t="s">
        <v>799</v>
      </c>
      <c r="B50" s="76">
        <v>715.51</v>
      </c>
      <c r="C50" s="6"/>
      <c r="D50" s="6"/>
      <c r="E50" s="6"/>
      <c r="F50" s="6"/>
      <c r="G50" s="6"/>
      <c r="H50" s="6"/>
      <c r="I50" s="6"/>
    </row>
    <row r="51">
      <c r="A51" s="6" t="s">
        <v>800</v>
      </c>
      <c r="B51" s="76">
        <v>715.69</v>
      </c>
      <c r="C51" s="6"/>
      <c r="D51" s="6"/>
      <c r="E51" s="6"/>
      <c r="F51" s="6"/>
      <c r="G51" s="6"/>
      <c r="H51" s="6"/>
      <c r="I51" s="6"/>
    </row>
    <row r="52">
      <c r="A52" s="6" t="s">
        <v>801</v>
      </c>
      <c r="B52" s="76">
        <v>3.67</v>
      </c>
      <c r="C52" s="6"/>
      <c r="D52" s="6"/>
      <c r="E52" s="6"/>
      <c r="F52" s="6"/>
      <c r="G52" s="6"/>
      <c r="H52" s="6"/>
      <c r="I52" s="6"/>
    </row>
    <row r="53">
      <c r="A53" s="6" t="s">
        <v>802</v>
      </c>
      <c r="B53" s="76">
        <v>24.03</v>
      </c>
      <c r="C53" s="6"/>
      <c r="D53" s="6"/>
      <c r="E53" s="6"/>
      <c r="F53" s="6"/>
      <c r="G53" s="6"/>
      <c r="H53" s="6"/>
      <c r="I53" s="6"/>
    </row>
    <row r="54">
      <c r="A54" s="6" t="s">
        <v>803</v>
      </c>
      <c r="B54" s="6"/>
      <c r="C54" s="6"/>
      <c r="D54" s="6"/>
      <c r="E54" s="6"/>
      <c r="F54" s="6"/>
      <c r="G54" s="6"/>
      <c r="H54" s="6"/>
      <c r="I54" s="6"/>
    </row>
    <row r="55">
      <c r="A55" s="6" t="s">
        <v>804</v>
      </c>
      <c r="B55" s="6"/>
      <c r="C55" s="6"/>
      <c r="D55" s="6"/>
      <c r="E55" s="6"/>
      <c r="F55" s="6"/>
      <c r="G55" s="6"/>
      <c r="H55" s="6"/>
      <c r="I55" s="6"/>
    </row>
    <row r="56">
      <c r="A56" s="6" t="s">
        <v>805</v>
      </c>
      <c r="B56" s="6"/>
      <c r="C56" s="6"/>
      <c r="D56" s="6"/>
      <c r="E56" s="6"/>
      <c r="F56" s="6"/>
      <c r="G56" s="6"/>
      <c r="H56" s="6"/>
      <c r="I56" s="6"/>
    </row>
    <row r="57">
      <c r="A57" s="6" t="s">
        <v>806</v>
      </c>
      <c r="B57" s="6"/>
      <c r="C57" s="6"/>
      <c r="D57" s="6"/>
      <c r="E57" s="6"/>
      <c r="F57" s="6"/>
      <c r="G57" s="6"/>
      <c r="H57" s="6"/>
      <c r="I57" s="6"/>
    </row>
    <row r="58">
      <c r="A58" s="6" t="s">
        <v>807</v>
      </c>
      <c r="B58" s="6"/>
      <c r="C58" s="6"/>
      <c r="D58" s="6"/>
      <c r="E58" s="6"/>
      <c r="F58" s="6"/>
      <c r="G58" s="6"/>
      <c r="H58" s="6"/>
      <c r="I58" s="6"/>
    </row>
    <row r="59">
      <c r="A59" s="6" t="s">
        <v>808</v>
      </c>
      <c r="B59" s="6"/>
      <c r="C59" s="6"/>
      <c r="D59" s="6"/>
      <c r="E59" s="6"/>
      <c r="F59" s="6"/>
      <c r="G59" s="6"/>
      <c r="H59" s="6"/>
      <c r="I59" s="6"/>
    </row>
    <row r="60">
      <c r="A60" s="6" t="s">
        <v>809</v>
      </c>
      <c r="B60" s="6"/>
      <c r="C60" s="6"/>
      <c r="D60" s="6"/>
      <c r="E60" s="6"/>
      <c r="F60" s="6"/>
      <c r="G60" s="6"/>
      <c r="H60" s="6"/>
      <c r="I60" s="6"/>
    </row>
    <row r="61">
      <c r="A61" s="6" t="s">
        <v>810</v>
      </c>
      <c r="B61" s="6"/>
      <c r="C61" s="6"/>
      <c r="D61" s="6"/>
      <c r="E61" s="6"/>
      <c r="F61" s="6"/>
      <c r="G61" s="6"/>
      <c r="H61" s="6"/>
      <c r="I61" s="6"/>
    </row>
    <row r="62">
      <c r="A62" s="6" t="s">
        <v>811</v>
      </c>
      <c r="B62" s="6"/>
      <c r="C62" s="6"/>
      <c r="D62" s="6"/>
      <c r="E62" s="6"/>
      <c r="F62" s="6"/>
      <c r="G62" s="6"/>
      <c r="H62" s="6"/>
      <c r="I62" s="6"/>
    </row>
    <row r="63">
      <c r="A63" s="6" t="s">
        <v>812</v>
      </c>
      <c r="B63" s="76">
        <v>17111.5</v>
      </c>
      <c r="C63" s="6"/>
      <c r="D63" s="6"/>
      <c r="E63" s="6"/>
      <c r="F63" s="6"/>
      <c r="G63" s="6"/>
      <c r="H63" s="6"/>
      <c r="I63" s="6"/>
    </row>
    <row r="64">
      <c r="A64" s="6" t="s">
        <v>813</v>
      </c>
      <c r="B64" s="6"/>
      <c r="C64" s="6"/>
      <c r="D64" s="6"/>
      <c r="E64" s="6"/>
      <c r="F64" s="6"/>
      <c r="G64" s="6"/>
      <c r="H64" s="6"/>
      <c r="I64" s="6"/>
    </row>
    <row r="65">
      <c r="A65" s="6" t="s">
        <v>814</v>
      </c>
      <c r="B65" s="76">
        <v>11.22</v>
      </c>
      <c r="C65" s="6"/>
      <c r="D65" s="6"/>
      <c r="E65" s="6"/>
      <c r="F65" s="6"/>
      <c r="G65" s="6"/>
      <c r="H65" s="6"/>
      <c r="I65" s="6"/>
    </row>
    <row r="66">
      <c r="A66" s="6" t="s">
        <v>815</v>
      </c>
      <c r="B66" s="76">
        <v>251.78</v>
      </c>
      <c r="C66" s="6"/>
      <c r="D66" s="6"/>
      <c r="E66" s="6"/>
      <c r="F66" s="6"/>
      <c r="G66" s="6"/>
      <c r="H66" s="6"/>
      <c r="I66" s="6"/>
    </row>
    <row r="67">
      <c r="A67" s="6" t="s">
        <v>816</v>
      </c>
      <c r="B67" s="76">
        <v>250</v>
      </c>
      <c r="C67" s="6"/>
      <c r="D67" s="6"/>
      <c r="E67" s="6"/>
      <c r="F67" s="6"/>
      <c r="G67" s="6"/>
      <c r="H67" s="6"/>
      <c r="I67" s="6"/>
    </row>
    <row r="68">
      <c r="A68" s="6" t="s">
        <v>817</v>
      </c>
      <c r="B68" s="76">
        <v>301</v>
      </c>
      <c r="C68" s="6"/>
      <c r="D68" s="6"/>
      <c r="E68" s="6"/>
      <c r="F68" s="6"/>
      <c r="G68" s="6"/>
      <c r="H68" s="6"/>
      <c r="I68" s="6"/>
    </row>
    <row r="69">
      <c r="A69" s="6" t="s">
        <v>818</v>
      </c>
      <c r="B69" s="76">
        <v>224</v>
      </c>
      <c r="C69" s="6"/>
      <c r="D69" s="6"/>
      <c r="E69" s="6"/>
      <c r="F69" s="6"/>
      <c r="G69" s="6"/>
      <c r="H69" s="6"/>
      <c r="I69" s="6"/>
    </row>
    <row r="70">
      <c r="A70" s="6" t="s">
        <v>819</v>
      </c>
      <c r="B70" s="76">
        <v>18.54</v>
      </c>
      <c r="C70" s="6"/>
      <c r="D70" s="6"/>
      <c r="E70" s="6"/>
      <c r="F70" s="6"/>
      <c r="G70" s="6"/>
      <c r="H70" s="6"/>
      <c r="I70" s="6"/>
    </row>
    <row r="71">
      <c r="A71" s="6" t="s">
        <v>820</v>
      </c>
      <c r="B71" s="76">
        <v>20</v>
      </c>
      <c r="C71" s="6"/>
      <c r="D71" s="6"/>
      <c r="E71" s="6"/>
      <c r="F71" s="6"/>
      <c r="G71" s="6"/>
      <c r="H71" s="6"/>
      <c r="I71" s="6"/>
    </row>
    <row r="72">
      <c r="A72" s="6" t="s">
        <v>821</v>
      </c>
      <c r="B72" s="76" t="s">
        <v>822</v>
      </c>
      <c r="C72" s="6"/>
      <c r="D72" s="6"/>
      <c r="E72" s="6"/>
      <c r="F72" s="6"/>
      <c r="G72" s="6"/>
      <c r="H72" s="6"/>
      <c r="I72" s="6"/>
    </row>
    <row r="73">
      <c r="A73" s="6" t="s">
        <v>823</v>
      </c>
      <c r="B73" s="76">
        <v>2.68</v>
      </c>
      <c r="C73" s="6"/>
      <c r="D73" s="6"/>
      <c r="E73" s="6"/>
      <c r="F73" s="6"/>
      <c r="G73" s="6"/>
      <c r="H73" s="6"/>
      <c r="I73" s="6"/>
    </row>
    <row r="74">
      <c r="A74" s="6" t="s">
        <v>824</v>
      </c>
      <c r="B74" s="76">
        <v>217.49</v>
      </c>
      <c r="C74" s="6"/>
      <c r="D74" s="6"/>
      <c r="E74" s="6"/>
      <c r="F74" s="6"/>
      <c r="G74" s="6"/>
      <c r="H74" s="6"/>
      <c r="I74" s="6"/>
    </row>
    <row r="75">
      <c r="A75" s="6" t="s">
        <v>825</v>
      </c>
      <c r="B75" s="76" t="s">
        <v>826</v>
      </c>
      <c r="C75" s="6"/>
      <c r="D75" s="6"/>
      <c r="E75" s="6"/>
      <c r="F75" s="6"/>
      <c r="G75" s="6"/>
      <c r="H75" s="6"/>
      <c r="I75" s="6"/>
    </row>
    <row r="76">
      <c r="A76" s="6" t="s">
        <v>827</v>
      </c>
      <c r="B76" s="76" t="s">
        <v>828</v>
      </c>
      <c r="C76" s="6"/>
      <c r="D76" s="6"/>
      <c r="E76" s="6"/>
      <c r="F76" s="6"/>
      <c r="G76" s="6"/>
      <c r="H76" s="6"/>
      <c r="I76" s="6"/>
    </row>
    <row r="77">
      <c r="A77" s="6" t="s">
        <v>829</v>
      </c>
      <c r="B77" s="76" t="s">
        <v>830</v>
      </c>
      <c r="C77" s="6"/>
      <c r="D77" s="6"/>
      <c r="E77" s="6"/>
      <c r="F77" s="6"/>
      <c r="G77" s="6"/>
      <c r="H77" s="6"/>
      <c r="I77" s="6"/>
    </row>
    <row r="78">
      <c r="A78" s="6" t="s">
        <v>831</v>
      </c>
      <c r="B78" s="106" t="s">
        <v>832</v>
      </c>
      <c r="C78" s="6"/>
      <c r="D78" s="6"/>
      <c r="E78" s="6"/>
      <c r="F78" s="6"/>
      <c r="G78" s="6"/>
      <c r="H78" s="6"/>
      <c r="I78" s="6"/>
    </row>
    <row r="79">
      <c r="A79" s="6" t="s">
        <v>833</v>
      </c>
      <c r="B79" s="76" t="s">
        <v>834</v>
      </c>
      <c r="C79" s="6"/>
      <c r="D79" s="6"/>
      <c r="E79" s="6"/>
      <c r="F79" s="6"/>
      <c r="G79" s="6"/>
      <c r="H79" s="6"/>
      <c r="I79" s="6"/>
    </row>
    <row r="80">
      <c r="A80" s="6" t="s">
        <v>835</v>
      </c>
      <c r="B80" s="76" t="s">
        <v>836</v>
      </c>
      <c r="C80" s="6"/>
      <c r="D80" s="6"/>
      <c r="E80" s="6"/>
      <c r="F80" s="6"/>
      <c r="G80" s="6"/>
      <c r="H80" s="6"/>
      <c r="I80" s="6"/>
    </row>
    <row r="81">
      <c r="A81" s="6" t="s">
        <v>837</v>
      </c>
      <c r="B81" s="76">
        <v>15</v>
      </c>
      <c r="C81" s="6"/>
      <c r="D81" s="6"/>
      <c r="E81" s="6"/>
      <c r="F81" s="6"/>
      <c r="G81" s="6"/>
      <c r="H81" s="6"/>
      <c r="I81" s="6"/>
    </row>
    <row r="82">
      <c r="A82" s="6" t="s">
        <v>838</v>
      </c>
      <c r="B82" s="106" t="s">
        <v>832</v>
      </c>
      <c r="C82" s="6"/>
      <c r="D82" s="6"/>
      <c r="E82" s="6"/>
      <c r="F82" s="6"/>
      <c r="G82" s="6"/>
      <c r="H82" s="6"/>
      <c r="I82" s="6"/>
    </row>
    <row r="83">
      <c r="A83" s="6"/>
      <c r="B83" s="6"/>
      <c r="C83" s="6"/>
      <c r="D83" s="6"/>
      <c r="E83" s="6"/>
      <c r="F83" s="6"/>
      <c r="G83" s="6"/>
      <c r="H83" s="6"/>
      <c r="I83" s="6"/>
    </row>
    <row r="84">
      <c r="A84" s="28" t="s">
        <v>839</v>
      </c>
      <c r="B84" s="6"/>
      <c r="C84" s="6"/>
      <c r="D84" s="6"/>
      <c r="E84" s="6"/>
      <c r="F84" s="6"/>
      <c r="G84" s="6"/>
      <c r="H84" s="6"/>
      <c r="I84" s="6"/>
    </row>
    <row r="85" ht="33">
      <c r="A85" s="61" t="s">
        <v>840</v>
      </c>
      <c r="B85" s="42" t="s">
        <v>841</v>
      </c>
      <c r="C85" s="42" t="s">
        <v>842</v>
      </c>
      <c r="D85" s="42" t="s">
        <v>843</v>
      </c>
      <c r="E85" s="42" t="s">
        <v>844</v>
      </c>
      <c r="F85" s="42" t="s">
        <v>845</v>
      </c>
      <c r="G85" s="42" t="s">
        <v>846</v>
      </c>
      <c r="H85" s="42" t="s">
        <v>847</v>
      </c>
      <c r="I85" s="42"/>
    </row>
    <row r="86">
      <c r="A86" s="98" t="s">
        <v>848</v>
      </c>
      <c r="B86" s="80" t="s">
        <v>849</v>
      </c>
      <c r="C86" s="76">
        <v>3.4</v>
      </c>
      <c r="D86" s="76">
        <v>3.32</v>
      </c>
      <c r="E86" s="76">
        <v>3.39</v>
      </c>
      <c r="F86" s="76">
        <v>3.32</v>
      </c>
      <c r="G86" s="76">
        <v>2346.71</v>
      </c>
      <c r="H86" s="76">
        <v>2306</v>
      </c>
      <c r="I86" s="6"/>
    </row>
    <row r="87">
      <c r="A87" s="98" t="s">
        <v>850</v>
      </c>
      <c r="B87" s="80" t="s">
        <v>851</v>
      </c>
      <c r="C87" s="76">
        <v>4.01</v>
      </c>
      <c r="D87" s="76">
        <v>4.24</v>
      </c>
      <c r="E87" s="76">
        <v>3.99</v>
      </c>
      <c r="F87" s="76">
        <v>4.24</v>
      </c>
      <c r="G87" s="76">
        <v>2389.32</v>
      </c>
      <c r="H87" s="76">
        <v>2396</v>
      </c>
      <c r="I87" s="6"/>
    </row>
    <row r="88">
      <c r="A88" s="98" t="s">
        <v>852</v>
      </c>
      <c r="B88" s="80" t="s">
        <v>853</v>
      </c>
      <c r="C88" s="76">
        <v>4.39</v>
      </c>
      <c r="D88" s="76">
        <v>4.82</v>
      </c>
      <c r="E88" s="76">
        <v>4.43</v>
      </c>
      <c r="F88" s="76">
        <v>4.82</v>
      </c>
      <c r="G88" s="76">
        <v>2441.29</v>
      </c>
      <c r="H88" s="76">
        <v>2513</v>
      </c>
      <c r="I88" s="6"/>
    </row>
    <row r="89">
      <c r="A89" s="98" t="s">
        <v>854</v>
      </c>
      <c r="B89" s="80" t="s">
        <v>855</v>
      </c>
      <c r="C89" s="76">
        <v>4.47</v>
      </c>
      <c r="D89" s="76">
        <v>4.67</v>
      </c>
      <c r="E89" s="76">
        <v>4.48</v>
      </c>
      <c r="F89" s="76">
        <v>4.67</v>
      </c>
      <c r="G89" s="76">
        <v>2466.83</v>
      </c>
      <c r="H89" s="76">
        <v>2475</v>
      </c>
      <c r="I89" s="6"/>
    </row>
    <row r="90">
      <c r="A90" s="98" t="s">
        <v>856</v>
      </c>
      <c r="B90" s="80" t="s">
        <v>857</v>
      </c>
      <c r="C90" s="76">
        <v>4.02</v>
      </c>
      <c r="D90" s="76">
        <v>4.13</v>
      </c>
      <c r="E90" s="76">
        <v>4.01</v>
      </c>
      <c r="F90" s="76">
        <v>4.13</v>
      </c>
      <c r="G90" s="76">
        <v>2423.67</v>
      </c>
      <c r="H90" s="76">
        <v>2441</v>
      </c>
      <c r="I90" s="6"/>
    </row>
    <row r="91">
      <c r="A91" s="98" t="s">
        <v>858</v>
      </c>
      <c r="B91" s="80" t="s">
        <v>859</v>
      </c>
      <c r="C91" s="76">
        <v>4.66</v>
      </c>
      <c r="D91" s="76">
        <v>5.32</v>
      </c>
      <c r="E91" s="76">
        <v>4.66</v>
      </c>
      <c r="F91" s="76">
        <v>5.32</v>
      </c>
      <c r="G91" s="76">
        <v>2461.42</v>
      </c>
      <c r="H91" s="76">
        <v>2532</v>
      </c>
      <c r="I91" s="6"/>
    </row>
    <row r="92">
      <c r="A92" s="6"/>
      <c r="B92" s="6"/>
      <c r="C92" s="6"/>
      <c r="D92" s="6"/>
      <c r="E92" s="6"/>
      <c r="F92" s="6"/>
      <c r="G92" s="6"/>
      <c r="H92" s="6"/>
      <c r="I92" s="6"/>
    </row>
    <row r="93">
      <c r="A93" s="28" t="s">
        <v>860</v>
      </c>
      <c r="B93" s="6"/>
      <c r="C93" s="6"/>
      <c r="D93" s="6"/>
      <c r="E93" s="6"/>
      <c r="F93" s="6"/>
      <c r="G93" s="6"/>
      <c r="H93" s="6"/>
      <c r="I93" s="6"/>
    </row>
    <row r="94" ht="33">
      <c r="A94" s="61" t="s">
        <v>861</v>
      </c>
      <c r="B94" s="42" t="s">
        <v>862</v>
      </c>
      <c r="C94" s="42" t="s">
        <v>863</v>
      </c>
      <c r="D94" s="42" t="s">
        <v>864</v>
      </c>
      <c r="E94" s="42" t="s">
        <v>865</v>
      </c>
      <c r="F94" s="42" t="s">
        <v>866</v>
      </c>
      <c r="G94" s="99" t="s">
        <v>867</v>
      </c>
      <c r="H94" s="42"/>
      <c r="I94" s="42"/>
    </row>
    <row r="95">
      <c r="A95" s="6" t="s">
        <v>340</v>
      </c>
      <c r="B95" s="74"/>
      <c r="C95" s="75">
        <v>2707</v>
      </c>
      <c r="D95" s="75">
        <v>11026</v>
      </c>
      <c r="E95" s="75">
        <v>2560</v>
      </c>
      <c r="F95" s="75">
        <v>2609</v>
      </c>
      <c r="G95" s="74" t="s">
        <v>868</v>
      </c>
      <c r="H95" s="74"/>
      <c r="I95" s="74"/>
    </row>
    <row r="96">
      <c r="A96" s="6" t="s">
        <v>190</v>
      </c>
      <c r="B96" s="74"/>
      <c r="C96" s="75">
        <v>979</v>
      </c>
      <c r="D96" s="75">
        <v>4174</v>
      </c>
      <c r="E96" s="75">
        <v>865</v>
      </c>
      <c r="F96" s="75">
        <v>896</v>
      </c>
      <c r="G96" s="74" t="s">
        <v>868</v>
      </c>
      <c r="H96" s="74"/>
      <c r="I96" s="74"/>
    </row>
    <row r="97">
      <c r="A97" s="6" t="s">
        <v>869</v>
      </c>
      <c r="B97" s="75">
        <v>13</v>
      </c>
      <c r="C97" s="75">
        <v>12</v>
      </c>
      <c r="D97" s="75">
        <v>50</v>
      </c>
      <c r="E97" s="75">
        <v>12</v>
      </c>
      <c r="F97" s="75">
        <v>9</v>
      </c>
      <c r="G97" s="74" t="s">
        <v>868</v>
      </c>
      <c r="H97" s="74"/>
      <c r="I97" s="74"/>
    </row>
    <row r="98">
      <c r="A98" s="6" t="s">
        <v>313</v>
      </c>
      <c r="B98" s="75">
        <v>120</v>
      </c>
      <c r="C98" s="75">
        <v>140</v>
      </c>
      <c r="D98" s="75">
        <v>610</v>
      </c>
      <c r="E98" s="75">
        <v>130</v>
      </c>
      <c r="F98" s="75">
        <v>125</v>
      </c>
      <c r="G98" s="74" t="s">
        <v>868</v>
      </c>
      <c r="H98" s="74"/>
      <c r="I98" s="74"/>
    </row>
    <row r="99">
      <c r="A99" s="6" t="s">
        <v>870</v>
      </c>
      <c r="B99" s="74"/>
      <c r="C99" s="74"/>
      <c r="D99" s="75">
        <v>806</v>
      </c>
      <c r="E99" s="75">
        <v>210</v>
      </c>
      <c r="F99" s="75">
        <v>216</v>
      </c>
      <c r="G99" s="74" t="s">
        <v>868</v>
      </c>
      <c r="H99" s="74"/>
      <c r="I99" s="74"/>
    </row>
    <row r="100">
      <c r="A100" s="6" t="s">
        <v>233</v>
      </c>
      <c r="B100" s="74"/>
      <c r="C100" s="74"/>
      <c r="D100" s="75">
        <v>436</v>
      </c>
      <c r="E100" s="75">
        <v>118</v>
      </c>
      <c r="F100" s="75">
        <v>130</v>
      </c>
      <c r="G100" s="74" t="s">
        <v>868</v>
      </c>
      <c r="H100" s="74"/>
      <c r="I100" s="74"/>
    </row>
    <row r="101">
      <c r="A101" s="6" t="s">
        <v>871</v>
      </c>
      <c r="B101" s="74"/>
      <c r="C101" s="74"/>
      <c r="D101" s="75">
        <v>375</v>
      </c>
      <c r="E101" s="75">
        <v>100</v>
      </c>
      <c r="F101" s="75">
        <v>102</v>
      </c>
      <c r="G101" s="74" t="s">
        <v>868</v>
      </c>
      <c r="H101" s="74"/>
      <c r="I101" s="74"/>
    </row>
    <row r="102">
      <c r="A102" s="6" t="s">
        <v>237</v>
      </c>
      <c r="B102" s="74"/>
      <c r="C102" s="74"/>
      <c r="D102" s="75">
        <v>331</v>
      </c>
      <c r="E102" s="75">
        <v>76</v>
      </c>
      <c r="F102" s="75">
        <v>91</v>
      </c>
      <c r="G102" s="74" t="s">
        <v>868</v>
      </c>
      <c r="H102" s="74"/>
      <c r="I102" s="74"/>
    </row>
    <row r="103">
      <c r="A103" s="6" t="s">
        <v>872</v>
      </c>
      <c r="B103" s="74"/>
      <c r="C103" s="74"/>
      <c r="D103" s="75">
        <v>164</v>
      </c>
      <c r="E103" s="75">
        <v>43</v>
      </c>
      <c r="F103" s="75">
        <v>44</v>
      </c>
      <c r="G103" s="74" t="s">
        <v>868</v>
      </c>
      <c r="H103" s="74"/>
      <c r="I103" s="74"/>
    </row>
    <row r="104">
      <c r="A104" s="6" t="s">
        <v>241</v>
      </c>
      <c r="B104" s="74"/>
      <c r="C104" s="74"/>
      <c r="D104" s="75">
        <v>84</v>
      </c>
      <c r="E104" s="75">
        <v>21</v>
      </c>
      <c r="F104" s="75">
        <v>33</v>
      </c>
      <c r="G104" s="74" t="s">
        <v>868</v>
      </c>
      <c r="H104" s="74"/>
      <c r="I104" s="74"/>
    </row>
    <row r="105">
      <c r="A105" s="6" t="s">
        <v>243</v>
      </c>
      <c r="B105" s="74"/>
      <c r="C105" s="74"/>
      <c r="D105" s="75">
        <v>10</v>
      </c>
      <c r="E105" s="75">
        <v>0</v>
      </c>
      <c r="F105" s="75">
        <v>0</v>
      </c>
      <c r="G105" s="74" t="s">
        <v>868</v>
      </c>
      <c r="H105" s="74"/>
      <c r="I105" s="74"/>
    </row>
    <row r="106">
      <c r="A106" s="6" t="s">
        <v>873</v>
      </c>
      <c r="B106" s="74"/>
      <c r="C106" s="74"/>
      <c r="D106" s="75">
        <v>65</v>
      </c>
      <c r="E106" s="75">
        <v>18</v>
      </c>
      <c r="F106" s="75">
        <v>17</v>
      </c>
      <c r="G106" s="74" t="s">
        <v>868</v>
      </c>
      <c r="H106" s="74"/>
      <c r="I106" s="74"/>
    </row>
    <row r="107">
      <c r="A107" s="6" t="s">
        <v>874</v>
      </c>
      <c r="B107" s="74"/>
      <c r="C107" s="74"/>
      <c r="D107" s="75">
        <v>44</v>
      </c>
      <c r="E107" s="75">
        <v>11</v>
      </c>
      <c r="F107" s="75">
        <v>14</v>
      </c>
      <c r="G107" s="74" t="s">
        <v>868</v>
      </c>
      <c r="H107" s="74"/>
      <c r="I107" s="74"/>
    </row>
    <row r="108">
      <c r="A108" s="6" t="s">
        <v>875</v>
      </c>
      <c r="B108" s="74"/>
      <c r="C108" s="74"/>
      <c r="D108" s="75">
        <v>48</v>
      </c>
      <c r="E108" s="75">
        <v>0</v>
      </c>
      <c r="F108" s="75">
        <v>0</v>
      </c>
      <c r="G108" s="74" t="s">
        <v>868</v>
      </c>
      <c r="H108" s="74"/>
      <c r="I108" s="74"/>
    </row>
    <row r="109">
      <c r="A109" s="6" t="s">
        <v>876</v>
      </c>
      <c r="B109" s="74"/>
      <c r="C109" s="74"/>
      <c r="D109" s="75">
        <v>0</v>
      </c>
      <c r="E109" s="75">
        <v>0</v>
      </c>
      <c r="F109" s="75">
        <v>0</v>
      </c>
      <c r="G109" s="74" t="s">
        <v>868</v>
      </c>
      <c r="H109" s="74"/>
      <c r="I109" s="74"/>
    </row>
    <row r="110">
      <c r="A110" s="6" t="s">
        <v>877</v>
      </c>
      <c r="B110" s="74"/>
      <c r="C110" s="74"/>
      <c r="D110" s="75">
        <v>0</v>
      </c>
      <c r="E110" s="75">
        <v>0</v>
      </c>
      <c r="F110" s="75">
        <v>15</v>
      </c>
      <c r="G110" s="74" t="s">
        <v>868</v>
      </c>
      <c r="H110" s="74"/>
      <c r="I110" s="74"/>
    </row>
    <row r="111">
      <c r="A111" s="6" t="s">
        <v>878</v>
      </c>
      <c r="B111" s="74"/>
      <c r="C111" s="74"/>
      <c r="D111" s="75">
        <v>0</v>
      </c>
      <c r="E111" s="75">
        <v>0</v>
      </c>
      <c r="F111" s="75">
        <v>10</v>
      </c>
      <c r="G111" s="74" t="s">
        <v>868</v>
      </c>
      <c r="H111" s="74"/>
      <c r="I111" s="74"/>
    </row>
    <row r="112">
      <c r="A112" s="6" t="s">
        <v>879</v>
      </c>
      <c r="B112" s="74"/>
      <c r="C112" s="74"/>
      <c r="D112" s="75">
        <v>64</v>
      </c>
      <c r="E112" s="75">
        <v>14</v>
      </c>
      <c r="F112" s="75">
        <v>11</v>
      </c>
      <c r="G112" s="74" t="s">
        <v>868</v>
      </c>
      <c r="H112" s="74"/>
      <c r="I112" s="74"/>
    </row>
    <row r="113">
      <c r="A113" s="6" t="s">
        <v>880</v>
      </c>
      <c r="B113" s="75">
        <v>606</v>
      </c>
      <c r="C113" s="75">
        <v>657</v>
      </c>
      <c r="D113" s="75">
        <v>2427</v>
      </c>
      <c r="E113" s="75">
        <v>611</v>
      </c>
      <c r="F113" s="75">
        <v>683</v>
      </c>
      <c r="G113" s="74" t="s">
        <v>868</v>
      </c>
      <c r="H113" s="74"/>
      <c r="I113" s="74"/>
    </row>
    <row r="114">
      <c r="A114" s="6" t="s">
        <v>315</v>
      </c>
      <c r="B114" s="74"/>
      <c r="C114" s="74"/>
      <c r="D114" s="75">
        <v>3162</v>
      </c>
      <c r="E114" s="75">
        <v>887</v>
      </c>
      <c r="F114" s="75">
        <v>813</v>
      </c>
      <c r="G114" s="74" t="s">
        <v>868</v>
      </c>
      <c r="H114" s="74"/>
      <c r="I114" s="74"/>
    </row>
    <row r="115">
      <c r="A115" s="6" t="s">
        <v>881</v>
      </c>
      <c r="B115" s="74"/>
      <c r="C115" s="74"/>
      <c r="D115" s="75">
        <v>492</v>
      </c>
      <c r="E115" s="75">
        <v>136</v>
      </c>
      <c r="F115" s="75">
        <v>138</v>
      </c>
      <c r="G115" s="74" t="s">
        <v>868</v>
      </c>
      <c r="H115" s="74"/>
      <c r="I115" s="74"/>
    </row>
    <row r="116">
      <c r="A116" s="6" t="s">
        <v>882</v>
      </c>
      <c r="B116" s="74"/>
      <c r="C116" s="74"/>
      <c r="D116" s="75">
        <v>512</v>
      </c>
      <c r="E116" s="75">
        <v>132</v>
      </c>
      <c r="F116" s="75">
        <v>130</v>
      </c>
      <c r="G116" s="74" t="s">
        <v>868</v>
      </c>
      <c r="H116" s="74"/>
      <c r="I116" s="74"/>
    </row>
    <row r="117">
      <c r="A117" s="6" t="s">
        <v>883</v>
      </c>
      <c r="B117" s="74"/>
      <c r="C117" s="74"/>
      <c r="D117" s="75">
        <v>344</v>
      </c>
      <c r="E117" s="75">
        <v>84</v>
      </c>
      <c r="F117" s="75">
        <v>86</v>
      </c>
      <c r="G117" s="74" t="s">
        <v>868</v>
      </c>
      <c r="H117" s="74"/>
      <c r="I117" s="74"/>
    </row>
    <row r="118">
      <c r="A118" s="6" t="s">
        <v>884</v>
      </c>
      <c r="B118" s="74"/>
      <c r="C118" s="74"/>
      <c r="D118" s="75">
        <v>146</v>
      </c>
      <c r="E118" s="75">
        <v>23</v>
      </c>
      <c r="F118" s="75">
        <v>22</v>
      </c>
      <c r="G118" s="74" t="s">
        <v>868</v>
      </c>
      <c r="H118" s="74"/>
      <c r="I118" s="74"/>
    </row>
    <row r="119">
      <c r="A119" s="6" t="s">
        <v>885</v>
      </c>
      <c r="B119" s="74"/>
      <c r="C119" s="74"/>
      <c r="D119" s="75">
        <v>104</v>
      </c>
      <c r="E119" s="75">
        <v>22</v>
      </c>
      <c r="F119" s="75">
        <v>25</v>
      </c>
      <c r="G119" s="74" t="s">
        <v>868</v>
      </c>
      <c r="H119" s="74"/>
      <c r="I119" s="74"/>
    </row>
    <row r="120">
      <c r="A120" s="6" t="s">
        <v>886</v>
      </c>
      <c r="B120" s="74"/>
      <c r="C120" s="74"/>
      <c r="D120" s="75">
        <v>53</v>
      </c>
      <c r="E120" s="75">
        <v>13</v>
      </c>
      <c r="F120" s="75">
        <v>9</v>
      </c>
      <c r="G120" s="74" t="s">
        <v>868</v>
      </c>
      <c r="H120" s="74"/>
      <c r="I120" s="74"/>
    </row>
    <row r="121">
      <c r="A121" s="6" t="s">
        <v>887</v>
      </c>
      <c r="B121" s="74"/>
      <c r="C121" s="74"/>
      <c r="D121" s="75">
        <v>546</v>
      </c>
      <c r="E121" s="75">
        <v>118</v>
      </c>
      <c r="F121" s="75">
        <v>113</v>
      </c>
      <c r="G121" s="74" t="s">
        <v>868</v>
      </c>
      <c r="H121" s="74"/>
      <c r="I121" s="74"/>
    </row>
    <row r="122">
      <c r="A122" s="6" t="s">
        <v>888</v>
      </c>
      <c r="B122" s="75">
        <v>1303</v>
      </c>
      <c r="C122" s="75">
        <v>1363</v>
      </c>
      <c r="D122" s="75">
        <v>5359</v>
      </c>
      <c r="E122" s="75">
        <v>1415</v>
      </c>
      <c r="F122" s="75">
        <v>1336</v>
      </c>
      <c r="G122" s="74" t="s">
        <v>868</v>
      </c>
      <c r="H122" s="74"/>
      <c r="I122" s="74"/>
    </row>
    <row r="123">
      <c r="A123" s="6" t="s">
        <v>364</v>
      </c>
      <c r="B123" s="75">
        <v>188</v>
      </c>
      <c r="C123" s="75">
        <v>201</v>
      </c>
      <c r="D123" s="75">
        <v>722</v>
      </c>
      <c r="E123" s="75">
        <v>177</v>
      </c>
      <c r="F123" s="75">
        <v>219</v>
      </c>
      <c r="G123" s="74" t="s">
        <v>868</v>
      </c>
      <c r="H123" s="74"/>
      <c r="I123" s="74"/>
    </row>
    <row r="124">
      <c r="A124" s="6" t="s">
        <v>324</v>
      </c>
      <c r="B124" s="75">
        <v>721</v>
      </c>
      <c r="C124" s="75">
        <v>681</v>
      </c>
      <c r="D124" s="75">
        <v>2588</v>
      </c>
      <c r="E124" s="75">
        <v>584</v>
      </c>
      <c r="F124" s="75">
        <v>716</v>
      </c>
      <c r="G124" s="74" t="s">
        <v>868</v>
      </c>
      <c r="H124" s="74"/>
      <c r="I124" s="74"/>
    </row>
    <row r="125">
      <c r="A125" s="6" t="s">
        <v>180</v>
      </c>
      <c r="B125" s="75">
        <v>1726</v>
      </c>
      <c r="C125" s="75">
        <v>1728</v>
      </c>
      <c r="D125" s="75">
        <v>6852</v>
      </c>
      <c r="E125" s="75">
        <v>1695</v>
      </c>
      <c r="F125" s="75">
        <v>1713</v>
      </c>
      <c r="G125" s="74" t="s">
        <v>868</v>
      </c>
      <c r="H125" s="74"/>
      <c r="I125" s="74"/>
    </row>
    <row r="126">
      <c r="A126" s="6" t="s">
        <v>889</v>
      </c>
      <c r="B126" s="75">
        <v>47</v>
      </c>
      <c r="C126" s="75">
        <v>35</v>
      </c>
      <c r="D126" s="75">
        <v>134</v>
      </c>
      <c r="E126" s="75">
        <v>36</v>
      </c>
      <c r="F126" s="75">
        <v>35</v>
      </c>
      <c r="G126" s="74" t="s">
        <v>868</v>
      </c>
      <c r="H126" s="74"/>
      <c r="I126" s="74"/>
    </row>
    <row r="127">
      <c r="A127" s="6" t="s">
        <v>890</v>
      </c>
      <c r="B127" s="75">
        <v>0</v>
      </c>
      <c r="C127" s="75">
        <v>2</v>
      </c>
      <c r="D127" s="75">
        <v>5</v>
      </c>
      <c r="E127" s="75">
        <v>1</v>
      </c>
      <c r="F127" s="75">
        <v>2</v>
      </c>
      <c r="G127" s="74" t="s">
        <v>868</v>
      </c>
      <c r="H127" s="74"/>
      <c r="I127" s="74"/>
    </row>
    <row r="128">
      <c r="A128" s="6" t="s">
        <v>891</v>
      </c>
      <c r="B128" s="74"/>
      <c r="C128" s="74"/>
      <c r="D128" s="75">
        <v>221</v>
      </c>
      <c r="E128" s="75">
        <v>43</v>
      </c>
      <c r="F128" s="75">
        <v>67</v>
      </c>
      <c r="G128" s="74" t="s">
        <v>471</v>
      </c>
      <c r="H128" s="74"/>
      <c r="I128" s="74"/>
    </row>
    <row r="129">
      <c r="A129" s="6" t="s">
        <v>322</v>
      </c>
      <c r="B129" s="75">
        <v>909</v>
      </c>
      <c r="C129" s="75">
        <v>882</v>
      </c>
      <c r="D129" s="75">
        <v>3310</v>
      </c>
      <c r="E129" s="75">
        <v>761</v>
      </c>
      <c r="F129" s="75">
        <v>935</v>
      </c>
      <c r="G129" s="74" t="s">
        <v>892</v>
      </c>
      <c r="H129" s="74"/>
      <c r="I129" s="74"/>
    </row>
    <row r="130">
      <c r="A130" s="6" t="s">
        <v>893</v>
      </c>
      <c r="B130" s="87">
        <v>4.02</v>
      </c>
      <c r="C130" s="87">
        <v>3.86</v>
      </c>
      <c r="D130" s="87">
        <v>14.64</v>
      </c>
      <c r="E130" s="87">
        <v>3.32</v>
      </c>
      <c r="F130" s="87">
        <v>4.24</v>
      </c>
      <c r="G130" s="77" t="s">
        <v>892</v>
      </c>
      <c r="H130" s="77"/>
      <c r="I130" s="77"/>
    </row>
    <row r="131">
      <c r="A131" s="6" t="s">
        <v>894</v>
      </c>
      <c r="B131" s="87">
        <v>4.04</v>
      </c>
      <c r="C131" s="87">
        <v>3.88</v>
      </c>
      <c r="D131" s="87">
        <v>14.71</v>
      </c>
      <c r="E131" s="87">
        <v>3.33</v>
      </c>
      <c r="F131" s="87">
        <v>4.26</v>
      </c>
      <c r="G131" s="77" t="s">
        <v>895</v>
      </c>
      <c r="H131" s="77"/>
      <c r="I131" s="77"/>
    </row>
    <row r="132">
      <c r="A132" s="6" t="s">
        <v>896</v>
      </c>
      <c r="B132" s="75">
        <v>167.567</v>
      </c>
      <c r="C132" s="75">
        <v>166.969</v>
      </c>
      <c r="D132" s="75">
        <v>167.319</v>
      </c>
      <c r="E132" s="75">
        <v>165.047</v>
      </c>
      <c r="F132" s="75">
        <v>160.005</v>
      </c>
      <c r="G132" s="74" t="s">
        <v>895</v>
      </c>
      <c r="H132" s="74"/>
      <c r="I132" s="74"/>
    </row>
    <row r="133">
      <c r="A133" s="6" t="s">
        <v>897</v>
      </c>
      <c r="B133" s="75">
        <v>166.671</v>
      </c>
      <c r="C133" s="74">
        <f>(C124-C126-C127)/C131</f>
        <v>165.97938144329896</v>
      </c>
      <c r="D133" s="75">
        <v>166.479</v>
      </c>
      <c r="E133" s="75">
        <v>164.209</v>
      </c>
      <c r="F133" s="75">
        <v>159.221</v>
      </c>
      <c r="G133" s="74" t="s">
        <v>898</v>
      </c>
      <c r="H133" s="74"/>
      <c r="I133" s="74"/>
    </row>
    <row r="134">
      <c r="A134" s="6" t="s">
        <v>412</v>
      </c>
      <c r="B134" s="74"/>
      <c r="C134" s="75">
        <v>160</v>
      </c>
      <c r="D134" s="74"/>
      <c r="E134" s="74"/>
      <c r="F134" s="75">
        <v>108</v>
      </c>
      <c r="G134" s="74" t="s">
        <v>376</v>
      </c>
      <c r="H134" s="74"/>
      <c r="I134" s="74"/>
    </row>
    <row r="135">
      <c r="A135" s="6" t="s">
        <v>899</v>
      </c>
      <c r="B135" s="88">
        <v>92</v>
      </c>
      <c r="C135" s="88">
        <v>92</v>
      </c>
      <c r="D135" s="88">
        <v>365</v>
      </c>
      <c r="E135" s="88">
        <v>90</v>
      </c>
      <c r="F135" s="88">
        <v>91</v>
      </c>
      <c r="G135" s="78" t="s">
        <v>900</v>
      </c>
      <c r="H135" s="78"/>
      <c r="I135" s="78"/>
    </row>
    <row r="136">
      <c r="A136" s="6" t="s">
        <v>287</v>
      </c>
      <c r="B136" s="74"/>
      <c r="C136" s="74"/>
      <c r="D136" s="75">
        <v>211220</v>
      </c>
      <c r="E136" s="75">
        <v>208321</v>
      </c>
      <c r="F136" s="75">
        <v>210261</v>
      </c>
      <c r="G136" s="74" t="s">
        <v>191</v>
      </c>
      <c r="H136" s="74"/>
      <c r="I136" s="74"/>
    </row>
    <row r="137">
      <c r="A137" s="6" t="s">
        <v>901</v>
      </c>
      <c r="B137" s="74"/>
      <c r="C137" s="74"/>
      <c r="D137" s="75">
        <v>27244</v>
      </c>
      <c r="E137" s="75">
        <v>19695</v>
      </c>
      <c r="F137" s="75">
        <v>19698</v>
      </c>
      <c r="G137" s="74" t="s">
        <v>471</v>
      </c>
      <c r="H137" s="74"/>
      <c r="I137" s="74"/>
    </row>
    <row r="138">
      <c r="A138" s="12" t="s">
        <v>902</v>
      </c>
      <c r="B138" s="69"/>
      <c r="C138" s="69"/>
      <c r="D138" s="82">
        <v>0.0533</v>
      </c>
      <c r="E138" s="82">
        <v>0.044800000000000006</v>
      </c>
      <c r="F138" s="82">
        <v>0.0447</v>
      </c>
      <c r="G138" s="69" t="s">
        <v>471</v>
      </c>
      <c r="H138" s="69"/>
      <c r="I138" s="69"/>
    </row>
    <row r="139">
      <c r="A139" s="6" t="s">
        <v>903</v>
      </c>
      <c r="B139" s="74"/>
      <c r="C139" s="74"/>
      <c r="D139" s="75">
        <v>30755</v>
      </c>
      <c r="E139" s="75">
        <v>34480</v>
      </c>
      <c r="F139" s="75">
        <v>35335</v>
      </c>
      <c r="G139" s="74" t="s">
        <v>471</v>
      </c>
      <c r="H139" s="74"/>
      <c r="I139" s="74"/>
    </row>
    <row r="140">
      <c r="A140" s="12" t="s">
        <v>904</v>
      </c>
      <c r="B140" s="69"/>
      <c r="C140" s="69"/>
      <c r="D140" s="82">
        <v>0.0364</v>
      </c>
      <c r="E140" s="82">
        <v>0.0397</v>
      </c>
      <c r="F140" s="82">
        <v>0.038</v>
      </c>
      <c r="G140" s="69" t="s">
        <v>471</v>
      </c>
      <c r="H140" s="69"/>
      <c r="I140" s="69"/>
    </row>
    <row r="141">
      <c r="A141" s="6" t="s">
        <v>905</v>
      </c>
      <c r="B141" s="74"/>
      <c r="C141" s="74"/>
      <c r="D141" s="75">
        <v>637</v>
      </c>
      <c r="E141" s="75">
        <v>505</v>
      </c>
      <c r="F141" s="75">
        <v>1096</v>
      </c>
      <c r="G141" s="74" t="s">
        <v>471</v>
      </c>
      <c r="H141" s="74"/>
      <c r="I141" s="74"/>
    </row>
    <row r="142">
      <c r="A142" s="12" t="s">
        <v>906</v>
      </c>
      <c r="B142" s="69"/>
      <c r="C142" s="69"/>
      <c r="D142" s="82">
        <v>0.0605</v>
      </c>
      <c r="E142" s="82">
        <v>0.056900000000000006</v>
      </c>
      <c r="F142" s="82">
        <v>0.0812</v>
      </c>
      <c r="G142" s="69" t="s">
        <v>471</v>
      </c>
      <c r="H142" s="69"/>
      <c r="I142" s="69"/>
    </row>
    <row r="143">
      <c r="A143" s="6" t="s">
        <v>907</v>
      </c>
      <c r="B143" s="74"/>
      <c r="C143" s="74"/>
      <c r="D143" s="75">
        <v>58821</v>
      </c>
      <c r="E143" s="75">
        <v>61018</v>
      </c>
      <c r="F143" s="75">
        <v>60991</v>
      </c>
      <c r="G143" s="74" t="s">
        <v>471</v>
      </c>
      <c r="H143" s="74"/>
      <c r="I143" s="74"/>
    </row>
    <row r="144">
      <c r="A144" s="12" t="s">
        <v>908</v>
      </c>
      <c r="B144" s="69"/>
      <c r="C144" s="69"/>
      <c r="D144" s="82">
        <v>0.0689</v>
      </c>
      <c r="E144" s="82">
        <v>0.0636</v>
      </c>
      <c r="F144" s="82">
        <v>0.064</v>
      </c>
      <c r="G144" s="69" t="s">
        <v>471</v>
      </c>
      <c r="H144" s="69"/>
      <c r="I144" s="69"/>
    </row>
    <row r="145">
      <c r="A145" s="6" t="s">
        <v>909</v>
      </c>
      <c r="B145" s="74"/>
      <c r="C145" s="74"/>
      <c r="D145" s="75">
        <v>29885</v>
      </c>
      <c r="E145" s="75">
        <v>25966</v>
      </c>
      <c r="F145" s="75">
        <v>24473</v>
      </c>
      <c r="G145" s="74" t="s">
        <v>471</v>
      </c>
      <c r="H145" s="74"/>
      <c r="I145" s="74"/>
    </row>
    <row r="146">
      <c r="A146" s="12" t="s">
        <v>910</v>
      </c>
      <c r="B146" s="69"/>
      <c r="C146" s="69"/>
      <c r="D146" s="82">
        <v>0.0643</v>
      </c>
      <c r="E146" s="82">
        <v>0.0626</v>
      </c>
      <c r="F146" s="82">
        <v>0.0632</v>
      </c>
      <c r="G146" s="69" t="s">
        <v>471</v>
      </c>
      <c r="H146" s="69"/>
      <c r="I146" s="69"/>
    </row>
    <row r="147">
      <c r="A147" s="6" t="s">
        <v>911</v>
      </c>
      <c r="B147" s="74"/>
      <c r="C147" s="74"/>
      <c r="D147" s="75">
        <v>22855</v>
      </c>
      <c r="E147" s="75">
        <v>23003</v>
      </c>
      <c r="F147" s="75">
        <v>23493</v>
      </c>
      <c r="G147" s="74" t="s">
        <v>471</v>
      </c>
      <c r="H147" s="74"/>
      <c r="I147" s="74"/>
    </row>
    <row r="148">
      <c r="A148" s="12" t="s">
        <v>912</v>
      </c>
      <c r="B148" s="69"/>
      <c r="C148" s="69"/>
      <c r="D148" s="82">
        <v>0.0434</v>
      </c>
      <c r="E148" s="82">
        <v>0.0443</v>
      </c>
      <c r="F148" s="82">
        <v>0.045</v>
      </c>
      <c r="G148" s="69" t="s">
        <v>471</v>
      </c>
      <c r="H148" s="69"/>
      <c r="I148" s="69"/>
    </row>
    <row r="149">
      <c r="A149" s="6" t="s">
        <v>913</v>
      </c>
      <c r="B149" s="74"/>
      <c r="C149" s="74"/>
      <c r="D149" s="75">
        <v>22519</v>
      </c>
      <c r="E149" s="75">
        <v>24352</v>
      </c>
      <c r="F149" s="75">
        <v>25354</v>
      </c>
      <c r="G149" s="74" t="s">
        <v>471</v>
      </c>
      <c r="H149" s="74"/>
      <c r="I149" s="74"/>
    </row>
    <row r="150">
      <c r="A150" s="12" t="s">
        <v>914</v>
      </c>
      <c r="B150" s="69"/>
      <c r="C150" s="69"/>
      <c r="D150" s="82">
        <v>0.0663</v>
      </c>
      <c r="E150" s="82">
        <v>0.06570000000000001</v>
      </c>
      <c r="F150" s="82">
        <v>0.06570000000000001</v>
      </c>
      <c r="G150" s="69" t="s">
        <v>471</v>
      </c>
      <c r="H150" s="69"/>
      <c r="I150" s="69"/>
    </row>
    <row r="151">
      <c r="A151" s="6" t="s">
        <v>915</v>
      </c>
      <c r="B151" s="74"/>
      <c r="C151" s="74"/>
      <c r="D151" s="75">
        <v>102</v>
      </c>
      <c r="E151" s="75">
        <v>97</v>
      </c>
      <c r="F151" s="75">
        <v>95</v>
      </c>
      <c r="G151" s="74" t="s">
        <v>471</v>
      </c>
      <c r="H151" s="74"/>
      <c r="I151" s="74"/>
    </row>
    <row r="152">
      <c r="A152" s="12" t="s">
        <v>916</v>
      </c>
      <c r="B152" s="69"/>
      <c r="C152" s="69"/>
      <c r="D152" s="82">
        <v>0.0342</v>
      </c>
      <c r="E152" s="82">
        <v>0.0347</v>
      </c>
      <c r="F152" s="82">
        <v>0.0347</v>
      </c>
      <c r="G152" s="69" t="s">
        <v>471</v>
      </c>
      <c r="H152" s="69"/>
      <c r="I152" s="69"/>
    </row>
    <row r="153">
      <c r="A153" s="6" t="s">
        <v>917</v>
      </c>
      <c r="B153" s="74"/>
      <c r="C153" s="74"/>
      <c r="D153" s="75">
        <v>97788</v>
      </c>
      <c r="E153" s="75">
        <v>101536</v>
      </c>
      <c r="F153" s="75">
        <v>103934</v>
      </c>
      <c r="G153" s="74" t="s">
        <v>471</v>
      </c>
      <c r="H153" s="74"/>
      <c r="I153" s="74"/>
    </row>
    <row r="154">
      <c r="A154" s="12" t="s">
        <v>918</v>
      </c>
      <c r="B154" s="69"/>
      <c r="C154" s="69"/>
      <c r="D154" s="82">
        <v>0.025699999999999997</v>
      </c>
      <c r="E154" s="82">
        <v>0.022</v>
      </c>
      <c r="F154" s="82">
        <v>0.022400000000000003</v>
      </c>
      <c r="G154" s="69" t="s">
        <v>471</v>
      </c>
      <c r="H154" s="69"/>
      <c r="I154" s="69"/>
    </row>
    <row r="155">
      <c r="A155" s="6" t="s">
        <v>919</v>
      </c>
      <c r="B155" s="74"/>
      <c r="C155" s="74"/>
      <c r="D155" s="75">
        <v>18126</v>
      </c>
      <c r="E155" s="75">
        <v>14107</v>
      </c>
      <c r="F155" s="75">
        <v>14171</v>
      </c>
      <c r="G155" s="74" t="s">
        <v>471</v>
      </c>
      <c r="H155" s="74"/>
      <c r="I155" s="74"/>
    </row>
    <row r="156">
      <c r="A156" s="12" t="s">
        <v>920</v>
      </c>
      <c r="B156" s="69"/>
      <c r="C156" s="69"/>
      <c r="D156" s="82">
        <v>0.0431</v>
      </c>
      <c r="E156" s="82">
        <v>0.035699999999999996</v>
      </c>
      <c r="F156" s="82">
        <v>0.0348</v>
      </c>
      <c r="G156" s="69" t="s">
        <v>471</v>
      </c>
      <c r="H156" s="69"/>
      <c r="I156" s="69"/>
    </row>
    <row r="157">
      <c r="A157" s="6" t="s">
        <v>921</v>
      </c>
      <c r="B157" s="74"/>
      <c r="C157" s="74"/>
      <c r="D157" s="75">
        <v>4440</v>
      </c>
      <c r="E157" s="75">
        <v>2869</v>
      </c>
      <c r="F157" s="75">
        <v>3327</v>
      </c>
      <c r="G157" s="74" t="s">
        <v>471</v>
      </c>
      <c r="H157" s="74"/>
      <c r="I157" s="74"/>
    </row>
    <row r="158">
      <c r="A158" s="12" t="s">
        <v>922</v>
      </c>
      <c r="B158" s="69"/>
      <c r="C158" s="69"/>
      <c r="D158" s="82">
        <v>0.0545</v>
      </c>
      <c r="E158" s="82">
        <v>0.0452</v>
      </c>
      <c r="F158" s="82">
        <v>0.0449</v>
      </c>
      <c r="G158" s="69" t="s">
        <v>471</v>
      </c>
      <c r="H158" s="69"/>
      <c r="I158" s="69"/>
    </row>
    <row r="159">
      <c r="A159" s="6" t="s">
        <v>923</v>
      </c>
      <c r="B159" s="74"/>
      <c r="C159" s="74"/>
      <c r="D159" s="75">
        <v>11083</v>
      </c>
      <c r="E159" s="75">
        <v>11285</v>
      </c>
      <c r="F159" s="75">
        <v>10936</v>
      </c>
      <c r="G159" s="74" t="s">
        <v>471</v>
      </c>
      <c r="H159" s="74"/>
      <c r="I159" s="74"/>
    </row>
    <row r="160">
      <c r="A160" s="12" t="s">
        <v>924</v>
      </c>
      <c r="B160" s="69"/>
      <c r="C160" s="69"/>
      <c r="D160" s="82">
        <v>0.0576</v>
      </c>
      <c r="E160" s="82">
        <v>0.0558</v>
      </c>
      <c r="F160" s="82">
        <v>0.057</v>
      </c>
      <c r="G160" s="69" t="s">
        <v>471</v>
      </c>
      <c r="H160" s="69"/>
      <c r="I160" s="69"/>
    </row>
    <row r="161">
      <c r="A161" s="6" t="s">
        <v>292</v>
      </c>
      <c r="B161" s="74"/>
      <c r="C161" s="74"/>
      <c r="D161" s="75">
        <v>47260</v>
      </c>
      <c r="E161" s="75">
        <v>45436</v>
      </c>
      <c r="F161" s="75">
        <v>45153</v>
      </c>
      <c r="G161" s="74" t="s">
        <v>471</v>
      </c>
      <c r="H161" s="74"/>
      <c r="I161" s="74"/>
    </row>
    <row r="162">
      <c r="A162" s="12" t="s">
        <v>205</v>
      </c>
      <c r="B162" s="69"/>
      <c r="C162" s="69"/>
      <c r="D162" s="82">
        <v>0.0358</v>
      </c>
      <c r="E162" s="82">
        <v>0.0365</v>
      </c>
      <c r="F162" s="82">
        <v>0.0362</v>
      </c>
      <c r="G162" s="69" t="s">
        <v>471</v>
      </c>
      <c r="H162" s="69"/>
      <c r="I162" s="69"/>
    </row>
    <row r="163">
      <c r="A163" s="12" t="s">
        <v>925</v>
      </c>
      <c r="B163" s="69"/>
      <c r="C163" s="69"/>
      <c r="D163" s="82">
        <v>0.0574</v>
      </c>
      <c r="E163" s="82">
        <v>0.055</v>
      </c>
      <c r="F163" s="82">
        <v>0.0551</v>
      </c>
      <c r="G163" s="69" t="s">
        <v>471</v>
      </c>
      <c r="H163" s="69"/>
      <c r="I163" s="69"/>
    </row>
    <row r="164">
      <c r="A164" s="12" t="s">
        <v>926</v>
      </c>
      <c r="B164" s="69"/>
      <c r="C164" s="69"/>
      <c r="D164" s="82">
        <v>0.0317</v>
      </c>
      <c r="E164" s="82">
        <v>0.027000000000000003</v>
      </c>
      <c r="F164" s="82">
        <v>0.0271</v>
      </c>
      <c r="G164" s="69" t="s">
        <v>471</v>
      </c>
      <c r="H164" s="69"/>
      <c r="I164" s="69"/>
    </row>
    <row r="165">
      <c r="A165" s="6" t="s">
        <v>927</v>
      </c>
      <c r="B165" s="74"/>
      <c r="C165" s="75">
        <v>1909</v>
      </c>
      <c r="D165" s="75">
        <v>1909</v>
      </c>
      <c r="E165" s="75">
        <v>2109</v>
      </c>
      <c r="F165" s="75">
        <v>2128</v>
      </c>
      <c r="G165" s="74" t="s">
        <v>928</v>
      </c>
      <c r="H165" s="74"/>
      <c r="I165" s="74"/>
    </row>
    <row r="166">
      <c r="A166" s="6" t="s">
        <v>929</v>
      </c>
      <c r="B166" s="74"/>
      <c r="C166" s="75">
        <v>18873</v>
      </c>
      <c r="D166" s="75">
        <v>18873</v>
      </c>
      <c r="E166" s="75">
        <v>20656</v>
      </c>
      <c r="F166" s="75">
        <v>19297</v>
      </c>
      <c r="G166" s="74" t="s">
        <v>928</v>
      </c>
      <c r="H166" s="74"/>
      <c r="I166" s="74"/>
    </row>
    <row r="167">
      <c r="A167" s="6" t="s">
        <v>930</v>
      </c>
      <c r="B167" s="74"/>
      <c r="C167" s="75">
        <v>34051</v>
      </c>
      <c r="D167" s="75">
        <v>34051</v>
      </c>
      <c r="E167" s="75">
        <v>35137</v>
      </c>
      <c r="F167" s="75">
        <v>35568</v>
      </c>
      <c r="G167" s="74" t="s">
        <v>928</v>
      </c>
      <c r="H167" s="74"/>
      <c r="I167" s="74"/>
    </row>
    <row r="168">
      <c r="A168" s="6" t="s">
        <v>931</v>
      </c>
      <c r="B168" s="74"/>
      <c r="C168" s="75">
        <v>566</v>
      </c>
      <c r="D168" s="75">
        <v>566</v>
      </c>
      <c r="E168" s="75">
        <v>1140</v>
      </c>
      <c r="F168" s="75">
        <v>625</v>
      </c>
      <c r="G168" s="74" t="s">
        <v>928</v>
      </c>
      <c r="H168" s="74"/>
      <c r="I168" s="74"/>
    </row>
    <row r="169">
      <c r="A169" s="6" t="s">
        <v>932</v>
      </c>
      <c r="B169" s="74"/>
      <c r="C169" s="75">
        <v>61436</v>
      </c>
      <c r="D169" s="75">
        <v>61436</v>
      </c>
      <c r="E169" s="75">
        <v>60520</v>
      </c>
      <c r="F169" s="75">
        <v>61642</v>
      </c>
      <c r="G169" s="74" t="s">
        <v>928</v>
      </c>
      <c r="H169" s="74"/>
      <c r="I169" s="74"/>
    </row>
    <row r="170">
      <c r="A170" s="6" t="s">
        <v>933</v>
      </c>
      <c r="B170" s="74"/>
      <c r="C170" s="75">
        <v>26454</v>
      </c>
      <c r="D170" s="75">
        <v>26454</v>
      </c>
      <c r="E170" s="75">
        <v>24982</v>
      </c>
      <c r="F170" s="75">
        <v>24182</v>
      </c>
      <c r="G170" s="74" t="s">
        <v>928</v>
      </c>
      <c r="H170" s="74"/>
      <c r="I170" s="74"/>
    </row>
    <row r="171">
      <c r="A171" s="6" t="s">
        <v>934</v>
      </c>
      <c r="B171" s="74"/>
      <c r="C171" s="75">
        <v>22955</v>
      </c>
      <c r="D171" s="75">
        <v>22955</v>
      </c>
      <c r="E171" s="75">
        <v>23105</v>
      </c>
      <c r="F171" s="75">
        <v>23895</v>
      </c>
      <c r="G171" s="74" t="s">
        <v>928</v>
      </c>
      <c r="H171" s="74"/>
      <c r="I171" s="74"/>
    </row>
    <row r="172">
      <c r="A172" s="6" t="s">
        <v>935</v>
      </c>
      <c r="B172" s="74"/>
      <c r="C172" s="75">
        <v>24170</v>
      </c>
      <c r="D172" s="75">
        <v>24170</v>
      </c>
      <c r="E172" s="75">
        <v>24827</v>
      </c>
      <c r="F172" s="75">
        <v>25772</v>
      </c>
      <c r="G172" s="74" t="s">
        <v>928</v>
      </c>
      <c r="H172" s="74"/>
      <c r="I172" s="74"/>
    </row>
    <row r="173">
      <c r="A173" s="6" t="s">
        <v>936</v>
      </c>
      <c r="B173" s="74"/>
      <c r="C173" s="75">
        <v>2184</v>
      </c>
      <c r="D173" s="75">
        <v>2184</v>
      </c>
      <c r="E173" s="75">
        <v>2200</v>
      </c>
      <c r="F173" s="75">
        <v>2197</v>
      </c>
      <c r="G173" s="74" t="s">
        <v>928</v>
      </c>
      <c r="H173" s="74"/>
      <c r="I173" s="74"/>
    </row>
    <row r="174">
      <c r="A174" s="6" t="s">
        <v>937</v>
      </c>
      <c r="B174" s="74"/>
      <c r="C174" s="75">
        <v>8465</v>
      </c>
      <c r="D174" s="75">
        <v>8465</v>
      </c>
      <c r="E174" s="75">
        <v>8465</v>
      </c>
      <c r="F174" s="75">
        <v>8465</v>
      </c>
      <c r="G174" s="74" t="s">
        <v>928</v>
      </c>
      <c r="H174" s="74"/>
      <c r="I174" s="74"/>
    </row>
    <row r="175">
      <c r="A175" s="6" t="s">
        <v>938</v>
      </c>
      <c r="B175" s="74"/>
      <c r="C175" s="75">
        <v>94</v>
      </c>
      <c r="D175" s="75">
        <v>94</v>
      </c>
      <c r="E175" s="75">
        <v>93</v>
      </c>
      <c r="F175" s="75">
        <v>84</v>
      </c>
      <c r="G175" s="74" t="s">
        <v>928</v>
      </c>
      <c r="H175" s="74"/>
      <c r="I175" s="74"/>
    </row>
    <row r="176">
      <c r="A176" s="6" t="s">
        <v>939</v>
      </c>
      <c r="B176" s="74"/>
      <c r="C176" s="75">
        <v>11316</v>
      </c>
      <c r="D176" s="75">
        <v>11316</v>
      </c>
      <c r="E176" s="75">
        <v>11487</v>
      </c>
      <c r="F176" s="75">
        <v>12123</v>
      </c>
      <c r="G176" s="74" t="s">
        <v>928</v>
      </c>
      <c r="H176" s="74"/>
      <c r="I176" s="74"/>
    </row>
    <row r="177">
      <c r="A177" s="6" t="s">
        <v>940</v>
      </c>
      <c r="B177" s="74"/>
      <c r="C177" s="75">
        <v>46020</v>
      </c>
      <c r="D177" s="75">
        <v>46020</v>
      </c>
      <c r="E177" s="75">
        <v>49051</v>
      </c>
      <c r="F177" s="75">
        <v>47485</v>
      </c>
      <c r="G177" s="74" t="s">
        <v>928</v>
      </c>
      <c r="H177" s="74"/>
      <c r="I177" s="74"/>
    </row>
    <row r="178">
      <c r="A178" s="6" t="s">
        <v>941</v>
      </c>
      <c r="B178" s="74"/>
      <c r="C178" s="75">
        <v>115075</v>
      </c>
      <c r="D178" s="75">
        <v>115075</v>
      </c>
      <c r="E178" s="75">
        <v>116358</v>
      </c>
      <c r="F178" s="75">
        <v>116968</v>
      </c>
      <c r="G178" s="74" t="s">
        <v>928</v>
      </c>
      <c r="H178" s="74"/>
      <c r="I178" s="74"/>
    </row>
    <row r="179">
      <c r="A179" s="6" t="s">
        <v>942</v>
      </c>
      <c r="B179" s="74"/>
      <c r="C179" s="75">
        <v>1060</v>
      </c>
      <c r="D179" s="75">
        <v>1060</v>
      </c>
      <c r="E179" s="75">
        <v>1573</v>
      </c>
      <c r="F179" s="75">
        <v>2071</v>
      </c>
      <c r="G179" s="74" t="s">
        <v>928</v>
      </c>
      <c r="H179" s="74"/>
      <c r="I179" s="74"/>
    </row>
    <row r="180">
      <c r="A180" s="6" t="s">
        <v>943</v>
      </c>
      <c r="B180" s="74"/>
      <c r="C180" s="75">
        <v>12605</v>
      </c>
      <c r="D180" s="75">
        <v>12605</v>
      </c>
      <c r="E180" s="75">
        <v>10496</v>
      </c>
      <c r="F180" s="75">
        <v>12380</v>
      </c>
      <c r="G180" s="74" t="s">
        <v>928</v>
      </c>
      <c r="H180" s="74"/>
      <c r="I180" s="74"/>
    </row>
    <row r="181">
      <c r="A181" s="6" t="s">
        <v>944</v>
      </c>
      <c r="B181" s="74"/>
      <c r="C181" s="75">
        <v>4318</v>
      </c>
      <c r="D181" s="75">
        <v>4318</v>
      </c>
      <c r="E181" s="75">
        <v>3852</v>
      </c>
      <c r="F181" s="75">
        <v>4155</v>
      </c>
      <c r="G181" s="74" t="s">
        <v>928</v>
      </c>
      <c r="H181" s="74"/>
      <c r="I181" s="74"/>
    </row>
    <row r="182">
      <c r="A182" s="6" t="s">
        <v>945</v>
      </c>
      <c r="B182" s="74"/>
      <c r="C182" s="75">
        <v>2394</v>
      </c>
      <c r="D182" s="75">
        <v>2394</v>
      </c>
      <c r="E182" s="75">
        <v>2394</v>
      </c>
      <c r="F182" s="75">
        <v>2394</v>
      </c>
      <c r="G182" s="74" t="s">
        <v>928</v>
      </c>
      <c r="H182" s="74"/>
      <c r="I182" s="74"/>
    </row>
    <row r="183">
      <c r="A183" s="6" t="s">
        <v>946</v>
      </c>
      <c r="B183" s="74"/>
      <c r="C183" s="75">
        <v>26633</v>
      </c>
      <c r="D183" s="75">
        <v>26633</v>
      </c>
      <c r="E183" s="75">
        <v>26597</v>
      </c>
      <c r="F183" s="75">
        <v>26131</v>
      </c>
      <c r="G183" s="74" t="s">
        <v>928</v>
      </c>
      <c r="H183" s="74"/>
      <c r="I183" s="74"/>
    </row>
    <row r="184">
      <c r="A184" s="6" t="s">
        <v>947</v>
      </c>
      <c r="B184" s="74"/>
      <c r="C184" s="74"/>
      <c r="D184" s="74"/>
      <c r="E184" s="74"/>
      <c r="F184" s="75">
        <v>1573</v>
      </c>
      <c r="G184" s="74" t="s">
        <v>928</v>
      </c>
      <c r="H184" s="74"/>
      <c r="I184" s="74"/>
    </row>
    <row r="185">
      <c r="A185" s="6" t="s">
        <v>948</v>
      </c>
      <c r="B185" s="74"/>
      <c r="C185" s="75">
        <v>60</v>
      </c>
      <c r="D185" s="75">
        <v>60</v>
      </c>
      <c r="E185" s="74"/>
      <c r="F185" s="75">
        <v>80</v>
      </c>
      <c r="G185" s="74" t="s">
        <v>928</v>
      </c>
      <c r="H185" s="74"/>
      <c r="I185" s="74"/>
    </row>
    <row r="186">
      <c r="A186" s="6" t="s">
        <v>949</v>
      </c>
      <c r="B186" s="74"/>
      <c r="C186" s="74"/>
      <c r="D186" s="74"/>
      <c r="E186" s="74"/>
      <c r="F186" s="75">
        <v>157608</v>
      </c>
      <c r="G186" s="74" t="s">
        <v>677</v>
      </c>
      <c r="H186" s="74"/>
      <c r="I186" s="74"/>
    </row>
    <row r="187">
      <c r="A187" s="6" t="s">
        <v>950</v>
      </c>
      <c r="B187" s="74"/>
      <c r="C187" s="75">
        <v>165.526</v>
      </c>
      <c r="D187" s="75">
        <v>165.526</v>
      </c>
      <c r="E187" s="74"/>
      <c r="F187" s="75">
        <v>156.532</v>
      </c>
      <c r="G187" s="74" t="s">
        <v>951</v>
      </c>
      <c r="H187" s="74"/>
      <c r="I187" s="74"/>
    </row>
    <row r="188">
      <c r="A188" s="6" t="s">
        <v>952</v>
      </c>
      <c r="B188" s="74"/>
      <c r="C188" s="74">
        <f>C169+C170+C171+C172</f>
        <v>135015</v>
      </c>
      <c r="D188" s="74">
        <f>D169+D170+D171+D172</f>
        <v>135015</v>
      </c>
      <c r="E188" s="74">
        <f>E169+E170+E171+E172</f>
        <v>133434</v>
      </c>
      <c r="F188" s="74">
        <f>F169+F170+F171+F172</f>
        <v>135491</v>
      </c>
      <c r="G188" s="74" t="s">
        <v>953</v>
      </c>
      <c r="H188" s="74"/>
      <c r="I188" s="74"/>
    </row>
    <row r="189">
      <c r="A189" s="6" t="s">
        <v>954</v>
      </c>
      <c r="B189" s="74"/>
      <c r="C189" s="74">
        <f>C177+C178</f>
        <v>161095</v>
      </c>
      <c r="D189" s="74">
        <f>D177+D178</f>
        <v>161095</v>
      </c>
      <c r="E189" s="74">
        <f>E177+E178</f>
        <v>165409</v>
      </c>
      <c r="F189" s="74">
        <f>F177+F178</f>
        <v>164453</v>
      </c>
      <c r="G189" s="74" t="s">
        <v>953</v>
      </c>
      <c r="H189" s="74"/>
      <c r="I189" s="74"/>
    </row>
    <row r="190">
      <c r="A190" s="6" t="s">
        <v>955</v>
      </c>
      <c r="B190" s="74"/>
      <c r="C190" s="74">
        <f>C183</f>
        <v>26633</v>
      </c>
      <c r="D190" s="74">
        <f>D183</f>
        <v>26633</v>
      </c>
      <c r="E190" s="74">
        <f>E183</f>
        <v>26597</v>
      </c>
      <c r="F190" s="74">
        <f>F183</f>
        <v>26131</v>
      </c>
      <c r="G190" s="74" t="s">
        <v>953</v>
      </c>
      <c r="H190" s="74"/>
      <c r="I190" s="74"/>
    </row>
    <row r="191">
      <c r="A191" s="6" t="s">
        <v>956</v>
      </c>
      <c r="B191" s="75">
        <v>9.5</v>
      </c>
      <c r="C191" s="74"/>
      <c r="D191" s="74"/>
      <c r="E191" s="74"/>
      <c r="F191" s="74"/>
      <c r="G191" s="74" t="s">
        <v>957</v>
      </c>
      <c r="H191" s="74"/>
      <c r="I191" s="74"/>
    </row>
    <row r="192">
      <c r="A192" s="6" t="s">
        <v>958</v>
      </c>
      <c r="B192" s="75">
        <v>1740</v>
      </c>
      <c r="C192" s="74"/>
      <c r="D192" s="74"/>
      <c r="E192" s="74"/>
      <c r="F192" s="74"/>
      <c r="G192" s="74" t="s">
        <v>959</v>
      </c>
      <c r="H192" s="74"/>
      <c r="I192" s="74"/>
    </row>
    <row r="193">
      <c r="A193" s="6"/>
      <c r="B193" s="6"/>
      <c r="C193" s="6"/>
      <c r="D193" s="6"/>
      <c r="E193" s="6"/>
      <c r="F193" s="6"/>
      <c r="G193" s="6"/>
      <c r="H193" s="6"/>
      <c r="I193" s="6"/>
    </row>
    <row r="194">
      <c r="A194" s="28" t="s">
        <v>960</v>
      </c>
      <c r="B194" s="6"/>
      <c r="C194" s="6"/>
      <c r="D194" s="6"/>
      <c r="E194" s="6"/>
      <c r="F194" s="6"/>
      <c r="G194" s="6"/>
      <c r="H194" s="6"/>
      <c r="I194" s="6"/>
    </row>
    <row r="195" ht="33">
      <c r="A195" s="61" t="s">
        <v>861</v>
      </c>
      <c r="B195" s="42" t="s">
        <v>961</v>
      </c>
      <c r="C195" s="42" t="s">
        <v>962</v>
      </c>
      <c r="D195" s="42" t="s">
        <v>963</v>
      </c>
      <c r="E195" s="42" t="s">
        <v>964</v>
      </c>
      <c r="F195" s="42" t="s">
        <v>965</v>
      </c>
      <c r="G195" s="42" t="s">
        <v>966</v>
      </c>
      <c r="H195" s="42" t="s">
        <v>967</v>
      </c>
      <c r="I195" s="42"/>
    </row>
    <row r="196">
      <c r="A196" s="6" t="s">
        <v>324</v>
      </c>
      <c r="B196" s="75">
        <v>1300</v>
      </c>
      <c r="C196" s="75">
        <v>2092</v>
      </c>
      <c r="D196" s="74">
        <f>C196</f>
        <v>2092</v>
      </c>
      <c r="E196" s="75">
        <v>2851</v>
      </c>
      <c r="F196" s="75">
        <v>664</v>
      </c>
      <c r="G196" s="75">
        <v>1482</v>
      </c>
      <c r="H196" s="74"/>
      <c r="I196" s="74"/>
    </row>
    <row r="197">
      <c r="A197" s="6" t="s">
        <v>313</v>
      </c>
      <c r="B197" s="75">
        <v>255</v>
      </c>
      <c r="C197" s="75">
        <v>380</v>
      </c>
      <c r="D197" s="74">
        <f>C197</f>
        <v>380</v>
      </c>
      <c r="E197" s="75">
        <v>505</v>
      </c>
      <c r="F197" s="75">
        <v>140</v>
      </c>
      <c r="G197" s="75">
        <v>260</v>
      </c>
      <c r="H197" s="74"/>
      <c r="I197" s="74"/>
    </row>
    <row r="198">
      <c r="A198" s="6" t="s">
        <v>968</v>
      </c>
      <c r="B198" s="75">
        <v>164</v>
      </c>
      <c r="C198" s="75">
        <v>243</v>
      </c>
      <c r="D198" s="74">
        <f>C198</f>
        <v>243</v>
      </c>
      <c r="E198" s="75">
        <v>323</v>
      </c>
      <c r="F198" s="75">
        <v>79</v>
      </c>
      <c r="G198" s="75">
        <v>156</v>
      </c>
      <c r="H198" s="74"/>
      <c r="I198" s="74"/>
    </row>
    <row r="199">
      <c r="A199" s="6" t="s">
        <v>969</v>
      </c>
      <c r="B199" s="75">
        <v>68</v>
      </c>
      <c r="C199" s="75">
        <v>101</v>
      </c>
      <c r="D199" s="74">
        <f>C199</f>
        <v>101</v>
      </c>
      <c r="E199" s="75">
        <v>133</v>
      </c>
      <c r="F199" s="75">
        <v>9</v>
      </c>
      <c r="G199" s="75">
        <v>18</v>
      </c>
      <c r="H199" s="74"/>
      <c r="I199" s="74"/>
    </row>
    <row r="200">
      <c r="A200" s="6" t="s">
        <v>970</v>
      </c>
      <c r="B200" s="75">
        <v>22</v>
      </c>
      <c r="C200" s="75">
        <v>32</v>
      </c>
      <c r="D200" s="74">
        <f>C200</f>
        <v>32</v>
      </c>
      <c r="E200" s="75">
        <v>42</v>
      </c>
      <c r="F200" s="75">
        <v>9</v>
      </c>
      <c r="G200" s="75">
        <v>16</v>
      </c>
      <c r="H200" s="74"/>
      <c r="I200" s="74"/>
    </row>
    <row r="201">
      <c r="A201" s="6" t="s">
        <v>971</v>
      </c>
      <c r="B201" s="75">
        <v>-22</v>
      </c>
      <c r="C201" s="75">
        <v>-38</v>
      </c>
      <c r="D201" s="74">
        <f>C201</f>
        <v>-38</v>
      </c>
      <c r="E201" s="75">
        <v>-18</v>
      </c>
      <c r="F201" s="75">
        <v>14</v>
      </c>
      <c r="G201" s="75">
        <v>30</v>
      </c>
      <c r="H201" s="74"/>
      <c r="I201" s="74"/>
    </row>
    <row r="202">
      <c r="A202" s="6" t="s">
        <v>972</v>
      </c>
      <c r="B202" s="75">
        <v>6</v>
      </c>
      <c r="C202" s="75">
        <v>16</v>
      </c>
      <c r="D202" s="74">
        <f>C202</f>
        <v>16</v>
      </c>
      <c r="E202" s="75">
        <v>18</v>
      </c>
      <c r="F202" s="75">
        <v>3</v>
      </c>
      <c r="G202" s="75">
        <v>3</v>
      </c>
      <c r="H202" s="74"/>
      <c r="I202" s="74"/>
    </row>
    <row r="203">
      <c r="A203" s="6" t="s">
        <v>973</v>
      </c>
      <c r="B203" s="75">
        <v>-35</v>
      </c>
      <c r="C203" s="75">
        <v>-79</v>
      </c>
      <c r="D203" s="74">
        <f>C203</f>
        <v>-79</v>
      </c>
      <c r="E203" s="75">
        <v>-87</v>
      </c>
      <c r="F203" s="75">
        <v>-9</v>
      </c>
      <c r="G203" s="75">
        <v>-13</v>
      </c>
      <c r="H203" s="74"/>
      <c r="I203" s="74"/>
    </row>
    <row r="204">
      <c r="A204" s="6" t="s">
        <v>974</v>
      </c>
      <c r="B204" s="75">
        <v>-13</v>
      </c>
      <c r="C204" s="75">
        <v>-86</v>
      </c>
      <c r="D204" s="74">
        <f>C204</f>
        <v>-86</v>
      </c>
      <c r="E204" s="75">
        <v>-48</v>
      </c>
      <c r="F204" s="75">
        <v>-62</v>
      </c>
      <c r="G204" s="75">
        <v>39</v>
      </c>
      <c r="H204" s="74"/>
      <c r="I204" s="74"/>
    </row>
    <row r="205">
      <c r="A205" s="6" t="s">
        <v>975</v>
      </c>
      <c r="B205" s="75">
        <v>53</v>
      </c>
      <c r="C205" s="75">
        <v>138</v>
      </c>
      <c r="D205" s="74">
        <f>C205</f>
        <v>138</v>
      </c>
      <c r="E205" s="75">
        <v>14</v>
      </c>
      <c r="F205" s="75">
        <v>-97</v>
      </c>
      <c r="G205" s="75">
        <v>-166</v>
      </c>
      <c r="H205" s="74"/>
      <c r="I205" s="74"/>
    </row>
    <row r="206">
      <c r="A206" s="6" t="s">
        <v>976</v>
      </c>
      <c r="B206" s="75">
        <v>-70</v>
      </c>
      <c r="C206" s="75">
        <v>-3</v>
      </c>
      <c r="D206" s="74">
        <f>C206</f>
        <v>-3</v>
      </c>
      <c r="E206" s="75">
        <v>-372</v>
      </c>
      <c r="F206" s="75">
        <v>220</v>
      </c>
      <c r="G206" s="75">
        <v>416</v>
      </c>
      <c r="H206" s="74"/>
      <c r="I206" s="74"/>
    </row>
    <row r="207">
      <c r="A207" s="6" t="s">
        <v>977</v>
      </c>
      <c r="B207" s="75">
        <v>-249</v>
      </c>
      <c r="C207" s="75">
        <v>-316</v>
      </c>
      <c r="D207" s="74">
        <f>C207</f>
        <v>-316</v>
      </c>
      <c r="E207" s="75">
        <v>-358</v>
      </c>
      <c r="F207" s="75">
        <v>42</v>
      </c>
      <c r="G207" s="75">
        <v>39</v>
      </c>
      <c r="H207" s="74"/>
      <c r="I207" s="74"/>
    </row>
    <row r="208">
      <c r="A208" s="6" t="s">
        <v>978</v>
      </c>
      <c r="B208" s="75">
        <v>0</v>
      </c>
      <c r="C208" s="75">
        <v>0</v>
      </c>
      <c r="D208" s="74">
        <f>C208</f>
        <v>0</v>
      </c>
      <c r="E208" s="75">
        <v>48</v>
      </c>
      <c r="F208" s="75">
        <v>2492</v>
      </c>
      <c r="G208" s="75">
        <v>2492</v>
      </c>
      <c r="H208" s="74"/>
      <c r="I208" s="74"/>
    </row>
    <row r="209">
      <c r="A209" s="6" t="s">
        <v>979</v>
      </c>
      <c r="B209" s="75">
        <v>304</v>
      </c>
      <c r="C209" s="75">
        <v>380</v>
      </c>
      <c r="D209" s="74">
        <f>C209</f>
        <v>380</v>
      </c>
      <c r="E209" s="75">
        <v>578</v>
      </c>
      <c r="F209" s="75">
        <v>322</v>
      </c>
      <c r="G209" s="75">
        <v>740</v>
      </c>
      <c r="H209" s="74"/>
      <c r="I209" s="74"/>
    </row>
    <row r="210">
      <c r="A210" s="6" t="s">
        <v>980</v>
      </c>
      <c r="B210" s="75">
        <v>780</v>
      </c>
      <c r="C210" s="75">
        <v>814</v>
      </c>
      <c r="D210" s="74">
        <f>C210</f>
        <v>814</v>
      </c>
      <c r="E210" s="75">
        <v>908</v>
      </c>
      <c r="F210" s="75">
        <v>6</v>
      </c>
      <c r="G210" s="75">
        <v>22</v>
      </c>
      <c r="H210" s="74"/>
      <c r="I210" s="74"/>
    </row>
    <row r="211">
      <c r="A211" s="6" t="s">
        <v>981</v>
      </c>
      <c r="B211" s="75">
        <v>2070</v>
      </c>
      <c r="C211" s="75">
        <v>3644</v>
      </c>
      <c r="D211" s="74">
        <f>C211</f>
        <v>3644</v>
      </c>
      <c r="E211" s="75">
        <v>4456</v>
      </c>
      <c r="F211" s="75">
        <v>1211</v>
      </c>
      <c r="G211" s="75">
        <v>1953</v>
      </c>
      <c r="H211" s="74"/>
      <c r="I211" s="74"/>
    </row>
    <row r="212">
      <c r="A212" s="6" t="s">
        <v>982</v>
      </c>
      <c r="B212" s="75">
        <v>1161</v>
      </c>
      <c r="C212" s="75">
        <v>1480</v>
      </c>
      <c r="D212" s="74">
        <f>C212</f>
        <v>1480</v>
      </c>
      <c r="E212" s="75">
        <v>1766</v>
      </c>
      <c r="F212" s="75">
        <v>315</v>
      </c>
      <c r="G212" s="75">
        <v>611</v>
      </c>
      <c r="H212" s="74"/>
      <c r="I212" s="74"/>
    </row>
    <row r="213">
      <c r="A213" s="6" t="s">
        <v>983</v>
      </c>
      <c r="B213" s="75">
        <v>-4472</v>
      </c>
      <c r="C213" s="75">
        <v>-7561</v>
      </c>
      <c r="D213" s="74">
        <f>C213</f>
        <v>-7561</v>
      </c>
      <c r="E213" s="75">
        <v>-8439</v>
      </c>
      <c r="F213" s="75">
        <v>-5924</v>
      </c>
      <c r="G213" s="75">
        <v>-6943</v>
      </c>
      <c r="H213" s="74"/>
      <c r="I213" s="74"/>
    </row>
    <row r="214">
      <c r="A214" s="6" t="s">
        <v>984</v>
      </c>
      <c r="B214" s="75">
        <v>0</v>
      </c>
      <c r="C214" s="75">
        <v>0</v>
      </c>
      <c r="D214" s="74">
        <f>C214</f>
        <v>0</v>
      </c>
      <c r="E214" s="75">
        <v>0</v>
      </c>
      <c r="F214" s="75">
        <v>0</v>
      </c>
      <c r="G214" s="75">
        <v>-80</v>
      </c>
      <c r="H214" s="74"/>
      <c r="I214" s="74"/>
    </row>
    <row r="215">
      <c r="A215" s="6" t="s">
        <v>985</v>
      </c>
      <c r="B215" s="75">
        <v>-301</v>
      </c>
      <c r="C215" s="75">
        <v>-363</v>
      </c>
      <c r="D215" s="74">
        <f>C215</f>
        <v>-363</v>
      </c>
      <c r="E215" s="75">
        <v>-588</v>
      </c>
      <c r="F215" s="75">
        <v>-579</v>
      </c>
      <c r="G215" s="75">
        <v>-813</v>
      </c>
      <c r="H215" s="74"/>
      <c r="I215" s="74"/>
    </row>
    <row r="216">
      <c r="A216" s="6" t="s">
        <v>986</v>
      </c>
      <c r="B216" s="75">
        <v>-365</v>
      </c>
      <c r="C216" s="75">
        <v>-683</v>
      </c>
      <c r="D216" s="74">
        <f>C216</f>
        <v>-683</v>
      </c>
      <c r="E216" s="75">
        <v>-683</v>
      </c>
      <c r="F216" s="75">
        <v>0</v>
      </c>
      <c r="G216" s="75">
        <v>-259</v>
      </c>
      <c r="H216" s="74"/>
      <c r="I216" s="74"/>
    </row>
    <row r="217">
      <c r="A217" s="6" t="s">
        <v>987</v>
      </c>
      <c r="B217" s="75">
        <v>-1194</v>
      </c>
      <c r="C217" s="75">
        <v>-2017</v>
      </c>
      <c r="D217" s="74">
        <f>C217</f>
        <v>-2017</v>
      </c>
      <c r="E217" s="75">
        <v>-3688</v>
      </c>
      <c r="F217" s="75">
        <v>-1611</v>
      </c>
      <c r="G217" s="75">
        <v>-4942</v>
      </c>
      <c r="H217" s="74"/>
      <c r="I217" s="74"/>
    </row>
    <row r="218">
      <c r="A218" s="6" t="s">
        <v>988</v>
      </c>
      <c r="B218" s="75">
        <v>0</v>
      </c>
      <c r="C218" s="75">
        <v>2122</v>
      </c>
      <c r="D218" s="75">
        <v>0</v>
      </c>
      <c r="E218" s="75">
        <v>0</v>
      </c>
      <c r="F218" s="75">
        <v>0</v>
      </c>
      <c r="G218" s="75">
        <v>0</v>
      </c>
      <c r="H218" s="74"/>
      <c r="I218" s="74"/>
    </row>
    <row r="219">
      <c r="A219" s="6" t="s">
        <v>989</v>
      </c>
      <c r="B219" s="75">
        <v>-51</v>
      </c>
      <c r="C219" s="75">
        <v>-87</v>
      </c>
      <c r="D219" s="74">
        <f>C219</f>
        <v>-87</v>
      </c>
      <c r="E219" s="75">
        <v>-143</v>
      </c>
      <c r="F219" s="75">
        <v>-96</v>
      </c>
      <c r="G219" s="75">
        <v>-117</v>
      </c>
      <c r="H219" s="74"/>
      <c r="I219" s="74"/>
    </row>
    <row r="220">
      <c r="A220" s="6" t="s">
        <v>990</v>
      </c>
      <c r="B220" s="75">
        <v>-712</v>
      </c>
      <c r="C220" s="75">
        <v>-911</v>
      </c>
      <c r="D220" s="74">
        <f>C220</f>
        <v>-911</v>
      </c>
      <c r="E220" s="75">
        <v>-1050</v>
      </c>
      <c r="F220" s="75">
        <v>-280</v>
      </c>
      <c r="G220" s="75">
        <v>-444</v>
      </c>
      <c r="H220" s="74"/>
      <c r="I220" s="74"/>
    </row>
    <row r="221">
      <c r="A221" s="6" t="s">
        <v>991</v>
      </c>
      <c r="B221" s="75">
        <v>219</v>
      </c>
      <c r="C221" s="75">
        <v>198</v>
      </c>
      <c r="D221" s="74">
        <f>C221</f>
        <v>198</v>
      </c>
      <c r="E221" s="75">
        <v>19</v>
      </c>
      <c r="F221" s="75">
        <v>-180</v>
      </c>
      <c r="G221" s="75">
        <v>-370</v>
      </c>
      <c r="H221" s="74"/>
      <c r="I221" s="74"/>
    </row>
    <row r="222">
      <c r="A222" s="6" t="s">
        <v>992</v>
      </c>
      <c r="B222" s="75">
        <v>3357</v>
      </c>
      <c r="C222" s="75">
        <v>2330</v>
      </c>
      <c r="D222" s="74">
        <f>C222</f>
        <v>2330</v>
      </c>
      <c r="E222" s="75">
        <v>5814</v>
      </c>
      <c r="F222" s="75">
        <v>-3168</v>
      </c>
      <c r="G222" s="75">
        <v>1975</v>
      </c>
      <c r="H222" s="74"/>
      <c r="I222" s="74"/>
    </row>
    <row r="223">
      <c r="A223" s="6" t="s">
        <v>993</v>
      </c>
      <c r="B223" s="75">
        <v>1011</v>
      </c>
      <c r="C223" s="75">
        <v>999</v>
      </c>
      <c r="D223" s="74">
        <f>C223</f>
        <v>999</v>
      </c>
      <c r="E223" s="75">
        <v>1089</v>
      </c>
      <c r="F223" s="75">
        <v>5702</v>
      </c>
      <c r="G223" s="75">
        <v>2465</v>
      </c>
      <c r="H223" s="74"/>
      <c r="I223" s="74"/>
    </row>
    <row r="224">
      <c r="A224" s="6" t="s">
        <v>994</v>
      </c>
      <c r="B224" s="75">
        <v>2786</v>
      </c>
      <c r="C224" s="75">
        <v>3533</v>
      </c>
      <c r="D224" s="74">
        <f>C224</f>
        <v>3533</v>
      </c>
      <c r="E224" s="75">
        <v>3533</v>
      </c>
      <c r="F224" s="75">
        <v>508</v>
      </c>
      <c r="G224" s="75">
        <v>3203</v>
      </c>
      <c r="H224" s="74"/>
      <c r="I224" s="74"/>
    </row>
    <row r="225">
      <c r="A225" s="6" t="s">
        <v>995</v>
      </c>
      <c r="B225" s="75">
        <v>-3165</v>
      </c>
      <c r="C225" s="75">
        <v>-3380</v>
      </c>
      <c r="D225" s="74">
        <f>C225</f>
        <v>-3380</v>
      </c>
      <c r="E225" s="75">
        <v>-5380</v>
      </c>
      <c r="F225" s="75">
        <v>-212</v>
      </c>
      <c r="G225" s="75">
        <v>-463</v>
      </c>
      <c r="H225" s="74"/>
      <c r="I225" s="74"/>
    </row>
    <row r="226">
      <c r="A226" s="6" t="s">
        <v>996</v>
      </c>
      <c r="B226" s="75">
        <v>0</v>
      </c>
      <c r="C226" s="75">
        <v>0</v>
      </c>
      <c r="D226" s="74">
        <f>C226</f>
        <v>0</v>
      </c>
      <c r="E226" s="75">
        <v>440</v>
      </c>
      <c r="F226" s="75">
        <v>0</v>
      </c>
      <c r="G226" s="75">
        <v>0</v>
      </c>
      <c r="H226" s="74"/>
      <c r="I226" s="74"/>
    </row>
    <row r="227">
      <c r="A227" s="6" t="s">
        <v>997</v>
      </c>
      <c r="B227" s="75">
        <v>0</v>
      </c>
      <c r="C227" s="75">
        <v>0</v>
      </c>
      <c r="D227" s="74">
        <f>C227</f>
        <v>0</v>
      </c>
      <c r="E227" s="75">
        <v>0</v>
      </c>
      <c r="F227" s="75">
        <v>-400</v>
      </c>
      <c r="G227" s="75">
        <v>-400</v>
      </c>
      <c r="H227" s="74"/>
      <c r="I227" s="74"/>
    </row>
    <row r="228">
      <c r="A228" s="6" t="s">
        <v>998</v>
      </c>
      <c r="B228" s="75">
        <v>-1725</v>
      </c>
      <c r="C228" s="75">
        <v>-2129</v>
      </c>
      <c r="D228" s="74">
        <f>C228</f>
        <v>-2129</v>
      </c>
      <c r="E228" s="75">
        <v>-2631</v>
      </c>
      <c r="F228" s="75">
        <v>-1238</v>
      </c>
      <c r="G228" s="75">
        <v>-1698</v>
      </c>
      <c r="H228" s="74"/>
      <c r="I228" s="74"/>
    </row>
    <row r="229">
      <c r="A229" s="6" t="s">
        <v>999</v>
      </c>
      <c r="B229" s="75">
        <v>-438</v>
      </c>
      <c r="C229" s="75">
        <v>-671</v>
      </c>
      <c r="D229" s="74">
        <f>C229</f>
        <v>-671</v>
      </c>
      <c r="E229" s="75">
        <v>-899</v>
      </c>
      <c r="F229" s="75">
        <v>-227</v>
      </c>
      <c r="G229" s="75">
        <v>-445</v>
      </c>
      <c r="H229" s="74"/>
      <c r="I229" s="74"/>
    </row>
    <row r="230">
      <c r="A230" s="6" t="s">
        <v>1000</v>
      </c>
      <c r="B230" s="75">
        <v>-71</v>
      </c>
      <c r="C230" s="75">
        <v>-112</v>
      </c>
      <c r="D230" s="74">
        <f>C230</f>
        <v>-112</v>
      </c>
      <c r="E230" s="75">
        <v>-146</v>
      </c>
      <c r="F230" s="75">
        <v>-48</v>
      </c>
      <c r="G230" s="75">
        <v>-86</v>
      </c>
      <c r="H230" s="74"/>
      <c r="I230" s="74"/>
    </row>
    <row r="231">
      <c r="A231" s="6" t="s">
        <v>1001</v>
      </c>
      <c r="B231" s="75">
        <v>-30</v>
      </c>
      <c r="C231" s="75">
        <v>-25</v>
      </c>
      <c r="D231" s="74">
        <f>C231</f>
        <v>-25</v>
      </c>
      <c r="E231" s="75">
        <v>-20</v>
      </c>
      <c r="F231" s="75">
        <v>-26</v>
      </c>
      <c r="G231" s="75">
        <v>-12</v>
      </c>
      <c r="H231" s="74"/>
      <c r="I231" s="74"/>
    </row>
    <row r="232">
      <c r="A232" s="28" t="s">
        <v>1002</v>
      </c>
      <c r="B232" s="86">
        <v>1479</v>
      </c>
      <c r="C232" s="86">
        <v>2480</v>
      </c>
      <c r="D232" s="84">
        <f>C232</f>
        <v>2480</v>
      </c>
      <c r="E232" s="86">
        <v>3003</v>
      </c>
      <c r="F232" s="86">
        <v>1012</v>
      </c>
      <c r="G232" s="86">
        <v>2280</v>
      </c>
      <c r="H232" s="84"/>
      <c r="I232" s="84"/>
    </row>
    <row r="233">
      <c r="A233" s="28" t="s">
        <v>1003</v>
      </c>
      <c r="B233" s="86">
        <v>-2561</v>
      </c>
      <c r="C233" s="86">
        <v>-2984</v>
      </c>
      <c r="D233" s="84">
        <f>C233-C218</f>
        <v>-5106</v>
      </c>
      <c r="E233" s="86">
        <v>-6816</v>
      </c>
      <c r="F233" s="86">
        <v>-4324</v>
      </c>
      <c r="G233" s="86">
        <v>-8150</v>
      </c>
      <c r="H233" s="84"/>
      <c r="I233" s="84"/>
    </row>
    <row r="234">
      <c r="A234" s="28" t="s">
        <v>1004</v>
      </c>
      <c r="B234" s="86">
        <v>1725</v>
      </c>
      <c r="C234" s="86">
        <v>545</v>
      </c>
      <c r="D234" s="84">
        <f>C234</f>
        <v>545</v>
      </c>
      <c r="E234" s="86">
        <v>1800</v>
      </c>
      <c r="F234" s="86">
        <v>891</v>
      </c>
      <c r="G234" s="86">
        <v>4539</v>
      </c>
      <c r="H234" s="84"/>
      <c r="I234" s="84"/>
    </row>
    <row r="235">
      <c r="A235" s="12" t="s">
        <v>1005</v>
      </c>
      <c r="B235" s="63">
        <f>SUM(B196:B231)-B232-B233-B234</f>
        <v>0</v>
      </c>
      <c r="C235" s="63">
        <f>SUM(C196:C231)-C232-C233-C234</f>
        <v>0</v>
      </c>
      <c r="D235" s="63">
        <f>SUM(D196:D231)-D232-D233-D234</f>
        <v>0</v>
      </c>
      <c r="E235" s="63">
        <f>SUM(E196:E231)-E232-E233-E234</f>
        <v>0</v>
      </c>
      <c r="F235" s="63">
        <f>SUM(F196:F231)-F232-F233-F234</f>
        <v>0</v>
      </c>
      <c r="G235" s="63">
        <f>SUM(G196:G231)-G232-G233-G234</f>
        <v>0</v>
      </c>
      <c r="H235" s="63"/>
      <c r="I235" s="63"/>
    </row>
    <row r="236">
      <c r="A236" s="6"/>
      <c r="B236" s="6"/>
      <c r="C236" s="6"/>
      <c r="D236" s="6"/>
      <c r="E236" s="6"/>
      <c r="F236" s="6"/>
      <c r="G236" s="6"/>
      <c r="H236" s="6"/>
      <c r="I236" s="6"/>
    </row>
    <row r="237">
      <c r="A237" s="28" t="s">
        <v>1006</v>
      </c>
      <c r="B237" s="6"/>
      <c r="C237" s="6"/>
      <c r="D237" s="6"/>
      <c r="E237" s="6"/>
      <c r="F237" s="6"/>
      <c r="G237" s="6"/>
      <c r="H237" s="6"/>
      <c r="I237" s="6"/>
    </row>
    <row r="238" ht="33">
      <c r="A238" s="61" t="s">
        <v>1007</v>
      </c>
      <c r="B238" s="42" t="s">
        <v>1008</v>
      </c>
      <c r="C238" s="42" t="s">
        <v>1009</v>
      </c>
      <c r="D238" s="42" t="s">
        <v>1010</v>
      </c>
      <c r="E238" s="42" t="s">
        <v>1011</v>
      </c>
      <c r="F238" s="42" t="s">
        <v>961</v>
      </c>
      <c r="G238" s="42" t="s">
        <v>1012</v>
      </c>
      <c r="H238" s="42" t="s">
        <v>964</v>
      </c>
      <c r="I238" s="42" t="s">
        <v>966</v>
      </c>
    </row>
    <row r="239">
      <c r="A239" s="79" t="s">
        <v>269</v>
      </c>
      <c r="B239" s="6"/>
      <c r="C239" s="6"/>
      <c r="D239" s="6"/>
      <c r="E239" s="6"/>
      <c r="F239" s="6"/>
      <c r="G239" s="6"/>
      <c r="H239" s="6"/>
      <c r="I239" s="6"/>
    </row>
    <row r="240">
      <c r="A240" s="6" t="s">
        <v>1013</v>
      </c>
      <c r="B240" s="75">
        <v>551</v>
      </c>
      <c r="C240" s="75">
        <v>1652</v>
      </c>
      <c r="D240" s="75">
        <v>2212</v>
      </c>
      <c r="E240" s="75">
        <v>531</v>
      </c>
      <c r="F240" s="75">
        <v>1060</v>
      </c>
      <c r="G240" s="75">
        <v>1599</v>
      </c>
      <c r="H240" s="75">
        <v>2152</v>
      </c>
      <c r="I240" s="75">
        <v>1094</v>
      </c>
    </row>
    <row r="241">
      <c r="A241" s="6" t="s">
        <v>1014</v>
      </c>
      <c r="B241" s="75">
        <v>172</v>
      </c>
      <c r="C241" s="75">
        <v>487</v>
      </c>
      <c r="D241" s="75">
        <v>672</v>
      </c>
      <c r="E241" s="75">
        <v>205</v>
      </c>
      <c r="F241" s="75">
        <v>378</v>
      </c>
      <c r="G241" s="75">
        <v>587</v>
      </c>
      <c r="H241" s="75">
        <v>795</v>
      </c>
      <c r="I241" s="75">
        <v>386</v>
      </c>
    </row>
    <row r="242">
      <c r="A242" s="6" t="s">
        <v>1015</v>
      </c>
      <c r="B242" s="75">
        <v>723</v>
      </c>
      <c r="C242" s="75">
        <v>2139</v>
      </c>
      <c r="D242" s="75">
        <v>2884</v>
      </c>
      <c r="E242" s="75">
        <v>736</v>
      </c>
      <c r="F242" s="75">
        <v>1438</v>
      </c>
      <c r="G242" s="75">
        <v>2186</v>
      </c>
      <c r="H242" s="75">
        <v>2947</v>
      </c>
      <c r="I242" s="75">
        <v>1480</v>
      </c>
    </row>
    <row r="243">
      <c r="A243" s="6" t="s">
        <v>491</v>
      </c>
      <c r="B243" s="75">
        <v>39</v>
      </c>
      <c r="C243" s="75">
        <v>193</v>
      </c>
      <c r="D243" s="75">
        <v>266</v>
      </c>
      <c r="E243" s="75">
        <v>60</v>
      </c>
      <c r="F243" s="75">
        <v>96</v>
      </c>
      <c r="G243" s="75">
        <v>168</v>
      </c>
      <c r="H243" s="75">
        <v>273</v>
      </c>
      <c r="I243" s="75">
        <v>52</v>
      </c>
    </row>
    <row r="244">
      <c r="A244" s="6" t="s">
        <v>351</v>
      </c>
      <c r="B244" s="75">
        <v>152</v>
      </c>
      <c r="C244" s="75">
        <v>452</v>
      </c>
      <c r="D244" s="75">
        <v>610</v>
      </c>
      <c r="E244" s="75">
        <v>150</v>
      </c>
      <c r="F244" s="75">
        <v>301</v>
      </c>
      <c r="G244" s="75">
        <v>461</v>
      </c>
      <c r="H244" s="75">
        <v>617</v>
      </c>
      <c r="I244" s="75">
        <v>290</v>
      </c>
    </row>
    <row r="245">
      <c r="A245" s="6" t="s">
        <v>1016</v>
      </c>
      <c r="B245" s="75">
        <v>10</v>
      </c>
      <c r="C245" s="75">
        <v>29</v>
      </c>
      <c r="D245" s="75">
        <v>39</v>
      </c>
      <c r="E245" s="75">
        <v>11</v>
      </c>
      <c r="F245" s="75">
        <v>21</v>
      </c>
      <c r="G245" s="75">
        <v>32</v>
      </c>
      <c r="H245" s="75">
        <v>42</v>
      </c>
      <c r="I245" s="75">
        <v>21</v>
      </c>
    </row>
    <row r="246">
      <c r="A246" s="6" t="s">
        <v>1017</v>
      </c>
      <c r="B246" s="75">
        <v>69</v>
      </c>
      <c r="C246" s="75">
        <v>203</v>
      </c>
      <c r="D246" s="75">
        <v>285</v>
      </c>
      <c r="E246" s="75">
        <v>73</v>
      </c>
      <c r="F246" s="75">
        <v>140</v>
      </c>
      <c r="G246" s="75">
        <v>208</v>
      </c>
      <c r="H246" s="75">
        <v>282</v>
      </c>
      <c r="I246" s="75">
        <v>151</v>
      </c>
    </row>
    <row r="247">
      <c r="A247" s="6" t="s">
        <v>1018</v>
      </c>
      <c r="B247" s="75">
        <v>127</v>
      </c>
      <c r="C247" s="75">
        <v>378</v>
      </c>
      <c r="D247" s="75">
        <v>490</v>
      </c>
      <c r="E247" s="75">
        <v>129</v>
      </c>
      <c r="F247" s="75">
        <v>252</v>
      </c>
      <c r="G247" s="75">
        <v>379</v>
      </c>
      <c r="H247" s="75">
        <v>505</v>
      </c>
      <c r="I247" s="75">
        <v>261</v>
      </c>
    </row>
    <row r="248">
      <c r="A248" s="6" t="s">
        <v>1019</v>
      </c>
      <c r="B248" s="75">
        <v>326</v>
      </c>
      <c r="C248" s="75">
        <v>884</v>
      </c>
      <c r="D248" s="75">
        <v>1194</v>
      </c>
      <c r="E248" s="75">
        <v>313</v>
      </c>
      <c r="F248" s="75">
        <v>628</v>
      </c>
      <c r="G248" s="75">
        <v>938</v>
      </c>
      <c r="H248" s="75">
        <v>1228</v>
      </c>
      <c r="I248" s="75">
        <v>705</v>
      </c>
    </row>
    <row r="249">
      <c r="A249" s="6" t="s">
        <v>1020</v>
      </c>
      <c r="B249" s="75">
        <v>87</v>
      </c>
      <c r="C249" s="75">
        <v>239</v>
      </c>
      <c r="D249" s="75">
        <v>323</v>
      </c>
      <c r="E249" s="75">
        <v>82</v>
      </c>
      <c r="F249" s="75">
        <v>166</v>
      </c>
      <c r="G249" s="75">
        <v>248</v>
      </c>
      <c r="H249" s="75">
        <v>324</v>
      </c>
      <c r="I249" s="75">
        <v>184</v>
      </c>
    </row>
    <row r="250">
      <c r="A250" s="6" t="s">
        <v>490</v>
      </c>
      <c r="B250" s="75">
        <v>239</v>
      </c>
      <c r="C250" s="75">
        <v>645</v>
      </c>
      <c r="D250" s="75">
        <v>871</v>
      </c>
      <c r="E250" s="75">
        <v>231</v>
      </c>
      <c r="F250" s="75">
        <v>462</v>
      </c>
      <c r="G250" s="75">
        <v>690</v>
      </c>
      <c r="H250" s="75">
        <v>904</v>
      </c>
      <c r="I250" s="75">
        <v>521</v>
      </c>
    </row>
    <row r="251">
      <c r="A251" s="6" t="s">
        <v>1021</v>
      </c>
      <c r="B251" s="75">
        <v>80434</v>
      </c>
      <c r="C251" s="75">
        <v>80903</v>
      </c>
      <c r="D251" s="75">
        <v>80864</v>
      </c>
      <c r="E251" s="75">
        <v>78497</v>
      </c>
      <c r="F251" s="75">
        <v>78927</v>
      </c>
      <c r="G251" s="75">
        <v>78691</v>
      </c>
      <c r="H251" s="75">
        <v>78574</v>
      </c>
      <c r="I251" s="75">
        <v>79873</v>
      </c>
    </row>
    <row r="252">
      <c r="A252" s="79" t="s">
        <v>270</v>
      </c>
      <c r="B252" s="6"/>
      <c r="C252" s="6"/>
      <c r="D252" s="6"/>
      <c r="E252" s="6"/>
      <c r="F252" s="6"/>
      <c r="G252" s="6"/>
      <c r="H252" s="6"/>
      <c r="I252" s="6"/>
    </row>
    <row r="253">
      <c r="A253" s="6" t="s">
        <v>1013</v>
      </c>
      <c r="B253" s="75">
        <v>1087</v>
      </c>
      <c r="C253" s="75">
        <v>3248</v>
      </c>
      <c r="D253" s="75">
        <v>4288</v>
      </c>
      <c r="E253" s="75">
        <v>988</v>
      </c>
      <c r="F253" s="75">
        <v>1960</v>
      </c>
      <c r="G253" s="75">
        <v>2959</v>
      </c>
      <c r="H253" s="75">
        <v>3947</v>
      </c>
      <c r="I253" s="75">
        <v>1924</v>
      </c>
    </row>
    <row r="254">
      <c r="A254" s="6" t="s">
        <v>1014</v>
      </c>
      <c r="B254" s="75">
        <v>205</v>
      </c>
      <c r="C254" s="75">
        <v>606</v>
      </c>
      <c r="D254" s="75">
        <v>810</v>
      </c>
      <c r="E254" s="75">
        <v>234</v>
      </c>
      <c r="F254" s="75">
        <v>442</v>
      </c>
      <c r="G254" s="75">
        <v>691</v>
      </c>
      <c r="H254" s="75">
        <v>921</v>
      </c>
      <c r="I254" s="75">
        <v>453</v>
      </c>
    </row>
    <row r="255">
      <c r="A255" s="6" t="s">
        <v>1015</v>
      </c>
      <c r="B255" s="75">
        <v>1292</v>
      </c>
      <c r="C255" s="75">
        <v>3854</v>
      </c>
      <c r="D255" s="75">
        <v>5098</v>
      </c>
      <c r="E255" s="75">
        <v>1222</v>
      </c>
      <c r="F255" s="75">
        <v>2402</v>
      </c>
      <c r="G255" s="75">
        <v>3650</v>
      </c>
      <c r="H255" s="75">
        <v>4868</v>
      </c>
      <c r="I255" s="75">
        <v>2377</v>
      </c>
    </row>
    <row r="256">
      <c r="A256" s="6" t="s">
        <v>491</v>
      </c>
      <c r="B256" s="75">
        <v>74</v>
      </c>
      <c r="C256" s="75">
        <v>202</v>
      </c>
      <c r="D256" s="75">
        <v>288</v>
      </c>
      <c r="E256" s="75">
        <v>71</v>
      </c>
      <c r="F256" s="75">
        <v>150</v>
      </c>
      <c r="G256" s="75">
        <v>220</v>
      </c>
      <c r="H256" s="75">
        <v>307</v>
      </c>
      <c r="I256" s="75">
        <v>152</v>
      </c>
    </row>
    <row r="257">
      <c r="A257" s="6" t="s">
        <v>351</v>
      </c>
      <c r="B257" s="75">
        <v>196</v>
      </c>
      <c r="C257" s="75">
        <v>577</v>
      </c>
      <c r="D257" s="75">
        <v>778</v>
      </c>
      <c r="E257" s="75">
        <v>201</v>
      </c>
      <c r="F257" s="75">
        <v>397</v>
      </c>
      <c r="G257" s="75">
        <v>601</v>
      </c>
      <c r="H257" s="75">
        <v>803</v>
      </c>
      <c r="I257" s="75">
        <v>400</v>
      </c>
    </row>
    <row r="258">
      <c r="A258" s="6" t="s">
        <v>1016</v>
      </c>
      <c r="B258" s="75">
        <v>61</v>
      </c>
      <c r="C258" s="75">
        <v>189</v>
      </c>
      <c r="D258" s="75">
        <v>252</v>
      </c>
      <c r="E258" s="75">
        <v>60</v>
      </c>
      <c r="F258" s="75">
        <v>122</v>
      </c>
      <c r="G258" s="75">
        <v>181</v>
      </c>
      <c r="H258" s="75">
        <v>241</v>
      </c>
      <c r="I258" s="75">
        <v>70</v>
      </c>
    </row>
    <row r="259">
      <c r="A259" s="6" t="s">
        <v>1017</v>
      </c>
      <c r="B259" s="75">
        <v>105</v>
      </c>
      <c r="C259" s="75">
        <v>298</v>
      </c>
      <c r="D259" s="75">
        <v>421</v>
      </c>
      <c r="E259" s="75">
        <v>95</v>
      </c>
      <c r="F259" s="75">
        <v>194</v>
      </c>
      <c r="G259" s="75">
        <v>310</v>
      </c>
      <c r="H259" s="75">
        <v>425</v>
      </c>
      <c r="I259" s="75">
        <v>210</v>
      </c>
    </row>
    <row r="260">
      <c r="A260" s="6" t="s">
        <v>1018</v>
      </c>
      <c r="B260" s="75">
        <v>255</v>
      </c>
      <c r="C260" s="75">
        <v>751</v>
      </c>
      <c r="D260" s="75">
        <v>1048</v>
      </c>
      <c r="E260" s="75">
        <v>292</v>
      </c>
      <c r="F260" s="75">
        <v>571</v>
      </c>
      <c r="G260" s="75">
        <v>868</v>
      </c>
      <c r="H260" s="75">
        <v>1161</v>
      </c>
      <c r="I260" s="75">
        <v>602</v>
      </c>
    </row>
    <row r="261">
      <c r="A261" s="6" t="s">
        <v>1019</v>
      </c>
      <c r="B261" s="75">
        <v>601</v>
      </c>
      <c r="C261" s="75">
        <v>1837</v>
      </c>
      <c r="D261" s="75">
        <v>2311</v>
      </c>
      <c r="E261" s="75">
        <v>503</v>
      </c>
      <c r="F261" s="75">
        <v>968</v>
      </c>
      <c r="G261" s="75">
        <v>1470</v>
      </c>
      <c r="H261" s="75">
        <v>1931</v>
      </c>
      <c r="I261" s="75">
        <v>943</v>
      </c>
    </row>
    <row r="262">
      <c r="A262" s="6" t="s">
        <v>1020</v>
      </c>
      <c r="B262" s="75">
        <v>155</v>
      </c>
      <c r="C262" s="75">
        <v>473</v>
      </c>
      <c r="D262" s="75">
        <v>595</v>
      </c>
      <c r="E262" s="75">
        <v>128</v>
      </c>
      <c r="F262" s="75">
        <v>246</v>
      </c>
      <c r="G262" s="75">
        <v>372</v>
      </c>
      <c r="H262" s="75">
        <v>489</v>
      </c>
      <c r="I262" s="75">
        <v>239</v>
      </c>
    </row>
    <row r="263">
      <c r="A263" s="6" t="s">
        <v>490</v>
      </c>
      <c r="B263" s="75">
        <v>446</v>
      </c>
      <c r="C263" s="75">
        <v>1364</v>
      </c>
      <c r="D263" s="75">
        <v>1716</v>
      </c>
      <c r="E263" s="75">
        <v>375</v>
      </c>
      <c r="F263" s="75">
        <v>722</v>
      </c>
      <c r="G263" s="75">
        <v>1098</v>
      </c>
      <c r="H263" s="75">
        <v>1442</v>
      </c>
      <c r="I263" s="75">
        <v>704</v>
      </c>
    </row>
    <row r="264">
      <c r="A264" s="6" t="s">
        <v>1021</v>
      </c>
      <c r="B264" s="75">
        <v>53128</v>
      </c>
      <c r="C264" s="75">
        <v>52771</v>
      </c>
      <c r="D264" s="75">
        <v>53043</v>
      </c>
      <c r="E264" s="75">
        <v>55995</v>
      </c>
      <c r="F264" s="75">
        <v>55193</v>
      </c>
      <c r="G264" s="75">
        <v>56022</v>
      </c>
      <c r="H264" s="75">
        <v>56708</v>
      </c>
      <c r="I264" s="75">
        <v>59516</v>
      </c>
    </row>
    <row r="265">
      <c r="A265" s="79" t="s">
        <v>1022</v>
      </c>
      <c r="B265" s="6"/>
      <c r="C265" s="6"/>
      <c r="D265" s="6"/>
      <c r="E265" s="6"/>
      <c r="F265" s="6"/>
      <c r="G265" s="6"/>
      <c r="H265" s="6"/>
      <c r="I265" s="6"/>
    </row>
    <row r="266">
      <c r="A266" s="6" t="s">
        <v>1013</v>
      </c>
      <c r="B266" s="75">
        <v>185</v>
      </c>
      <c r="C266" s="75">
        <v>565</v>
      </c>
      <c r="D266" s="75">
        <v>748</v>
      </c>
      <c r="E266" s="75">
        <v>166</v>
      </c>
      <c r="F266" s="75">
        <v>337</v>
      </c>
      <c r="G266" s="75">
        <v>500</v>
      </c>
      <c r="H266" s="75">
        <v>655</v>
      </c>
      <c r="I266" s="75">
        <v>305</v>
      </c>
    </row>
    <row r="267">
      <c r="A267" s="6" t="s">
        <v>1014</v>
      </c>
      <c r="B267" s="75">
        <v>204</v>
      </c>
      <c r="C267" s="75">
        <v>602</v>
      </c>
      <c r="D267" s="75">
        <v>809</v>
      </c>
      <c r="E267" s="75">
        <v>225</v>
      </c>
      <c r="F267" s="75">
        <v>434</v>
      </c>
      <c r="G267" s="75">
        <v>678</v>
      </c>
      <c r="H267" s="75">
        <v>907</v>
      </c>
      <c r="I267" s="75">
        <v>456</v>
      </c>
    </row>
    <row r="268">
      <c r="A268" s="6" t="s">
        <v>1015</v>
      </c>
      <c r="B268" s="75">
        <v>389</v>
      </c>
      <c r="C268" s="75">
        <v>1167</v>
      </c>
      <c r="D268" s="75">
        <v>1557</v>
      </c>
      <c r="E268" s="75">
        <v>391</v>
      </c>
      <c r="F268" s="75">
        <v>771</v>
      </c>
      <c r="G268" s="75">
        <v>1178</v>
      </c>
      <c r="H268" s="75">
        <v>1562</v>
      </c>
      <c r="I268" s="75">
        <v>761</v>
      </c>
    </row>
    <row r="269">
      <c r="A269" s="6" t="s">
        <v>491</v>
      </c>
      <c r="B269" s="75">
        <v>3</v>
      </c>
      <c r="C269" s="75">
        <v>6</v>
      </c>
      <c r="D269" s="75">
        <v>6</v>
      </c>
      <c r="E269" s="75">
        <v>2</v>
      </c>
      <c r="F269" s="75">
        <v>5</v>
      </c>
      <c r="G269" s="75">
        <v>5</v>
      </c>
      <c r="H269" s="75">
        <v>5</v>
      </c>
      <c r="I269" s="75">
        <v>0</v>
      </c>
    </row>
    <row r="270">
      <c r="A270" s="6" t="s">
        <v>351</v>
      </c>
      <c r="B270" s="75">
        <v>103</v>
      </c>
      <c r="C270" s="75">
        <v>306</v>
      </c>
      <c r="D270" s="75">
        <v>413</v>
      </c>
      <c r="E270" s="75">
        <v>107</v>
      </c>
      <c r="F270" s="75">
        <v>213</v>
      </c>
      <c r="G270" s="75">
        <v>325</v>
      </c>
      <c r="H270" s="75">
        <v>436</v>
      </c>
      <c r="I270" s="75">
        <v>221</v>
      </c>
    </row>
    <row r="271">
      <c r="A271" s="6" t="s">
        <v>1016</v>
      </c>
      <c r="B271" s="75">
        <v>1</v>
      </c>
      <c r="C271" s="75">
        <v>6</v>
      </c>
      <c r="D271" s="75">
        <v>9</v>
      </c>
      <c r="E271" s="75">
        <v>2</v>
      </c>
      <c r="F271" s="75">
        <v>4</v>
      </c>
      <c r="G271" s="75">
        <v>6</v>
      </c>
      <c r="H271" s="75">
        <v>8</v>
      </c>
      <c r="I271" s="75">
        <v>4</v>
      </c>
    </row>
    <row r="272">
      <c r="A272" s="6" t="s">
        <v>1017</v>
      </c>
      <c r="B272" s="75">
        <v>24</v>
      </c>
      <c r="C272" s="75">
        <v>75</v>
      </c>
      <c r="D272" s="75">
        <v>102</v>
      </c>
      <c r="E272" s="75">
        <v>26</v>
      </c>
      <c r="F272" s="75">
        <v>52</v>
      </c>
      <c r="G272" s="75">
        <v>77</v>
      </c>
      <c r="H272" s="75">
        <v>129</v>
      </c>
      <c r="I272" s="75">
        <v>63</v>
      </c>
    </row>
    <row r="273">
      <c r="A273" s="6" t="s">
        <v>1018</v>
      </c>
      <c r="B273" s="75">
        <v>74</v>
      </c>
      <c r="C273" s="75">
        <v>223</v>
      </c>
      <c r="D273" s="75">
        <v>307</v>
      </c>
      <c r="E273" s="75">
        <v>82</v>
      </c>
      <c r="F273" s="75">
        <v>163</v>
      </c>
      <c r="G273" s="75">
        <v>241</v>
      </c>
      <c r="H273" s="75">
        <v>310</v>
      </c>
      <c r="I273" s="75">
        <v>161</v>
      </c>
    </row>
    <row r="274">
      <c r="A274" s="6" t="s">
        <v>1019</v>
      </c>
      <c r="B274" s="75">
        <v>184</v>
      </c>
      <c r="C274" s="75">
        <v>551</v>
      </c>
      <c r="D274" s="75">
        <v>720</v>
      </c>
      <c r="E274" s="75">
        <v>172</v>
      </c>
      <c r="F274" s="75">
        <v>334</v>
      </c>
      <c r="G274" s="75">
        <v>524</v>
      </c>
      <c r="H274" s="75">
        <v>674</v>
      </c>
      <c r="I274" s="75">
        <v>312</v>
      </c>
    </row>
    <row r="275">
      <c r="A275" s="6" t="s">
        <v>1020</v>
      </c>
      <c r="B275" s="75">
        <v>47</v>
      </c>
      <c r="C275" s="75">
        <v>142</v>
      </c>
      <c r="D275" s="75">
        <v>185</v>
      </c>
      <c r="E275" s="75">
        <v>44</v>
      </c>
      <c r="F275" s="75">
        <v>85</v>
      </c>
      <c r="G275" s="75">
        <v>133</v>
      </c>
      <c r="H275" s="75">
        <v>172</v>
      </c>
      <c r="I275" s="75">
        <v>80</v>
      </c>
    </row>
    <row r="276">
      <c r="A276" s="6" t="s">
        <v>490</v>
      </c>
      <c r="B276" s="75">
        <v>137</v>
      </c>
      <c r="C276" s="75">
        <v>409</v>
      </c>
      <c r="D276" s="75">
        <v>535</v>
      </c>
      <c r="E276" s="75">
        <v>128</v>
      </c>
      <c r="F276" s="75">
        <v>249</v>
      </c>
      <c r="G276" s="75">
        <v>391</v>
      </c>
      <c r="H276" s="75">
        <v>502</v>
      </c>
      <c r="I276" s="75">
        <v>232</v>
      </c>
    </row>
    <row r="277">
      <c r="A277" s="6" t="s">
        <v>1021</v>
      </c>
      <c r="B277" s="75">
        <v>3898</v>
      </c>
      <c r="C277" s="75">
        <v>3735</v>
      </c>
      <c r="D277" s="75">
        <v>3800</v>
      </c>
      <c r="E277" s="75">
        <v>4272</v>
      </c>
      <c r="F277" s="75">
        <v>4187</v>
      </c>
      <c r="G277" s="75">
        <v>4244</v>
      </c>
      <c r="H277" s="75">
        <v>4309</v>
      </c>
      <c r="I277" s="75">
        <v>4736</v>
      </c>
    </row>
    <row r="278">
      <c r="A278" s="79" t="s">
        <v>1023</v>
      </c>
      <c r="B278" s="6"/>
      <c r="C278" s="6"/>
      <c r="D278" s="6"/>
      <c r="E278" s="6"/>
      <c r="F278" s="6"/>
      <c r="G278" s="6"/>
      <c r="H278" s="6"/>
      <c r="I278" s="6"/>
    </row>
    <row r="279">
      <c r="A279" s="6" t="s">
        <v>1013</v>
      </c>
      <c r="B279" s="75">
        <v>-97</v>
      </c>
      <c r="C279" s="75">
        <v>-341</v>
      </c>
      <c r="D279" s="75">
        <v>-396</v>
      </c>
      <c r="E279" s="75">
        <v>28</v>
      </c>
      <c r="F279" s="75">
        <v>51</v>
      </c>
      <c r="G279" s="75">
        <v>111</v>
      </c>
      <c r="H279" s="75">
        <v>194</v>
      </c>
      <c r="I279" s="75">
        <v>221</v>
      </c>
    </row>
    <row r="280">
      <c r="A280" s="6" t="s">
        <v>1014</v>
      </c>
      <c r="B280" s="75">
        <v>25</v>
      </c>
      <c r="C280" s="75">
        <v>75</v>
      </c>
      <c r="D280" s="75">
        <v>136</v>
      </c>
      <c r="E280" s="75">
        <v>19</v>
      </c>
      <c r="F280" s="75">
        <v>40</v>
      </c>
      <c r="G280" s="75">
        <v>90</v>
      </c>
      <c r="H280" s="75">
        <v>119</v>
      </c>
      <c r="I280" s="75">
        <v>134</v>
      </c>
    </row>
    <row r="281">
      <c r="A281" s="6" t="s">
        <v>1015</v>
      </c>
      <c r="B281" s="75">
        <v>-72</v>
      </c>
      <c r="C281" s="75">
        <v>-266</v>
      </c>
      <c r="D281" s="75">
        <v>-260</v>
      </c>
      <c r="E281" s="75">
        <v>47</v>
      </c>
      <c r="F281" s="75">
        <v>91</v>
      </c>
      <c r="G281" s="75">
        <v>201</v>
      </c>
      <c r="H281" s="75">
        <v>313</v>
      </c>
      <c r="I281" s="75">
        <v>355</v>
      </c>
    </row>
    <row r="282">
      <c r="A282" s="6" t="s">
        <v>491</v>
      </c>
      <c r="B282" s="75">
        <v>4</v>
      </c>
      <c r="C282" s="75">
        <v>69</v>
      </c>
      <c r="D282" s="75">
        <v>50</v>
      </c>
      <c r="E282" s="75">
        <v>-8</v>
      </c>
      <c r="F282" s="75">
        <v>4</v>
      </c>
      <c r="G282" s="75">
        <v>-13</v>
      </c>
      <c r="H282" s="75">
        <v>-80</v>
      </c>
      <c r="I282" s="75">
        <v>56</v>
      </c>
    </row>
    <row r="283">
      <c r="A283" s="6" t="s">
        <v>351</v>
      </c>
      <c r="B283" s="75">
        <v>324</v>
      </c>
      <c r="C283" s="75">
        <v>1037</v>
      </c>
      <c r="D283" s="75">
        <v>1361</v>
      </c>
      <c r="E283" s="75">
        <v>355</v>
      </c>
      <c r="F283" s="75">
        <v>789</v>
      </c>
      <c r="G283" s="75">
        <v>1146</v>
      </c>
      <c r="H283" s="75">
        <v>1486</v>
      </c>
      <c r="I283" s="75">
        <v>829</v>
      </c>
    </row>
    <row r="284">
      <c r="A284" s="6" t="s">
        <v>1016</v>
      </c>
      <c r="B284" s="75">
        <v>50</v>
      </c>
      <c r="C284" s="75">
        <v>155</v>
      </c>
      <c r="D284" s="75">
        <v>208</v>
      </c>
      <c r="E284" s="75">
        <v>51</v>
      </c>
      <c r="F284" s="75">
        <v>107</v>
      </c>
      <c r="G284" s="75">
        <v>157</v>
      </c>
      <c r="H284" s="75">
        <v>207</v>
      </c>
      <c r="I284" s="75">
        <v>95</v>
      </c>
    </row>
    <row r="285">
      <c r="A285" s="6" t="s">
        <v>1017</v>
      </c>
      <c r="B285" s="75">
        <v>208</v>
      </c>
      <c r="C285" s="75">
        <v>669</v>
      </c>
      <c r="D285" s="75">
        <v>881</v>
      </c>
      <c r="E285" s="75">
        <v>205</v>
      </c>
      <c r="F285" s="75">
        <v>411</v>
      </c>
      <c r="G285" s="75">
        <v>610</v>
      </c>
      <c r="H285" s="75">
        <v>817</v>
      </c>
      <c r="I285" s="75">
        <v>433</v>
      </c>
    </row>
    <row r="286">
      <c r="A286" s="6" t="s">
        <v>1018</v>
      </c>
      <c r="B286" s="75">
        <v>-456</v>
      </c>
      <c r="C286" s="75">
        <v>-1352</v>
      </c>
      <c r="D286" s="75">
        <v>-1845</v>
      </c>
      <c r="E286" s="75">
        <v>-503</v>
      </c>
      <c r="F286" s="75">
        <v>-986</v>
      </c>
      <c r="G286" s="75">
        <v>-1488</v>
      </c>
      <c r="H286" s="75">
        <v>-1976</v>
      </c>
      <c r="I286" s="75">
        <v>-1024</v>
      </c>
    </row>
    <row r="287">
      <c r="A287" s="6" t="s">
        <v>1019</v>
      </c>
      <c r="B287" s="75">
        <v>-202</v>
      </c>
      <c r="C287" s="75">
        <v>-844</v>
      </c>
      <c r="D287" s="75">
        <v>-915</v>
      </c>
      <c r="E287" s="75">
        <v>-53</v>
      </c>
      <c r="F287" s="75">
        <v>-234</v>
      </c>
      <c r="G287" s="75">
        <v>-211</v>
      </c>
      <c r="H287" s="75">
        <v>-141</v>
      </c>
      <c r="I287" s="75">
        <v>-34</v>
      </c>
    </row>
    <row r="288">
      <c r="A288" s="6" t="s">
        <v>1020</v>
      </c>
      <c r="B288" s="75">
        <v>-101</v>
      </c>
      <c r="C288" s="75">
        <v>-333</v>
      </c>
      <c r="D288" s="75">
        <v>-381</v>
      </c>
      <c r="E288" s="75">
        <v>-35</v>
      </c>
      <c r="F288" s="75">
        <v>-101</v>
      </c>
      <c r="G288" s="75">
        <v>-124</v>
      </c>
      <c r="H288" s="75">
        <v>-144</v>
      </c>
      <c r="I288" s="75">
        <v>-59</v>
      </c>
    </row>
    <row r="289">
      <c r="A289" s="6" t="s">
        <v>490</v>
      </c>
      <c r="B289" s="75">
        <v>-101</v>
      </c>
      <c r="C289" s="75">
        <v>-511</v>
      </c>
      <c r="D289" s="75">
        <v>-534</v>
      </c>
      <c r="E289" s="75">
        <v>-18</v>
      </c>
      <c r="F289" s="75">
        <v>-133</v>
      </c>
      <c r="G289" s="75">
        <v>-87</v>
      </c>
      <c r="H289" s="75">
        <v>3</v>
      </c>
      <c r="I289" s="75">
        <v>25</v>
      </c>
    </row>
    <row r="290">
      <c r="A290" s="6" t="s">
        <v>1021</v>
      </c>
      <c r="B290" s="75">
        <v>72121</v>
      </c>
      <c r="C290" s="75">
        <v>73599</v>
      </c>
      <c r="D290" s="75">
        <v>73513</v>
      </c>
      <c r="E290" s="75">
        <v>71497</v>
      </c>
      <c r="F290" s="75">
        <v>70989</v>
      </c>
      <c r="G290" s="75">
        <v>70932</v>
      </c>
      <c r="H290" s="75">
        <v>71054</v>
      </c>
      <c r="I290" s="75">
        <v>71061</v>
      </c>
    </row>
    <row r="291">
      <c r="A291" s="6"/>
      <c r="B291" s="6"/>
      <c r="C291" s="6"/>
      <c r="D291" s="6"/>
      <c r="E291" s="6"/>
      <c r="F291" s="6"/>
      <c r="G291" s="6"/>
      <c r="H291" s="6"/>
      <c r="I291" s="6"/>
    </row>
    <row r="292">
      <c r="A292" s="28" t="s">
        <v>1024</v>
      </c>
      <c r="B292" s="6"/>
      <c r="C292" s="6"/>
      <c r="D292" s="6"/>
      <c r="E292" s="6"/>
      <c r="F292" s="6"/>
      <c r="G292" s="6"/>
      <c r="H292" s="6"/>
      <c r="I292" s="6"/>
    </row>
    <row r="293" ht="33">
      <c r="A293" s="61" t="s">
        <v>1007</v>
      </c>
      <c r="B293" s="42" t="s">
        <v>862</v>
      </c>
      <c r="C293" s="42" t="s">
        <v>863</v>
      </c>
      <c r="D293" s="42" t="s">
        <v>864</v>
      </c>
      <c r="E293" s="42" t="s">
        <v>865</v>
      </c>
      <c r="F293" s="42" t="s">
        <v>866</v>
      </c>
      <c r="G293" s="42"/>
      <c r="H293" s="42"/>
      <c r="I293" s="42"/>
    </row>
    <row r="294">
      <c r="A294" s="79" t="s">
        <v>269</v>
      </c>
      <c r="B294" s="6"/>
      <c r="C294" s="6"/>
      <c r="D294" s="6"/>
      <c r="E294" s="6"/>
      <c r="F294" s="6"/>
      <c r="G294" s="6"/>
      <c r="H294" s="6"/>
      <c r="I294" s="6"/>
    </row>
    <row r="295">
      <c r="A295" s="6" t="s">
        <v>1013</v>
      </c>
      <c r="B295" s="74">
        <f>B240</f>
        <v>551</v>
      </c>
      <c r="C295" s="74">
        <f>D240-C240</f>
        <v>560</v>
      </c>
      <c r="D295" s="74">
        <f>D240</f>
        <v>2212</v>
      </c>
      <c r="E295" s="74">
        <f>F240-E240</f>
        <v>529</v>
      </c>
      <c r="F295" s="74">
        <f>E240</f>
        <v>531</v>
      </c>
      <c r="G295" s="74"/>
      <c r="H295" s="74"/>
      <c r="I295" s="74"/>
    </row>
    <row r="296">
      <c r="A296" s="6" t="s">
        <v>1014</v>
      </c>
      <c r="B296" s="74">
        <f>B241</f>
        <v>172</v>
      </c>
      <c r="C296" s="74">
        <f>D241-C241</f>
        <v>185</v>
      </c>
      <c r="D296" s="74">
        <f>D241</f>
        <v>672</v>
      </c>
      <c r="E296" s="74">
        <f>F241-E241</f>
        <v>173</v>
      </c>
      <c r="F296" s="74">
        <f>E241</f>
        <v>205</v>
      </c>
      <c r="G296" s="74"/>
      <c r="H296" s="74"/>
      <c r="I296" s="74"/>
    </row>
    <row r="297">
      <c r="A297" s="6" t="s">
        <v>1015</v>
      </c>
      <c r="B297" s="74">
        <f>B242</f>
        <v>723</v>
      </c>
      <c r="C297" s="74">
        <f>D242-C242</f>
        <v>745</v>
      </c>
      <c r="D297" s="74">
        <f>D242</f>
        <v>2884</v>
      </c>
      <c r="E297" s="74">
        <f>F242-E242</f>
        <v>702</v>
      </c>
      <c r="F297" s="74">
        <f>E242</f>
        <v>736</v>
      </c>
      <c r="G297" s="74"/>
      <c r="H297" s="74"/>
      <c r="I297" s="74"/>
    </row>
    <row r="298">
      <c r="A298" s="6" t="s">
        <v>491</v>
      </c>
      <c r="B298" s="74">
        <f>B243</f>
        <v>39</v>
      </c>
      <c r="C298" s="74">
        <f>D243-C243</f>
        <v>73</v>
      </c>
      <c r="D298" s="74">
        <f>D243</f>
        <v>266</v>
      </c>
      <c r="E298" s="74">
        <f>F243-E243</f>
        <v>36</v>
      </c>
      <c r="F298" s="74">
        <f>E243</f>
        <v>60</v>
      </c>
      <c r="G298" s="74"/>
      <c r="H298" s="74"/>
      <c r="I298" s="74"/>
    </row>
    <row r="299">
      <c r="A299" s="6" t="s">
        <v>351</v>
      </c>
      <c r="B299" s="74">
        <f>B244</f>
        <v>152</v>
      </c>
      <c r="C299" s="74">
        <f>D244-C244</f>
        <v>158</v>
      </c>
      <c r="D299" s="74">
        <f>D244</f>
        <v>610</v>
      </c>
      <c r="E299" s="74">
        <f>F244-E244</f>
        <v>151</v>
      </c>
      <c r="F299" s="74">
        <f>E244</f>
        <v>150</v>
      </c>
      <c r="G299" s="74"/>
      <c r="H299" s="74"/>
      <c r="I299" s="74"/>
    </row>
    <row r="300">
      <c r="A300" s="6" t="s">
        <v>1016</v>
      </c>
      <c r="B300" s="74">
        <f>B245</f>
        <v>10</v>
      </c>
      <c r="C300" s="74">
        <f>D245-C245</f>
        <v>10</v>
      </c>
      <c r="D300" s="74">
        <f>D245</f>
        <v>39</v>
      </c>
      <c r="E300" s="74">
        <f>F245-E245</f>
        <v>10</v>
      </c>
      <c r="F300" s="74">
        <f>E245</f>
        <v>11</v>
      </c>
      <c r="G300" s="74"/>
      <c r="H300" s="74"/>
      <c r="I300" s="74"/>
    </row>
    <row r="301">
      <c r="A301" s="6" t="s">
        <v>1017</v>
      </c>
      <c r="B301" s="74">
        <f>B246</f>
        <v>69</v>
      </c>
      <c r="C301" s="74">
        <f>D246-C246</f>
        <v>82</v>
      </c>
      <c r="D301" s="74">
        <f>D246</f>
        <v>285</v>
      </c>
      <c r="E301" s="74">
        <f>F246-E246</f>
        <v>67</v>
      </c>
      <c r="F301" s="74">
        <f>E246</f>
        <v>73</v>
      </c>
      <c r="G301" s="74"/>
      <c r="H301" s="74"/>
      <c r="I301" s="74"/>
    </row>
    <row r="302">
      <c r="A302" s="6" t="s">
        <v>1018</v>
      </c>
      <c r="B302" s="74">
        <f>B247</f>
        <v>127</v>
      </c>
      <c r="C302" s="74">
        <f>D247-C247</f>
        <v>112</v>
      </c>
      <c r="D302" s="74">
        <f>D247</f>
        <v>490</v>
      </c>
      <c r="E302" s="74">
        <f>F247-E247</f>
        <v>123</v>
      </c>
      <c r="F302" s="74">
        <f>E247</f>
        <v>129</v>
      </c>
      <c r="G302" s="74"/>
      <c r="H302" s="74"/>
      <c r="I302" s="74"/>
    </row>
    <row r="303">
      <c r="A303" s="6" t="s">
        <v>1019</v>
      </c>
      <c r="B303" s="74">
        <f>B248</f>
        <v>326</v>
      </c>
      <c r="C303" s="74">
        <f>D248-C248</f>
        <v>310</v>
      </c>
      <c r="D303" s="74">
        <f>D248</f>
        <v>1194</v>
      </c>
      <c r="E303" s="74">
        <f>F248-E248</f>
        <v>315</v>
      </c>
      <c r="F303" s="74">
        <f>E248</f>
        <v>313</v>
      </c>
      <c r="G303" s="74"/>
      <c r="H303" s="74"/>
      <c r="I303" s="74"/>
    </row>
    <row r="304">
      <c r="A304" s="6" t="s">
        <v>1020</v>
      </c>
      <c r="B304" s="74">
        <f>B249</f>
        <v>87</v>
      </c>
      <c r="C304" s="74">
        <f>D249-C249</f>
        <v>84</v>
      </c>
      <c r="D304" s="74">
        <f>D249</f>
        <v>323</v>
      </c>
      <c r="E304" s="74">
        <f>F249-E249</f>
        <v>84</v>
      </c>
      <c r="F304" s="74">
        <f>E249</f>
        <v>82</v>
      </c>
      <c r="G304" s="74"/>
      <c r="H304" s="74"/>
      <c r="I304" s="74"/>
    </row>
    <row r="305">
      <c r="A305" s="6" t="s">
        <v>490</v>
      </c>
      <c r="B305" s="74">
        <f>B250</f>
        <v>239</v>
      </c>
      <c r="C305" s="74">
        <f>D250-C250</f>
        <v>226</v>
      </c>
      <c r="D305" s="74">
        <f>D250</f>
        <v>871</v>
      </c>
      <c r="E305" s="74">
        <f>F250-E250</f>
        <v>231</v>
      </c>
      <c r="F305" s="74">
        <f>E250</f>
        <v>231</v>
      </c>
      <c r="G305" s="74"/>
      <c r="H305" s="74"/>
      <c r="I305" s="74"/>
    </row>
    <row r="306">
      <c r="A306" s="6" t="s">
        <v>1021</v>
      </c>
      <c r="B306" s="74">
        <f>B251</f>
        <v>80434</v>
      </c>
      <c r="C306" s="74">
        <f>(D251*D$346-C251*(D$346-C$346))/C$346</f>
        <v>80747.84782608696</v>
      </c>
      <c r="D306" s="74">
        <f>D251</f>
        <v>80864</v>
      </c>
      <c r="E306" s="74">
        <f>(F251*(E$346+F$346)-E251*F$346)/E$346</f>
        <v>79361.77777777778</v>
      </c>
      <c r="F306" s="74">
        <f>E251</f>
        <v>78497</v>
      </c>
      <c r="G306" s="74"/>
      <c r="H306" s="74"/>
      <c r="I306" s="74"/>
    </row>
    <row r="307">
      <c r="A307" s="79" t="s">
        <v>270</v>
      </c>
      <c r="B307" s="6"/>
      <c r="C307" s="6"/>
      <c r="D307" s="6"/>
      <c r="E307" s="6"/>
      <c r="F307" s="6"/>
      <c r="G307" s="6"/>
      <c r="H307" s="6"/>
      <c r="I307" s="6"/>
    </row>
    <row r="308">
      <c r="A308" s="6" t="s">
        <v>1013</v>
      </c>
      <c r="B308" s="74">
        <f>B253</f>
        <v>1087</v>
      </c>
      <c r="C308" s="74">
        <f>D253-C253</f>
        <v>1040</v>
      </c>
      <c r="D308" s="74">
        <f>D253</f>
        <v>4288</v>
      </c>
      <c r="E308" s="74">
        <f>F253-E253</f>
        <v>972</v>
      </c>
      <c r="F308" s="74">
        <f>E253</f>
        <v>988</v>
      </c>
      <c r="G308" s="74"/>
      <c r="H308" s="74"/>
      <c r="I308" s="74"/>
    </row>
    <row r="309">
      <c r="A309" s="6" t="s">
        <v>1014</v>
      </c>
      <c r="B309" s="74">
        <f>B254</f>
        <v>205</v>
      </c>
      <c r="C309" s="74">
        <f>D254-C254</f>
        <v>204</v>
      </c>
      <c r="D309" s="74">
        <f>D254</f>
        <v>810</v>
      </c>
      <c r="E309" s="74">
        <f>F254-E254</f>
        <v>208</v>
      </c>
      <c r="F309" s="74">
        <f>E254</f>
        <v>234</v>
      </c>
      <c r="G309" s="74"/>
      <c r="H309" s="74"/>
      <c r="I309" s="74"/>
    </row>
    <row r="310">
      <c r="A310" s="6" t="s">
        <v>1015</v>
      </c>
      <c r="B310" s="74">
        <f>B255</f>
        <v>1292</v>
      </c>
      <c r="C310" s="74">
        <f>D255-C255</f>
        <v>1244</v>
      </c>
      <c r="D310" s="74">
        <f>D255</f>
        <v>5098</v>
      </c>
      <c r="E310" s="74">
        <f>F255-E255</f>
        <v>1180</v>
      </c>
      <c r="F310" s="74">
        <f>E255</f>
        <v>1222</v>
      </c>
      <c r="G310" s="74"/>
      <c r="H310" s="74"/>
      <c r="I310" s="74"/>
    </row>
    <row r="311">
      <c r="A311" s="6" t="s">
        <v>491</v>
      </c>
      <c r="B311" s="74">
        <f>B256</f>
        <v>74</v>
      </c>
      <c r="C311" s="74">
        <f>D256-C256</f>
        <v>86</v>
      </c>
      <c r="D311" s="74">
        <f>D256</f>
        <v>288</v>
      </c>
      <c r="E311" s="74">
        <f>F256-E256</f>
        <v>79</v>
      </c>
      <c r="F311" s="74">
        <f>E256</f>
        <v>71</v>
      </c>
      <c r="G311" s="74"/>
      <c r="H311" s="74"/>
      <c r="I311" s="74"/>
    </row>
    <row r="312">
      <c r="A312" s="6" t="s">
        <v>351</v>
      </c>
      <c r="B312" s="74">
        <f>B257</f>
        <v>196</v>
      </c>
      <c r="C312" s="74">
        <f>D257-C257</f>
        <v>201</v>
      </c>
      <c r="D312" s="74">
        <f>D257</f>
        <v>778</v>
      </c>
      <c r="E312" s="74">
        <f>F257-E257</f>
        <v>196</v>
      </c>
      <c r="F312" s="74">
        <f>E257</f>
        <v>201</v>
      </c>
      <c r="G312" s="74"/>
      <c r="H312" s="74"/>
      <c r="I312" s="74"/>
    </row>
    <row r="313">
      <c r="A313" s="6" t="s">
        <v>1016</v>
      </c>
      <c r="B313" s="74">
        <f>B258</f>
        <v>61</v>
      </c>
      <c r="C313" s="74">
        <f>D258-C258</f>
        <v>63</v>
      </c>
      <c r="D313" s="74">
        <f>D258</f>
        <v>252</v>
      </c>
      <c r="E313" s="74">
        <f>F258-E258</f>
        <v>62</v>
      </c>
      <c r="F313" s="74">
        <f>E258</f>
        <v>60</v>
      </c>
      <c r="G313" s="74"/>
      <c r="H313" s="74"/>
      <c r="I313" s="74"/>
    </row>
    <row r="314">
      <c r="A314" s="6" t="s">
        <v>1017</v>
      </c>
      <c r="B314" s="74">
        <f>B259</f>
        <v>105</v>
      </c>
      <c r="C314" s="74">
        <f>D259-C259</f>
        <v>123</v>
      </c>
      <c r="D314" s="74">
        <f>D259</f>
        <v>421</v>
      </c>
      <c r="E314" s="74">
        <f>F259-E259</f>
        <v>99</v>
      </c>
      <c r="F314" s="74">
        <f>E259</f>
        <v>95</v>
      </c>
      <c r="G314" s="74"/>
      <c r="H314" s="74"/>
      <c r="I314" s="74"/>
    </row>
    <row r="315">
      <c r="A315" s="6" t="s">
        <v>1018</v>
      </c>
      <c r="B315" s="74">
        <f>B260</f>
        <v>255</v>
      </c>
      <c r="C315" s="74">
        <f>D260-C260</f>
        <v>297</v>
      </c>
      <c r="D315" s="74">
        <f>D260</f>
        <v>1048</v>
      </c>
      <c r="E315" s="74">
        <f>F260-E260</f>
        <v>279</v>
      </c>
      <c r="F315" s="74">
        <f>E260</f>
        <v>292</v>
      </c>
      <c r="G315" s="74"/>
      <c r="H315" s="74"/>
      <c r="I315" s="74"/>
    </row>
    <row r="316">
      <c r="A316" s="6" t="s">
        <v>1019</v>
      </c>
      <c r="B316" s="74">
        <f>B261</f>
        <v>601</v>
      </c>
      <c r="C316" s="74">
        <f>D261-C261</f>
        <v>474</v>
      </c>
      <c r="D316" s="74">
        <f>D261</f>
        <v>2311</v>
      </c>
      <c r="E316" s="74">
        <f>F261-E261</f>
        <v>465</v>
      </c>
      <c r="F316" s="74">
        <f>E261</f>
        <v>503</v>
      </c>
      <c r="G316" s="74"/>
      <c r="H316" s="74"/>
      <c r="I316" s="74"/>
    </row>
    <row r="317">
      <c r="A317" s="6" t="s">
        <v>1020</v>
      </c>
      <c r="B317" s="74">
        <f>B262</f>
        <v>155</v>
      </c>
      <c r="C317" s="74">
        <f>D262-C262</f>
        <v>122</v>
      </c>
      <c r="D317" s="74">
        <f>D262</f>
        <v>595</v>
      </c>
      <c r="E317" s="74">
        <f>F262-E262</f>
        <v>118</v>
      </c>
      <c r="F317" s="74">
        <f>E262</f>
        <v>128</v>
      </c>
      <c r="G317" s="74"/>
      <c r="H317" s="74"/>
      <c r="I317" s="74"/>
    </row>
    <row r="318">
      <c r="A318" s="6" t="s">
        <v>490</v>
      </c>
      <c r="B318" s="74">
        <f>B263</f>
        <v>446</v>
      </c>
      <c r="C318" s="74">
        <f>D263-C263</f>
        <v>352</v>
      </c>
      <c r="D318" s="74">
        <f>D263</f>
        <v>1716</v>
      </c>
      <c r="E318" s="74">
        <f>F263-E263</f>
        <v>347</v>
      </c>
      <c r="F318" s="74">
        <f>E263</f>
        <v>375</v>
      </c>
      <c r="G318" s="74"/>
      <c r="H318" s="74"/>
      <c r="I318" s="74"/>
    </row>
    <row r="319">
      <c r="A319" s="6" t="s">
        <v>1021</v>
      </c>
      <c r="B319" s="74">
        <f>B264</f>
        <v>53128</v>
      </c>
      <c r="C319" s="74">
        <f>(D264*D$346-C264*(D$346-C$346))/C$346</f>
        <v>53853.086956521736</v>
      </c>
      <c r="D319" s="74">
        <f>D264</f>
        <v>53043</v>
      </c>
      <c r="E319" s="74">
        <f>(F264*(E$346+F$346)-E264*F$346)/E$346</f>
        <v>54382.08888888889</v>
      </c>
      <c r="F319" s="74">
        <f>E264</f>
        <v>55995</v>
      </c>
      <c r="G319" s="74"/>
      <c r="H319" s="74"/>
      <c r="I319" s="74"/>
    </row>
    <row r="320">
      <c r="A320" s="79" t="s">
        <v>1022</v>
      </c>
      <c r="B320" s="6"/>
      <c r="C320" s="6"/>
      <c r="D320" s="6"/>
      <c r="E320" s="6"/>
      <c r="F320" s="6"/>
      <c r="G320" s="6"/>
      <c r="H320" s="6"/>
      <c r="I320" s="6"/>
    </row>
    <row r="321">
      <c r="A321" s="6" t="s">
        <v>1013</v>
      </c>
      <c r="B321" s="74">
        <f>B266</f>
        <v>185</v>
      </c>
      <c r="C321" s="74">
        <f>D266-C266</f>
        <v>183</v>
      </c>
      <c r="D321" s="74">
        <f>D266</f>
        <v>748</v>
      </c>
      <c r="E321" s="74">
        <f>F266-E266</f>
        <v>171</v>
      </c>
      <c r="F321" s="74">
        <f>E266</f>
        <v>166</v>
      </c>
      <c r="G321" s="74"/>
      <c r="H321" s="74"/>
      <c r="I321" s="74"/>
    </row>
    <row r="322">
      <c r="A322" s="6" t="s">
        <v>1014</v>
      </c>
      <c r="B322" s="74">
        <f>B267</f>
        <v>204</v>
      </c>
      <c r="C322" s="74">
        <f>D267-C267</f>
        <v>207</v>
      </c>
      <c r="D322" s="74">
        <f>D267</f>
        <v>809</v>
      </c>
      <c r="E322" s="74">
        <f>F267-E267</f>
        <v>209</v>
      </c>
      <c r="F322" s="74">
        <f>E267</f>
        <v>225</v>
      </c>
      <c r="G322" s="74"/>
      <c r="H322" s="74"/>
      <c r="I322" s="74"/>
    </row>
    <row r="323">
      <c r="A323" s="6" t="s">
        <v>1015</v>
      </c>
      <c r="B323" s="74">
        <f>B268</f>
        <v>389</v>
      </c>
      <c r="C323" s="74">
        <f>D268-C268</f>
        <v>390</v>
      </c>
      <c r="D323" s="74">
        <f>D268</f>
        <v>1557</v>
      </c>
      <c r="E323" s="74">
        <f>F268-E268</f>
        <v>380</v>
      </c>
      <c r="F323" s="74">
        <f>E268</f>
        <v>391</v>
      </c>
      <c r="G323" s="74"/>
      <c r="H323" s="74"/>
      <c r="I323" s="74"/>
    </row>
    <row r="324">
      <c r="A324" s="6" t="s">
        <v>491</v>
      </c>
      <c r="B324" s="74">
        <f>B269</f>
        <v>3</v>
      </c>
      <c r="C324" s="74">
        <f>D269-C269</f>
        <v>0</v>
      </c>
      <c r="D324" s="74">
        <f>D269</f>
        <v>6</v>
      </c>
      <c r="E324" s="74">
        <f>F269-E269</f>
        <v>3</v>
      </c>
      <c r="F324" s="74">
        <f>E269</f>
        <v>2</v>
      </c>
      <c r="G324" s="74"/>
      <c r="H324" s="74"/>
      <c r="I324" s="74"/>
    </row>
    <row r="325">
      <c r="A325" s="6" t="s">
        <v>351</v>
      </c>
      <c r="B325" s="74">
        <f>B270</f>
        <v>103</v>
      </c>
      <c r="C325" s="74">
        <f>D270-C270</f>
        <v>107</v>
      </c>
      <c r="D325" s="74">
        <f>D270</f>
        <v>413</v>
      </c>
      <c r="E325" s="74">
        <f>F270-E270</f>
        <v>106</v>
      </c>
      <c r="F325" s="74">
        <f>E270</f>
        <v>107</v>
      </c>
      <c r="G325" s="74"/>
      <c r="H325" s="74"/>
      <c r="I325" s="74"/>
    </row>
    <row r="326">
      <c r="A326" s="6" t="s">
        <v>1016</v>
      </c>
      <c r="B326" s="74">
        <f>B271</f>
        <v>1</v>
      </c>
      <c r="C326" s="74">
        <f>D271-C271</f>
        <v>3</v>
      </c>
      <c r="D326" s="74">
        <f>D271</f>
        <v>9</v>
      </c>
      <c r="E326" s="74">
        <f>F271-E271</f>
        <v>2</v>
      </c>
      <c r="F326" s="74">
        <f>E271</f>
        <v>2</v>
      </c>
      <c r="G326" s="74"/>
      <c r="H326" s="74"/>
      <c r="I326" s="74"/>
    </row>
    <row r="327">
      <c r="A327" s="6" t="s">
        <v>1017</v>
      </c>
      <c r="B327" s="74">
        <f>B272</f>
        <v>24</v>
      </c>
      <c r="C327" s="74">
        <f>D272-C272</f>
        <v>27</v>
      </c>
      <c r="D327" s="74">
        <f>D272</f>
        <v>102</v>
      </c>
      <c r="E327" s="74">
        <f>F272-E272</f>
        <v>26</v>
      </c>
      <c r="F327" s="74">
        <f>E272</f>
        <v>26</v>
      </c>
      <c r="G327" s="74"/>
      <c r="H327" s="74"/>
      <c r="I327" s="74"/>
    </row>
    <row r="328">
      <c r="A328" s="6" t="s">
        <v>1018</v>
      </c>
      <c r="B328" s="74">
        <f>B273</f>
        <v>74</v>
      </c>
      <c r="C328" s="74">
        <f>D273-C273</f>
        <v>84</v>
      </c>
      <c r="D328" s="74">
        <f>D273</f>
        <v>307</v>
      </c>
      <c r="E328" s="74">
        <f>F273-E273</f>
        <v>81</v>
      </c>
      <c r="F328" s="74">
        <f>E273</f>
        <v>82</v>
      </c>
      <c r="G328" s="74"/>
      <c r="H328" s="74"/>
      <c r="I328" s="74"/>
    </row>
    <row r="329">
      <c r="A329" s="6" t="s">
        <v>1019</v>
      </c>
      <c r="B329" s="74">
        <f>B274</f>
        <v>184</v>
      </c>
      <c r="C329" s="74">
        <f>D274-C274</f>
        <v>169</v>
      </c>
      <c r="D329" s="74">
        <f>D274</f>
        <v>720</v>
      </c>
      <c r="E329" s="74">
        <f>F274-E274</f>
        <v>162</v>
      </c>
      <c r="F329" s="74">
        <f>E274</f>
        <v>172</v>
      </c>
      <c r="G329" s="74"/>
      <c r="H329" s="74"/>
      <c r="I329" s="74"/>
    </row>
    <row r="330">
      <c r="A330" s="6" t="s">
        <v>1020</v>
      </c>
      <c r="B330" s="74">
        <f>B275</f>
        <v>47</v>
      </c>
      <c r="C330" s="74">
        <f>D275-C275</f>
        <v>43</v>
      </c>
      <c r="D330" s="74">
        <f>D275</f>
        <v>185</v>
      </c>
      <c r="E330" s="74">
        <f>F275-E275</f>
        <v>41</v>
      </c>
      <c r="F330" s="74">
        <f>E275</f>
        <v>44</v>
      </c>
      <c r="G330" s="74"/>
      <c r="H330" s="74"/>
      <c r="I330" s="74"/>
    </row>
    <row r="331">
      <c r="A331" s="6" t="s">
        <v>490</v>
      </c>
      <c r="B331" s="74">
        <f>B276</f>
        <v>137</v>
      </c>
      <c r="C331" s="74">
        <f>D276-C276</f>
        <v>126</v>
      </c>
      <c r="D331" s="74">
        <f>D276</f>
        <v>535</v>
      </c>
      <c r="E331" s="74">
        <f>F276-E276</f>
        <v>121</v>
      </c>
      <c r="F331" s="74">
        <f>E276</f>
        <v>128</v>
      </c>
      <c r="G331" s="74"/>
      <c r="H331" s="74"/>
      <c r="I331" s="74"/>
    </row>
    <row r="332">
      <c r="A332" s="6" t="s">
        <v>1021</v>
      </c>
      <c r="B332" s="74">
        <f>B277</f>
        <v>3898</v>
      </c>
      <c r="C332" s="74">
        <f>(D277*D$346-C277*(D$346-C$346))/C$346</f>
        <v>3993.586956521739</v>
      </c>
      <c r="D332" s="74">
        <f>D277</f>
        <v>3800</v>
      </c>
      <c r="E332" s="74">
        <f>(F277*(E$346+F$346)-E277*F$346)/E$346</f>
        <v>4101.055555555556</v>
      </c>
      <c r="F332" s="74">
        <f>E277</f>
        <v>4272</v>
      </c>
      <c r="G332" s="74"/>
      <c r="H332" s="74"/>
      <c r="I332" s="74"/>
    </row>
    <row r="333">
      <c r="A333" s="79" t="s">
        <v>1023</v>
      </c>
      <c r="B333" s="6"/>
      <c r="C333" s="6"/>
      <c r="D333" s="6"/>
      <c r="E333" s="6"/>
      <c r="F333" s="6"/>
      <c r="G333" s="6"/>
      <c r="H333" s="6"/>
      <c r="I333" s="6"/>
    </row>
    <row r="334">
      <c r="A334" s="6" t="s">
        <v>1013</v>
      </c>
      <c r="B334" s="74">
        <f>B279</f>
        <v>-97</v>
      </c>
      <c r="C334" s="74">
        <f>D279-C279</f>
        <v>-55</v>
      </c>
      <c r="D334" s="74">
        <f>D279</f>
        <v>-396</v>
      </c>
      <c r="E334" s="74">
        <f>F279-E279</f>
        <v>23</v>
      </c>
      <c r="F334" s="74">
        <f>E279</f>
        <v>28</v>
      </c>
      <c r="G334" s="74"/>
      <c r="H334" s="74"/>
      <c r="I334" s="74"/>
    </row>
    <row r="335">
      <c r="A335" s="6" t="s">
        <v>1014</v>
      </c>
      <c r="B335" s="74">
        <f>B280</f>
        <v>25</v>
      </c>
      <c r="C335" s="74">
        <f>D280-C280</f>
        <v>61</v>
      </c>
      <c r="D335" s="74">
        <f>D280</f>
        <v>136</v>
      </c>
      <c r="E335" s="74">
        <f>F280-E280</f>
        <v>21</v>
      </c>
      <c r="F335" s="74">
        <f>E280</f>
        <v>19</v>
      </c>
      <c r="G335" s="74"/>
      <c r="H335" s="74"/>
      <c r="I335" s="74"/>
    </row>
    <row r="336">
      <c r="A336" s="6" t="s">
        <v>1015</v>
      </c>
      <c r="B336" s="74">
        <f>B281</f>
        <v>-72</v>
      </c>
      <c r="C336" s="74">
        <f>D281-C281</f>
        <v>6</v>
      </c>
      <c r="D336" s="74">
        <f>D281</f>
        <v>-260</v>
      </c>
      <c r="E336" s="74">
        <f>F281-E281</f>
        <v>44</v>
      </c>
      <c r="F336" s="74">
        <f>E281</f>
        <v>47</v>
      </c>
      <c r="G336" s="74"/>
      <c r="H336" s="74"/>
      <c r="I336" s="74"/>
    </row>
    <row r="337">
      <c r="A337" s="6" t="s">
        <v>491</v>
      </c>
      <c r="B337" s="74">
        <f>B282</f>
        <v>4</v>
      </c>
      <c r="C337" s="74">
        <f>D282-C282</f>
        <v>-19</v>
      </c>
      <c r="D337" s="74">
        <f>D282</f>
        <v>50</v>
      </c>
      <c r="E337" s="74">
        <f>F282-E282</f>
        <v>12</v>
      </c>
      <c r="F337" s="74">
        <f>E282</f>
        <v>-8</v>
      </c>
      <c r="G337" s="74"/>
      <c r="H337" s="74"/>
      <c r="I337" s="74"/>
    </row>
    <row r="338">
      <c r="A338" s="6" t="s">
        <v>351</v>
      </c>
      <c r="B338" s="74">
        <f>B283</f>
        <v>324</v>
      </c>
      <c r="C338" s="74">
        <f>D283-C283</f>
        <v>324</v>
      </c>
      <c r="D338" s="74">
        <f>D283</f>
        <v>1361</v>
      </c>
      <c r="E338" s="74">
        <f>F283-E283</f>
        <v>434</v>
      </c>
      <c r="F338" s="74">
        <f>E283</f>
        <v>355</v>
      </c>
      <c r="G338" s="74"/>
      <c r="H338" s="74"/>
      <c r="I338" s="74"/>
    </row>
    <row r="339">
      <c r="A339" s="6" t="s">
        <v>1016</v>
      </c>
      <c r="B339" s="74">
        <f>B284</f>
        <v>50</v>
      </c>
      <c r="C339" s="74">
        <f>D284-C284</f>
        <v>53</v>
      </c>
      <c r="D339" s="74">
        <f>D284</f>
        <v>208</v>
      </c>
      <c r="E339" s="74">
        <f>F284-E284</f>
        <v>56</v>
      </c>
      <c r="F339" s="74">
        <f>E284</f>
        <v>51</v>
      </c>
      <c r="G339" s="74"/>
      <c r="H339" s="74"/>
      <c r="I339" s="74"/>
    </row>
    <row r="340">
      <c r="A340" s="6" t="s">
        <v>1017</v>
      </c>
      <c r="B340" s="74">
        <f>B285</f>
        <v>208</v>
      </c>
      <c r="C340" s="74">
        <f>D285-C285</f>
        <v>212</v>
      </c>
      <c r="D340" s="74">
        <f>D285</f>
        <v>881</v>
      </c>
      <c r="E340" s="74">
        <f>F285-E285</f>
        <v>206</v>
      </c>
      <c r="F340" s="74">
        <f>E285</f>
        <v>205</v>
      </c>
      <c r="G340" s="74"/>
      <c r="H340" s="74"/>
      <c r="I340" s="74"/>
    </row>
    <row r="341">
      <c r="A341" s="6" t="s">
        <v>1018</v>
      </c>
      <c r="B341" s="74">
        <f>B286</f>
        <v>-456</v>
      </c>
      <c r="C341" s="74">
        <f>D286-C286</f>
        <v>-493</v>
      </c>
      <c r="D341" s="74">
        <f>D286</f>
        <v>-1845</v>
      </c>
      <c r="E341" s="74">
        <f>F286-E286</f>
        <v>-483</v>
      </c>
      <c r="F341" s="74">
        <f>E286</f>
        <v>-503</v>
      </c>
      <c r="G341" s="74"/>
      <c r="H341" s="74"/>
      <c r="I341" s="74"/>
    </row>
    <row r="342">
      <c r="A342" s="6" t="s">
        <v>1019</v>
      </c>
      <c r="B342" s="74">
        <f>B287</f>
        <v>-202</v>
      </c>
      <c r="C342" s="74">
        <f>D287-C287</f>
        <v>-71</v>
      </c>
      <c r="D342" s="74">
        <f>D287</f>
        <v>-915</v>
      </c>
      <c r="E342" s="74">
        <f>F287-E287</f>
        <v>-181</v>
      </c>
      <c r="F342" s="74">
        <f>E287</f>
        <v>-53</v>
      </c>
      <c r="G342" s="74"/>
      <c r="H342" s="74"/>
      <c r="I342" s="74"/>
    </row>
    <row r="343">
      <c r="A343" s="6" t="s">
        <v>1020</v>
      </c>
      <c r="B343" s="74">
        <f>B288</f>
        <v>-101</v>
      </c>
      <c r="C343" s="74">
        <f>D288-C288</f>
        <v>-48</v>
      </c>
      <c r="D343" s="74">
        <f>D288</f>
        <v>-381</v>
      </c>
      <c r="E343" s="74">
        <f>F288-E288</f>
        <v>-66</v>
      </c>
      <c r="F343" s="74">
        <f>E288</f>
        <v>-35</v>
      </c>
      <c r="G343" s="74"/>
      <c r="H343" s="74"/>
      <c r="I343" s="74"/>
    </row>
    <row r="344">
      <c r="A344" s="6" t="s">
        <v>490</v>
      </c>
      <c r="B344" s="74">
        <f>B289</f>
        <v>-101</v>
      </c>
      <c r="C344" s="74">
        <f>D289-C289</f>
        <v>-23</v>
      </c>
      <c r="D344" s="74">
        <f>D289</f>
        <v>-534</v>
      </c>
      <c r="E344" s="74">
        <f>F289-E289</f>
        <v>-115</v>
      </c>
      <c r="F344" s="74">
        <f>E289</f>
        <v>-18</v>
      </c>
      <c r="G344" s="74"/>
      <c r="H344" s="74"/>
      <c r="I344" s="74"/>
    </row>
    <row r="345">
      <c r="A345" s="6" t="s">
        <v>1021</v>
      </c>
      <c r="B345" s="74">
        <f>B290</f>
        <v>72121</v>
      </c>
      <c r="C345" s="74">
        <f>(D290*D$346-C290*(D$346-C$346))/C$346</f>
        <v>73256.86956521739</v>
      </c>
      <c r="D345" s="74">
        <f>D290</f>
        <v>73513</v>
      </c>
      <c r="E345" s="74">
        <f>(F290*(E$346+F$346)-E290*F$346)/E$346</f>
        <v>70475.35555555555</v>
      </c>
      <c r="F345" s="74">
        <f>E290</f>
        <v>71497</v>
      </c>
      <c r="G345" s="74"/>
      <c r="H345" s="74"/>
      <c r="I345" s="74"/>
    </row>
    <row r="346">
      <c r="A346" s="105" t="s">
        <v>1025</v>
      </c>
      <c r="B346" s="103">
        <v>92</v>
      </c>
      <c r="C346" s="103">
        <v>92</v>
      </c>
      <c r="D346" s="103">
        <v>366</v>
      </c>
      <c r="E346" s="103">
        <v>90</v>
      </c>
      <c r="F346" s="103">
        <v>91</v>
      </c>
      <c r="G346" s="6" t="s">
        <v>1026</v>
      </c>
      <c r="H346" s="6"/>
      <c r="I346" s="6"/>
    </row>
    <row r="347">
      <c r="A347" s="28" t="s">
        <v>1027</v>
      </c>
      <c r="B347" s="6"/>
      <c r="C347" s="6"/>
      <c r="D347" s="6"/>
      <c r="E347" s="6"/>
      <c r="F347" s="6"/>
      <c r="G347" s="6"/>
      <c r="H347" s="6"/>
      <c r="I347" s="6"/>
    </row>
    <row r="348" ht="33">
      <c r="A348" s="61" t="s">
        <v>1007</v>
      </c>
      <c r="B348" s="42" t="s">
        <v>1028</v>
      </c>
      <c r="C348" s="42" t="s">
        <v>1029</v>
      </c>
      <c r="D348" s="42" t="s">
        <v>1030</v>
      </c>
      <c r="E348" s="42" t="s">
        <v>1031</v>
      </c>
      <c r="F348" s="42"/>
      <c r="G348" s="42"/>
      <c r="H348" s="42"/>
      <c r="I348" s="42"/>
    </row>
    <row r="349">
      <c r="A349" s="6" t="s">
        <v>1032</v>
      </c>
      <c r="B349" s="75">
        <v>10280</v>
      </c>
      <c r="C349" s="75">
        <v>11337</v>
      </c>
      <c r="D349" s="75">
        <v>10247</v>
      </c>
      <c r="E349" s="75">
        <v>9689</v>
      </c>
      <c r="F349" s="74"/>
      <c r="G349" s="74"/>
      <c r="H349" s="74"/>
      <c r="I349" s="74"/>
    </row>
    <row r="350">
      <c r="A350" s="6" t="s">
        <v>1033</v>
      </c>
      <c r="B350" s="75">
        <v>35396</v>
      </c>
      <c r="C350" s="75">
        <v>34310</v>
      </c>
      <c r="D350" s="75">
        <v>38906</v>
      </c>
      <c r="E350" s="75">
        <v>38555</v>
      </c>
      <c r="F350" s="74"/>
      <c r="G350" s="74"/>
      <c r="H350" s="74"/>
      <c r="I350" s="74"/>
    </row>
    <row r="351">
      <c r="A351" s="6" t="s">
        <v>1034</v>
      </c>
      <c r="B351" s="75">
        <v>353</v>
      </c>
      <c r="C351" s="75">
        <v>348</v>
      </c>
      <c r="D351" s="75">
        <v>294</v>
      </c>
      <c r="E351" s="75">
        <v>330</v>
      </c>
      <c r="F351" s="74"/>
      <c r="G351" s="74"/>
      <c r="H351" s="74"/>
      <c r="I351" s="74"/>
    </row>
    <row r="352">
      <c r="A352" s="6" t="s">
        <v>1035</v>
      </c>
      <c r="B352" s="75">
        <v>24356</v>
      </c>
      <c r="C352" s="75">
        <v>24449</v>
      </c>
      <c r="D352" s="75">
        <v>24249</v>
      </c>
      <c r="E352" s="75">
        <v>24843</v>
      </c>
      <c r="F352" s="74"/>
      <c r="G352" s="74"/>
      <c r="H352" s="74"/>
      <c r="I352" s="74"/>
    </row>
    <row r="353">
      <c r="A353" s="6" t="s">
        <v>1036</v>
      </c>
      <c r="B353" s="75">
        <v>52987</v>
      </c>
      <c r="C353" s="75">
        <v>52836</v>
      </c>
      <c r="D353" s="75">
        <v>52174</v>
      </c>
      <c r="E353" s="75">
        <v>52402</v>
      </c>
      <c r="F353" s="74"/>
      <c r="G353" s="74"/>
      <c r="H353" s="74"/>
      <c r="I353" s="74"/>
    </row>
    <row r="354">
      <c r="A354" s="6" t="s">
        <v>1037</v>
      </c>
      <c r="B354" s="75">
        <v>13100</v>
      </c>
      <c r="C354" s="75">
        <v>13329</v>
      </c>
      <c r="D354" s="75">
        <v>12422</v>
      </c>
      <c r="E354" s="75">
        <v>12444</v>
      </c>
      <c r="F354" s="74"/>
      <c r="G354" s="74"/>
      <c r="H354" s="74"/>
      <c r="I354" s="74"/>
    </row>
    <row r="355">
      <c r="A355" s="6" t="s">
        <v>1038</v>
      </c>
      <c r="B355" s="75">
        <v>8772</v>
      </c>
      <c r="C355" s="75">
        <v>8868</v>
      </c>
      <c r="D355" s="75">
        <v>9518</v>
      </c>
      <c r="E355" s="75">
        <v>8766</v>
      </c>
      <c r="F355" s="74"/>
      <c r="G355" s="74"/>
      <c r="H355" s="74"/>
      <c r="I355" s="74"/>
    </row>
    <row r="356">
      <c r="A356" s="6" t="s">
        <v>1039</v>
      </c>
      <c r="B356" s="75">
        <v>9726</v>
      </c>
      <c r="C356" s="75">
        <v>10268</v>
      </c>
      <c r="D356" s="75">
        <v>10102</v>
      </c>
      <c r="E356" s="75">
        <v>9882</v>
      </c>
      <c r="F356" s="74"/>
      <c r="G356" s="74"/>
      <c r="H356" s="74"/>
      <c r="I356" s="74"/>
    </row>
    <row r="357">
      <c r="A357" s="6" t="s">
        <v>1040</v>
      </c>
      <c r="B357" s="75">
        <v>48</v>
      </c>
      <c r="C357" s="75">
        <v>43</v>
      </c>
      <c r="D357" s="75">
        <v>49</v>
      </c>
      <c r="E357" s="75">
        <v>57</v>
      </c>
      <c r="F357" s="74"/>
      <c r="G357" s="74"/>
      <c r="H357" s="74"/>
      <c r="I357" s="74"/>
    </row>
    <row r="358">
      <c r="A358" s="6"/>
      <c r="B358" s="6"/>
      <c r="C358" s="6"/>
      <c r="D358" s="6"/>
      <c r="E358" s="6"/>
      <c r="F358" s="6"/>
      <c r="G358" s="6"/>
      <c r="H358" s="6"/>
      <c r="I358" s="6"/>
    </row>
    <row r="359">
      <c r="A359" s="28" t="s">
        <v>1041</v>
      </c>
      <c r="B359" s="6"/>
      <c r="C359" s="6"/>
      <c r="D359" s="6"/>
      <c r="E359" s="6"/>
      <c r="F359" s="6"/>
      <c r="G359" s="6"/>
      <c r="H359" s="6"/>
      <c r="I359" s="6"/>
    </row>
    <row r="360" ht="33">
      <c r="A360" s="61" t="s">
        <v>1042</v>
      </c>
      <c r="B360" s="42" t="s">
        <v>752</v>
      </c>
      <c r="C360" s="107" t="s">
        <v>1043</v>
      </c>
      <c r="D360" s="42"/>
      <c r="E360" s="42"/>
      <c r="F360" s="42"/>
      <c r="G360" s="42"/>
      <c r="H360" s="42"/>
      <c r="I360" s="42"/>
    </row>
    <row r="361">
      <c r="A361" s="6" t="s">
        <v>1044</v>
      </c>
      <c r="B361" s="77">
        <f>B21</f>
        <v>4.92</v>
      </c>
      <c r="C361" s="77" t="s">
        <v>1045</v>
      </c>
      <c r="D361" s="77"/>
      <c r="E361" s="77"/>
      <c r="F361" s="77"/>
      <c r="G361" s="77"/>
      <c r="H361" s="77"/>
      <c r="I361" s="77"/>
    </row>
    <row r="362">
      <c r="A362" s="6" t="s">
        <v>1046</v>
      </c>
      <c r="B362" s="77">
        <f>B30</f>
        <v>4.93</v>
      </c>
      <c r="C362" s="77" t="s">
        <v>1045</v>
      </c>
      <c r="D362" s="77"/>
      <c r="E362" s="77"/>
      <c r="F362" s="77"/>
      <c r="G362" s="77"/>
      <c r="H362" s="77"/>
      <c r="I362" s="77"/>
    </row>
    <row r="363">
      <c r="A363" s="6" t="s">
        <v>1047</v>
      </c>
      <c r="B363" s="74">
        <f>B37</f>
        <v>2523.25</v>
      </c>
      <c r="C363" s="74" t="s">
        <v>1045</v>
      </c>
      <c r="D363" s="74"/>
      <c r="E363" s="74"/>
      <c r="F363" s="74"/>
      <c r="G363" s="74"/>
      <c r="H363" s="74"/>
      <c r="I363" s="74"/>
    </row>
    <row r="364">
      <c r="A364" s="6" t="s">
        <v>1048</v>
      </c>
      <c r="B364" s="74">
        <f>B51</f>
        <v>715.69</v>
      </c>
      <c r="C364" s="74" t="s">
        <v>1049</v>
      </c>
      <c r="D364" s="74"/>
      <c r="E364" s="74"/>
      <c r="F364" s="74"/>
      <c r="G364" s="74"/>
      <c r="H364" s="74"/>
      <c r="I364" s="74"/>
    </row>
    <row r="365">
      <c r="A365" s="6" t="s">
        <v>1050</v>
      </c>
      <c r="B365" s="74">
        <f>B49</f>
        <v>990.35</v>
      </c>
      <c r="C365" s="74" t="s">
        <v>1051</v>
      </c>
      <c r="D365" s="74"/>
      <c r="E365" s="74"/>
      <c r="F365" s="74"/>
      <c r="G365" s="74"/>
      <c r="H365" s="74"/>
      <c r="I365" s="74"/>
    </row>
    <row r="366">
      <c r="A366" s="12" t="s">
        <v>1052</v>
      </c>
      <c r="B366" s="81">
        <f>B53/100</f>
        <v>0.2403</v>
      </c>
      <c r="C366" s="81" t="s">
        <v>1051</v>
      </c>
      <c r="D366" s="81"/>
      <c r="E366" s="81"/>
      <c r="F366" s="81"/>
      <c r="G366" s="81"/>
      <c r="H366" s="81"/>
      <c r="I366" s="81"/>
    </row>
    <row r="367">
      <c r="A367" s="6" t="s">
        <v>1053</v>
      </c>
      <c r="B367" s="87">
        <v>4.93</v>
      </c>
      <c r="C367" s="77" t="s">
        <v>1054</v>
      </c>
      <c r="D367" s="77"/>
      <c r="E367" s="77"/>
      <c r="F367" s="77"/>
      <c r="G367" s="77"/>
      <c r="H367" s="77"/>
      <c r="I367" s="77"/>
    </row>
    <row r="368">
      <c r="A368" s="6" t="s">
        <v>1055</v>
      </c>
      <c r="B368" s="75">
        <v>2530.7</v>
      </c>
      <c r="C368" s="74" t="s">
        <v>1054</v>
      </c>
      <c r="D368" s="74"/>
      <c r="E368" s="74"/>
      <c r="F368" s="74"/>
      <c r="G368" s="74"/>
      <c r="H368" s="74"/>
      <c r="I368" s="74"/>
    </row>
    <row r="369">
      <c r="A369" s="6" t="s">
        <v>67</v>
      </c>
      <c r="B369" s="87">
        <v>5</v>
      </c>
      <c r="C369" s="77" t="s">
        <v>1056</v>
      </c>
      <c r="D369" s="77"/>
      <c r="E369" s="77"/>
      <c r="F369" s="77"/>
      <c r="G369" s="77"/>
      <c r="H369" s="77"/>
      <c r="I369" s="77"/>
    </row>
    <row r="370">
      <c r="A370" s="6" t="s">
        <v>1057</v>
      </c>
      <c r="B370" s="87">
        <v>5.12</v>
      </c>
      <c r="C370" s="77" t="s">
        <v>1056</v>
      </c>
      <c r="D370" s="77"/>
      <c r="E370" s="77"/>
      <c r="F370" s="77"/>
      <c r="G370" s="77"/>
      <c r="H370" s="77"/>
      <c r="I370" s="77"/>
    </row>
    <row r="371">
      <c r="A371" s="6" t="s">
        <v>1058</v>
      </c>
      <c r="B371" s="87">
        <v>4.92</v>
      </c>
      <c r="C371" s="77" t="s">
        <v>1059</v>
      </c>
      <c r="D371" s="77"/>
      <c r="E371" s="77"/>
      <c r="F371" s="77"/>
      <c r="G371" s="77"/>
      <c r="H371" s="77"/>
      <c r="I371" s="77"/>
    </row>
    <row r="372">
      <c r="A372" s="6"/>
      <c r="B372" s="6"/>
      <c r="C372" s="6"/>
      <c r="D372" s="6"/>
      <c r="E372" s="6"/>
      <c r="F372" s="6"/>
      <c r="G372" s="6"/>
      <c r="H372" s="6"/>
      <c r="I372" s="6"/>
    </row>
    <row r="373">
      <c r="A373" s="28" t="s">
        <v>1060</v>
      </c>
      <c r="B373" s="6"/>
      <c r="C373" s="6"/>
      <c r="D373" s="6"/>
      <c r="E373" s="6"/>
      <c r="F373" s="6"/>
      <c r="G373" s="6"/>
      <c r="H373" s="6"/>
      <c r="I373" s="6"/>
    </row>
    <row r="374" ht="33">
      <c r="A374" s="61" t="s">
        <v>1042</v>
      </c>
      <c r="B374" s="42" t="s">
        <v>752</v>
      </c>
      <c r="C374" s="107" t="s">
        <v>1061</v>
      </c>
      <c r="D374" s="42"/>
      <c r="E374" s="42"/>
      <c r="F374" s="42"/>
      <c r="G374" s="42"/>
      <c r="H374" s="42"/>
      <c r="I374" s="42"/>
    </row>
    <row r="375">
      <c r="A375" s="6" t="s">
        <v>92</v>
      </c>
      <c r="B375" s="75">
        <v>31.41</v>
      </c>
      <c r="C375" s="74" t="s">
        <v>1062</v>
      </c>
      <c r="D375" s="74"/>
      <c r="E375" s="74"/>
      <c r="F375" s="74"/>
      <c r="G375" s="74"/>
      <c r="H375" s="74"/>
      <c r="I375" s="74"/>
    </row>
    <row r="376">
      <c r="A376" s="6" t="s">
        <v>94</v>
      </c>
      <c r="B376" s="104">
        <f>IF(B14="Y",1,0)</f>
        <v>1</v>
      </c>
      <c r="C376" s="78" t="s">
        <v>1063</v>
      </c>
      <c r="D376" s="78"/>
      <c r="E376" s="78"/>
      <c r="F376" s="78"/>
      <c r="G376" s="78"/>
      <c r="H376" s="78"/>
      <c r="I376" s="78"/>
    </row>
    <row r="377">
      <c r="A377" s="6" t="s">
        <v>1064</v>
      </c>
      <c r="B377" s="74" t="s">
        <v>1065</v>
      </c>
      <c r="C377" s="74" t="s">
        <v>1066</v>
      </c>
      <c r="D377" s="74"/>
      <c r="E377" s="74"/>
      <c r="F377" s="74"/>
      <c r="G377" s="74"/>
      <c r="H377" s="74"/>
      <c r="I377" s="74"/>
    </row>
    <row r="378">
      <c r="A378" s="12" t="s">
        <v>95</v>
      </c>
      <c r="B378" s="89">
        <v>0.78</v>
      </c>
      <c r="C378" s="81" t="s">
        <v>1067</v>
      </c>
      <c r="D378" s="81"/>
      <c r="E378" s="81"/>
      <c r="F378" s="81"/>
      <c r="G378" s="81"/>
      <c r="H378" s="81"/>
      <c r="I378" s="81"/>
    </row>
    <row r="379">
      <c r="A379" s="6" t="s">
        <v>96</v>
      </c>
      <c r="B379" s="78">
        <f>SUMPRODUCT(--(D86:D91&gt;C86:C91))</f>
        <v>5</v>
      </c>
      <c r="C379" s="78" t="s">
        <v>1068</v>
      </c>
      <c r="D379" s="78"/>
      <c r="E379" s="78"/>
      <c r="F379" s="78"/>
      <c r="G379" s="78"/>
      <c r="H379" s="78"/>
      <c r="I379" s="78"/>
    </row>
    <row r="380">
      <c r="A380" s="6" t="s">
        <v>1069</v>
      </c>
      <c r="B380" s="78">
        <f>COUNT(D86:D91)</f>
        <v>6</v>
      </c>
      <c r="C380" s="78" t="s">
        <v>1070</v>
      </c>
      <c r="D380" s="78"/>
      <c r="E380" s="78"/>
      <c r="F380" s="78"/>
      <c r="G380" s="78"/>
      <c r="H380" s="78"/>
      <c r="I380" s="78"/>
    </row>
    <row r="381">
      <c r="A381" s="6" t="s">
        <v>1071</v>
      </c>
      <c r="B381" s="88">
        <v>8</v>
      </c>
      <c r="C381" s="78" t="s">
        <v>1072</v>
      </c>
      <c r="D381" s="78"/>
      <c r="E381" s="78"/>
      <c r="F381" s="78"/>
      <c r="G381" s="78"/>
      <c r="H381" s="78"/>
      <c r="I381" s="78"/>
    </row>
    <row r="382">
      <c r="A382" s="12" t="s">
        <v>1073</v>
      </c>
      <c r="B382" s="81">
        <f>(B381*B378+B379)/(B381+B380)</f>
        <v>0.8028571428571428</v>
      </c>
      <c r="C382" s="81" t="s">
        <v>953</v>
      </c>
      <c r="D382" s="81"/>
      <c r="E382" s="81"/>
      <c r="F382" s="81"/>
      <c r="G382" s="81"/>
      <c r="H382" s="81"/>
      <c r="I382" s="81"/>
    </row>
    <row r="383">
      <c r="A383" s="6" t="s">
        <v>1074</v>
      </c>
      <c r="B383" s="77">
        <f>AVERAGE(D86:D91)-AVERAGE(C86:C91)</f>
        <v>0.25833333333333375</v>
      </c>
      <c r="C383" s="77" t="s">
        <v>1068</v>
      </c>
      <c r="D383" s="77"/>
      <c r="E383" s="77"/>
      <c r="F383" s="77"/>
      <c r="G383" s="77"/>
      <c r="H383" s="77"/>
      <c r="I383" s="77"/>
    </row>
    <row r="384">
      <c r="A384" s="12" t="s">
        <v>99</v>
      </c>
      <c r="B384" s="89">
        <v>0.78</v>
      </c>
      <c r="C384" s="81" t="s">
        <v>1075</v>
      </c>
      <c r="D384" s="81"/>
      <c r="E384" s="81"/>
      <c r="F384" s="81"/>
      <c r="G384" s="81"/>
      <c r="H384" s="81"/>
      <c r="I384" s="81"/>
    </row>
    <row r="385">
      <c r="A385" s="6" t="s">
        <v>51</v>
      </c>
      <c r="B385" s="74" t="s">
        <v>1076</v>
      </c>
      <c r="C385" s="74" t="s">
        <v>1077</v>
      </c>
      <c r="D385" s="74"/>
      <c r="E385" s="74"/>
      <c r="F385" s="74"/>
      <c r="G385" s="74"/>
      <c r="H385" s="74"/>
      <c r="I385" s="74"/>
    </row>
    <row r="386">
      <c r="A386" s="6"/>
      <c r="B386" s="6"/>
      <c r="C386" s="6"/>
      <c r="D386" s="6"/>
      <c r="E386" s="6"/>
      <c r="F386" s="6"/>
      <c r="G386" s="6"/>
      <c r="H386" s="6"/>
      <c r="I386" s="6"/>
    </row>
    <row r="387">
      <c r="A387" s="28" t="s">
        <v>1078</v>
      </c>
      <c r="B387" s="6"/>
      <c r="C387" s="6"/>
      <c r="D387" s="6"/>
      <c r="E387" s="6"/>
      <c r="F387" s="6"/>
      <c r="G387" s="6"/>
      <c r="H387" s="6"/>
      <c r="I387" s="6"/>
    </row>
    <row r="388" ht="33">
      <c r="A388" s="61" t="s">
        <v>1042</v>
      </c>
      <c r="B388" s="42"/>
      <c r="C388" s="42"/>
      <c r="D388" s="42"/>
      <c r="E388" s="42"/>
      <c r="F388" s="42"/>
      <c r="G388" s="42" t="s">
        <v>1079</v>
      </c>
      <c r="H388" s="42"/>
      <c r="I388" s="42"/>
    </row>
    <row r="389">
      <c r="A389" s="6" t="s">
        <v>308</v>
      </c>
      <c r="B389" s="74"/>
      <c r="C389" s="74"/>
      <c r="D389" s="74"/>
      <c r="E389" s="74"/>
      <c r="F389" s="74"/>
      <c r="G389" s="75">
        <v>9690</v>
      </c>
      <c r="H389" s="74"/>
      <c r="I389" s="74"/>
    </row>
    <row r="390">
      <c r="A390" s="6" t="s">
        <v>180</v>
      </c>
      <c r="B390" s="74"/>
      <c r="C390" s="74"/>
      <c r="D390" s="74"/>
      <c r="E390" s="74"/>
      <c r="F390" s="74"/>
      <c r="G390" s="75">
        <v>6948</v>
      </c>
      <c r="H390" s="74"/>
      <c r="I390" s="74"/>
    </row>
    <row r="391">
      <c r="A391" s="6" t="s">
        <v>880</v>
      </c>
      <c r="B391" s="74"/>
      <c r="C391" s="74"/>
      <c r="D391" s="74"/>
      <c r="E391" s="74"/>
      <c r="F391" s="74"/>
      <c r="G391" s="75">
        <v>2742</v>
      </c>
      <c r="H391" s="74"/>
      <c r="I391" s="74"/>
    </row>
    <row r="392">
      <c r="A392" s="6" t="s">
        <v>888</v>
      </c>
      <c r="B392" s="74"/>
      <c r="C392" s="74"/>
      <c r="D392" s="74"/>
      <c r="E392" s="74"/>
      <c r="F392" s="74"/>
      <c r="G392" s="75">
        <v>5493</v>
      </c>
      <c r="H392" s="74"/>
      <c r="I392" s="74"/>
    </row>
    <row r="393">
      <c r="A393" s="6" t="s">
        <v>324</v>
      </c>
      <c r="B393" s="74"/>
      <c r="C393" s="74"/>
      <c r="D393" s="74"/>
      <c r="E393" s="74"/>
      <c r="F393" s="74"/>
      <c r="G393" s="75">
        <v>2851</v>
      </c>
      <c r="H393" s="74"/>
      <c r="I393" s="74"/>
    </row>
    <row r="394">
      <c r="A394" s="6"/>
      <c r="B394" s="6"/>
      <c r="C394" s="6"/>
      <c r="D394" s="6"/>
      <c r="E394" s="6"/>
      <c r="F394" s="6"/>
      <c r="G394" s="6"/>
      <c r="H394" s="6"/>
      <c r="I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</row>
  </sheetData>
</worksheet>
</file>