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comments1.xml" ContentType="application/vnd.openxmlformats-officedocument.spreadsheetml.comments+xml"/>
  <Override PartName="/xl/comments10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over" sheetId="1" r:id="rId1"/>
    <sheet name="Revenue summary" sheetId="2" r:id="rId3"/>
    <sheet name="Segment - Personal Lines" sheetId="3" r:id="rId4"/>
    <sheet name="Segment - Commercial Lines" sheetId="4" r:id="rId5"/>
    <sheet name="Income Statement" sheetId="5" r:id="rId6"/>
    <sheet name="Balance Sheet" sheetId="6" r:id="rId7"/>
    <sheet name="Cash Flow Statement" sheetId="7" r:id="rId8"/>
    <sheet name="Share Count" sheetId="8" r:id="rId9"/>
    <sheet name="Guidance" sheetId="9" r:id="rId10"/>
    <sheet name="Sources" sheetId="10" r:id="rId11"/>
    <sheet name="Monthly Build" sheetId="11" r:id="rId12"/>
    <sheet name="Inputs" sheetId="12" r:id="rId13"/>
  </sheets>
  <calcPr calcId="0"/>
</workbook>
</file>

<file path=xl/comments1.xml><?xml version="1.0" encoding="utf-8"?>
<comments xmlns="http://schemas.openxmlformats.org/spreadsheetml/2006/main">
  <authors>
    <author>Shortcut</author>
  </authors>
  <commentList>
    <comment ref="D26" authorId="0">
      <text>
        <t>Frozen CapIQ snapshot 2026-10-11 is the scoring baseline. Newer observations recorded separately, not used: Earnings Whispers $4.26 (6-Oct-26, S18); TradingView $4.17 (1-Oct-26, S27).</t>
      </text>
    </comment>
    <comment ref="C30" authorId="0">
      <text>
        <t>Key risk: a September Florida excess-profit accrual (as in Sep-25, $950m pretax) is not assumed; management has not flagged one for accident years 2024–26 (S6, S15). Such an accrual would cut EPS by roughly $1.30.</t>
      </text>
    </comment>
    <comment ref="B22" authorId="0">
      <text>
        <t>CapIQ "revenue" for PGR equals net premiums written (all six history rows match).</t>
      </text>
    </comment>
    <comment ref="B23" authorId="0">
      <text>
        <t>GAAP total revenues; CapIQ has no consensus on this definition.</t>
      </text>
    </comment>
    <comment ref="B24" authorId="0">
      <text>
        <t>CapIQ "net income excl. exceptional" basis: GAAP net income less realized securities gains after 21% tax.</t>
      </text>
    </comment>
    <comment ref="B26" authorId="0">
      <text>
        <t>Scored target: S&amp;P Capital IQ normalized diluted EPS; frozen consensus 4.35 (19 estimates) captured 2026-10-11.</t>
      </text>
    </comment>
    <comment ref="B29" authorId="0">
      <text>
        <t>Aggregates inline check rows: NPW segment sum vs reported; NPW vs CapIQ revenue; revenue tie to IS; BS balance; cash tie (2 checks); NI and EPS vs reported; normalized bridge vs CapIQ actuals; monthly NI vs reported; Cover ties.</t>
      </text>
    </comment>
    <comment ref="B33" authorId="0">
      <text>
        <t>Playbook v2: (8 × 0.78 + 4 beats) / (8 + 6 pairs) = 0.731; final adds +0.03 for quarter-specific evidence.</t>
      </text>
    </comment>
  </commentList>
</comments>
</file>

<file path=xl/comments2.xml><?xml version="1.0" encoding="utf-8"?>
<comments xmlns="http://schemas.openxmlformats.org/spreadsheetml/2006/main">
  <authors>
    <author>Shortcut</author>
  </authors>
  <commentList>
    <comment ref="B15" authorId="0">
      <text>
        <t>Organic growth = (1+Y/Y)/((1+M&amp;A)×(1+FX))−1</t>
      </text>
    </comment>
    <comment ref="B23" authorId="0">
      <text>
        <t>Organic growth = (1+Y/Y)/((1+M&amp;A)×(1+FX))−1</t>
      </text>
    </comment>
    <comment ref="B26" authorId="0">
      <text>
        <t>Other indemnity (run-off / other underwriting)</t>
      </text>
    </comment>
    <comment ref="B31" authorId="0">
      <text>
        <t>Organic growth = (1+Y/Y)/((1+M&amp;A)×(1+FX))−1</t>
      </text>
    </comment>
    <comment ref="B39" authorId="0">
      <text>
        <t>Organic growth = (1+Y/Y)/((1+M&amp;A)×(1+FX))−1</t>
      </text>
    </comment>
    <comment ref="B43" authorId="0">
      <text>
        <t>Check: segments sum − reported total (should be 0)</t>
      </text>
    </comment>
    <comment ref="B45" authorId="0">
      <text>
        <t>Check: NPW − CapIQ revenue actual (confirms basis; should be 0)</t>
      </text>
    </comment>
    <comment ref="B53" authorId="0">
      <text>
        <t>Organic growth = (1+Y/Y)/((1+M&amp;A)×(1+FX))−1</t>
      </text>
    </comment>
    <comment ref="B61" authorId="0">
      <text>
        <t>Organic growth = (1+Y/Y)/((1+M&amp;A)×(1+FX))−1</t>
      </text>
    </comment>
    <comment ref="B69" authorId="0">
      <text>
        <t>Organic growth = (1+Y/Y)/((1+M&amp;A)×(1+FX))−1</t>
      </text>
    </comment>
    <comment ref="B77" authorId="0">
      <text>
        <t>Organic growth = (1+Y/Y)/((1+M&amp;A)×(1+FX))−1</t>
      </text>
    </comment>
    <comment ref="B85" authorId="0">
      <text>
        <t>Organic growth = (1+Y/Y)/((1+M&amp;A)×(1+FX))−1</t>
      </text>
    </comment>
    <comment ref="B88" authorId="0">
      <text>
        <t>Service revenues (service businesses segment)</t>
      </text>
    </comment>
    <comment ref="B93" authorId="0">
      <text>
        <t>Organic growth = (1+Y/Y)/((1+M&amp;A)×(1+FX))−1</t>
      </text>
    </comment>
    <comment ref="B101" authorId="0">
      <text>
        <t>Organic growth = (1+Y/Y)/((1+M&amp;A)×(1+FX))−1</t>
      </text>
    </comment>
    <comment ref="B104" authorId="0">
      <text>
        <t>Total net realized gains (losses) on securities</t>
      </text>
    </comment>
    <comment ref="B109" authorId="0">
      <text>
        <t>Organic growth = (1+Y/Y)/((1+M&amp;A)×(1+FX))−1</t>
      </text>
    </comment>
    <comment ref="B117" authorId="0">
      <text>
        <t>Organic growth = (1+Y/Y)/((1+M&amp;A)×(1+FX))−1</t>
      </text>
    </comment>
    <comment ref="B119" authorId="0">
      <text>
        <t>Check: total revenues − Income Statement (should be 0)</t>
      </text>
    </comment>
  </commentList>
</comments>
</file>

<file path=xl/comments3.xml><?xml version="1.0" encoding="utf-8"?>
<comments xmlns="http://schemas.openxmlformats.org/spreadsheetml/2006/main">
  <authors>
    <author>Shortcut</author>
  </authors>
  <commentList>
    <comment ref="B194" authorId="0">
      <text>
        <t>Underwriting expense ratio — Total Personal Lines — 3Q25 expense ratios include Florida policyholder credits accrued in September 2025 (17.8 pts agency and 15.9 pts direct for the month; $950m companywide).</t>
      </text>
    </comment>
    <comment ref="B11" authorId="0">
      <text>
        <t>Agency auto — gross additions (not disclosed)</t>
      </text>
    </comment>
    <comment ref="B12" authorId="0">
      <text>
        <t>Agency auto — terminations / churn (not disclosed)</t>
      </text>
    </comment>
    <comment ref="B22" authorId="0">
      <text>
        <t>Direct auto — gross additions (not disclosed)</t>
      </text>
    </comment>
    <comment ref="B23" authorId="0">
      <text>
        <t>Direct auto — terminations / churn (not disclosed)</t>
      </text>
    </comment>
    <comment ref="B33" authorId="0">
      <text>
        <t>Special lines — gross additions (not disclosed)</t>
      </text>
    </comment>
    <comment ref="B34" authorId="0">
      <text>
        <t>Special lines — terminations / churn (not disclosed)</t>
      </text>
    </comment>
    <comment ref="B44" authorId="0">
      <text>
        <t>Property — gross additions (not disclosed)</t>
      </text>
    </comment>
    <comment ref="B45" authorId="0">
      <text>
        <t>Property — terminations / churn (not disclosed)</t>
      </text>
    </comment>
    <comment ref="B69" authorId="0">
      <text>
        <t>Churn rate % (not disclosed; issuer reports policy life expectancy instead)</t>
      </text>
    </comment>
    <comment ref="B77" authorId="0">
      <text>
        <t>Organic growth = (1+Y/Y)/((1+M&amp;A)×(1+FX))−1</t>
      </text>
    </comment>
    <comment ref="B84" authorId="0">
      <text>
        <t>Organic growth = (1+Y/Y)/((1+M&amp;A)×(1+FX))−1</t>
      </text>
    </comment>
    <comment ref="B91" authorId="0">
      <text>
        <t>Organic growth = (1+Y/Y)/((1+M&amp;A)×(1+FX))−1</t>
      </text>
    </comment>
    <comment ref="B98" authorId="0">
      <text>
        <t>Organic growth = (1+Y/Y)/((1+M&amp;A)×(1+FX))−1</t>
      </text>
    </comment>
    <comment ref="B111" authorId="0">
      <text>
        <t>Vehicle NPW per period-end vehicle PIF ($, annualized)</t>
      </text>
    </comment>
    <comment ref="B114" authorId="0">
      <text>
        <t>Property NPW per period-end property PIF ($, annualized)</t>
      </text>
    </comment>
    <comment ref="B117" authorId="0">
      <text>
        <t>Agency auto — Written premium per policy, Y/Y (reported)</t>
      </text>
    </comment>
    <comment ref="B118" authorId="0">
      <text>
        <t>Agency auto — New applications, Y/Y (reported)</t>
      </text>
    </comment>
    <comment ref="B119" authorId="0">
      <text>
        <t>Agency auto — Renewal applications, Y/Y (reported)</t>
      </text>
    </comment>
    <comment ref="B120" authorId="0">
      <text>
        <t>Agency auto — Policy life expectancy T12M, Y/Y (reported)</t>
      </text>
    </comment>
    <comment ref="B121" authorId="0">
      <text>
        <t>Direct auto — Written premium per policy, Y/Y (reported)</t>
      </text>
    </comment>
    <comment ref="B122" authorId="0">
      <text>
        <t>Direct auto — New applications, Y/Y (reported)</t>
      </text>
    </comment>
    <comment ref="B123" authorId="0">
      <text>
        <t>Direct auto — Renewal applications, Y/Y (reported)</t>
      </text>
    </comment>
    <comment ref="B124" authorId="0">
      <text>
        <t>Direct auto — Policy life expectancy T12M, Y/Y (reported)</t>
      </text>
    </comment>
    <comment ref="B125" authorId="0">
      <text>
        <t>Property — Written premium per policy, Y/Y (reported)</t>
      </text>
    </comment>
    <comment ref="B126" authorId="0">
      <text>
        <t>Property — New applications, Y/Y (reported)</t>
      </text>
    </comment>
    <comment ref="B127" authorId="0">
      <text>
        <t>Property — Renewal applications, Y/Y (reported)</t>
      </text>
    </comment>
    <comment ref="B128" authorId="0">
      <text>
        <t>Property — Policy life expectancy T12M, Y/Y (reported)</t>
      </text>
    </comment>
    <comment ref="B136" authorId="0">
      <text>
        <t>Organic growth = (1+Y/Y)/((1+M&amp;A)×(1+FX))−1</t>
      </text>
    </comment>
    <comment ref="B143" authorId="0">
      <text>
        <t>Organic growth = (1+Y/Y)/((1+M&amp;A)×(1+FX))−1</t>
      </text>
    </comment>
    <comment ref="B150" authorId="0">
      <text>
        <t>Organic growth = (1+Y/Y)/((1+M&amp;A)×(1+FX))−1</t>
      </text>
    </comment>
    <comment ref="B157" authorId="0">
      <text>
        <t>Organic growth = (1+Y/Y)/((1+M&amp;A)×(1+FX))−1</t>
      </text>
    </comment>
    <comment ref="B167" authorId="0">
      <text>
        <t>Underwriting expense ratio — Agency vehicles</t>
      </text>
    </comment>
    <comment ref="B176" authorId="0">
      <text>
        <t>Underwriting expense ratio — Direct vehicles</t>
      </text>
    </comment>
    <comment ref="B215" authorId="0">
      <text>
        <t>Catastrophe losses — Total Personal Lines ($m)</t>
      </text>
    </comment>
    <comment ref="B216" authorId="0">
      <text>
        <t>Net catastrophe loss ratio — Total Personal Lines</t>
      </text>
    </comment>
    <comment ref="B237" authorId="0">
      <text>
        <t>Underwriting profit — Total Personal Lines</t>
      </text>
    </comment>
    <comment ref="D203" authorId="0">
      <text>
        <t>Derived actual: FY25 (10-K PL total cat $1,437m; property via reported FY ratio 10.4%) less 9M25 reported; property split is ratio-based (±0.05 pt rounding).</t>
      </text>
    </comment>
    <comment ref="D209" authorId="0">
      <text>
        <t>Derived actual: FY25 (10-K PL total cat $1,437m; property via reported FY ratio 10.4%) less 9M25 reported; property split is ratio-based (±0.05 pt rounding).</t>
      </text>
    </comment>
    <comment ref="D212" authorId="0">
      <text>
        <t>n/m: 4Q24 prior-year property (and vehicle, D206/D207) cat comparatives are unavailable — FY24 property cat dollars are not disclosed; ratio-derived split unreliable (see Inputs!D54). Total-PL Y/Y (D218) remains valid.</t>
      </text>
    </comment>
  </commentList>
</comments>
</file>

<file path=xl/comments4.xml><?xml version="1.0" encoding="utf-8"?>
<comments xmlns="http://schemas.openxmlformats.org/spreadsheetml/2006/main">
  <authors>
    <author>Shortcut</author>
  </authors>
  <commentList>
    <comment ref="B11" authorId="0">
      <text>
        <t>Commercial Lines — gross additions (not disclosed)</t>
      </text>
    </comment>
    <comment ref="B12" authorId="0">
      <text>
        <t>Commercial Lines — terminations / churn (not disclosed)</t>
      </text>
    </comment>
    <comment ref="B21" authorId="0">
      <text>
        <t>Churn rate % (not disclosed; issuer reports policy life expectancy instead)</t>
      </text>
    </comment>
    <comment ref="B29" authorId="0">
      <text>
        <t>Organic growth = (1+Y/Y)/((1+M&amp;A)×(1+FX))−1</t>
      </text>
    </comment>
    <comment ref="B33" authorId="0">
      <text>
        <t>CL NPW per period-end CL PIF ($, annualized)</t>
      </text>
    </comment>
    <comment ref="B36" authorId="0">
      <text>
        <t>Core commercial auto — Written premium per policy, Y/Y (reported)</t>
      </text>
    </comment>
    <comment ref="B37" authorId="0">
      <text>
        <t>Core commercial auto — New applications, Y/Y (reported)</t>
      </text>
    </comment>
    <comment ref="B38" authorId="0">
      <text>
        <t>Core commercial auto — Renewal applications, Y/Y (reported)</t>
      </text>
    </comment>
    <comment ref="B39" authorId="0">
      <text>
        <t>Core commercial auto — Policy life expectancy T12M, Y/Y (reported)</t>
      </text>
    </comment>
    <comment ref="B47" authorId="0">
      <text>
        <t>Organic growth = (1+Y/Y)/((1+M&amp;A)×(1+FX))−1</t>
      </text>
    </comment>
    <comment ref="B57" authorId="0">
      <text>
        <t>Underwriting expense ratio — Commercial Lines</t>
      </text>
    </comment>
    <comment ref="B65" authorId="0">
      <text>
        <t>Catastrophe losses — Commercial Lines ($m)</t>
      </text>
    </comment>
    <comment ref="B66" authorId="0">
      <text>
        <t>Net catastrophe loss ratio — Commercial Lines</t>
      </text>
    </comment>
  </commentList>
</comments>
</file>

<file path=xl/comments5.xml><?xml version="1.0" encoding="utf-8"?>
<comments xmlns="http://schemas.openxmlformats.org/spreadsheetml/2006/main">
  <authors>
    <author>Shortcut</author>
  </authors>
  <commentList>
    <comment ref="B9" authorId="0">
      <text>
        <t>Net premiums written (memo; CapIQ revenue basis)</t>
      </text>
    </comment>
    <comment ref="B13" authorId="0">
      <text>
        <t>Net realized gains (losses) on security sales</t>
      </text>
    </comment>
    <comment ref="B14" authorId="0">
      <text>
        <t>Net holding period gains (losses) on securities</t>
      </text>
    </comment>
    <comment ref="B16" authorId="0">
      <text>
        <t>Total net realized gains (losses) on securities</t>
      </text>
    </comment>
    <comment ref="B24" authorId="0">
      <text>
        <t>Organic growth = (1+Y/Y)/((1+M&amp;A)×(1+FX))−1</t>
      </text>
    </comment>
    <comment ref="B30" authorId="0">
      <text>
        <t>Policyholder credit expense (Florida excess-profit credits)</t>
      </text>
    </comment>
    <comment ref="B38" authorId="0">
      <text>
        <t>Less: preferred share dividends and other</t>
      </text>
    </comment>
    <comment ref="B39" authorId="0">
      <text>
        <t>Net income available to common shareholders</t>
      </text>
    </comment>
    <comment ref="B41" authorId="0">
      <text>
        <t>Check: modelled − reported net income (should be 0)</t>
      </text>
    </comment>
    <comment ref="B51" authorId="0">
      <text>
        <t>Underwriting expense ratio ((PAC + OUE + policyholder credits − fees) / NPE)</t>
      </text>
    </comment>
    <comment ref="B57" authorId="0">
      <text>
        <t>Pretax margin (pretax income / total revenues)</t>
      </text>
    </comment>
    <comment ref="B66" authorId="0">
      <text>
        <t>Underwriting profit (NPE + fees − losses − PAC − OUE − policyholder credits)</t>
      </text>
    </comment>
    <comment ref="B74" authorId="0">
      <text>
        <t>Net effect of dilutive stock-based compensation (m)</t>
      </text>
    </comment>
    <comment ref="B80" authorId="0">
      <text>
        <t>Check: modelled − reported diluted EPS (rounding &lt; $0.01)</t>
      </text>
    </comment>
    <comment ref="B83" authorId="0">
      <text>
        <t>GAAP net income available to common shareholders</t>
      </text>
    </comment>
    <comment ref="B84" authorId="0">
      <text>
        <t>Adjustment 1: remove total net realized (gains) losses on securities, pretax</t>
      </text>
    </comment>
    <comment ref="B85" authorId="0">
      <text>
        <t>Adjustment 2: tax effect of adjustment 1 at statutory rate</t>
      </text>
    </comment>
    <comment ref="B86" authorId="0">
      <text>
        <t>Adjustment 3: Florida policyholder credit expense — not excluded on CapIQ basis (verified 3Q25)</t>
      </text>
    </comment>
    <comment ref="B91" authorId="0">
      <text>
        <t>CapIQ normalized EPS actual (history file)</t>
      </text>
    </comment>
    <comment ref="B92" authorId="0">
      <text>
        <t>Check: bridge − CapIQ normalized actual (rounding &lt; $0.01)</t>
      </text>
    </comment>
    <comment ref="B93" authorId="0">
      <text>
        <t>CapIQ normalized EPS consensus (history; 3Q26 = frozen snapshot)</t>
      </text>
    </comment>
    <comment ref="B94" authorId="0">
      <text>
        <t>Surprise vs consensus ($/share; 3Q26E = estimate − consensus)</t>
      </text>
    </comment>
  </commentList>
</comments>
</file>

<file path=xl/comments6.xml><?xml version="1.0" encoding="utf-8"?>
<comments xmlns="http://schemas.openxmlformats.org/spreadsheetml/2006/main">
  <authors>
    <author>Shortcut</author>
  </authors>
  <commentList>
    <comment ref="B10" authorId="0">
      <text>
        <t>Fixed maturities (available-for-sale, fair value)</t>
      </text>
    </comment>
    <comment ref="B17" authorId="0">
      <text>
        <t>Total cash, cash equivalents and restricted cash</t>
      </text>
    </comment>
    <comment ref="B30" authorId="0">
      <text>
        <t>Loss and loss adjustment expense reserves</t>
      </text>
    </comment>
    <comment ref="B32" authorId="0">
      <text>
        <t>Accounts payable, accrued expenses and other liabilities</t>
      </text>
    </comment>
    <comment ref="B40" authorId="0">
      <text>
        <t>AOCI — net unrealized gains (losses) on fixed maturities</t>
      </text>
    </comment>
    <comment ref="B41" authorId="0">
      <text>
        <t>AOCI — net unrealized losses on forecasted transactions</t>
      </text>
    </comment>
    <comment ref="B42" authorId="0">
      <text>
        <t>AOCI — foreign currency translation adjustment</t>
      </text>
    </comment>
    <comment ref="B43" authorId="0">
      <text>
        <t>Total accumulated other comprehensive income (loss)</t>
      </text>
    </comment>
    <comment ref="B45" authorId="0">
      <text>
        <t>Total liabilities and shareholders' equity</t>
      </text>
    </comment>
    <comment ref="B46" authorId="0">
      <text>
        <t>Check: assets − liabilities − equity (should be 0)</t>
      </text>
    </comment>
    <comment ref="B57" authorId="0">
      <text>
        <t>Short-term investments at 31-Aug-26 (reported)</t>
      </text>
    </comment>
    <comment ref="B58" authorId="0">
      <text>
        <t>Nonredeemable preferred stocks at 31-Aug-26 (reported)</t>
      </text>
    </comment>
    <comment ref="B60" authorId="0">
      <text>
        <t>Net premiums receivable at 31-Aug-26 (reported)</t>
      </text>
    </comment>
    <comment ref="B61" authorId="0">
      <text>
        <t>Reinsurance recoverables at 31-Aug-26 (reported)</t>
      </text>
    </comment>
    <comment ref="B62" authorId="0">
      <text>
        <t>Deferred acquisition costs at 31-Aug-26 (reported)</t>
      </text>
    </comment>
    <comment ref="B63" authorId="0">
      <text>
        <t>Unearned premiums at 31-Aug-26 (reported)</t>
      </text>
    </comment>
    <comment ref="B64" authorId="0">
      <text>
        <t>Loss and LAE reserves at 31-Aug-26 (reported)</t>
      </text>
    </comment>
    <comment ref="B66" authorId="0">
      <text>
        <t>September change in loss and LAE reserves (assumption; 3Q25 avg ≈ $346m/month)</t>
      </text>
    </comment>
    <comment ref="B67" authorId="0">
      <text>
        <t>3Q26 dividend declared ($0.10/share, payable 9-Oct-26)</t>
      </text>
    </comment>
    <comment ref="B68" authorId="0">
      <text>
        <t>3Q26 amortization of equity-based compensation (assumption ≈ 2Q26)</t>
      </text>
    </comment>
    <comment ref="B69" authorId="0">
      <text>
        <t>July 2026 other comprehensive income (reported)</t>
      </text>
    </comment>
    <comment ref="B70" authorId="0">
      <text>
        <t>August 2026 other comprehensive income (reported)</t>
      </text>
    </comment>
    <comment ref="B71" authorId="0">
      <text>
        <t>September 2026 OCI (assumption: 10-yr UST +54bp to 5.29%, duration 3.5, after tax)</t>
      </text>
    </comment>
    <comment ref="H10" authorId="0">
      <text>
        <t>3Q26E balancing item: total liabilities &amp; equity less all other assets. Not an independent fixed-maturity forecast; history source tags in J10 apply to C:G only.</t>
      </text>
    </comment>
    <comment ref="H66" authorId="0">
      <text>
        <t>Sep-26E assumption (not issuer data or guidance): September change in loss and LAE reserves ≈ 3Q25 average monthly change (~$346m/month).</t>
      </text>
    </comment>
  </commentList>
</comments>
</file>

<file path=xl/comments7.xml><?xml version="1.0" encoding="utf-8"?>
<comments xmlns="http://schemas.openxmlformats.org/spreadsheetml/2006/main">
  <authors>
    <author>Shortcut</author>
  </authors>
  <commentList>
    <comment ref="B12" authorId="0">
      <text>
        <t>Net amortization (accretion) of fixed-income securities</t>
      </text>
    </comment>
    <comment ref="B13" authorId="0">
      <text>
        <t>Amortization of equity-based compensation</t>
      </text>
    </comment>
    <comment ref="B14" authorId="0">
      <text>
        <t>Net realized (gains) losses on securities</t>
      </text>
    </comment>
    <comment ref="B15" authorId="0">
      <text>
        <t>Net (gains) losses on disposition of property and equipment</t>
      </text>
    </comment>
    <comment ref="B23" authorId="0">
      <text>
        <t>Change in accounts payable, accrued expenses and other liabilities</t>
      </text>
    </comment>
    <comment ref="B25" authorId="0">
      <text>
        <t>Net cash provided by operating activities</t>
      </text>
    </comment>
    <comment ref="B33" authorId="0">
      <text>
        <t>Maturities, paydowns, calls — fixed maturities</t>
      </text>
    </comment>
    <comment ref="B34" authorId="0">
      <text>
        <t>Maturities, paydowns, calls — equity securities</t>
      </text>
    </comment>
    <comment ref="B35" authorId="0">
      <text>
        <t>Net (purchases) sales of short-term investments</t>
      </text>
    </comment>
    <comment ref="B36" authorId="0">
      <text>
        <t>Net change in unsettled security transactions</t>
      </text>
    </comment>
    <comment ref="B39" authorId="0">
      <text>
        <t>Net investment portfolio activity (3Q26E derived so cash holds at 30-Jun-26 level)</t>
      </text>
    </comment>
    <comment ref="B40" authorId="0">
      <text>
        <t>Net cash provided by (used in) investing activities</t>
      </text>
    </comment>
    <comment ref="B44" authorId="0">
      <text>
        <t>Treasury shares acquired for equity award tax liabilities</t>
      </text>
    </comment>
    <comment ref="B47" authorId="0">
      <text>
        <t>Net cash provided by (used in) financing activities</t>
      </text>
    </comment>
    <comment ref="B49" authorId="0">
      <text>
        <t>Increase (decrease) in cash, cash equivalents and restricted cash</t>
      </text>
    </comment>
    <comment ref="B50" authorId="0">
      <text>
        <t>Cash, cash equivalents and restricted cash — beginning of period</t>
      </text>
    </comment>
    <comment ref="B51" authorId="0">
      <text>
        <t>Cash, cash equivalents and restricted cash — end of period</t>
      </text>
    </comment>
    <comment ref="B52" authorId="0">
      <text>
        <t>Check: end-of-period cash − Balance Sheet cash (should be 0)</t>
      </text>
    </comment>
    <comment ref="B53" authorId="0">
      <text>
        <t>Check: change in cash − change in Balance Sheet cash (should be 0)</t>
      </text>
    </comment>
    <comment ref="B56" authorId="0">
      <text>
        <t>Issuer-defined free cash flow: not reported by Progressive (not applicable)</t>
      </text>
    </comment>
    <comment ref="B57" authorId="0">
      <text>
        <t>Capital expenditures (purchases of property and equipment)</t>
      </text>
    </comment>
    <comment ref="H11" authorId="0">
      <text>
        <t>3Q26E assumption (not issuer guidance): depreciation ≈ trailing four-quarter run-rate (81/83/75/82; avg 80.25). Rationale reconstructed in repair; original build recorded none.</t>
      </text>
    </comment>
    <comment ref="H37" authorId="0">
      <text>
        <t>3Q26E assumption (not issuer guidance): capex ≈ trailing four-quarter run-rate (66/121/63/138; avg 97). Rationale reconstructed in repair; original build recorded none.</t>
      </text>
    </comment>
    <comment ref="H25" authorId="0">
      <text>
        <t>3Q26E scoped partial scenario, not a full-quarter CFO forecast (working-capital windows mixed: Jun-held, Jul–Aug, Jul–Sep). Tracked operating_cash_flow = unavailable. See J25.</t>
      </text>
    </comment>
  </commentList>
</comments>
</file>

<file path=xl/comments8.xml><?xml version="1.0" encoding="utf-8"?>
<comments xmlns="http://schemas.openxmlformats.org/spreadsheetml/2006/main">
  <authors>
    <author>Shortcut</author>
  </authors>
  <commentList>
    <comment ref="B9" authorId="0">
      <text>
        <t>Weighted average common shares — basic (m)</t>
      </text>
    </comment>
    <comment ref="B12" authorId="0">
      <text>
        <t>Net effect of dilutive stock-based compensation (m)</t>
      </text>
    </comment>
    <comment ref="B13" authorId="0">
      <text>
        <t>Weighted average equivalent shares — diluted (m)</t>
      </text>
    </comment>
    <comment ref="B16" authorId="0">
      <text>
        <t>Common shares outstanding, end of period (m; $1 par from balance sheet)</t>
      </text>
    </comment>
    <comment ref="B17" authorId="0">
      <text>
        <t>Share repurchases — cash spent ($m, cash flow statement)</t>
      </text>
    </comment>
    <comment ref="B24" authorId="0">
      <text>
        <t>Sep-26E shares repurchased (m, assumption ≈ Jul/Aug pace)</t>
      </text>
    </comment>
    <comment ref="B25" authorId="0">
      <text>
        <t>Sep-26E average cost per share ($, assumption ≈ late-Sep price)</t>
      </text>
    </comment>
    <comment ref="B33" authorId="0">
      <text>
        <t>Share count behind forecast EPS — diluted (m)</t>
      </text>
    </comment>
  </commentList>
</comments>
</file>

<file path=xl/comments9.xml><?xml version="1.0" encoding="utf-8"?>
<comments xmlns="http://schemas.openxmlformats.org/spreadsheetml/2006/main">
  <authors>
    <author>Shortcut</author>
  </authors>
  <commentList>
    <comment ref="C28" authorId="0">
      <text>
        <t>Progressive 10-Q 2Q26 | MD&amp;A Personal Lines | 55% of special lines net premiums written</t>
      </text>
    </comment>
    <comment ref="F136" authorId="0">
      <text>
        <t>No Florida excess-profit accrual assumed for accident years 2024–26: unlike 2Q25, the 2Q26 10-Q flags no expected excess; management (3Q25 call) said "we don't know" and cut Florida rates. ~10% tail risk; a Sep-25-sized accrual would cut EPS by ~$1.30.</t>
      </text>
    </comment>
    <comment ref="F34" authorId="0">
      <text>
        <t>Agency auto written premium per policy ran −4% Y/Y in 1Q26 and 2Q26 (10-Q); Sep-26E −3.5% gives ~+3% NPW, matching Jul/Aug +3%.</t>
      </text>
    </comment>
    <comment ref="F38" authorId="0">
      <text>
        <t>Direct auto WPP was flat Y/Y in 2Q26 but July/August NPW (+7%/+6%) lagged PIF (+9%), implying ~−2%; Sep-26E −1.5%.</t>
      </text>
    </comment>
    <comment ref="F42" authorId="0">
      <text>
        <t>Property NPW +6% in Jul/Aug on flat PIF (rate +9% over 12 months, mix toward homeowners); Sep-26E +5.5%.</t>
      </text>
    </comment>
    <comment ref="F46" authorId="0">
      <text>
        <t>Sep-25 base depressed by the TNC mileage adjustment (CL NPW −7% Y/Y); Aug-26 +13%, Jul +7%. Sep-26E per-policy +4% on +4% PIF.</t>
      </text>
    </comment>
    <comment ref="F36" authorId="0">
      <text>
        <t>Agency NPE growth decelerating (Jul +4%, Aug +3%); per-policy −3.6% on +6.9% average PIF ≈ +3%.</t>
      </text>
    </comment>
    <comment ref="F40" authorId="0">
      <text>
        <t>Direct NPE Jul +9%, Aug +8%; per-policy −0.2% on +8.2% average PIF ≈ +8%.</t>
      </text>
    </comment>
    <comment ref="F44" authorId="0">
      <text>
        <t>Property NPE Jul +3%, Aug −1%; per-policy −1.2% ≈ −1%.</t>
      </text>
    </comment>
    <comment ref="F48" authorId="0">
      <text>
        <t>CL NPE −1% in Jul and Aug; per-policy −4.8% on +4.1% average PIF ≈ −1%.</t>
      </text>
    </comment>
    <comment ref="F81" authorId="0">
      <text>
        <t>Sep-26E 87.3 = Jul/Aug avg 84.75 + ~2.5 pts: quarter-end months ran ~+1.7 pts above their quarter (Sep-25 ex-credit, Jun-26) and the accident-year loss ratio ex-cat rose ~1 pt/month (2Q26 66.4 → Jul 67.7 → Aug 68.7) as rate cuts earn in against ~+5% repair-cost inflation.</t>
      </text>
    </comment>
    <comment ref="F85" authorId="0">
      <text>
        <t>Sep-26E 91.8 = Jul/Aug avg 89.7 + ~2.1 pts (same rationale as agency).</t>
      </text>
    </comment>
    <comment ref="F89" authorId="0">
      <text>
        <t>No U.S. hurricane landfall in September 2026 (Isaias landed 9–10 Oct, a 4Q event); 80.0 vs Jul/Aug avg 77.5.</t>
      </text>
    </comment>
    <comment ref="F93" authorId="0">
      <text>
        <t>Held near the Jul/Aug average (Aug 97.5 elevated by severity; Jul 89.6).</t>
      </text>
    </comment>
    <comment ref="F105" authorId="0">
      <text>
        <t>Quiet September weather; Sep-25 0.6%.</t>
      </text>
    </comment>
    <comment ref="F106" authorId="0">
      <text>
        <t>Sep-25 8.8%; no September hurricane in 2026.</t>
      </text>
    </comment>
    <comment ref="F125" authorId="0">
      <text>
        <t>Aug $346m × 30/31 days plus higher reinvestment yields (10-yr UST 5.29% at 30-Sep).</t>
      </text>
    </comment>
    <comment ref="F127" authorId="0">
      <text>
        <t>S&amp;P 500 −0.2%/−0.3% in September on ~$4.6bn common equities; preferreds hit by higher rates. Excluded from normalized EPS.</t>
      </text>
    </comment>
    <comment ref="F143" authorId="0">
      <text>
        <t>Jul 21.7%, Aug 21.3%, YTD 21.3%.</t>
      </text>
    </comment>
    <comment ref="F60" authorId="0">
      <text>
        <t>Other indemnity NPW ≈ $1–3m/month.</t>
      </text>
    </comment>
    <comment ref="F11" authorId="0">
      <text>
        <t>Sep-25 net adds: agency +55k, direct +95k, special +25k, property +12k, CL +1k; Jul/Aug-26 total +218k/+188k.</t>
      </text>
    </comment>
    <comment ref="B29" authorId="0">
      <text>
        <t>Average PIF (000) — Agency vehicles (agency auto + agency share of special lines)</t>
      </text>
    </comment>
    <comment ref="B30" authorId="0">
      <text>
        <t>Average PIF (000) — Direct vehicles (direct auto + direct share of special lines)</t>
      </text>
    </comment>
    <comment ref="B33" authorId="0">
      <text>
        <t>NPW per avg PIF ($/policy-month) — Agency vehicles</t>
      </text>
    </comment>
    <comment ref="B34" authorId="0">
      <text>
        <t>Δ written premium per policy Y/Y (Sep-26E assumption)</t>
      </text>
    </comment>
    <comment ref="B35" authorId="0">
      <text>
        <t>NPE per avg PIF ($/policy-month) — Agency vehicles</t>
      </text>
    </comment>
    <comment ref="B36" authorId="0">
      <text>
        <t>Δ earned premium per policy Y/Y (Sep-26E assumption)</t>
      </text>
    </comment>
    <comment ref="B37" authorId="0">
      <text>
        <t>NPW per avg PIF ($/policy-month) — Direct vehicles</t>
      </text>
    </comment>
    <comment ref="B38" authorId="0">
      <text>
        <t>Δ written premium per policy Y/Y (Sep-26E assumption)</t>
      </text>
    </comment>
    <comment ref="B39" authorId="0">
      <text>
        <t>NPE per avg PIF ($/policy-month) — Direct vehicles</t>
      </text>
    </comment>
    <comment ref="B40" authorId="0">
      <text>
        <t>Δ earned premium per policy Y/Y (Sep-26E assumption)</t>
      </text>
    </comment>
    <comment ref="B41" authorId="0">
      <text>
        <t>NPW per avg PIF ($/policy-month) — Property</t>
      </text>
    </comment>
    <comment ref="B42" authorId="0">
      <text>
        <t>Δ written premium per policy Y/Y (Sep-26E assumption)</t>
      </text>
    </comment>
    <comment ref="B43" authorId="0">
      <text>
        <t>NPE per avg PIF ($/policy-month) — Property</t>
      </text>
    </comment>
    <comment ref="B44" authorId="0">
      <text>
        <t>Δ earned premium per policy Y/Y (Sep-26E assumption)</t>
      </text>
    </comment>
    <comment ref="B45" authorId="0">
      <text>
        <t>NPW per avg PIF ($/policy-month) — Commercial Lines</t>
      </text>
    </comment>
    <comment ref="B46" authorId="0">
      <text>
        <t>Δ written premium per policy Y/Y (Sep-26E assumption)</t>
      </text>
    </comment>
    <comment ref="B47" authorId="0">
      <text>
        <t>NPE per avg PIF ($/policy-month) — Commercial Lines</t>
      </text>
    </comment>
    <comment ref="B48" authorId="0">
      <text>
        <t>Δ earned premium per policy Y/Y (Sep-26E assumption)</t>
      </text>
    </comment>
    <comment ref="B52" authorId="0">
      <text>
        <t>Y/Y growth (Jul/Aug reported; Sep-26E derived)</t>
      </text>
    </comment>
    <comment ref="B54" authorId="0">
      <text>
        <t>Y/Y growth (Jul/Aug reported; Sep-26E derived)</t>
      </text>
    </comment>
    <comment ref="B56" authorId="0">
      <text>
        <t>Y/Y growth (Jul/Aug reported; Sep-26E derived)</t>
      </text>
    </comment>
    <comment ref="B59" authorId="0">
      <text>
        <t>Y/Y growth (Jul/Aug reported; Sep-26E derived)</t>
      </text>
    </comment>
    <comment ref="B60" authorId="0">
      <text>
        <t>Other indemnity (residual of reported total; Sep-26E assumption)</t>
      </text>
    </comment>
    <comment ref="B67" authorId="0">
      <text>
        <t>Y/Y growth (Jul/Aug reported; Sep-26E derived)</t>
      </text>
    </comment>
    <comment ref="B69" authorId="0">
      <text>
        <t>Y/Y growth (Jul/Aug reported; Sep-26E derived)</t>
      </text>
    </comment>
    <comment ref="B71" authorId="0">
      <text>
        <t>Y/Y growth (Jul/Aug reported; Sep-26E derived)</t>
      </text>
    </comment>
    <comment ref="B74" authorId="0">
      <text>
        <t>Y/Y growth (Jul/Aug reported; Sep-26E derived)</t>
      </text>
    </comment>
    <comment ref="B75" authorId="0">
      <text>
        <t>Other indemnity (residual of reported total; Sep-26E assumption)</t>
      </text>
    </comment>
    <comment ref="B99" authorId="0">
      <text>
        <t>Companywide CR — prior-year month (reported)</t>
      </text>
    </comment>
    <comment ref="B107" authorId="0">
      <text>
        <t>Net catastrophe loss ratio — Commercial Lines</t>
      </text>
    </comment>
    <comment ref="B111" authorId="0">
      <text>
        <t>Catastrophe losses — Commercial Lines ($m)</t>
      </text>
    </comment>
    <comment ref="B120" authorId="0">
      <text>
        <t>Other indemnity and rounding (residual; Sep-26E assumption)</t>
      </text>
    </comment>
    <comment ref="B126" authorId="0">
      <text>
        <t>Net realized gains (losses) on security sales</t>
      </text>
    </comment>
    <comment ref="B127" authorId="0">
      <text>
        <t>Net holding period gains (losses) on securities</t>
      </text>
    </comment>
    <comment ref="B128" authorId="0">
      <text>
        <t>Total net realized gains (losses) on securities</t>
      </text>
    </comment>
    <comment ref="B134" authorId="0">
      <text>
        <t>Policy acquisition costs % of NPE (Sep-26E assumption)</t>
      </text>
    </comment>
    <comment ref="B152" authorId="0">
      <text>
        <t>Net effect of dilutive stock-based compensation (m)</t>
      </text>
    </comment>
    <comment ref="B153" authorId="0">
      <text>
        <t>Average equivalent common shares — diluted (m)</t>
      </text>
    </comment>
    <comment ref="B156" authorId="0">
      <text>
        <t>Diluted EPS — prior-year month (reported)</t>
      </text>
    </comment>
    <comment ref="B157" authorId="0">
      <text>
        <t>Less: realized gains after tax at statutory rate</t>
      </text>
    </comment>
    <comment ref="B158" authorId="0">
      <text>
        <t>Normalized net income (CapIQ basis: excludes realized gains)</t>
      </text>
    </comment>
    <comment ref="F120" authorId="0">
      <text>
        <t>Sep-26E assumption (not issuer data): other indemnity UW loss ≈ $3–7m/month in 2026 (Jul −6.2, Aug −7.3 residuals).</t>
      </text>
    </comment>
    <comment ref="F151" authorId="0">
      <text>
        <t>Sep-26E assumption (not issuer data): Aug basic 580.8m less ~0.65m September buyback.</t>
      </text>
    </comment>
    <comment ref="G151" authorId="0">
      <text>
        <t>Day-weighted quarterly average of monthly averages (31/31/30 days, row 7).</t>
      </text>
    </comment>
    <comment ref="G152" authorId="0">
      <text>
        <t>Day-weighted quarterly average of monthly averages (31/31/30 days, row 7).</t>
      </text>
    </comment>
    <comment ref="G121" authorId="0">
      <text>
        <t>Approximation from rounded reported monthly combined ratios. Tracked underwriting_profit = Income Statement!H66 (dollar basis).</t>
      </text>
    </comment>
    <comment ref="G98" authorId="0">
      <text>
        <t>Approximation from rounded reported monthly combined ratios. Tracked combined_ratio = Income Statement!H54 (dollar basis).</t>
      </text>
    </comment>
    <comment ref="G97" authorId="0">
      <text>
        <t>Approximation (Jul/Aug reported PL CR × NPE). Tracked PL segment outputs = Segment - Personal Lines!H237 / H197 (segment sums).</t>
      </text>
    </comment>
    <comment ref="G112" authorId="0">
      <text>
        <t>Memo only (not tracked): mixed basis — Jul/Aug = reported (rounded) companywide cat ratio × NPE; Sep-26E = sum of segment cats. Tracked catastrophe_losses = segment basis SUM(G109:G111) = 360.451. Forecast unchanged.</t>
      </text>
    </comment>
  </commentList>
</comments>
</file>

<file path=xl/comments10.xml><?xml version="1.0" encoding="utf-8"?>
<comments xmlns="http://schemas.openxmlformats.org/spreadsheetml/2006/main">
  <authors>
    <author>Shortcut</author>
  </authors>
  <commentList>
    <comment ref="C263" authorId="0">
      <text>
        <t>stockanalysis.com PGR market cap | Oct 9, 2026 | $126.41 billion</t>
      </text>
    </comment>
    <comment ref="B28" authorId="0">
      <text>
        <t>Total net realized gains (losses) on securities</t>
      </text>
    </comment>
    <comment ref="B51" authorId="0">
      <text>
        <t>Cat loss ratio — Property (FY24 reported)</t>
      </text>
    </comment>
    <comment ref="B52" authorId="0">
      <text>
        <t>Cat losses — Personal Lines, FY24 reported (10-K)</t>
      </text>
    </comment>
    <comment ref="B55" authorId="0">
      <text>
        <t>Catastrophe losses — Commercial Lines ($m)</t>
      </text>
    </comment>
    <comment ref="B69" authorId="0">
      <text>
        <t>PIF (000) end of period — Commercial Lines</t>
      </text>
    </comment>
    <comment ref="B70" authorId="0">
      <text>
        <t>Total cash incl. restricted, end of period</t>
      </text>
    </comment>
    <comment ref="B78" authorId="0">
      <text>
        <t>Earned / written ratio — Commercial Lines</t>
      </text>
    </comment>
    <comment ref="B79" authorId="0">
      <text>
        <t>Normalized net income (CapIQ basis: ex realized gains at 21%)</t>
      </text>
    </comment>
    <comment ref="B85" authorId="0">
      <text>
        <t>UW profit — Personal Lines (NPE × (1 − CR))</t>
      </text>
    </comment>
    <comment ref="B87" authorId="0">
      <text>
        <t>PIF (000) end of period — Personal Lines total</t>
      </text>
    </comment>
    <comment ref="B100" authorId="0">
      <text>
        <t>Vehicle NPW per period-end vehicle PIF ($, annualized)</t>
      </text>
    </comment>
    <comment ref="B101" authorId="0">
      <text>
        <t>Property NPW per period-end PIF ($, annualized)</t>
      </text>
    </comment>
    <comment ref="B102" authorId="0">
      <text>
        <t>CL NPW per period-end PIF ($, annualized)</t>
      </text>
    </comment>
    <comment ref="B263" authorId="0">
      <text>
        <t>Market capitalization ($bn), 2026-10-09 (stockanalysis.com; CapIQ field blank)</t>
      </text>
    </comment>
    <comment ref="B264" authorId="0">
      <text>
        <t>Size bucket (small $0.3–2bn / mid $2–10bn / large &gt;$10bn)</t>
      </text>
    </comment>
    <comment ref="B271" authorId="0">
      <text>
        <t>Strict beats b (normalized EPS actual &gt; consensus)</t>
      </text>
    </comment>
    <comment ref="B273" authorId="0">
      <text>
        <t>Starting p = (pseudo × prior + b) / (pseudo + n)</t>
      </text>
    </comment>
    <comment ref="B274" authorId="0">
      <text>
        <t>Quarter-specific update (Jul/Aug actuals leave ~$0.22 cushion vs consensus; Florida/reserve tail risk)</t>
      </text>
    </comment>
    <comment ref="B275" authorId="0">
      <text>
        <t>Final P(beat consensus normalized EPS), rounded to 0.01</t>
      </text>
    </comment>
    <comment ref="B277" authorId="0">
      <text>
        <t>Mean historical normalized surprise ($/sh, six pairs)</t>
      </text>
    </comment>
    <comment ref="B278" authorId="0">
      <text>
        <t>Statutory tax rate applied to realized gains (CapIQ normalized basis)</t>
      </text>
    </comment>
    <comment ref="D54" authorId="0">
      <text>
        <t>4Q24 property cat shown n/m (not available). FY24 property cat dollars are not disclosed in preserved sources (S13 gives only the rounded 24.8% ratio; S10/S9 give FY25 only). Ratio-derived FY24 742.3 (G54) less reported 9M24 $751m (S11, J54) = −8.7, but ±0.05-pt ratio rounding (±$1.5m) and a possible LAE/basis difference vs the 10-Q table make the split unreliable. S13 Dec-24 property cat ratio (19.9)% shows a negative quarter is possible, so no value is invented. Raw inputs G51, G19, J54 retained.</t>
      </text>
    </comment>
    <comment ref="D53" authorId="0">
      <text>
        <t>4Q24 PL-vehicle cat shown n/m: derived as FY24 vehicle (G53 = 10-K PL total 2,434 − ratio-derived property G54) less 9M24, so it inherits the unreliable FY24 property split (see D54). PL total 4Q24 cat (2,434 − 2,279 = 155) is split-independent and kept in D76.</t>
      </text>
    </comment>
    <comment ref="G54" authorId="0">
      <text>
        <t>Approximation: reported FY24 property cat ratio 24.8% (S13) × FY24 property NPE 2,993. FY24 property cat dollars not disclosed in preserved sources; ±$1.5m rounding band (740.8–743.8) sits below reported 9M24 $751m, so the derived 4Q24 split (D53/D54) is shown n/m.</t>
      </text>
    </comment>
    <comment ref="D56" authorId="0">
      <text>
        <t>4Q24 companywide cat = FY24 (G56 = 10-K PL 2,434 + CL 80) − 9M24 (J56). Independent of the vehicle/property split; value unchanged (166).</t>
      </text>
    </comment>
  </commentList>
</comments>
</file>

<file path=xl/sharedStrings.xml><?xml version="1.0" encoding="utf-8"?>
<sst xmlns="http://schemas.openxmlformats.org/spreadsheetml/2006/main" count="2506" uniqueCount="893">
  <si>
    <t>Company Model — built by Shortcut</t>
  </si>
  <si>
    <t>The Progressive Corporation (NYSE: PGR)</t>
  </si>
  <si>
    <t>$ millions, except per share</t>
  </si>
  <si>
    <t>Period</t>
  </si>
  <si>
    <t>3Q26E</t>
  </si>
  <si>
    <t>Consensus</t>
  </si>
  <si>
    <t>Var. ($)</t>
  </si>
  <si>
    <t>Var. (%)</t>
  </si>
  <si>
    <t>Guide mid</t>
  </si>
  <si>
    <t># est.</t>
  </si>
  <si>
    <t>Period end</t>
  </si>
  <si>
    <t>Days in period</t>
  </si>
  <si>
    <t>Company</t>
  </si>
  <si>
    <t>The Progressive Corporation</t>
  </si>
  <si>
    <t>Ticker / exchange</t>
  </si>
  <si>
    <t>PGR / NYSE</t>
  </si>
  <si>
    <t>Fiscal year end</t>
  </si>
  <si>
    <t>Calendar year, ending 31 December</t>
  </si>
  <si>
    <t>Reporting currency</t>
  </si>
  <si>
    <t>USD</t>
  </si>
  <si>
    <t>Target period</t>
  </si>
  <si>
    <t>FQ3 2026 — quarter ended 2026-09-30 (issuer fiscal quarter = calendar quarter; supplied label "FQ3 2026 - Sep 2026" and period-end 2026-09-30 agree)</t>
  </si>
  <si>
    <t>Reporting scope</t>
  </si>
  <si>
    <t>Quarterly values; the September release (with 3Q totals) is scheduled for 2026-10-14; monthly July/August actuals used, September estimated</t>
  </si>
  <si>
    <t>EPS basis</t>
  </si>
  <si>
    <t>S&amp;P Capital IQ normalized diluted EPS = GAAP diluted EPS excluding net realized gains on securities taxed at 21% (bridge reproduces CapIQ actuals 3Q25–2Q26)</t>
  </si>
  <si>
    <t>Revenue basis</t>
  </si>
  <si>
    <t>Tracked total_revenue = GAAP total revenues (IS!H19); revenue_growth = GAAP Y/Y (IS!H20); premium_revenue = NPE (IS!H11); material_segment_revenue = Personal Lines NPE (Revenue summary!H48); catastrophe_losses = segment basis (Monthly Build!G113). CapIQ "revenue" consensus = NPW (matches all six history rows; Revenue summary!H34); NPW growth (Revenue summary!H35) is memo only</t>
  </si>
  <si>
    <t>Information cutoff</t>
  </si>
  <si>
    <t>2026-10-11 22:24 UTC</t>
  </si>
  <si>
    <t>Expected report date</t>
  </si>
  <si>
    <t>2026-10-14 per issuer events calendar (S30: September monthly release incl. 3Q26 totals) = earlier, safe forecast deadline; raw CapIQ field 2026-11-03 (Inputs!C190) kept separately, not the safe deadline. S30 has no capture timestamp (documented limitation)</t>
  </si>
  <si>
    <t>Author</t>
  </si>
  <si>
    <t>Shortcut</t>
  </si>
  <si>
    <t>Headline (3Q26E)</t>
  </si>
  <si>
    <t>Shortcut est.</t>
  </si>
  <si>
    <t>Revenue — NPW (CapIQ basis, $m)</t>
  </si>
  <si>
    <t>Total revenues — GAAP ($m)</t>
  </si>
  <si>
    <t>n/a</t>
  </si>
  <si>
    <t>Net income — normalized ($m)</t>
  </si>
  <si>
    <t>See note row 35</t>
  </si>
  <si>
    <t>Net income — GAAP ($m)</t>
  </si>
  <si>
    <t>Diluted EPS — normalized (scored)</t>
  </si>
  <si>
    <t>Diluted EPS — GAAP</t>
  </si>
  <si>
    <t>Combined ratio</t>
  </si>
  <si>
    <t>Overall check result</t>
  </si>
  <si>
    <t>Not independent validation of 3Q26E: BS/cash ties are plug identities (BS!H10, CFS!H39); EPS sub-check (C26 vs IS!H87/H75), revenue sub-check (C22 vs Monthly Build!G61) and 3Q26E revenue→IS tie (Revenue summary!H119) are identities by construction. Historical (C:G) ties are substantive</t>
  </si>
  <si>
    <t>P(beat consensus EPS)</t>
  </si>
  <si>
    <t>Confidence</t>
  </si>
  <si>
    <t>History-updated starting p</t>
  </si>
  <si>
    <t>Net income consensus basis (row 24)</t>
  </si>
  <si>
    <t>Basis caveat: CapIQ NI excl. exceptional — contributor set/definition differs from EPS consensus (implies $4.42 on model shares); not scored</t>
  </si>
  <si>
    <t>Revenue summary — net premiums written (CapIQ revenue basis) and GAAP total revenues</t>
  </si>
  <si>
    <t>3Q25A</t>
  </si>
  <si>
    <t>4Q25A</t>
  </si>
  <si>
    <t>1Q26A</t>
  </si>
  <si>
    <t>2Q26A</t>
  </si>
  <si>
    <t>FY25A</t>
  </si>
  <si>
    <t>Source</t>
  </si>
  <si>
    <t>A. Net premiums written by segment (S&amp;P Capital IQ "revenue" = NPW; verified against six history rows)</t>
  </si>
  <si>
    <t>Personal Lines</t>
  </si>
  <si>
    <t>Y/Y %</t>
  </si>
  <si>
    <t>Q/Q %</t>
  </si>
  <si>
    <t>M&amp;A / scope contribution</t>
  </si>
  <si>
    <t>n/d</t>
  </si>
  <si>
    <t>FX impact</t>
  </si>
  <si>
    <t>Organic growth</t>
  </si>
  <si>
    <t>Total Y/Y</t>
  </si>
  <si>
    <t>% of total NPW</t>
  </si>
  <si>
    <t>Commercial Lines</t>
  </si>
  <si>
    <t>Other indemnity</t>
  </si>
  <si>
    <t>S11; S9; S7; S6; MB</t>
  </si>
  <si>
    <t>n/m</t>
  </si>
  <si>
    <t>Growth n/m: integer-rounded $0–4m line (rounding-dominated, immaterial); amounts in row 26 retained</t>
  </si>
  <si>
    <t>Total net premiums written</t>
  </si>
  <si>
    <t>Memo: NPW growth (CapIQ revenue basis); tracked revenue_growth = GAAP, Income Statement!H20</t>
  </si>
  <si>
    <t>Reported total NPW (check source)</t>
  </si>
  <si>
    <t>S11; S9; S7; S6</t>
  </si>
  <si>
    <t>Check: segments sum − reported total</t>
  </si>
  <si>
    <t>CapIQ revenue actual (history file)</t>
  </si>
  <si>
    <t>Check: NPW − CapIQ revenue actual</t>
  </si>
  <si>
    <t>B. GAAP total revenues by component</t>
  </si>
  <si>
    <t>Net premiums earned — Personal Lines</t>
  </si>
  <si>
    <t>Tracked material_segment_revenue = PL NPE (H48), consistent with premium_revenue = NPE</t>
  </si>
  <si>
    <t>% of total revenues</t>
  </si>
  <si>
    <t>Net premiums earned — Commercial Lines</t>
  </si>
  <si>
    <t>Net premiums earned — Other indemnity</t>
  </si>
  <si>
    <t>Growth n/m: integer-rounded $0–3m line (rounding-dominated, immaterial); amounts in row 64 retained</t>
  </si>
  <si>
    <t>Total net premiums earned</t>
  </si>
  <si>
    <t>Fees and other revenues</t>
  </si>
  <si>
    <t>Service revenues</t>
  </si>
  <si>
    <t>Investment income</t>
  </si>
  <si>
    <t>Total net realized gains (losses)</t>
  </si>
  <si>
    <t>Total revenues (GAAP)</t>
  </si>
  <si>
    <t>Check: total revenues − Income Statement</t>
  </si>
  <si>
    <t>Geography: Progressive writes insurance throughout the United States; revenue is effectively 100% U.S., so no Geo tab (see Sources).</t>
  </si>
  <si>
    <t>Segment — Personal Lines (agency auto, direct auto, special lines, property)</t>
  </si>
  <si>
    <t>Policies in force (thousands) — driver ladder</t>
  </si>
  <si>
    <t>Agency auto — opening balance</t>
  </si>
  <si>
    <t>Agency auto — gross adds (n/d)</t>
  </si>
  <si>
    <t>Agency auto — terminations (n/d)</t>
  </si>
  <si>
    <t>Agency auto — net additions</t>
  </si>
  <si>
    <t>Agency auto — closing balance</t>
  </si>
  <si>
    <t>Sequential change (abs, 000)</t>
  </si>
  <si>
    <t>Agency auto — average for period</t>
  </si>
  <si>
    <t>Net additions as % of opening</t>
  </si>
  <si>
    <t>Δ Q/Q (bps)</t>
  </si>
  <si>
    <t>Δ Y/Y (bps)</t>
  </si>
  <si>
    <t>Direct auto — opening balance</t>
  </si>
  <si>
    <t>Direct auto — gross adds (n/d)</t>
  </si>
  <si>
    <t>Direct auto — terminations (n/d)</t>
  </si>
  <si>
    <t>Direct auto — net additions</t>
  </si>
  <si>
    <t>Direct auto — closing balance</t>
  </si>
  <si>
    <t>Direct auto — average for period</t>
  </si>
  <si>
    <t>Special lines — opening balance</t>
  </si>
  <si>
    <t>Special lines — gross adds (n/d)</t>
  </si>
  <si>
    <t>Special lines — terminations (n/d)</t>
  </si>
  <si>
    <t>Special lines — net additions</t>
  </si>
  <si>
    <t>Special lines — closing balance</t>
  </si>
  <si>
    <t>Special lines — average for period</t>
  </si>
  <si>
    <t>Property — opening balance</t>
  </si>
  <si>
    <t>Property — gross adds (n/d)</t>
  </si>
  <si>
    <t>Property — terminations (n/d)</t>
  </si>
  <si>
    <t>Property — net additions</t>
  </si>
  <si>
    <t>Property — closing balance</t>
  </si>
  <si>
    <t>Property — average for period</t>
  </si>
  <si>
    <t>Total Personal Lines PIF — closing</t>
  </si>
  <si>
    <t>Total PL PIF — net additions</t>
  </si>
  <si>
    <t>Total PL PIF — average</t>
  </si>
  <si>
    <t>Mix — Agency auto % of PL PIF</t>
  </si>
  <si>
    <t>Mix — Direct auto % of PL PIF</t>
  </si>
  <si>
    <t>Mix — Special lines % of PL PIF</t>
  </si>
  <si>
    <t>Mix — Property % of PL PIF</t>
  </si>
  <si>
    <t>Churn rate %</t>
  </si>
  <si>
    <t>Net premiums written ($m)</t>
  </si>
  <si>
    <t>Agency vehicles</t>
  </si>
  <si>
    <t>Direct vehicles</t>
  </si>
  <si>
    <t>Property</t>
  </si>
  <si>
    <t>Total Personal Lines NPW</t>
  </si>
  <si>
    <t>Mix — Agency vehicles % of PL NPW</t>
  </si>
  <si>
    <t>Mix — Direct vehicles % of PL NPW</t>
  </si>
  <si>
    <t>Mix — Property % of PL NPW</t>
  </si>
  <si>
    <t>Per-policy economics</t>
  </si>
  <si>
    <t>Vehicle NPW / period-end PIF ($, ann.)</t>
  </si>
  <si>
    <t>Sequential change ($)</t>
  </si>
  <si>
    <t>Property NPW / period-end PIF ($, ann.)</t>
  </si>
  <si>
    <t>Agency auto — Written prem./policy Y/Y</t>
  </si>
  <si>
    <t>S11; S7; S6</t>
  </si>
  <si>
    <t>Agency auto — New apps Y/Y</t>
  </si>
  <si>
    <t>Agency auto — Renewal apps Y/Y</t>
  </si>
  <si>
    <t>Agency auto — PLE (T12M) Y/Y</t>
  </si>
  <si>
    <t>Direct auto — Written prem./policy Y/Y</t>
  </si>
  <si>
    <t>Direct auto — New apps Y/Y</t>
  </si>
  <si>
    <t>Direct auto — Renewal apps Y/Y</t>
  </si>
  <si>
    <t>Direct auto — PLE (T12M) Y/Y</t>
  </si>
  <si>
    <t>Property — Written prem./policy Y/Y</t>
  </si>
  <si>
    <t>Property — New apps Y/Y</t>
  </si>
  <si>
    <t>Property — Renewal apps Y/Y</t>
  </si>
  <si>
    <t>Property — PLE (T12M) Y/Y</t>
  </si>
  <si>
    <t>Net premiums earned ($m)</t>
  </si>
  <si>
    <t>Total Personal Lines NPE</t>
  </si>
  <si>
    <t>Earned / written ratio</t>
  </si>
  <si>
    <t>Underwriting ratios (GAAP)</t>
  </si>
  <si>
    <t>Loss/LAE ratio — Agency vehicles</t>
  </si>
  <si>
    <t>S11; S9; S7; S6; MB; 4Q25 = FY − 9M from rounded published ratios (approx.)</t>
  </si>
  <si>
    <t>Expense ratio — Agency vehicles</t>
  </si>
  <si>
    <t>Combined ratio — Agency vehicles</t>
  </si>
  <si>
    <t>Loss/LAE ratio — Direct vehicles</t>
  </si>
  <si>
    <t>Expense ratio — Direct vehicles</t>
  </si>
  <si>
    <t>Combined ratio — Direct vehicles</t>
  </si>
  <si>
    <t>Loss/LAE ratio — Property</t>
  </si>
  <si>
    <t>Underwriting expense ratio — Property</t>
  </si>
  <si>
    <t>Combined ratio — Property</t>
  </si>
  <si>
    <t>Loss/LAE ratio — Total Personal Lines</t>
  </si>
  <si>
    <t>Expense ratio — Total PL</t>
  </si>
  <si>
    <t>Combined ratio — Total Personal Lines</t>
  </si>
  <si>
    <t>Catastrophe losses</t>
  </si>
  <si>
    <t>PL cat losses — FY25 reported (10-K)</t>
  </si>
  <si>
    <t>S10</t>
  </si>
  <si>
    <t>Catastrophe losses — PL vehicles ($m)</t>
  </si>
  <si>
    <t>S11; S9; S7; S6; S10; MB; FY25 = reported PL cats 1,437 − property approx. (G209), 4Q25 = FY − 9M (approx.)</t>
  </si>
  <si>
    <t>Net catastrophe loss ratio — PL vehicles</t>
  </si>
  <si>
    <t>FY25 Y/Y vs FY24 vehicle cat ratio (Inputs!G57 2.963%; source-feasible 2.960%–2.966% → −131.5 to −132.1 bps; see Inputs!N54)</t>
  </si>
  <si>
    <t>Cat losses Y/Y %</t>
  </si>
  <si>
    <t>FY25 Y/Y vs FY24 vehicle cats (Inputs!G53 = 1,691.7; source-feasible 1,690.2–1,693.2 → −34.2% to −34.3%; see Inputs!N54)</t>
  </si>
  <si>
    <t>Cat losses sequential change ($m)</t>
  </si>
  <si>
    <t>Catastrophe losses — Property ($m)</t>
  </si>
  <si>
    <t>S11; S9; S7; S6; S10; MB; FY25 = rounded FY ratio 10.4% × NPE, 4Q25 = FY − 9M (approx.)</t>
  </si>
  <si>
    <t>Net catastrophe loss ratio — Property</t>
  </si>
  <si>
    <t>S9 (FY property ratio)</t>
  </si>
  <si>
    <t>FY25 Y/Y vs FY24 property cat ratio (Inputs!G58 24.8%; rounding range 24.75%–24.85% → −1,435 to −1,445 bps; see Inputs!N54)</t>
  </si>
  <si>
    <t>FY25 Y/Y vs FY24 property cats (Inputs!G54 = 742.3; source-feasible 740.8–743.8 → −56.3% to −56.4%; see Inputs!N54)</t>
  </si>
  <si>
    <t>Cat losses — Total PL ($m)</t>
  </si>
  <si>
    <t>Cat loss ratio — Total PL</t>
  </si>
  <si>
    <t>Underwriting profit ($m)</t>
  </si>
  <si>
    <t>PL UW profit — FY25 reported (10-K)</t>
  </si>
  <si>
    <t>Underwriting profit — Agency vehicles</t>
  </si>
  <si>
    <t>S11; S9; S7; S6; S10; MB; FY25 = NPE × (1 − rounded FY CR), 4Q25 = FY − 9M (approx.)</t>
  </si>
  <si>
    <t>Underwriting margin</t>
  </si>
  <si>
    <t>C:G approx./mixed basis: prior-year base = NPE × (1 − published CR rounded to 0.1pt) (Inputs row 81); H vs C uses Monthly Build memo basis (see Monthly Build!J114)</t>
  </si>
  <si>
    <t>Underwriting profit — Direct vehicles</t>
  </si>
  <si>
    <t>C:G approx./mixed basis: prior-year base = NPE × (1 − published CR rounded to 0.1pt) (Inputs row 82); H vs C uses Monthly Build memo basis (see Monthly Build!J114)</t>
  </si>
  <si>
    <t>Underwriting profit — Property</t>
  </si>
  <si>
    <t>S11; S9; S7; S6; S10; MB; FY25 = reported PL UW 8,854 − agency − direct approximations (residual)</t>
  </si>
  <si>
    <t>G236 = n/m: FY24 property base Inputs!G83 = 2,993 × (1 − 98.3% rounded CR) = 50.9 is dominated by 0.1pt rounding (±1.5 → ≈1,300%–1,600%; formula gave 1,422%). C:G approx./mixed basis: prior-year base = NPE × (1 − published CR rounded to 0.1pt) (Inputs row 83); H vs C uses Monthly Build memo basis (see Monthly Build!J114)</t>
  </si>
  <si>
    <t>UW profit — Total PL</t>
  </si>
  <si>
    <t>C:G approx./mixed basis: prior-year base = NPE × (1 − published CR rounded to 0.1pt) (Inputs row 85); H vs C uses Monthly Build memo basis (see Monthly Build!J114). FY like-for-like vs S10 reported FY24 PL UW profit 6,840: 8,854/6,840 − 1 = 29.4% (G241 shows 29.2%)</t>
  </si>
  <si>
    <t>Segment — Commercial Lines (core commercial auto, TNC, FSP, BOP)</t>
  </si>
  <si>
    <t>Commercial Lines — opening balance</t>
  </si>
  <si>
    <t>CL — gross adds (n/d)</t>
  </si>
  <si>
    <t>CL — terminations (n/d)</t>
  </si>
  <si>
    <t>Commercial Lines — net additions</t>
  </si>
  <si>
    <t>Commercial Lines — closing balance</t>
  </si>
  <si>
    <t>Commercial Lines — average for period</t>
  </si>
  <si>
    <t>CL NPW per period-end CL PIF</t>
  </si>
  <si>
    <t>Core comm. auto — WPP Y/Y</t>
  </si>
  <si>
    <t>Core comm. auto — New apps Y/Y</t>
  </si>
  <si>
    <t>Core comm. auto — Renewal apps Y/Y</t>
  </si>
  <si>
    <t>Core comm. auto — PLE (T12M) Y/Y</t>
  </si>
  <si>
    <t>Loss/LAE ratio — Commercial Lines</t>
  </si>
  <si>
    <t>Expense ratio — CL</t>
  </si>
  <si>
    <t>Combined ratio — Commercial Lines</t>
  </si>
  <si>
    <t>Cat losses — CL ($m)</t>
  </si>
  <si>
    <t>S11; S9; S7; S6; S10; MB</t>
  </si>
  <si>
    <t>Cat loss ratio — CL</t>
  </si>
  <si>
    <t>Underwriting profit — Commercial Lines</t>
  </si>
  <si>
    <t>C:G approx./mixed basis: prior-year base = NPE × (1 − published CR rounded to 0.1pt) (Inputs row 84); H vs C uses Monthly Build memo basis (see Monthly Build!J114). FY like-for-like vs S10 reported FY24 CL UW profit 1,136: 1,416/1,136 − 1 = 24.6% (G77 shows 24.8%)</t>
  </si>
  <si>
    <t>Income statement — as reported, GAAP to CapIQ-normalized bridge</t>
  </si>
  <si>
    <t>NPW (memo; CapIQ revenue basis)</t>
  </si>
  <si>
    <t>Revenues</t>
  </si>
  <si>
    <t>Net premiums earned</t>
  </si>
  <si>
    <t>Realized gains on security sales</t>
  </si>
  <si>
    <t>Holding period gains (losses)</t>
  </si>
  <si>
    <t>Net impairment losses</t>
  </si>
  <si>
    <t>S11; S9; S7; S6 (history); H15 = 3Q26E assumption (nil, not sourced; Jul/Aug within reported NI); excluded from normalized EPS via H84</t>
  </si>
  <si>
    <t>Total revenues</t>
  </si>
  <si>
    <t>Expenses</t>
  </si>
  <si>
    <t>Losses and loss adjustment expenses</t>
  </si>
  <si>
    <t>Policy acquisition costs</t>
  </si>
  <si>
    <t>Other underwriting expenses</t>
  </si>
  <si>
    <t>Policyholder credits</t>
  </si>
  <si>
    <t>Investment expenses</t>
  </si>
  <si>
    <t>Service expenses</t>
  </si>
  <si>
    <t>Interest expense</t>
  </si>
  <si>
    <t>Total expenses</t>
  </si>
  <si>
    <t>Income before income taxes</t>
  </si>
  <si>
    <t>Provision for income taxes</t>
  </si>
  <si>
    <t>Net income</t>
  </si>
  <si>
    <t>Less: preferred dividends &amp; other</t>
  </si>
  <si>
    <t>S11; S9; S7; S6 (history); H38 = 3Q26E assumption (nil, not sourced)</t>
  </si>
  <si>
    <t>Net income to common</t>
  </si>
  <si>
    <t>Net income — as reported (check source)</t>
  </si>
  <si>
    <t>Check: modelled − reported net income</t>
  </si>
  <si>
    <t>Growth and margins</t>
  </si>
  <si>
    <t>Net premiums earned — Y/Y %</t>
  </si>
  <si>
    <t>Net income — Y/Y %</t>
  </si>
  <si>
    <t>Net income — Q/Q %</t>
  </si>
  <si>
    <t>Investment income — Y/Y %</t>
  </si>
  <si>
    <t>Loss/LAE ratio (losses / NPE)</t>
  </si>
  <si>
    <t>C49 approx./mixed basis: current = line-item loss/LAE ratio; prior quarter = published 2Q25 ratio rounded to 0.1pt (Inputs!F39), ±5bp. D49:F49 and H49 like-for-like (line items)</t>
  </si>
  <si>
    <t>C50:G50 approx./mixed basis: current = line-item loss/LAE ratio; prior year = published ratio rounded to 0.1pt (Inputs row 39), ±5bp for C, E–G; D prior year derived from rounded FY and 9M ratios (Inputs!D39), ±32bp worst case. H50 like-for-like (H48 vs C48)</t>
  </si>
  <si>
    <t>Expense ratio</t>
  </si>
  <si>
    <t>C52 approx./mixed basis: current = line-item expense ratio (PAC + other UW + policyholder credits − fees, / NPE); prior quarter = published 2Q25 ratio rounded to 0.1pt (Inputs!F40); ±5bp plus possible definitional differences. D52:F52 and H52 like-for-like</t>
  </si>
  <si>
    <t>C53:G53 approx./mixed basis: current = line-item expense ratio (PAC + other UW + policyholder credits − fees, / NPE); prior year = published ratio rounded to 0.1pt (Inputs row 40), ±5bp for C, E–G; D prior year derived from rounded FY and 9M ratios (Inputs!D40), ±32bp worst case; plus possible definitional differences. H53 like-for-like (H51 vs C51)</t>
  </si>
  <si>
    <t>C55 approx./mixed basis: current = line-item CR; prior quarter = published 2Q25 CR rounded to 0.1pt (Inputs!F38), ±5bp. D55:F55 and H55 like-for-like</t>
  </si>
  <si>
    <t>C56:G56 approx.: current = line-item CR; prior year = published CR rounded to 0.1pt (Inputs row 38), ±5bp precision for C, E–G; D prior year derived from rounded FY and 9M CRs (Inputs!D38), ±32bp worst case. H56 like-for-like (H54 vs C54)</t>
  </si>
  <si>
    <t>Pretax margin</t>
  </si>
  <si>
    <t>Net margin (net income / total revenues)</t>
  </si>
  <si>
    <t>Effective tax rate</t>
  </si>
  <si>
    <t>UW profit</t>
  </si>
  <si>
    <t>UW profit Y/Y %</t>
  </si>
  <si>
    <t>C70:G70 approx./mixed basis: current = line-item UW profit; prior year = NPE × (1 − published CR rounded to 0.1pt) (Inputs!C86:G86), ±0.05pt ≈ ±0.05% of NPE. FY like-for-like vs S10 reported FY24 UW profit 7,958: 10,249/7,958 − 1 = 28.8% (G70 shows 29.3%). H70 like-for-like (H66 vs C66)</t>
  </si>
  <si>
    <t>Shares and EPS</t>
  </si>
  <si>
    <t>Weighted average shares — basic (m)</t>
  </si>
  <si>
    <t>Dilutive effect of stock comp. (m)</t>
  </si>
  <si>
    <t>Weighted average shares — diluted (m)</t>
  </si>
  <si>
    <t>Basic EPS (GAAP)</t>
  </si>
  <si>
    <t>Diluted EPS (GAAP)</t>
  </si>
  <si>
    <t>Diluted EPS — as reported (check source)</t>
  </si>
  <si>
    <t>S11; S9; S7; S6; 3Q25 issuer-reported $4.45 vs CapIQ vendor 4.44 (Inputs!G257): both retained, GAAP not scored</t>
  </si>
  <si>
    <t>Check: modelled − reported diluted EPS</t>
  </si>
  <si>
    <t>GAAP to normalized bridge (S&amp;P Capital IQ normalized EPS = consensus basis)</t>
  </si>
  <si>
    <t>GAAP net income to common</t>
  </si>
  <si>
    <t>Adj. 1: remove realized (gains), pretax</t>
  </si>
  <si>
    <t>Adj. 2: tax on adj. 1 at CapIQ rate 21%</t>
  </si>
  <si>
    <t>Rate = Inputs!C278 (CapIQ-calibrated, equals statutory 21%); DTA uses separate Inputs!C279</t>
  </si>
  <si>
    <t>Adj. 3: Florida credits (not excluded)</t>
  </si>
  <si>
    <t>Normalized net income</t>
  </si>
  <si>
    <t>Normalized diluted EPS (consensus basis)</t>
  </si>
  <si>
    <t>CapIQ normalized EPS actual</t>
  </si>
  <si>
    <t>Check: bridge − CapIQ normalized actual</t>
  </si>
  <si>
    <t>CapIQ normalized EPS consensus</t>
  </si>
  <si>
    <t>Surprise vs consensus</t>
  </si>
  <si>
    <t>Balance sheet — as reported (3Q26E rolled forward from reported 31-Aug-26 balances)</t>
  </si>
  <si>
    <t>Assets</t>
  </si>
  <si>
    <t>Fixed maturities (AFS, fair value)</t>
  </si>
  <si>
    <t>S11; S10; S7; S6 (history); 3Q26E H10 = balancing item</t>
  </si>
  <si>
    <t>Short-term investments</t>
  </si>
  <si>
    <t>S11; S10; S7; S6; H11 held at reported 31-Aug-26 balance (S3, H57): no Sep-26 movement modelled</t>
  </si>
  <si>
    <t>Nonredeemable preferred stocks</t>
  </si>
  <si>
    <t>S11; S10; S7; S6; H12 held at reported 31-Aug-26 balance (S3, H58): no Sep-26 movement modelled</t>
  </si>
  <si>
    <t>Common equities</t>
  </si>
  <si>
    <t>S11; S10; S7; S6; H13 = 31-Aug-26 (S3, H59) + Sep-26E holding gains (Monthly Build!F127)</t>
  </si>
  <si>
    <t>Total investments</t>
  </si>
  <si>
    <t>Cash and cash equivalents</t>
  </si>
  <si>
    <t>S11; S10; S7; S6; H held at reported 30-Jun-26 balance: no Jul–Sep movement modelled (3Q26E assumption)</t>
  </si>
  <si>
    <t>Restricted cash and cash equivalents</t>
  </si>
  <si>
    <t>Total cash incl. restricted</t>
  </si>
  <si>
    <t>Accrued investment income</t>
  </si>
  <si>
    <t>Premiums receivable, net</t>
  </si>
  <si>
    <t>S11; S10; S7; S6; H19 held at reported 31-Aug-26 balance (S3, H60): no Sep-26 movement modelled</t>
  </si>
  <si>
    <t>Reinsurance recoverables</t>
  </si>
  <si>
    <t>S11; S10; S7; S6; H20 held at reported 31-Aug-26 balance (S3, H61): no Sep-26 movement modelled</t>
  </si>
  <si>
    <t>Prepaid reinsurance premiums</t>
  </si>
  <si>
    <t>Deferred acquisition costs</t>
  </si>
  <si>
    <t>S11; S10; S7; S6; H22 held at reported 31-Aug-26 balance (S3, H62): no Sep-26 movement modelled</t>
  </si>
  <si>
    <t>Property and equipment, net</t>
  </si>
  <si>
    <t>S11; S10; S7; S6</t>
  </si>
  <si>
    <t>Net federal deferred income taxes</t>
  </si>
  <si>
    <t>S11; S10; S7; S6; H24 DTA on OCI at statutory federal rate (Inputs!C279, S10), separate from CapIQ bridge rate (Inputs!C278)</t>
  </si>
  <si>
    <t>Other assets</t>
  </si>
  <si>
    <t>Total assets</t>
  </si>
  <si>
    <t>Liabilities</t>
  </si>
  <si>
    <t>Unearned premiums</t>
  </si>
  <si>
    <t>S11; S10; S7; S6; H29 rolled to 30-Sep-26E: 31-Aug UPR (H63) + Sep-26E NPW − NPE</t>
  </si>
  <si>
    <t>Loss and LAE reserves</t>
  </si>
  <si>
    <t>S11; S10; S7; S6; H30 rolled to 30-Sep-26E: 31-Aug reserves (H64) + Sep-26E change (H66)</t>
  </si>
  <si>
    <t>Dividends payable on common shares</t>
  </si>
  <si>
    <t>AP, accrued exp. &amp; other liabs.</t>
  </si>
  <si>
    <t>Debt</t>
  </si>
  <si>
    <t>Total liabilities</t>
  </si>
  <si>
    <t>Shareholders' equity</t>
  </si>
  <si>
    <t>Common shares, $1 par</t>
  </si>
  <si>
    <t>Paid-in capital</t>
  </si>
  <si>
    <t>Retained earnings</t>
  </si>
  <si>
    <t>AOCI — fixed maturities</t>
  </si>
  <si>
    <t>AOCI — forecasted transactions</t>
  </si>
  <si>
    <t>AOCI — FX translation</t>
  </si>
  <si>
    <t>Total AOCI</t>
  </si>
  <si>
    <t>Total shareholders' equity</t>
  </si>
  <si>
    <t>Total liabilities &amp; equity</t>
  </si>
  <si>
    <t>Check: assets − liabilities − equity</t>
  </si>
  <si>
    <t>3Q26E: 0 by construction (H10 balancing item) — identity</t>
  </si>
  <si>
    <t>Ratios</t>
  </si>
  <si>
    <t>Debt-to-total capital</t>
  </si>
  <si>
    <t>Book value per common share ($)</t>
  </si>
  <si>
    <t>BVPS = equity / period-end $1-par common shares: history uses reported whole-million shares; 3Q26E uses unrounded 579.07 (after buybacks, ignores 3Q equity-award issuance); ±0.5m shares ≈ ±$0.05/share. Ancillary</t>
  </si>
  <si>
    <t>3Q26E roll-forward drivers (reported 31-Aug-26 balances from the August release, plus September assumptions)</t>
  </si>
  <si>
    <t>Short-term investments at 31-Aug-26</t>
  </si>
  <si>
    <t>S3</t>
  </si>
  <si>
    <t>Preferred stocks, 31-Aug-26</t>
  </si>
  <si>
    <t>Common equities at 31-Aug-26 (reported)</t>
  </si>
  <si>
    <t>Net premiums receivable at 31-Aug-26</t>
  </si>
  <si>
    <t>Reinsurance recoverables at 31-Aug-26</t>
  </si>
  <si>
    <t>Deferred acquisition costs at 31-Aug-26</t>
  </si>
  <si>
    <t>Unearned premiums at 31-Aug-26</t>
  </si>
  <si>
    <t>Loss and LAE reserves at 31-Aug-26</t>
  </si>
  <si>
    <t>Debt at 31-Aug-26 (reported)</t>
  </si>
  <si>
    <t>Sep-26 change in LAE reserves</t>
  </si>
  <si>
    <t>Assumption (Sep-26E)</t>
  </si>
  <si>
    <t>3Q26 dividend declared</t>
  </si>
  <si>
    <t>S28</t>
  </si>
  <si>
    <t>3Q26 equity-comp amortization</t>
  </si>
  <si>
    <t>S6</t>
  </si>
  <si>
    <t>July 2026 other comprehensive income</t>
  </si>
  <si>
    <t>S4</t>
  </si>
  <si>
    <t>August 2026 other comprehensive income</t>
  </si>
  <si>
    <t>September 2026 OCI</t>
  </si>
  <si>
    <t>S22</t>
  </si>
  <si>
    <t>Cash flow statement — quarters derived from reported YTD statements (3Q25 = 9M − 6M; 4Q25 = FY − 9M; 2Q26 = 6M − 3M)</t>
  </si>
  <si>
    <t>Operating activities</t>
  </si>
  <si>
    <t>Depreciation</t>
  </si>
  <si>
    <t>S11; S10; S7; S6; H11 = 3Q26E assumption</t>
  </si>
  <si>
    <t>Net amortization of fixed income</t>
  </si>
  <si>
    <t>S11; S10; S7; S6 (history); H12 = 3Q26E assumption (−40, not sourced)</t>
  </si>
  <si>
    <t>Equity-based comp. amortization</t>
  </si>
  <si>
    <t>Net realized losses on securities</t>
  </si>
  <si>
    <t>(Gains) losses on P&amp;E disposals</t>
  </si>
  <si>
    <t>S11; S10; S7; S6; H15 = 3Q26E assumption (nil, not sourced)</t>
  </si>
  <si>
    <t>Change in premiums receivable</t>
  </si>
  <si>
    <t>S11; S10; S7; S6; H16 = Jul–Aug movement only (BS!H19 held at 31-Aug-26; no Sep-26E change modelled)</t>
  </si>
  <si>
    <t>Change in reinsurance recoverables</t>
  </si>
  <si>
    <t>S11; S10; S7; S6; H17 = Jul–Aug movement only (BS!H20 held at 31-Aug-26; no Sep-26E change modelled)</t>
  </si>
  <si>
    <t>Change in prepaid reinsurance premiums</t>
  </si>
  <si>
    <t>S11; S10; S7; S6; H18 = 0 because BS!H21 held at Jun-26 (3Q26E assumption)</t>
  </si>
  <si>
    <t>Change in deferred acquisition costs</t>
  </si>
  <si>
    <t>S11; S10; S7; S6; H19 = Jul–Aug movement only (BS!H22 held at 31-Aug-26; no Sep-26E change modelled)</t>
  </si>
  <si>
    <t>Change in income taxes</t>
  </si>
  <si>
    <t>S11; S10; S7; S6; H20 = 3Q26E assumption (nil, not sourced)</t>
  </si>
  <si>
    <t>Change in unearned premiums</t>
  </si>
  <si>
    <t>S11; S10; S7; S6; H21 = Jul–Sep movement (BS!H29 rolled to 30-Sep-26E)</t>
  </si>
  <si>
    <t>Change in loss and LAE reserves</t>
  </si>
  <si>
    <t>S11; S10; S7; S6; H22 = Jul–Sep movement (BS!H30 rolled to 30-Sep-26E)</t>
  </si>
  <si>
    <t>Change in AP, accrued &amp; other liabs.</t>
  </si>
  <si>
    <t>S11; S10; S7; S6; H23 = 0 because BS!H32 held at Jun-26 (3Q26E assumption)</t>
  </si>
  <si>
    <t>Other, net (operating)</t>
  </si>
  <si>
    <t>S11; S10; S7; S6; H24 = 3Q26E assumption (nil, not sourced)</t>
  </si>
  <si>
    <t>Cash from operations (CFO)</t>
  </si>
  <si>
    <t>3Q26E H25 = scoped partial scenario, NOT a full-quarter CFO forecast: working capital mixes Jun-held (nil), Jul–Aug (receivables, recoverables, DAC) and Jul–Sep (UPR, reserves) windows. Tracked operating_cash_flow = unavailable. Sensitivity: Sep receivables build at the Jul–Aug receivables/UPR ratio (364/342 × 369) ≈ −393 → CFO ≈ 3,720; each $100m Sep WC change = $100m CFO. No EPS dependency</t>
  </si>
  <si>
    <t>H26 = n/m: H25 is a scoped partial-window CFO (see J25), not comparable with the full-quarter 3Q25 actual (C25 = 5,195); H25/C25 − 1 would show −20.8%. No EPS dependency</t>
  </si>
  <si>
    <t>Investing activities</t>
  </si>
  <si>
    <t>Purchases — fixed maturities</t>
  </si>
  <si>
    <t>n/f</t>
  </si>
  <si>
    <t>Purchases — equity securities</t>
  </si>
  <si>
    <t>Sales — fixed maturities</t>
  </si>
  <si>
    <t>Sales — equity securities</t>
  </si>
  <si>
    <t>Maturities &amp; calls — fixed maturities</t>
  </si>
  <si>
    <t>Maturities &amp; calls — equity securities</t>
  </si>
  <si>
    <t>Net short-term investments</t>
  </si>
  <si>
    <t>Unsettled security transactions</t>
  </si>
  <si>
    <t>Purchases of property and equipment</t>
  </si>
  <si>
    <t>S11; S10; S7; S6; H37 = 3Q26E assumption</t>
  </si>
  <si>
    <t>Sales of property and equipment</t>
  </si>
  <si>
    <t>S11; S10; S7; S6 (history); H38 = 3Q26E assumption (nil, not sourced)</t>
  </si>
  <si>
    <t>Net portfolio activity (3Q26E plug)</t>
  </si>
  <si>
    <t>3Q26E balancing item (includes $1m non-cash debt carrying-value change). H29:H36 n/f = not forecast; 3Q26E net portfolio activity is captured in this H39 plug</t>
  </si>
  <si>
    <t>Cash from investing (CFI)</t>
  </si>
  <si>
    <t>H40 inherits the scoped partial-window CFO (H25, see J25) through the H39 balancing plug; not a full-quarter CFI forecast</t>
  </si>
  <si>
    <t>Financing activities</t>
  </si>
  <si>
    <t>Dividends paid to common shareholders</t>
  </si>
  <si>
    <t>Treasury shares — award tax</t>
  </si>
  <si>
    <t>S11; S10; S7; S6 (history); H44 = 3Q26E assumption (nil, not sourced; 3Q25 = −37)</t>
  </si>
  <si>
    <t>Treasury shares acquired in open market</t>
  </si>
  <si>
    <t>Net proceeds from debt issuance</t>
  </si>
  <si>
    <t>S11; S10; S7; S6; H46 = 0: no 3Q26 issuance (only 2026 issuance = Mar-26 net $1,487m, S6 Note 4); $1m debt carrying-value change (BS!H33 − F33) is non-cash, absorbed in H39</t>
  </si>
  <si>
    <t>Cash from financing (CFF)</t>
  </si>
  <si>
    <t>Net change in cash</t>
  </si>
  <si>
    <t>Cash incl. restricted — beginning</t>
  </si>
  <si>
    <t>Cash incl. restricted — end</t>
  </si>
  <si>
    <t>Check: end cash − BS cash</t>
  </si>
  <si>
    <t>3Q26E: identity via H39 plug</t>
  </si>
  <si>
    <t>Check: Δ cash − Δ BS cash</t>
  </si>
  <si>
    <t>Free cash flow</t>
  </si>
  <si>
    <t>Issuer-defined FCF (not reported)</t>
  </si>
  <si>
    <t>Capital expenditures</t>
  </si>
  <si>
    <t>Share count — weighted shares, buybacks and the share count behind forecast EPS</t>
  </si>
  <si>
    <t>Weighted avg. shares — basic (m)</t>
  </si>
  <si>
    <t>Sequential change (m)</t>
  </si>
  <si>
    <t>Weighted avg. shares — diluted (m)</t>
  </si>
  <si>
    <t>Shares outstanding, period end (m)</t>
  </si>
  <si>
    <t>Share repurchases — cash spent</t>
  </si>
  <si>
    <t>C:G = open-market buybacks (CFS row 45) + treasury shares withheld for award tax (CFS row 44; 3Q25 = 37 of 40). H17 = open-market only: 3Q26E award-tax (CFS!H44) assumed nil. Like-for-like open market: 3Q25 3 vs 3Q26E 403.8. No EPS dependency (EPS uses weighted shares H9 + H12)</t>
  </si>
  <si>
    <t>3Q26E repurchase build (monthly releases; September estimated)</t>
  </si>
  <si>
    <t>Jul-26A shares repurchased (m)</t>
  </si>
  <si>
    <t>Jul-26A average cost per share ($)</t>
  </si>
  <si>
    <t>Aug-26A shares repurchased (m)</t>
  </si>
  <si>
    <t>Aug-26A average cost per share ($)</t>
  </si>
  <si>
    <t>Sep-26E shares repurchased</t>
  </si>
  <si>
    <t>Sep-26E average cost per share</t>
  </si>
  <si>
    <t>3Q26E shares repurchased (m)</t>
  </si>
  <si>
    <t>3Q26E repurchase cost ($m)</t>
  </si>
  <si>
    <t>Dividends declared per share ($)</t>
  </si>
  <si>
    <t>Quarterly common dividend declared</t>
  </si>
  <si>
    <t>S11; S10; S7; S6; S28</t>
  </si>
  <si>
    <t>Annual-variable dividend declared</t>
  </si>
  <si>
    <t>Forecast EPS share count — diluted</t>
  </si>
  <si>
    <t>Guidance — Progressive issues no EPS, revenue or net income guidance; standing financial goals tracked</t>
  </si>
  <si>
    <t>Date given</t>
  </si>
  <si>
    <t>Metric</t>
  </si>
  <si>
    <t>Low</t>
  </si>
  <si>
    <t>High</t>
  </si>
  <si>
    <t>Midpoint</t>
  </si>
  <si>
    <t>Actual</t>
  </si>
  <si>
    <t>Beat / miss</t>
  </si>
  <si>
    <t>FY2026</t>
  </si>
  <si>
    <t>Companywide calendar-year combined ratio goal (≤ 96; i.e. ≥ 4% underwriting profit)</t>
  </si>
  <si>
    <t>n/a (FY2026 not complete)</t>
  </si>
  <si>
    <t>Combined ratio vs ≤ 96 goal (model estimate)</t>
  </si>
  <si>
    <t>Combined ratio vs ≤ 96 goal</t>
  </si>
  <si>
    <t>S7</t>
  </si>
  <si>
    <t>S9; B-date 2025-03-03 = FY2024 Form 10-K filing date: S13 (pre-cutoff) states planned 10-K filing Monday, March 3, 2025; confirmed by SEC EDGAR submissions index (acc. 0000080661-25-000007, data.sec.gov/submissions/CIK0000080661.json, retrieved after cutoff, not in Sources). 10-K text not cached, so goal wording for that date is unverified</t>
  </si>
  <si>
    <t>S11; B-date 2025-03-03 = FY2024 Form 10-K filing date: S13 (pre-cutoff) states planned 10-K filing Monday, March 3, 2025; confirmed by SEC EDGAR submissions index (acc. 0000080661-25-000007, data.sec.gov/submissions/CIK0000080661.json, retrieved after cutoff, not in Sources). 10-K text not cached, so goal wording for that date is unverified</t>
  </si>
  <si>
    <t>Companywide calendar-year combined ratio goal (≤ 96)</t>
  </si>
  <si>
    <t>Debt-to-total capital policy (&lt; 30%)</t>
  </si>
  <si>
    <t>EPS / revenue / net income guidance</t>
  </si>
  <si>
    <t>n/a (none issued)</t>
  </si>
  <si>
    <t>S1</t>
  </si>
  <si>
    <t>Sources — publication dates precede the 2026-10-11 22:24 UTC information cutoff</t>
  </si>
  <si>
    <t>ID</t>
  </si>
  <si>
    <t>Publication date</t>
  </si>
  <si>
    <t>Publisher</t>
  </si>
  <si>
    <t>URL or file</t>
  </si>
  <si>
    <t>What it feeds</t>
  </si>
  <si>
    <t>S&amp;P Capital IQ</t>
  </si>
  <si>
    <t>PGR_consensus.json (attached)</t>
  </si>
  <si>
    <t>Frozen consensus (EPS 4.35 normalized, 4.41 GAAP; NPW-basis revenue 22,510.41; NI, EBT, CFO); Inputs §D; Cover</t>
  </si>
  <si>
    <t>S2</t>
  </si>
  <si>
    <t>PGR_history.csv (attached)</t>
  </si>
  <si>
    <t>Six-quarter actual vs consensus history; basis checks; prior calibration (Inputs §E–F)</t>
  </si>
  <si>
    <t>Progressive / GlobeNewswire</t>
  </si>
  <si>
    <t>https://ml.globenewswire.com/Resource/Download/980a76f9-d2f7-4934-afc6-782138294dfb</t>
  </si>
  <si>
    <t>August 2026 monthly results (Monthly Build Aug26A; 31-Aug-26 balances; buybacks)</t>
  </si>
  <si>
    <t>Progressive (SEC 8-K Ex.99)</t>
  </si>
  <si>
    <t>https://www.sec.gov/Archives/edgar/data/80661/000008066126000315/pgr202607ex99earningsrelea.htm</t>
  </si>
  <si>
    <t>July 2026 monthly results (Monthly Build Jul26A; OCI; buybacks)</t>
  </si>
  <si>
    <t>S5</t>
  </si>
  <si>
    <t>https://www.sec.gov/Archives/edgar/data/80661/000008066126000262/pgr202606ex99earningsrelea.htm</t>
  </si>
  <si>
    <t>June/2Q26 release; June monthly CR 90.0 (quarter-end month pattern)</t>
  </si>
  <si>
    <t>Progressive Form 10-Q (2Q26)</t>
  </si>
  <si>
    <t>https://www.sec.gov/Archives/edgar/data/80661/000008066126000308/pgr-20260630.htm</t>
  </si>
  <si>
    <t>2Q26 IS, BS, CF (6M26), segments, PIF, growth metrics; 2Q25 comparatives; Florida commentary</t>
  </si>
  <si>
    <t>Progressive Form 10-Q (1Q26)</t>
  </si>
  <si>
    <t>https://www.sec.gov/Archives/edgar/data/80661/000008066126000177/pgr-20260331.htm</t>
  </si>
  <si>
    <t>1Q26 IS, BS, CF, segments, PIF, growth metrics; 1Q25 comparatives</t>
  </si>
  <si>
    <t>S8</t>
  </si>
  <si>
    <t>https://www.sec.gov/Archives/edgar/data/80661/000008066126000173/pgr202603ex99earningsrelea.htm</t>
  </si>
  <si>
    <t>March/1Q26 release (cross-check)</t>
  </si>
  <si>
    <t>S9</t>
  </si>
  <si>
    <t>Progressive (SEC 8-K Ex.99.1)</t>
  </si>
  <si>
    <t>https://www.sec.gov/Archives/edgar/data/80661/000008066126000071/pgr202512ex991earningsrele.htm</t>
  </si>
  <si>
    <t>FY2025 IS, FY segment ratios and cat ratios, Dec-25 &amp; Dec-24 PIF, 4Q25 headline</t>
  </si>
  <si>
    <t>Progressive Form 10-K 2025 (XBRL R4, R7)</t>
  </si>
  <si>
    <t>https://www.sec.gov/Archives/edgar/data/80661/000008066126000086/R7.htm</t>
  </si>
  <si>
    <t>FY2025 balance sheet and cash flow statement; 96 CR goal; omitted Geo tab check (U.S.-only business)</t>
  </si>
  <si>
    <t>S11</t>
  </si>
  <si>
    <t>Progressive Form 10-Q (3Q25)</t>
  </si>
  <si>
    <t>https://www.sec.gov/Archives/edgar/data/80661/000008066125000129/pgr-20250930.htm</t>
  </si>
  <si>
    <t>3Q25 IS, BS, CF (9M25), segments, cat losses, PIF, growth metrics; 3Q24/9M24 comparatives</t>
  </si>
  <si>
    <t>S12</t>
  </si>
  <si>
    <t>https://www.sec.gov/Archives/edgar/data/80661/000008066125000126/pgr20250930ex99earningsrel.htm</t>
  </si>
  <si>
    <t>September 2025 month (Monthly Build Sep25A; $950m Florida policyholder credit)</t>
  </si>
  <si>
    <t>S13</t>
  </si>
  <si>
    <t>https://www.sec.gov/Archives/edgar/data/80661/000008066125000002/pgr20241231ex99earningsrel.htm</t>
  </si>
  <si>
    <t>FY2024 segment NPW/NPE/ratios (prior-year comparatives)</t>
  </si>
  <si>
    <t>S14</t>
  </si>
  <si>
    <t>StockAnalysis (transcript)</t>
  </si>
  <si>
    <t>https://stockanalysis.com/stocks/pgr/transcripts/650481-q2-2026/</t>
  </si>
  <si>
    <t>2Q26 call: competition, capital, buybacks; no Florida accrual flagged</t>
  </si>
  <si>
    <t>S15</t>
  </si>
  <si>
    <t>VectorShift (transcript)</t>
  </si>
  <si>
    <t>https://vectorshift.ai/research/companies/progressive-oh/earnings/2025-q3</t>
  </si>
  <si>
    <t>3Q25 call: CEO on possible 2024–26 Florida excess-profit exposure ("We don't know")</t>
  </si>
  <si>
    <t>S16</t>
  </si>
  <si>
    <t>Progressive Newsroom</t>
  </si>
  <si>
    <t>https://progressive.mediaroom.com/2026-01-14-Progressive-Insurance-to-Begin-Issuing-Credits-Related-to-Florida-Excess-Profits</t>
  </si>
  <si>
    <t>Florida 2023–25 credits; tail-risk assessment for Sep-26 accrual</t>
  </si>
  <si>
    <t>S17</t>
  </si>
  <si>
    <t>StockAnalysis</t>
  </si>
  <si>
    <t>https://stockanalysis.com/stocks/pgr/market-cap/</t>
  </si>
  <si>
    <t>Market cap $126.41bn (size bucket; CapIQ field blank)</t>
  </si>
  <si>
    <t>S18</t>
  </si>
  <si>
    <t>Earnings Whispers</t>
  </si>
  <si>
    <t>https://beta.earningswhispers.com/article/PGR/20325</t>
  </si>
  <si>
    <t>Newer consensus observation $4.26 (recorded separately; frozen baseline unchanged)</t>
  </si>
  <si>
    <t>S19</t>
  </si>
  <si>
    <t>Allstate / PR Newswire</t>
  </si>
  <si>
    <t>https://www.prnewswire.com/news-releases/august-2026-monthly-release-302882017.html</t>
  </si>
  <si>
    <t>Peer cat losses Jul–Aug 2026 ($1.43bn) — industry weather context</t>
  </si>
  <si>
    <t>S20</t>
  </si>
  <si>
    <t>Insurance Business (Gallagher Re/Aon)</t>
  </si>
  <si>
    <t>https://www.insurancebusinessmag.com/us/news/catastrophe/midwest-derecho-pushes-2026-us-storm-losses-past-35-billion-brokers-say-586429.aspx</t>
  </si>
  <si>
    <t>Aug 9–12 derecho; SCS context (already in August actuals)</t>
  </si>
  <si>
    <t>S21</t>
  </si>
  <si>
    <t>Cotality / Artemis</t>
  </si>
  <si>
    <t>https://www.cotality.com/uk/hazard-hq/hurricane-isaias-targets-the-northern-gulf-coast</t>
  </si>
  <si>
    <t>Isaias = first hurricane of 2026 season, landfall 9–10 Oct (4Q event; no September hurricane)</t>
  </si>
  <si>
    <t>Clark Capital / Kiplinger</t>
  </si>
  <si>
    <t>https://ccmg.com/benchmark-review-monthly-recap-september-2026/</t>
  </si>
  <si>
    <t>September 2026 markets: S&amp;P 500 ≈ −0.2%/−0.3%; 10-yr UST 4.75% → 5.29% (Sep gains and OCI assumptions)</t>
  </si>
  <si>
    <t>S23</t>
  </si>
  <si>
    <t>actuary.info</t>
  </si>
  <si>
    <t>https://actuary.info/insights/cpi-motor-vehicle-insurance-august-2026-first-annual-decline-since-2021-repair-costs-rising</t>
  </si>
  <si>
    <t>Severity: repair CPI +5.2% vs auto-insurance CPI −5.1% (loss-ratio pressure)</t>
  </si>
  <si>
    <t>S24</t>
  </si>
  <si>
    <t>Cox Automotive</t>
  </si>
  <si>
    <t>https://www.coxautoinc.com/insights/manheim-used-vehicle-value-index-mid-september-2026-trends/</t>
  </si>
  <si>
    <t>Used-vehicle values −0.4% Y/Y mid-September (total-loss severity)</t>
  </si>
  <si>
    <t>S25</t>
  </si>
  <si>
    <t>ad-hoc-news (TradingKey)</t>
  </si>
  <si>
    <t>https://www.ad-hoc-news.de/boerse/news/corporate-news/progressive-corp-stock-falls-2-48-percent-as-august-metrics-weaken/70165923</t>
  </si>
  <si>
    <t>August operating EPS $1.49 vs $1.52 expectation (monthly consensus context)</t>
  </si>
  <si>
    <t>S26</t>
  </si>
  <si>
    <t>FactSet / LSEG (playbook)</t>
  </si>
  <si>
    <t>https://insight.factset.com/sp-500-earnings-season-update-july-31-2026</t>
  </si>
  <si>
    <t>Cohort beat-rate reference for size-aware prior</t>
  </si>
  <si>
    <t>S27</t>
  </si>
  <si>
    <t>TradingView</t>
  </si>
  <si>
    <t>https://www.tradingview.com/news/tradingview:d6a094152d4c9:0-pgr-q3-26-earnings-revenue-estimate-is-22-54b-usd/</t>
  </si>
  <si>
    <t>Newer consensus observation EPS $4.17 / revenue $22.54bn (recorded separately)</t>
  </si>
  <si>
    <t>Progressive (SEC 8-K)</t>
  </si>
  <si>
    <t>https://www.stocktitan.net/sec-filings/PGR/8-k-progressive-corp-oh-reports-material-event-6ed177ddc022.html</t>
  </si>
  <si>
    <t>$0.10 dividend declared, payable 9-Oct-26; 2026–27 reinsurance program</t>
  </si>
  <si>
    <t>S29</t>
  </si>
  <si>
    <t>Polymarket (EXCLUDED)</t>
  </si>
  <si>
    <t>https://polymarket.com/event/progressive-pgr-q3-combined-ratio-20261008120008000</t>
  </si>
  <si>
    <t>Not used: page timestamp after information cutoff</t>
  </si>
  <si>
    <t>MB</t>
  </si>
  <si>
    <t>—</t>
  </si>
  <si>
    <t>Monthly Build tab</t>
  </si>
  <si>
    <t>3Q26E = Jul26A + Aug26A + Sep26E</t>
  </si>
  <si>
    <t>NOTE</t>
  </si>
  <si>
    <t>Omitted tab</t>
  </si>
  <si>
    <t>Geo</t>
  </si>
  <si>
    <t>Geo tab omitted: Form 10-K 2025 (S10) and 10-Q 2Q26 (S6) describe insurance written throughout the United States; revenue effectively 100% U.S.</t>
  </si>
  <si>
    <t>Retrieval</t>
  </si>
  <si>
    <t>web_fetch / exa_web_search</t>
  </si>
  <si>
    <t>All web sources retrieved 2026-10-12 UTC (after cutoff); every publication date shown precedes the cutoff except S29, which is excluded. No 3Q26 actual results were encountered. Post-cutoff retrieval of pre-cutoff publications is a documented limitation; no pre-cutoff capture timestamps or archived snapshots exist for dynamic pages (S17, S18, S27) and none are asserted.</t>
  </si>
  <si>
    <t>S30</t>
  </si>
  <si>
    <t>Progressive Investor Relations (events calendar)</t>
  </si>
  <si>
    <t>https://investors.progressive.com/events/default.aspx</t>
  </si>
  <si>
    <t>Operational only: September earnings release (incl. 3Q26 totals) dated 2026-10-14 — report-date/deadline mapping (Cover C18); no financial information used; no capture timestamp recorded</t>
  </si>
  <si>
    <t>3Q26 monthly build — July and August 2026 reported, September 2026 estimated (quarter = sum of months)</t>
  </si>
  <si>
    <t>Sep25A</t>
  </si>
  <si>
    <t>Jul26A</t>
  </si>
  <si>
    <t>Aug26A</t>
  </si>
  <si>
    <t>Sep26E</t>
  </si>
  <si>
    <t>Policies in force (thousands) — month-end</t>
  </si>
  <si>
    <t>Agency auto — opening</t>
  </si>
  <si>
    <t>S12; S6; S4; S3</t>
  </si>
  <si>
    <t>Agency auto — closing</t>
  </si>
  <si>
    <t>S11; S4; S3</t>
  </si>
  <si>
    <t>Direct auto — opening</t>
  </si>
  <si>
    <t>Direct auto — closing</t>
  </si>
  <si>
    <t>Special lines — opening</t>
  </si>
  <si>
    <t>Special lines — closing</t>
  </si>
  <si>
    <t>Property — opening</t>
  </si>
  <si>
    <t>Property — closing</t>
  </si>
  <si>
    <t>Commercial Lines — opening</t>
  </si>
  <si>
    <t>Commercial Lines — closing</t>
  </si>
  <si>
    <t>Total policies in force — closing</t>
  </si>
  <si>
    <t>Premium drivers — average PIF × premium per policy (Sep-26E = Sep-25 per-policy premium × (1 + assumed Y/Y))</t>
  </si>
  <si>
    <t>Special lines via agency (all months)</t>
  </si>
  <si>
    <t>S6 (10-Q); single parameter used for all months via $C$28 (not a Sep-25 period value)</t>
  </si>
  <si>
    <t>Average PIF (000) — Agency vehicles</t>
  </si>
  <si>
    <t>Average PIF (000) — Direct vehicles</t>
  </si>
  <si>
    <t>Average PIF (000) — Property</t>
  </si>
  <si>
    <t>Average PIF (000) — Commercial Lines</t>
  </si>
  <si>
    <t>NPW/avg PIF ($/pol-mo) — Agency veh.</t>
  </si>
  <si>
    <t>Δ written premium per policy Y/Y</t>
  </si>
  <si>
    <t>NPE/avg PIF ($/pol-mo) — Agency veh.</t>
  </si>
  <si>
    <t>Δ earned premium per policy Y/Y</t>
  </si>
  <si>
    <t>NPW/avg PIF ($/pol-mo) — Direct veh.</t>
  </si>
  <si>
    <t>NPE/avg PIF ($/pol-mo) — Direct veh.</t>
  </si>
  <si>
    <t>NPW/avg PIF ($/pol-mo) — Property</t>
  </si>
  <si>
    <t>NPE/avg PIF ($/pol-mo) — Property</t>
  </si>
  <si>
    <t>NPW per avg PIF ($/policy-month) — CL</t>
  </si>
  <si>
    <t>NPE per avg PIF ($/policy-month) — CL</t>
  </si>
  <si>
    <t>S12; S4; S3</t>
  </si>
  <si>
    <t>Y/Y growth</t>
  </si>
  <si>
    <t>Total NPW — prior-year month (reported)</t>
  </si>
  <si>
    <t>S4; S3</t>
  </si>
  <si>
    <t>Total NPE — prior-year month (reported)</t>
  </si>
  <si>
    <t>Sep-26E vs Jul–Aug 2026 average (bps)</t>
  </si>
  <si>
    <t>Expense ratio — Property</t>
  </si>
  <si>
    <t>Expense ratio — Commercial Lines</t>
  </si>
  <si>
    <t>Combined ratio — Personal Lines</t>
  </si>
  <si>
    <t>S12; S4; S3; G97 = memo, rounded-ratio basis (tracked PL CR = Segment PL!H197)</t>
  </si>
  <si>
    <t>Combined ratio — Companywide</t>
  </si>
  <si>
    <t>S12; S4; S3; G98 = memo, rounded-ratio basis (tracked CR = Income Statement!H54)</t>
  </si>
  <si>
    <t>Companywide CR — prior-year month</t>
  </si>
  <si>
    <t>G100 = memo, mixed basis (rounded-ratio G98 vs line-item 3Q25 CR, IS!C54); tracked CR Y/Y = Income Statement!H56</t>
  </si>
  <si>
    <t>Expense ratio — Companywide</t>
  </si>
  <si>
    <t>Loss/LAE ratio — Companywide</t>
  </si>
  <si>
    <t>Net catastrophe loss ratio — Companywide</t>
  </si>
  <si>
    <t>S12; S4; S3; G108 = memo, mixed basis (G112/G76); tracked segment-basis cat losses = G113</t>
  </si>
  <si>
    <t>Cat losses — Companywide, memo ($m)</t>
  </si>
  <si>
    <t>Memo only — mixed basis: Jul/Aug = reported companywide ratio × NPE; Sep-26E = segment sum. Not the tracked figure; tracked catastrophe_losses = G113 (segment basis)</t>
  </si>
  <si>
    <t>Cat losses — tracked, segment basis ($m)</t>
  </si>
  <si>
    <t>Tracked catastrophe_losses (3Q26E) = G113 = Segment PL!H215 + Segment CL!H65</t>
  </si>
  <si>
    <t>Underwriting profit ($m) = NPE × (1 − CR)</t>
  </si>
  <si>
    <t>Memo approximation (rounded monthly CRs); tracked UW profit/CR = Income Statement!H66/H54</t>
  </si>
  <si>
    <t>Other indemnity and rounding</t>
  </si>
  <si>
    <t>Total underwriting profit</t>
  </si>
  <si>
    <t>Income statement ($m)</t>
  </si>
  <si>
    <t>Policy acquisition costs % of NPE</t>
  </si>
  <si>
    <t>Policyholder credit expense (Florida)</t>
  </si>
  <si>
    <t>Effective tax rate (Sep-26E assumption)</t>
  </si>
  <si>
    <t>Net income — as reported (check)</t>
  </si>
  <si>
    <t>Net income — prior-year month (reported)</t>
  </si>
  <si>
    <t>Average common shares — basic (m)</t>
  </si>
  <si>
    <t>S12; S4; S3; F151 = Sep-26E assumption</t>
  </si>
  <si>
    <t>Avg. shares — diluted (m)</t>
  </si>
  <si>
    <t>Diluted EPS — as reported (check)</t>
  </si>
  <si>
    <t>Diluted EPS — prior-year month</t>
  </si>
  <si>
    <t>Less: realized gains after 21% tax</t>
  </si>
  <si>
    <t>Normalized diluted EPS</t>
  </si>
  <si>
    <t>Inputs — CapIQ snapshot, prior-year comparatives and YTD figures used for quarterly derivation</t>
  </si>
  <si>
    <t>3Q24A</t>
  </si>
  <si>
    <t>4Q24A</t>
  </si>
  <si>
    <t>1Q25A</t>
  </si>
  <si>
    <t>2Q25A</t>
  </si>
  <si>
    <t>FY24A</t>
  </si>
  <si>
    <t>9M24A</t>
  </si>
  <si>
    <t>6M25A</t>
  </si>
  <si>
    <t>9M25A</t>
  </si>
  <si>
    <t>6M26A</t>
  </si>
  <si>
    <t>A. Prior-year comparatives (C:G align with statement-tab columns; 4Q24 = FY24 − 9M24)</t>
  </si>
  <si>
    <t>NPW — Agency vehicles</t>
  </si>
  <si>
    <t>S11; S9; S7; S6; S13; S10</t>
  </si>
  <si>
    <t>NPW — Direct vehicles</t>
  </si>
  <si>
    <t>NPW — Property</t>
  </si>
  <si>
    <t>NPW — Commercial Lines</t>
  </si>
  <si>
    <t>NPW — Other indemnity</t>
  </si>
  <si>
    <t>NPW — Personal Lines</t>
  </si>
  <si>
    <t>NPW — Total</t>
  </si>
  <si>
    <t>NPE — Agency vehicles</t>
  </si>
  <si>
    <t>NPE — Direct vehicles</t>
  </si>
  <si>
    <t>NPE — Property</t>
  </si>
  <si>
    <t>NPE — Commercial Lines</t>
  </si>
  <si>
    <t>NPE — Other indemnity</t>
  </si>
  <si>
    <t>NPE — Personal Lines</t>
  </si>
  <si>
    <t>NPE — Total</t>
  </si>
  <si>
    <t>Diluted EPS (reported)</t>
  </si>
  <si>
    <t>Diluted weighted shares (m)</t>
  </si>
  <si>
    <t>Preferred share dividends and other</t>
  </si>
  <si>
    <t>Underwriting expense ratio — Companywide</t>
  </si>
  <si>
    <t>Loss/LAE ratio — Personal Lines</t>
  </si>
  <si>
    <t>Expense ratio — Personal Lines</t>
  </si>
  <si>
    <t>Cat loss ratio — Property</t>
  </si>
  <si>
    <t>Cat losses — PL, FY24 reported (10-K)</t>
  </si>
  <si>
    <t>S11; S13; S10. G53 = reported FY24 PL cats 2,434 − property G54 = 1,691.7 (source-feasible 1,690.2–1,693.2, ratio 2.960%–2.966%, consistent with S13 vehicles 3.0%; see N54)</t>
  </si>
  <si>
    <t>S11 (J54 9M24 $751m, excl. LAE, 3Q25 10-Q); S13 (FY24 property cat ratio 24.8% = G51); S10 (G52 FY24 PL cats 2,434, same excl.-LAE basis). G54 = 24.8% × 2,993 = 742.3; rounding range 24.75%–24.85% → 740.8–743.8, so implied 4Q24 property cats = −10.2 to −7.2 (negative in every source-consistent case; consistent with S13 Dec-24 property cat ratio −19.9% from favourable Helene/Milton development). 751 would need a 25.09% ratio, contradicting S13. Point estimate retained; exact value within range unresolved</t>
  </si>
  <si>
    <t>Catastrophe losses — Companywide ($m)</t>
  </si>
  <si>
    <t>Cat loss ratio — PL vehicles</t>
  </si>
  <si>
    <t>Cat loss ratio — Commercial Lines</t>
  </si>
  <si>
    <t>Net margin</t>
  </si>
  <si>
    <t>PIF (000) end of period — Agency auto</t>
  </si>
  <si>
    <t>PIF (000) end of period — Direct auto</t>
  </si>
  <si>
    <t>PIF (000) end of period — Special lines</t>
  </si>
  <si>
    <t>PIF (000) end of period — Property</t>
  </si>
  <si>
    <t>PIF (000) end of period — CL</t>
  </si>
  <si>
    <t>Total cash, end of period</t>
  </si>
  <si>
    <t>Debt, end of period</t>
  </si>
  <si>
    <t>Shareholders' equity, end of period</t>
  </si>
  <si>
    <t>Common shares, $1 par (m), end of period</t>
  </si>
  <si>
    <t>Cat loss ratio — Personal Lines</t>
  </si>
  <si>
    <t>Earned / written ratio — Personal Lines</t>
  </si>
  <si>
    <t>Earned / written ratio — CL</t>
  </si>
  <si>
    <t>UW profit — ag (NPE × (1 − CR))</t>
  </si>
  <si>
    <t>UW profit — dir (NPE × (1 − CR))</t>
  </si>
  <si>
    <t>UW profit — prop (NPE × (1 − CR))</t>
  </si>
  <si>
    <t>UW profit — cl (NPE × (1 − CR))</t>
  </si>
  <si>
    <t>UW profit — PL (NPE × (1 − CR))</t>
  </si>
  <si>
    <t>UW profit — Companywide (NPE × (1 − CR))</t>
  </si>
  <si>
    <t>PIF (000) end of period — PL total</t>
  </si>
  <si>
    <t>PIF mix — ag % of PL</t>
  </si>
  <si>
    <t>PIF mix — dir % of PL</t>
  </si>
  <si>
    <t>PIF mix — sp % of PL</t>
  </si>
  <si>
    <t>PIF mix — prop % of PL</t>
  </si>
  <si>
    <t>NPW mix — ag % of PL</t>
  </si>
  <si>
    <t>NPW mix — dir % of PL</t>
  </si>
  <si>
    <t>NPW mix — prop % of PL</t>
  </si>
  <si>
    <t>Net additions % of opening — ag (2Q25)</t>
  </si>
  <si>
    <t>Net additions % of opening — dir (2Q25)</t>
  </si>
  <si>
    <t>Net additions % of opening — sp (2Q25)</t>
  </si>
  <si>
    <t>Net additions % of opening — prop (2Q25)</t>
  </si>
  <si>
    <t>Net additions % of opening — cl (2Q25)</t>
  </si>
  <si>
    <t>Property NPW per period-end PIF</t>
  </si>
  <si>
    <t>CL NPW per period-end PIF</t>
  </si>
  <si>
    <t>B. Reported YTD figures used to derive quarters (Q4 = FY − 9M; Q3 CF = 9M − 6M; Q2 CF = 6M − 3M)</t>
  </si>
  <si>
    <t>Net realized gains on security sales</t>
  </si>
  <si>
    <t>Net holding period gains (losses)</t>
  </si>
  <si>
    <t>Policyholder credit expense</t>
  </si>
  <si>
    <t>Segment NPW — Agency vehicles</t>
  </si>
  <si>
    <t>Segment NPW — Direct vehicles</t>
  </si>
  <si>
    <t>Segment NPW — Property</t>
  </si>
  <si>
    <t>Segment NPW — Commercial Lines</t>
  </si>
  <si>
    <t>Segment NPW — Other indemnity</t>
  </si>
  <si>
    <t>Segment NPE — Agency vehicles</t>
  </si>
  <si>
    <t>Segment NPE — Direct vehicles</t>
  </si>
  <si>
    <t>Segment NPE — Property</t>
  </si>
  <si>
    <t>Segment NPE — Commercial Lines</t>
  </si>
  <si>
    <t>Segment NPE — Other indemnity</t>
  </si>
  <si>
    <t>Catastrophe losses — PL vehicles</t>
  </si>
  <si>
    <t>Catastrophe losses — Property</t>
  </si>
  <si>
    <t>Catastrophe losses — Commercial Lines</t>
  </si>
  <si>
    <t>C. Reported YTD cash-flow statements (6M25, 9M25, 6M26)</t>
  </si>
  <si>
    <t>Net amortization (accretion) of fixed-income securities</t>
  </si>
  <si>
    <t>Amortization of equity-based compensation</t>
  </si>
  <si>
    <t>Net realized (gains) losses on securities</t>
  </si>
  <si>
    <t>Net (gains) losses on disposition of property and equipment</t>
  </si>
  <si>
    <t>Change in accounts payable, accrued expenses and other liabilities</t>
  </si>
  <si>
    <t>Maturities, paydowns, calls — fixed maturities</t>
  </si>
  <si>
    <t>Maturities, paydowns, calls — equity securities</t>
  </si>
  <si>
    <t>Net (purchases) sales of short-term investments</t>
  </si>
  <si>
    <t>Net change in unsettled security transactions</t>
  </si>
  <si>
    <t>Treasury shares acquired for equity award tax liabilities</t>
  </si>
  <si>
    <t>D. S&amp;P Capital IQ consensus snapshot — complete raw summary row (PGR_consensus.json, captured 2026-10-11; blanks preserved)</t>
  </si>
  <si>
    <t>Field</t>
  </si>
  <si>
    <t>Raw value</t>
  </si>
  <si>
    <t>ticker</t>
  </si>
  <si>
    <t>PGR</t>
  </si>
  <si>
    <t>company_name</t>
  </si>
  <si>
    <t>exchange_ticker</t>
  </si>
  <si>
    <t>NYSE:PGR</t>
  </si>
  <si>
    <t>capiq_company_id</t>
  </si>
  <si>
    <t>sp500_member</t>
  </si>
  <si>
    <t>Y</t>
  </si>
  <si>
    <t>market_cap_usd_m</t>
  </si>
  <si>
    <t>fiscal_quarter</t>
  </si>
  <si>
    <t>FQ3 2026 - Sep 2026</t>
  </si>
  <si>
    <t>quarter_end_date</t>
  </si>
  <si>
    <t>expected_report_date</t>
  </si>
  <si>
    <t>fiscal_year_end</t>
  </si>
  <si>
    <t>Dec-31</t>
  </si>
  <si>
    <t>analysts_covering</t>
  </si>
  <si>
    <t>eps_normalized_mean</t>
  </si>
  <si>
    <t>eps_normalized_median</t>
  </si>
  <si>
    <t>eps_normalized_high</t>
  </si>
  <si>
    <t>eps_normalized_low</t>
  </si>
  <si>
    <t>eps_normalized_std_dev</t>
  </si>
  <si>
    <t>eps_normalized_n_est</t>
  </si>
  <si>
    <t>eps_normalized_guidance</t>
  </si>
  <si>
    <t>eps_normalized_guidance_low</t>
  </si>
  <si>
    <t>eps_normalized_guidance_high</t>
  </si>
  <si>
    <t>eps_gaap_mean</t>
  </si>
  <si>
    <t>eps_gaap_median</t>
  </si>
  <si>
    <t>eps_gaap_high</t>
  </si>
  <si>
    <t>eps_gaap_low</t>
  </si>
  <si>
    <t>eps_gaap_std_dev</t>
  </si>
  <si>
    <t>eps_gaap_n_est</t>
  </si>
  <si>
    <t>eps_gaap_guidance</t>
  </si>
  <si>
    <t>revenue_m_mean</t>
  </si>
  <si>
    <t>revenue_m_median</t>
  </si>
  <si>
    <t>revenue_m_high</t>
  </si>
  <si>
    <t>revenue_m_low</t>
  </si>
  <si>
    <t>revenue_m_std_dev</t>
  </si>
  <si>
    <t>revenue_m_n_est</t>
  </si>
  <si>
    <t>revenue_m_guidance</t>
  </si>
  <si>
    <t>revenue_m_guidance_low</t>
  </si>
  <si>
    <t>revenue_m_guidance_high</t>
  </si>
  <si>
    <t>ebitda_m</t>
  </si>
  <si>
    <t>ebit_m</t>
  </si>
  <si>
    <t>ebt_excl_excep_m</t>
  </si>
  <si>
    <t>ebt_gaap_m</t>
  </si>
  <si>
    <t>net_income_excl_excep_m</t>
  </si>
  <si>
    <t>net_income_gaap_m</t>
  </si>
  <si>
    <t>gross_margin_pct</t>
  </si>
  <si>
    <t>effective_tax_rate_pct</t>
  </si>
  <si>
    <t>d_and_a_m</t>
  </si>
  <si>
    <t>capex_m</t>
  </si>
  <si>
    <t>cfo_m</t>
  </si>
  <si>
    <t>fcf_m</t>
  </si>
  <si>
    <t>interest_expense_m</t>
  </si>
  <si>
    <t>net_debt_m</t>
  </si>
  <si>
    <t>cfps</t>
  </si>
  <si>
    <t>bvps</t>
  </si>
  <si>
    <t>dps</t>
  </si>
  <si>
    <t>nav_m</t>
  </si>
  <si>
    <t>navps</t>
  </si>
  <si>
    <t>roe_pct</t>
  </si>
  <si>
    <t>target_price_mean</t>
  </si>
  <si>
    <t>target_price_median</t>
  </si>
  <si>
    <t>target_price_high</t>
  </si>
  <si>
    <t>target_price_low</t>
  </si>
  <si>
    <t>target_price_std_dev</t>
  </si>
  <si>
    <t>target_price_n_est</t>
  </si>
  <si>
    <t>recommendation</t>
  </si>
  <si>
    <t>Hold</t>
  </si>
  <si>
    <t>recommendation_score</t>
  </si>
  <si>
    <t>last_close_price</t>
  </si>
  <si>
    <t>wk52_high_low</t>
  </si>
  <si>
    <t>243.81/189.20</t>
  </si>
  <si>
    <t>currency</t>
  </si>
  <si>
    <t>units</t>
  </si>
  <si>
    <t>per-share in USD; revenue and income in USD millions</t>
  </si>
  <si>
    <t>estimates_captured_at</t>
  </si>
  <si>
    <t>notes</t>
  </si>
  <si>
    <t>CapIQ lists the FQ3 2026 release as Nov-03-2026, outside the Oct 12-16 window.</t>
  </si>
  <si>
    <t>E. S&amp;P Capital IQ history — all six rows (PGR_history.csv; normalized EPS = scored basis)</t>
  </si>
  <si>
    <t>period_end_date</t>
  </si>
  <si>
    <t>report_date</t>
  </si>
  <si>
    <t>eps_normalized_consensus</t>
  </si>
  <si>
    <t>eps_normalized_actual</t>
  </si>
  <si>
    <t>eps_gaap_consensus</t>
  </si>
  <si>
    <t>eps_gaap_actual</t>
  </si>
  <si>
    <t>revenue_m_consensus</t>
  </si>
  <si>
    <t>revenue_m_actual</t>
  </si>
  <si>
    <t>Normalized surprise ($/sh)</t>
  </si>
  <si>
    <t>Strict beat (1/0)</t>
  </si>
  <si>
    <t>F. Size-aware starting probability (playbook v2) and final P(beat)</t>
  </si>
  <si>
    <t>Market cap ($bn), 9-Oct-26</t>
  </si>
  <si>
    <t>Page published 2026-10-09 (pre-cutoff), retrieved 2026-10-12; Large bucket also met via S&amp;P 500 membership (C265)</t>
  </si>
  <si>
    <t>Size bucket</t>
  </si>
  <si>
    <t>Playbook v2</t>
  </si>
  <si>
    <t>S&amp;P 500 member (CapIQ sp500_member)</t>
  </si>
  <si>
    <t>Cohort prior — small cap</t>
  </si>
  <si>
    <t>Cohort prior — mid cap</t>
  </si>
  <si>
    <t>Cohort prior — large cap or S&amp;P 500</t>
  </si>
  <si>
    <t>Cohort prior applied</t>
  </si>
  <si>
    <t>Pseudo-count (fixed experimental weight)</t>
  </si>
  <si>
    <t>Strict beats b</t>
  </si>
  <si>
    <t>Valid pairs n</t>
  </si>
  <si>
    <t>Starting p = (pseudo × prior + b) / (pseudo + n)</t>
  </si>
  <si>
    <t>Quarter-specific update to p</t>
  </si>
  <si>
    <t>Judgment overlay, retained unchanged (not model-derived): Jul/Aug normalized actuals (~$3.20) plus Sep-26E forecast (~$1.37) give ~$0.22 quarter cushion vs consensus (Sep needs ≥ ~$1.15 to beat); partly offset by Florida accrual / reserve tail risk</t>
  </si>
  <si>
    <t>Final P, rounded to 0.01</t>
  </si>
  <si>
    <t>medium</t>
  </si>
  <si>
    <t>Mean historical normalized surprise</t>
  </si>
  <si>
    <t>Tax rate on realized gains (CapIQ)</t>
  </si>
  <si>
    <t>S2 (calibrated)</t>
  </si>
  <si>
    <t>Statutory tax rate — DTA on OCI</t>
  </si>
  <si>
    <t>S10 (FY25 10-K tax note: statutory federal rate 21%)</t>
  </si>
</sst>
</file>

<file path=xl/styles.xml><?xml version="1.0" encoding="utf-8"?>
<styleSheet xmlns="http://schemas.openxmlformats.org/spreadsheetml/2006/main">
  <numFmts count="10">
    <numFmt numFmtId="164" formatCode="0.0%_);(0.0%);–_)"/>
    <numFmt numFmtId="165" formatCode="yyyy-mm-dd"/>
    <numFmt numFmtId="166" formatCode="0"/>
    <numFmt numFmtId="167" formatCode="#,##0.0_);(#,##0.0);–_)"/>
    <numFmt numFmtId="168" formatCode="$0.00"/>
    <numFmt numFmtId="169" formatCode="#,##0.00_);(#,##0.00);–_)"/>
    <numFmt numFmtId="170" formatCode="#,##0_);(#,##0);–_)"/>
    <numFmt numFmtId="171" formatCode="0.00"/>
    <numFmt numFmtId="172" formatCode="General"/>
    <numFmt numFmtId="173" formatCode="0.000%_);(0.000%);–_)"/>
  </numFmts>
  <fonts count="31">
    <font>
      <sz val="11"/>
      <name val="Calibri"/>
    </font>
    <font>
      <b val="0"/>
      <i/>
      <strike val="0"/>
      <sz val="10"/>
      <color rgb="FF000000"/>
      <name val="Arial"/>
    </font>
    <font>
      <b val="0"/>
      <i val="0"/>
      <strike val="0"/>
      <sz val="10"/>
      <color rgb="FF000000"/>
      <name val="Arial"/>
    </font>
    <font>
      <b val="0"/>
      <i/>
      <strike val="0"/>
      <sz val="10"/>
      <color rgb="FF0000FF"/>
      <name val="Arial"/>
    </font>
    <font>
      <b/>
      <i val="0"/>
      <strike val="0"/>
      <sz val="10"/>
      <color rgb="FF000000"/>
      <name val="Arial"/>
    </font>
    <font>
      <b/>
      <i val="0"/>
      <strike val="0"/>
      <sz val="11"/>
      <color rgb="FF000000"/>
      <name val="Arial"/>
    </font>
    <font>
      <b val="0"/>
      <i/>
      <strike val="0"/>
      <sz val="10"/>
      <color rgb="FF006100"/>
      <name val="Arial"/>
    </font>
    <font>
      <b val="0"/>
      <i val="0"/>
      <strike val="0"/>
      <sz val="10"/>
      <color rgb="FF006100"/>
      <name val="Arial"/>
    </font>
    <font>
      <b val="0"/>
      <i val="0"/>
      <strike val="0"/>
      <sz val="10"/>
      <color rgb="FF0000FF"/>
      <name val="Arial"/>
    </font>
    <font>
      <b/>
      <i val="0"/>
      <strike val="0"/>
      <sz val="10"/>
      <color rgb="FF006100"/>
      <name val="Arial"/>
    </font>
    <font>
      <b/>
      <i/>
      <strike val="0"/>
      <sz val="10"/>
      <color rgb="FF006100"/>
      <name val="Arial"/>
    </font>
    <font>
      <b/>
      <i val="0"/>
      <strike val="0"/>
      <sz val="14"/>
      <color rgb="FF000000"/>
      <name val="Arial"/>
    </font>
    <font>
      <b/>
      <i/>
      <strike val="0"/>
      <sz val="10"/>
      <color rgb="FF000000"/>
      <name val="Arial"/>
    </font>
    <font>
      <b/>
      <i val="0"/>
      <strike val="0"/>
      <sz val="10"/>
      <color rgb="FF0000FF"/>
      <name val="Arial"/>
    </font>
    <font>
      <b/>
      <i/>
      <strike val="0"/>
      <sz val="10"/>
      <color rgb="FF0000FF"/>
      <name val="Arial"/>
    </font>
    <font>
      <b val="0"/>
      <i val="0"/>
      <strike val="0"/>
      <sz val="10"/>
      <color rgb="FF000000"/>
      <name val="Arial"/>
    </font>
    <font>
      <b val="0"/>
      <i/>
      <strike val="0"/>
      <sz val="10"/>
      <color rgb="FF000000"/>
      <name val="Arial"/>
    </font>
    <font>
      <b/>
      <i val="0"/>
      <strike val="0"/>
      <sz val="10"/>
      <color rgb="FF000000"/>
      <name val="Arial"/>
    </font>
    <font>
      <b val="0"/>
      <i val="0"/>
      <strike val="0"/>
      <sz val="10"/>
      <color rgb="FF0000FF"/>
      <name val="Arial"/>
    </font>
    <font>
      <b/>
      <i val="0"/>
      <strike val="0"/>
      <sz val="10"/>
      <color rgb="FF000000"/>
      <name val="Arial"/>
    </font>
    <font>
      <b val="0"/>
      <i val="0"/>
      <strike val="0"/>
      <sz val="10"/>
      <color rgb="FF0000FF"/>
      <name val="Arial"/>
    </font>
    <font>
      <b val="0"/>
      <i/>
      <strike val="0"/>
      <sz val="10"/>
      <color rgb="FF006100"/>
      <name val="Arial"/>
    </font>
    <font>
      <b val="0"/>
      <i val="0"/>
      <strike val="0"/>
      <sz val="10"/>
      <color rgb="FF000000"/>
      <name val="Arial"/>
    </font>
    <font>
      <b val="0"/>
      <i/>
      <strike val="0"/>
      <sz val="10"/>
      <color rgb="FF000000"/>
      <name val="Arial"/>
    </font>
    <font>
      <b val="0"/>
      <i/>
      <strike val="0"/>
      <sz val="10"/>
      <color rgb="FF000000"/>
      <name val="Arial"/>
    </font>
    <font>
      <b val="0"/>
      <i val="0"/>
      <strike val="0"/>
      <sz val="10"/>
      <color rgb="FF000000"/>
      <name val="Arial"/>
    </font>
    <font>
      <b val="0"/>
      <i/>
      <strike val="0"/>
      <sz val="10"/>
      <color rgb="FF0000FF"/>
      <name val="Arial"/>
    </font>
    <font>
      <b val="0"/>
      <i val="0"/>
      <strike val="0"/>
      <sz val="10"/>
      <color rgb="FF000000"/>
      <name val="Arial"/>
    </font>
    <font>
      <b/>
      <i val="0"/>
      <strike val="0"/>
      <sz val="10"/>
      <color rgb="FF000000"/>
      <name val="Arial"/>
    </font>
    <font>
      <b val="0"/>
      <i/>
      <strike val="0"/>
      <sz val="10"/>
      <color rgb="FF000000"/>
      <name val="Arial"/>
    </font>
    <font>
      <b val="0"/>
      <i/>
      <strike val="0"/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EAF1FB"/>
      </patternFill>
    </fill>
    <fill>
      <patternFill patternType="solid">
        <fgColor rgb="FFDCE6F2"/>
      </patternFill>
    </fill>
  </fills>
  <borders count="3">
    <border>
      <left/>
      <right/>
      <top/>
      <bottom/>
      <diagonal/>
    </border>
    <border>
      <top style="thin">
        <color rgb="FF808080"/>
      </top>
    </border>
    <border>
      <bottom style="thin">
        <color rgb="FF808080"/>
      </bottom>
    </border>
  </borders>
  <cellStyleXfs count="1">
    <xf numFmtId="0" fontId="0" fillId="0" borderId="0"/>
  </cellStyleXfs>
  <cellXfs count="144">
    <xf numFmtId="0" fontId="0" fillId="0" borderId="0" xfId="0"/>
    <xf numFmtId="164" fontId="1" fillId="0" borderId="0" xfId="0" applyNumberFormat="1" applyFont="1" applyFill="1" applyAlignment="1" applyProtection="1">
      <alignment horizontal="right" vertical="bottom"/>
      <protection locked="1" hidden="0"/>
    </xf>
    <xf numFmtId="0" fontId="2" fillId="0" borderId="0" xfId="0" applyFont="1" applyFill="1" applyAlignment="1" applyProtection="1">
      <alignment horizontal="general" vertical="bottom"/>
      <protection locked="1" hidden="0"/>
    </xf>
    <xf numFmtId="164" fontId="3" fillId="0" borderId="0" xfId="0" applyNumberFormat="1" applyFont="1" applyFill="1" applyAlignment="1" applyProtection="1">
      <alignment horizontal="right" vertical="bottom"/>
      <protection locked="1" hidden="0"/>
    </xf>
    <xf numFmtId="0" fontId="4" fillId="2" borderId="1" xfId="0" applyFont="1" applyFill="1" applyBorder="1" applyAlignment="1" applyProtection="1">
      <alignment horizontal="right" vertical="bottom"/>
      <protection locked="1" hidden="0"/>
    </xf>
    <xf numFmtId="0" fontId="2" fillId="0" borderId="0" xfId="0" applyFont="1" applyFill="1" applyAlignment="1" applyProtection="1">
      <alignment horizontal="right" vertical="bottom"/>
      <protection locked="1" hidden="0"/>
    </xf>
    <xf numFmtId="165" fontId="2" fillId="0" borderId="0" xfId="0" applyNumberFormat="1" applyFont="1" applyFill="1" applyAlignment="1" applyProtection="1">
      <alignment horizontal="general" vertical="bottom"/>
      <protection locked="1" hidden="0"/>
    </xf>
    <xf numFmtId="0" fontId="2" fillId="2" borderId="2" xfId="0" applyFont="1" applyFill="1" applyBorder="1" applyAlignment="1" applyProtection="1">
      <alignment horizontal="general" vertical="bottom"/>
      <protection locked="1" hidden="0"/>
    </xf>
    <xf numFmtId="165" fontId="2" fillId="0" borderId="0" xfId="0" applyNumberFormat="1" applyFont="1" applyFill="1" applyAlignment="1" applyProtection="1">
      <alignment horizontal="general" vertical="top" wrapText="1"/>
      <protection locked="1" hidden="0"/>
    </xf>
    <xf numFmtId="166" fontId="2" fillId="2" borderId="2" xfId="0" applyNumberFormat="1" applyFont="1" applyFill="1" applyBorder="1" applyAlignment="1" applyProtection="1">
      <alignment horizontal="right" vertical="bottom"/>
      <protection locked="1" hidden="0"/>
    </xf>
    <xf numFmtId="0" fontId="2" fillId="0" borderId="0" xfId="0" applyFont="1" applyFill="1" applyAlignment="1" applyProtection="1">
      <alignment horizontal="general" vertical="top" wrapText="1"/>
      <protection locked="1" hidden="0"/>
    </xf>
    <xf numFmtId="0" fontId="5" fillId="0" borderId="0" xfId="0" applyFont="1" applyFill="1" applyAlignment="1" applyProtection="1">
      <alignment horizontal="general" vertical="bottom"/>
      <protection locked="1" hidden="0"/>
    </xf>
    <xf numFmtId="0" fontId="2" fillId="0" borderId="0" xfId="0" applyFont="1" applyFill="1" applyAlignment="1" applyProtection="1">
      <alignment horizontal="left" vertical="bottom"/>
      <protection locked="1" hidden="0"/>
    </xf>
    <xf numFmtId="0" fontId="4" fillId="2" borderId="2" xfId="0" applyFont="1" applyFill="1" applyBorder="1" applyAlignment="1" applyProtection="1">
      <alignment horizontal="general" vertical="top" wrapText="1"/>
      <protection locked="1" hidden="0"/>
    </xf>
    <xf numFmtId="165" fontId="2" fillId="2" borderId="0" xfId="0" applyNumberFormat="1" applyFont="1" applyFill="1" applyAlignment="1" applyProtection="1">
      <alignment horizontal="right" vertical="bottom"/>
      <protection locked="1" hidden="0"/>
    </xf>
    <xf numFmtId="0" fontId="2" fillId="2" borderId="0" xfId="0" applyFont="1" applyFill="1" applyAlignment="1" applyProtection="1">
      <alignment horizontal="general" vertical="bottom"/>
      <protection locked="1" hidden="0"/>
    </xf>
    <xf numFmtId="0" fontId="4" fillId="2" borderId="2" xfId="0" applyFont="1" applyFill="1" applyBorder="1" applyAlignment="1" applyProtection="1">
      <alignment horizontal="left" vertical="top" wrapText="1"/>
      <protection locked="1" hidden="0"/>
    </xf>
    <xf numFmtId="0" fontId="4" fillId="2" borderId="1" xfId="0" applyFont="1" applyFill="1" applyBorder="1" applyAlignment="1" applyProtection="1">
      <alignment horizontal="general" vertical="bottom"/>
      <protection locked="1" hidden="0"/>
    </xf>
    <xf numFmtId="164" fontId="6" fillId="0" borderId="0" xfId="0" applyNumberFormat="1" applyFont="1" applyFill="1" applyAlignment="1" applyProtection="1">
      <alignment horizontal="right" vertical="bottom"/>
      <protection locked="1" hidden="0"/>
    </xf>
    <xf numFmtId="0" fontId="1" fillId="0" borderId="0" xfId="0" applyFont="1" applyFill="1" applyAlignment="1" applyProtection="1">
      <alignment horizontal="general" vertical="bottom"/>
      <protection locked="1" hidden="0"/>
    </xf>
    <xf numFmtId="0" fontId="2" fillId="3" borderId="0" xfId="0" applyFont="1" applyFill="1" applyAlignment="1" applyProtection="1">
      <alignment horizontal="right" vertical="bottom"/>
      <protection locked="1" hidden="0"/>
    </xf>
    <xf numFmtId="0" fontId="4" fillId="0" borderId="0" xfId="0" applyFont="1" applyFill="1" applyAlignment="1" applyProtection="1">
      <alignment horizontal="general" vertical="bottom"/>
      <protection locked="1" hidden="0"/>
    </xf>
    <xf numFmtId="0" fontId="4" fillId="2" borderId="2" xfId="0" applyFont="1" applyFill="1" applyBorder="1" applyAlignment="1" applyProtection="1">
      <alignment horizontal="right" vertical="top" wrapText="1"/>
      <protection locked="1" hidden="0"/>
    </xf>
    <xf numFmtId="164" fontId="2" fillId="0" borderId="0" xfId="0" applyNumberFormat="1" applyFont="1" applyFill="1" applyAlignment="1" applyProtection="1">
      <alignment horizontal="right" vertical="bottom"/>
      <protection locked="1" hidden="0"/>
    </xf>
    <xf numFmtId="167" fontId="2" fillId="0" borderId="0" xfId="0" applyNumberFormat="1" applyFont="1" applyFill="1" applyAlignment="1" applyProtection="1">
      <alignment horizontal="right" vertical="bottom"/>
      <protection locked="1" hidden="0"/>
    </xf>
    <xf numFmtId="168" fontId="7" fillId="0" borderId="0" xfId="0" applyNumberFormat="1" applyFont="1" applyFill="1" applyAlignment="1" applyProtection="1">
      <alignment horizontal="right" vertical="bottom"/>
      <protection locked="1" hidden="0"/>
    </xf>
    <xf numFmtId="0" fontId="4" fillId="0" borderId="0" xfId="0" applyFont="1" applyFill="1" applyAlignment="1" applyProtection="1">
      <alignment horizontal="right" vertical="bottom"/>
      <protection locked="1" hidden="0"/>
    </xf>
    <xf numFmtId="164" fontId="6" fillId="3" borderId="0" xfId="0" applyNumberFormat="1" applyFont="1" applyFill="1" applyAlignment="1" applyProtection="1">
      <alignment horizontal="right" vertical="bottom"/>
      <protection locked="1" hidden="0"/>
    </xf>
    <xf numFmtId="166" fontId="8" fillId="2" borderId="2" xfId="0" applyNumberFormat="1" applyFont="1" applyFill="1" applyBorder="1" applyAlignment="1" applyProtection="1">
      <alignment horizontal="right" vertical="bottom"/>
      <protection locked="1" hidden="0"/>
    </xf>
    <xf numFmtId="0" fontId="2" fillId="3" borderId="0" xfId="0" applyFont="1" applyFill="1" applyAlignment="1" applyProtection="1">
      <alignment horizontal="left" vertical="bottom"/>
      <protection locked="1" hidden="0"/>
    </xf>
    <xf numFmtId="167" fontId="7" fillId="0" borderId="0" xfId="0" applyNumberFormat="1" applyFont="1" applyFill="1" applyAlignment="1" applyProtection="1">
      <alignment horizontal="right" vertical="bottom"/>
      <protection locked="1" hidden="0"/>
    </xf>
    <xf numFmtId="167" fontId="7" fillId="3" borderId="0" xfId="0" applyNumberFormat="1" applyFont="1" applyFill="1" applyAlignment="1" applyProtection="1">
      <alignment horizontal="right" vertical="bottom"/>
      <protection locked="1" hidden="0"/>
    </xf>
    <xf numFmtId="0" fontId="4" fillId="0" borderId="1" xfId="0" applyFont="1" applyFill="1" applyBorder="1" applyAlignment="1" applyProtection="1">
      <alignment horizontal="right" vertical="bottom"/>
      <protection locked="1" hidden="0"/>
    </xf>
    <xf numFmtId="166" fontId="7" fillId="0" borderId="0" xfId="0" applyNumberFormat="1" applyFont="1" applyFill="1" applyAlignment="1" applyProtection="1">
      <alignment horizontal="right" vertical="bottom"/>
      <protection locked="1" hidden="0"/>
    </xf>
    <xf numFmtId="0" fontId="9" fillId="3" borderId="0" xfId="0" applyFont="1" applyFill="1" applyAlignment="1" applyProtection="1">
      <alignment horizontal="right" vertical="bottom"/>
      <protection locked="1" hidden="0"/>
    </xf>
    <xf numFmtId="168" fontId="8" fillId="0" borderId="0" xfId="0" applyNumberFormat="1" applyFont="1" applyFill="1" applyAlignment="1" applyProtection="1">
      <alignment horizontal="right" vertical="bottom"/>
      <protection locked="1" hidden="0"/>
    </xf>
    <xf numFmtId="166" fontId="2" fillId="0" borderId="0" xfId="0" applyNumberFormat="1" applyFont="1" applyFill="1" applyAlignment="1" applyProtection="1">
      <alignment horizontal="right" vertical="bottom"/>
      <protection locked="1" hidden="0"/>
    </xf>
    <xf numFmtId="167" fontId="4" fillId="0" borderId="1" xfId="0" applyNumberFormat="1" applyFont="1" applyFill="1" applyBorder="1" applyAlignment="1" applyProtection="1">
      <alignment horizontal="right" vertical="bottom"/>
      <protection locked="1" hidden="0"/>
    </xf>
    <xf numFmtId="0" fontId="7" fillId="0" borderId="0" xfId="0" applyFont="1" applyFill="1" applyAlignment="1" applyProtection="1">
      <alignment horizontal="right" vertical="bottom"/>
      <protection locked="1" hidden="0"/>
    </xf>
    <xf numFmtId="167" fontId="8" fillId="0" borderId="0" xfId="0" applyNumberFormat="1" applyFont="1" applyFill="1" applyAlignment="1" applyProtection="1">
      <alignment horizontal="right" vertical="bottom"/>
      <protection locked="1" hidden="0"/>
    </xf>
    <xf numFmtId="165" fontId="2" fillId="4" borderId="0" xfId="0" applyNumberFormat="1" applyFont="1" applyFill="1" applyAlignment="1" applyProtection="1">
      <alignment horizontal="right" vertical="bottom"/>
      <protection locked="1" hidden="0"/>
    </xf>
    <xf numFmtId="164" fontId="10" fillId="3" borderId="1" xfId="0" applyNumberFormat="1" applyFont="1" applyFill="1" applyBorder="1" applyAlignment="1" applyProtection="1">
      <alignment horizontal="right" vertical="bottom"/>
      <protection locked="1" hidden="0"/>
    </xf>
    <xf numFmtId="167" fontId="1" fillId="0" borderId="0" xfId="0" applyNumberFormat="1" applyFont="1" applyFill="1" applyAlignment="1" applyProtection="1">
      <alignment horizontal="right" vertical="bottom"/>
      <protection locked="1" hidden="0"/>
    </xf>
    <xf numFmtId="169" fontId="2" fillId="0" borderId="0" xfId="0" applyNumberFormat="1" applyFont="1" applyFill="1" applyAlignment="1" applyProtection="1">
      <alignment horizontal="right" vertical="bottom"/>
      <protection locked="1" hidden="0"/>
    </xf>
    <xf numFmtId="169" fontId="8" fillId="3" borderId="0" xfId="0" applyNumberFormat="1" applyFont="1" applyFill="1" applyAlignment="1" applyProtection="1">
      <alignment horizontal="right" vertical="bottom"/>
      <protection locked="1" hidden="0"/>
    </xf>
    <xf numFmtId="0" fontId="1" fillId="0" borderId="0" xfId="0" applyFont="1" applyFill="1" applyAlignment="1" applyProtection="1">
      <alignment horizontal="left" vertical="bottom"/>
      <protection locked="1" hidden="0"/>
    </xf>
    <xf numFmtId="168" fontId="2" fillId="0" borderId="0" xfId="0" applyNumberFormat="1" applyFont="1" applyFill="1" applyAlignment="1" applyProtection="1">
      <alignment horizontal="right" vertical="bottom"/>
      <protection locked="1" hidden="0"/>
    </xf>
    <xf numFmtId="0" fontId="9" fillId="3" borderId="1" xfId="0" applyFont="1" applyFill="1" applyBorder="1" applyAlignment="1" applyProtection="1">
      <alignment horizontal="right" vertical="bottom"/>
      <protection locked="1" hidden="0"/>
    </xf>
    <xf numFmtId="0" fontId="11" fillId="0" borderId="0" xfId="0" applyFont="1" applyFill="1" applyAlignment="1" applyProtection="1">
      <alignment horizontal="general" vertical="center"/>
      <protection locked="1" hidden="0"/>
    </xf>
    <xf numFmtId="164" fontId="1" fillId="3" borderId="0" xfId="0" applyNumberFormat="1" applyFont="1" applyFill="1" applyAlignment="1" applyProtection="1">
      <alignment horizontal="right" vertical="bottom"/>
      <protection locked="1" hidden="0"/>
    </xf>
    <xf numFmtId="167" fontId="4" fillId="3" borderId="1" xfId="0" applyNumberFormat="1" applyFont="1" applyFill="1" applyBorder="1" applyAlignment="1" applyProtection="1">
      <alignment horizontal="right" vertical="bottom"/>
      <protection locked="1" hidden="0"/>
    </xf>
    <xf numFmtId="164" fontId="12" fillId="0" borderId="1" xfId="0" applyNumberFormat="1" applyFont="1" applyFill="1" applyBorder="1" applyAlignment="1" applyProtection="1">
      <alignment horizontal="right" vertical="bottom"/>
      <protection locked="1" hidden="0"/>
    </xf>
    <xf numFmtId="166" fontId="1" fillId="0" borderId="0" xfId="0" applyNumberFormat="1" applyFont="1" applyFill="1" applyAlignment="1" applyProtection="1">
      <alignment horizontal="right" vertical="bottom"/>
      <protection locked="1" hidden="0"/>
    </xf>
    <xf numFmtId="168" fontId="8" fillId="3" borderId="0" xfId="0" applyNumberFormat="1" applyFont="1" applyFill="1" applyAlignment="1" applyProtection="1">
      <alignment horizontal="right" vertical="bottom"/>
      <protection locked="1" hidden="0"/>
    </xf>
    <xf numFmtId="0" fontId="4" fillId="3" borderId="2" xfId="0" applyFont="1" applyFill="1" applyBorder="1" applyAlignment="1" applyProtection="1">
      <alignment horizontal="right" vertical="top" wrapText="1"/>
      <protection locked="1" hidden="0"/>
    </xf>
    <xf numFmtId="0" fontId="1" fillId="0" borderId="0" xfId="0" applyFont="1" applyFill="1" applyAlignment="1" applyProtection="1">
      <alignment horizontal="general" vertical="bottom" indent="2"/>
      <protection locked="1" hidden="0"/>
    </xf>
    <xf numFmtId="0" fontId="4" fillId="3" borderId="0" xfId="0" applyFont="1" applyFill="1" applyAlignment="1" applyProtection="1">
      <alignment horizontal="right" vertical="bottom"/>
      <protection locked="1" hidden="0"/>
    </xf>
    <xf numFmtId="167" fontId="1" fillId="3" borderId="0" xfId="0" applyNumberFormat="1" applyFont="1" applyFill="1" applyAlignment="1" applyProtection="1">
      <alignment horizontal="right" vertical="bottom"/>
      <protection locked="1" hidden="0"/>
    </xf>
    <xf numFmtId="169" fontId="4" fillId="0" borderId="1" xfId="0" applyNumberFormat="1" applyFont="1" applyFill="1" applyBorder="1" applyAlignment="1" applyProtection="1">
      <alignment horizontal="right" vertical="bottom"/>
      <protection locked="1" hidden="0"/>
    </xf>
    <xf numFmtId="168" fontId="7" fillId="3" borderId="0" xfId="0" applyNumberFormat="1" applyFont="1" applyFill="1" applyAlignment="1" applyProtection="1">
      <alignment horizontal="right" vertical="bottom"/>
      <protection locked="1" hidden="0"/>
    </xf>
    <xf numFmtId="0" fontId="2" fillId="3" borderId="0" xfId="0" applyFont="1" applyFill="1" applyAlignment="1" applyProtection="1">
      <alignment horizontal="general" vertical="bottom"/>
      <protection locked="1" hidden="0"/>
    </xf>
    <xf numFmtId="0" fontId="12" fillId="0" borderId="0" xfId="0" applyFont="1" applyFill="1" applyAlignment="1" applyProtection="1">
      <alignment horizontal="general" vertical="bottom"/>
      <protection locked="1" hidden="0"/>
    </xf>
    <xf numFmtId="166" fontId="8" fillId="4" borderId="2" xfId="0" applyNumberFormat="1" applyFont="1" applyFill="1" applyBorder="1" applyAlignment="1" applyProtection="1">
      <alignment horizontal="right" vertical="bottom"/>
      <protection locked="1" hidden="0"/>
    </xf>
    <xf numFmtId="167" fontId="6" fillId="3" borderId="0" xfId="0" applyNumberFormat="1" applyFont="1" applyFill="1" applyAlignment="1" applyProtection="1">
      <alignment horizontal="right" vertical="bottom"/>
      <protection locked="1" hidden="0"/>
    </xf>
    <xf numFmtId="167" fontId="8" fillId="3" borderId="0" xfId="0" applyNumberFormat="1" applyFont="1" applyFill="1" applyAlignment="1" applyProtection="1">
      <alignment horizontal="right" vertical="bottom"/>
      <protection locked="1" hidden="0"/>
    </xf>
    <xf numFmtId="167" fontId="2" fillId="3" borderId="0" xfId="0" applyNumberFormat="1" applyFont="1" applyFill="1" applyAlignment="1" applyProtection="1">
      <alignment horizontal="right" vertical="bottom"/>
      <protection locked="1" hidden="0"/>
    </xf>
    <xf numFmtId="0" fontId="2" fillId="0" borderId="0" xfId="0" applyFont="1" applyFill="1" applyAlignment="1" applyProtection="1">
      <alignment horizontal="general" vertical="bottom" indent="1"/>
      <protection locked="1" hidden="0"/>
    </xf>
    <xf numFmtId="170" fontId="1" fillId="0" borderId="0" xfId="0" applyNumberFormat="1" applyFont="1" applyFill="1" applyAlignment="1" applyProtection="1">
      <alignment horizontal="right" vertical="bottom"/>
      <protection locked="1" hidden="0"/>
    </xf>
    <xf numFmtId="168" fontId="1" fillId="0" borderId="0" xfId="0" applyNumberFormat="1" applyFont="1" applyFill="1" applyAlignment="1" applyProtection="1">
      <alignment horizontal="right" vertical="bottom"/>
      <protection locked="1" hidden="0"/>
    </xf>
    <xf numFmtId="0" fontId="4" fillId="4" borderId="1" xfId="0" applyFont="1" applyFill="1" applyBorder="1" applyAlignment="1" applyProtection="1">
      <alignment horizontal="right" vertical="bottom"/>
      <protection locked="1" hidden="0"/>
    </xf>
    <xf numFmtId="167" fontId="6" fillId="0" borderId="0" xfId="0" applyNumberFormat="1" applyFont="1" applyFill="1" applyAlignment="1" applyProtection="1">
      <alignment horizontal="right" vertical="bottom"/>
      <protection locked="1" hidden="0"/>
    </xf>
    <xf numFmtId="0" fontId="6" fillId="0" borderId="0" xfId="0" applyFont="1" applyFill="1" applyAlignment="1" applyProtection="1">
      <alignment horizontal="right" vertical="bottom"/>
      <protection locked="1" hidden="0"/>
    </xf>
    <xf numFmtId="0" fontId="1" fillId="0" borderId="0" xfId="0" applyFont="1" applyFill="1" applyAlignment="1" applyProtection="1">
      <alignment horizontal="general" vertical="bottom" indent="1"/>
      <protection locked="1" hidden="0"/>
    </xf>
    <xf numFmtId="167" fontId="9" fillId="3" borderId="1" xfId="0" applyNumberFormat="1" applyFont="1" applyFill="1" applyBorder="1" applyAlignment="1" applyProtection="1">
      <alignment horizontal="right" vertical="bottom"/>
      <protection locked="1" hidden="0"/>
    </xf>
    <xf numFmtId="169" fontId="4" fillId="3" borderId="1" xfId="0" applyNumberFormat="1" applyFont="1" applyFill="1" applyBorder="1" applyAlignment="1" applyProtection="1">
      <alignment horizontal="right" vertical="bottom"/>
      <protection locked="1" hidden="0"/>
    </xf>
    <xf numFmtId="170" fontId="6" fillId="0" borderId="0" xfId="0" applyNumberFormat="1" applyFont="1" applyFill="1" applyAlignment="1" applyProtection="1">
      <alignment horizontal="right" vertical="bottom"/>
      <protection locked="1" hidden="0"/>
    </xf>
    <xf numFmtId="170" fontId="2" fillId="3" borderId="0" xfId="0" applyNumberFormat="1" applyFont="1" applyFill="1" applyAlignment="1" applyProtection="1">
      <alignment horizontal="right" vertical="bottom"/>
      <protection locked="1" hidden="0"/>
    </xf>
    <xf numFmtId="170" fontId="7" fillId="0" borderId="0" xfId="0" applyNumberFormat="1" applyFont="1" applyFill="1" applyAlignment="1" applyProtection="1">
      <alignment horizontal="right" vertical="bottom"/>
      <protection locked="1" hidden="0"/>
    </xf>
    <xf numFmtId="170" fontId="13" fillId="0" borderId="1" xfId="0" applyNumberFormat="1" applyFont="1" applyFill="1" applyBorder="1" applyAlignment="1" applyProtection="1">
      <alignment horizontal="right" vertical="bottom"/>
      <protection locked="1" hidden="0"/>
    </xf>
    <xf numFmtId="0" fontId="1" fillId="0" borderId="0" xfId="0" applyFont="1" applyFill="1" applyAlignment="1" applyProtection="1">
      <alignment horizontal="general" vertical="bottom" indent="3"/>
      <protection locked="1" hidden="0"/>
    </xf>
    <xf numFmtId="0" fontId="4" fillId="0" borderId="0" xfId="0" applyFont="1" applyFill="1" applyAlignment="1" applyProtection="1">
      <alignment horizontal="general" vertical="bottom" indent="1"/>
      <protection locked="1" hidden="0"/>
    </xf>
    <xf numFmtId="167" fontId="9" fillId="0" borderId="1" xfId="0" applyNumberFormat="1" applyFont="1" applyFill="1" applyBorder="1" applyAlignment="1" applyProtection="1">
      <alignment horizontal="right" vertical="bottom"/>
      <protection locked="1" hidden="0"/>
    </xf>
    <xf numFmtId="168" fontId="6" fillId="0" borderId="0" xfId="0" applyNumberFormat="1" applyFont="1" applyFill="1" applyAlignment="1" applyProtection="1">
      <alignment horizontal="right" vertical="bottom"/>
      <protection locked="1" hidden="0"/>
    </xf>
    <xf numFmtId="170" fontId="2" fillId="0" borderId="0" xfId="0" applyNumberFormat="1" applyFont="1" applyFill="1" applyAlignment="1" applyProtection="1">
      <alignment horizontal="right" vertical="bottom"/>
      <protection locked="1" hidden="0"/>
    </xf>
    <xf numFmtId="167" fontId="13" fillId="0" borderId="1" xfId="0" applyNumberFormat="1" applyFont="1" applyFill="1" applyBorder="1" applyAlignment="1" applyProtection="1">
      <alignment horizontal="right" vertical="bottom"/>
      <protection locked="1" hidden="0"/>
    </xf>
    <xf numFmtId="170" fontId="1" fillId="3" borderId="0" xfId="0" applyNumberFormat="1" applyFont="1" applyFill="1" applyAlignment="1" applyProtection="1">
      <alignment horizontal="right" vertical="bottom"/>
      <protection locked="1" hidden="0"/>
    </xf>
    <xf numFmtId="168" fontId="4" fillId="0" borderId="1" xfId="0" applyNumberFormat="1" applyFont="1" applyFill="1" applyBorder="1" applyAlignment="1" applyProtection="1">
      <alignment horizontal="right" vertical="bottom"/>
      <protection locked="1" hidden="0"/>
    </xf>
    <xf numFmtId="164" fontId="12" fillId="3" borderId="1" xfId="0" applyNumberFormat="1" applyFont="1" applyFill="1" applyBorder="1" applyAlignment="1" applyProtection="1">
      <alignment horizontal="right" vertical="bottom"/>
      <protection locked="1" hidden="0"/>
    </xf>
    <xf numFmtId="170" fontId="9" fillId="3" borderId="1" xfId="0" applyNumberFormat="1" applyFont="1" applyFill="1" applyBorder="1" applyAlignment="1" applyProtection="1">
      <alignment horizontal="right" vertical="bottom"/>
      <protection locked="1" hidden="0"/>
    </xf>
    <xf numFmtId="168" fontId="2" fillId="3" borderId="0" xfId="0" applyNumberFormat="1" applyFont="1" applyFill="1" applyAlignment="1" applyProtection="1">
      <alignment horizontal="right" vertical="bottom"/>
      <protection locked="1" hidden="0"/>
    </xf>
    <xf numFmtId="0" fontId="1" fillId="3" borderId="0" xfId="0" applyFont="1" applyFill="1" applyAlignment="1" applyProtection="1">
      <alignment horizontal="right" vertical="bottom"/>
      <protection locked="1" hidden="0"/>
    </xf>
    <xf numFmtId="168" fontId="1" fillId="3" borderId="0" xfId="0" applyNumberFormat="1" applyFont="1" applyFill="1" applyAlignment="1" applyProtection="1">
      <alignment horizontal="right" vertical="bottom"/>
      <protection locked="1" hidden="0"/>
    </xf>
    <xf numFmtId="0" fontId="2" fillId="0" borderId="0" xfId="0" applyFont="1" applyFill="1" applyAlignment="1" applyProtection="1">
      <alignment horizontal="general" vertical="bottom" indent="2"/>
      <protection locked="1" hidden="0"/>
    </xf>
    <xf numFmtId="170" fontId="4" fillId="0" borderId="1" xfId="0" applyNumberFormat="1" applyFont="1" applyFill="1" applyBorder="1" applyAlignment="1" applyProtection="1">
      <alignment horizontal="right" vertical="bottom"/>
      <protection locked="1" hidden="0"/>
    </xf>
    <xf numFmtId="0" fontId="1" fillId="0" borderId="0" xfId="0" applyFont="1" applyFill="1" applyAlignment="1" applyProtection="1">
      <alignment horizontal="right" vertical="bottom"/>
      <protection locked="1" hidden="0"/>
    </xf>
    <xf numFmtId="168" fontId="4" fillId="3" borderId="1" xfId="0" applyNumberFormat="1" applyFont="1" applyFill="1" applyBorder="1" applyAlignment="1" applyProtection="1">
      <alignment horizontal="right" vertical="bottom"/>
      <protection locked="1" hidden="0"/>
    </xf>
    <xf numFmtId="164" fontId="14" fillId="0" borderId="1" xfId="0" applyNumberFormat="1" applyFont="1" applyFill="1" applyBorder="1" applyAlignment="1" applyProtection="1">
      <alignment horizontal="right" vertical="bottom"/>
      <protection locked="1" hidden="0"/>
    </xf>
    <xf numFmtId="170" fontId="8" fillId="0" borderId="0" xfId="0" applyNumberFormat="1" applyFont="1" applyFill="1" applyAlignment="1" applyProtection="1">
      <alignment horizontal="right" vertical="bottom"/>
      <protection locked="1" hidden="0"/>
    </xf>
    <xf numFmtId="170" fontId="8" fillId="3" borderId="0" xfId="0" applyNumberFormat="1" applyFont="1" applyFill="1" applyAlignment="1" applyProtection="1">
      <alignment horizontal="right" vertical="bottom"/>
      <protection locked="1" hidden="0"/>
    </xf>
    <xf numFmtId="170" fontId="6" fillId="3" borderId="0" xfId="0" applyNumberFormat="1" applyFont="1" applyFill="1" applyAlignment="1" applyProtection="1">
      <alignment horizontal="right" vertical="bottom"/>
      <protection locked="1" hidden="0"/>
    </xf>
    <xf numFmtId="164" fontId="3" fillId="3" borderId="0" xfId="0" applyNumberFormat="1" applyFont="1" applyFill="1" applyAlignment="1" applyProtection="1">
      <alignment horizontal="right" vertical="bottom"/>
      <protection locked="1" hidden="0"/>
    </xf>
    <xf numFmtId="170" fontId="4" fillId="3" borderId="1" xfId="0" applyNumberFormat="1" applyFont="1" applyFill="1" applyBorder="1" applyAlignment="1" applyProtection="1">
      <alignment horizontal="right" vertical="bottom"/>
      <protection locked="1" hidden="0"/>
    </xf>
    <xf numFmtId="0" fontId="13" fillId="2" borderId="2" xfId="0" applyFont="1" applyFill="1" applyBorder="1" applyAlignment="1" applyProtection="1">
      <alignment horizontal="right" vertical="top" wrapText="1"/>
      <protection locked="1" hidden="0"/>
    </xf>
    <xf numFmtId="171" fontId="8" fillId="0" borderId="0" xfId="0" applyNumberFormat="1" applyFont="1" applyFill="1" applyAlignment="1" applyProtection="1">
      <alignment horizontal="right" vertical="bottom"/>
      <protection locked="1" hidden="0"/>
    </xf>
    <xf numFmtId="0" fontId="8" fillId="0" borderId="0" xfId="0" applyFont="1" applyFill="1" applyAlignment="1" applyProtection="1">
      <alignment horizontal="left" vertical="bottom"/>
      <protection locked="1" hidden="0"/>
    </xf>
    <xf numFmtId="165" fontId="8" fillId="0" borderId="0" xfId="0" applyNumberFormat="1" applyFont="1" applyFill="1" applyAlignment="1" applyProtection="1">
      <alignment horizontal="right" vertical="bottom"/>
      <protection locked="1" hidden="0"/>
    </xf>
    <xf numFmtId="0" fontId="12" fillId="2" borderId="2" xfId="0" applyFont="1" applyFill="1" applyBorder="1" applyAlignment="1" applyProtection="1">
      <alignment horizontal="left" vertical="top" wrapText="1"/>
      <protection locked="1" hidden="0"/>
    </xf>
    <xf numFmtId="166" fontId="8" fillId="0" borderId="0" xfId="0" applyNumberFormat="1" applyFont="1" applyFill="1" applyAlignment="1" applyProtection="1">
      <alignment horizontal="right" vertical="bottom"/>
      <protection locked="1" hidden="0"/>
    </xf>
    <xf numFmtId="165" fontId="8" fillId="0" borderId="0" xfId="0" applyNumberFormat="1" applyFont="1" applyFill="1" applyAlignment="1" applyProtection="1">
      <alignment horizontal="left" vertical="bottom"/>
      <protection locked="1" hidden="0"/>
    </xf>
    <xf numFmtId="0" fontId="8" fillId="0" borderId="0" xfId="0" applyFont="1" applyFill="1" applyAlignment="1" applyProtection="1">
      <alignment horizontal="right" vertical="bottom"/>
      <protection locked="1" hidden="0"/>
    </xf>
    <xf numFmtId="172" fontId="15" fillId="3" borderId="0" xfId="0" applyNumberFormat="1" applyFont="1" applyFill="1" applyAlignment="1" applyProtection="1">
      <alignment horizontal="left" vertical="top" textRotation="0" wrapText="1" indent="0" readingOrder="0"/>
      <protection locked="1" hidden="0"/>
    </xf>
    <xf numFmtId="172" fontId="16" fillId="0" borderId="1" xfId="0" applyNumberFormat="1" applyFont="1" applyFill="1" applyBorder="1" applyAlignment="1" applyProtection="1">
      <alignment horizontal="left" vertical="bottom" textRotation="0" indent="0" readingOrder="0"/>
      <protection locked="1" hidden="0"/>
    </xf>
    <xf numFmtId="172" fontId="17" fillId="2" borderId="2" xfId="0" applyNumberFormat="1" applyFont="1" applyFill="1" applyBorder="1" applyAlignment="1" applyProtection="1">
      <alignment horizontal="right" vertical="top" textRotation="0" wrapText="1" indent="0" readingOrder="0"/>
      <protection locked="1" hidden="0"/>
    </xf>
    <xf numFmtId="172" fontId="15" fillId="0" borderId="0" xfId="0" applyNumberFormat="1" applyFont="1" applyFill="1" applyAlignment="1" applyProtection="1">
      <alignment horizontal="general" vertical="top" textRotation="0" wrapText="1" indent="0" readingOrder="0"/>
      <protection locked="1" hidden="0"/>
    </xf>
    <xf numFmtId="172" fontId="17" fillId="2" borderId="1" xfId="0" applyNumberFormat="1" applyFont="1" applyFill="1" applyBorder="1" applyAlignment="1" applyProtection="1">
      <alignment horizontal="left" vertical="bottom" textRotation="0" indent="0" readingOrder="0"/>
      <protection locked="1" hidden="0"/>
    </xf>
    <xf numFmtId="164" fontId="16" fillId="0" borderId="0" xfId="0" applyNumberFormat="1" applyFont="1" applyFill="1" applyAlignment="1" applyProtection="1">
      <alignment horizontal="left" vertical="bottom" textRotation="0" indent="0" readingOrder="0"/>
      <protection locked="1" hidden="0"/>
    </xf>
    <xf numFmtId="165" fontId="18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67" fontId="16" fillId="0" borderId="0" xfId="0" applyNumberFormat="1" applyFont="1" applyFill="1" applyAlignment="1" applyProtection="1">
      <alignment horizontal="left" vertical="bottom" textRotation="0" indent="0" readingOrder="0"/>
      <protection locked="1" hidden="0"/>
    </xf>
    <xf numFmtId="172" fontId="18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2" fontId="19" fillId="0" borderId="0" xfId="0" applyNumberFormat="1" applyFont="1" applyFill="1" applyAlignment="1" applyProtection="1">
      <alignment horizontal="general" vertical="top" textRotation="0" indent="0" readingOrder="0"/>
      <protection locked="1" hidden="0"/>
    </xf>
    <xf numFmtId="167" fontId="20" fillId="3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0" fontId="21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2" fontId="22" fillId="0" borderId="0" xfId="0" applyNumberFormat="1" applyFont="1" applyFill="1" applyAlignment="1" applyProtection="1">
      <alignment horizontal="general" vertical="bottom" textRotation="0" indent="0" readingOrder="0"/>
      <protection locked="1" hidden="0"/>
    </xf>
    <xf numFmtId="167" fontId="19" fillId="0" borderId="1" xfId="0" applyNumberFormat="1" applyFont="1" applyFill="1" applyBorder="1" applyAlignment="1" applyProtection="1">
      <alignment horizontal="right" vertical="bottom" textRotation="0" indent="0" readingOrder="0"/>
      <protection locked="1" hidden="0"/>
    </xf>
    <xf numFmtId="167" fontId="19" fillId="3" borderId="1" xfId="0" applyNumberFormat="1" applyFont="1" applyFill="1" applyBorder="1" applyAlignment="1" applyProtection="1">
      <alignment horizontal="right" vertical="bottom" textRotation="0" indent="0" readingOrder="0"/>
      <protection locked="1" hidden="0"/>
    </xf>
    <xf numFmtId="172" fontId="23" fillId="0" borderId="0" xfId="0" applyNumberFormat="1" applyFont="1" applyFill="1" applyAlignment="1" applyProtection="1">
      <alignment horizontal="left" vertical="bottom" textRotation="0" indent="0" readingOrder="0"/>
      <protection locked="1" hidden="0"/>
    </xf>
    <xf numFmtId="172" fontId="19" fillId="0" borderId="0" xfId="0" applyNumberFormat="1" applyFont="1" applyFill="1" applyAlignment="1" applyProtection="1">
      <alignment horizontal="general" vertical="bottom" textRotation="0" indent="0" readingOrder="0"/>
      <protection locked="1" hidden="0"/>
    </xf>
    <xf numFmtId="172" fontId="24" fillId="0" borderId="0" xfId="0" applyNumberFormat="1" applyFont="1" applyFill="1" applyAlignment="1" applyProtection="1">
      <alignment horizontal="general" vertical="bottom" textRotation="0" indent="0" readingOrder="0"/>
      <protection locked="1" hidden="0"/>
    </xf>
    <xf numFmtId="172" fontId="25" fillId="0" borderId="0" xfId="0" applyNumberFormat="1" applyFont="1" applyFill="1" applyAlignment="1" applyProtection="1">
      <alignment horizontal="right" vertical="top" textRotation="0" wrapText="1" indent="0" readingOrder="0"/>
      <protection locked="1" hidden="0"/>
    </xf>
    <xf numFmtId="164" fontId="24" fillId="0" borderId="0" xfId="0" applyNumberFormat="1" applyFont="1" applyFill="1" applyAlignment="1" applyProtection="1">
      <alignment horizontal="left" vertical="top" textRotation="0" wrapText="1" indent="0" readingOrder="0"/>
      <protection locked="1" hidden="0"/>
    </xf>
    <xf numFmtId="167" fontId="25" fillId="0" borderId="0" xfId="0" applyNumberFormat="1" applyFont="1" applyFill="1" applyAlignment="1" applyProtection="1">
      <alignment horizontal="left" vertical="top" textRotation="0" wrapText="1" indent="0" readingOrder="0"/>
      <protection locked="1" hidden="0"/>
    </xf>
    <xf numFmtId="167" fontId="24" fillId="0" borderId="0" xfId="0" applyNumberFormat="1" applyFont="1" applyFill="1" applyAlignment="1" applyProtection="1">
      <alignment horizontal="left" vertical="top" textRotation="0" wrapText="1" indent="0" readingOrder="0"/>
      <protection locked="1" hidden="0"/>
    </xf>
    <xf numFmtId="164" fontId="26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2" fontId="24" fillId="0" borderId="0" xfId="0" applyNumberFormat="1" applyFont="1" applyFill="1" applyAlignment="1" applyProtection="1">
      <alignment horizontal="left" vertical="bottom" textRotation="0" indent="0" readingOrder="0"/>
      <protection locked="1" hidden="0"/>
    </xf>
    <xf numFmtId="0" fontId="27" fillId="3" borderId="0" xfId="0" applyFont="1" applyFill="1" applyAlignment="1" applyProtection="1">
      <alignment horizontal="left" vertical="top" wrapText="1"/>
      <protection locked="1" hidden="0"/>
    </xf>
    <xf numFmtId="172" fontId="27" fillId="0" borderId="0" xfId="0" applyNumberFormat="1" applyFont="1" applyFill="1" applyAlignment="1" applyProtection="1">
      <alignment horizontal="left" vertical="top" textRotation="0" wrapText="1" indent="0" readingOrder="0"/>
      <protection locked="1" hidden="0"/>
    </xf>
    <xf numFmtId="172" fontId="27" fillId="0" borderId="0" xfId="0" applyNumberFormat="1" applyFont="1" applyFill="1" applyAlignment="1" applyProtection="1">
      <alignment horizontal="left" vertical="bottom" textRotation="0" indent="1" readingOrder="0"/>
      <protection locked="1" hidden="0"/>
    </xf>
    <xf numFmtId="172" fontId="28" fillId="2" borderId="2" xfId="0" applyNumberFormat="1" applyFont="1" applyFill="1" applyBorder="1" applyAlignment="1" applyProtection="1">
      <alignment horizontal="left" vertical="top" textRotation="0" wrapText="1" indent="1" readingOrder="0"/>
      <protection locked="1" hidden="0"/>
    </xf>
    <xf numFmtId="172" fontId="27" fillId="3" borderId="0" xfId="0" applyNumberFormat="1" applyFont="1" applyFill="1" applyAlignment="1" applyProtection="1">
      <alignment horizontal="left" vertical="top" textRotation="0" wrapText="1" indent="0" readingOrder="0"/>
      <protection locked="1" hidden="0"/>
    </xf>
    <xf numFmtId="172" fontId="28" fillId="0" borderId="0" xfId="0" applyNumberFormat="1" applyFont="1" applyFill="1" applyAlignment="1" applyProtection="1">
      <alignment horizontal="general" vertical="top" textRotation="0" indent="0" readingOrder="0"/>
      <protection locked="1" hidden="0"/>
    </xf>
    <xf numFmtId="173" fontId="29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3" fontId="29" fillId="3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64" fontId="30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0" fontId="30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worksheet" Target="worksheets/sheet12.xml"/><Relationship Id="rId14" Type="http://schemas.openxmlformats.org/officeDocument/2006/relationships/theme" Target="theme/theme1.xml"/><Relationship Id="rId15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28575</xdr:colOff>
      <xdr:row>0</xdr:row>
      <xdr:rowOff>28575</xdr:rowOff>
    </xdr:from>
    <xdr:ext cx="571500" cy="571500"/>
    <xdr:pic>
      <xdr:nvPicPr>
        <xdr:cNvPr id="2" name="ShortcutLogo"/>
        <xdr:cNvPicPr>
          <a:picLocks noChangeAspect="1"/>
        </xdr:cNvPicPr>
      </xdr:nvPicPr>
      <xdr:blipFill>
        <a:blip r:embed="rId1"/>
      </xdr:blipFill>
      <xdr:spPr>
        <a:xfrm>
          <a:off x="0" y="0"/>
          <a:ext cx="571500" cy="5715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Malgun Gothic"/>
        <a:font script="Hans" typeface="DengXian Light"/>
        <a:font script="Hant" typeface="Microsoft JhengHei Light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</a:majorFont>
      <a:minorFont>
        <a:latin typeface="Calibri" panose="020F0502020204030204"/>
        <a:ea typeface=""/>
        <a:cs typeface=""/>
        <a:font script="Jpan" typeface="Yu Gothic"/>
        <a:font script="Hang" typeface="Malgun Gothic"/>
        <a:font script="Hans" typeface="DengXian"/>
        <a:font script="Hant" typeface="Microsoft JhengHei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>
          <a:solidFill>
            <a:schemeClr val="phClr"/>
          </a:solidFill>
        </a:ln>
        <a:ln w="12700">
          <a:solidFill>
            <a:schemeClr val="phClr"/>
          </a:solidFill>
        </a:ln>
        <a:ln w="19050"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comments" Target="../comments1.xml"/><Relationship Id="rId3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vmlDrawing" Target="../drawings/vmlDrawing3.v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comments" Target="../comments4.xml"/><Relationship Id="rId2" Type="http://schemas.openxmlformats.org/officeDocument/2006/relationships/vmlDrawing" Target="../drawings/vmlDrawing4.v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comments" Target="../comments5.xml"/><Relationship Id="rId2" Type="http://schemas.openxmlformats.org/officeDocument/2006/relationships/vmlDrawing" Target="../drawings/vmlDrawing5.v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comments" Target="../comments6.xml"/><Relationship Id="rId2" Type="http://schemas.openxmlformats.org/officeDocument/2006/relationships/vmlDrawing" Target="../drawings/vmlDrawing6.v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comments" Target="../comments7.xml"/><Relationship Id="rId2" Type="http://schemas.openxmlformats.org/officeDocument/2006/relationships/vmlDrawing" Target="../drawings/vmlDrawing7.v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comments" Target="../comments8.xml"/><Relationship Id="rId2" Type="http://schemas.openxmlformats.org/officeDocument/2006/relationships/vmlDrawing" Target="../drawings/vmlDrawing8.v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comments" Target="../comments9.xml"/><Relationship Id="rId2" Type="http://schemas.openxmlformats.org/officeDocument/2006/relationships/vmlDrawing" Target="../drawings/vmlDrawing9.v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comments" Target="../comments10.xml"/><Relationship Id="rId2" Type="http://schemas.openxmlformats.org/officeDocument/2006/relationships/vmlDrawing" Target="../drawings/vmlDrawing10.v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5"/>
  <sheetViews>
    <sheetView showGridLines="0" tabSelected="1" workbookViewId="0"/>
  </sheetViews>
  <sheetFormatPr defaultColWidth="8.42578125" defaultRowHeight="15"/>
  <cols>
    <col min="1" max="1" width="2" customWidth="1"/>
    <col min="2" max="2" width="32" customWidth="1"/>
    <col min="3" max="8" width="12" customWidth="1"/>
    <col min="9" max="9" width="2" customWidth="1"/>
    <col min="10" max="10" width="16" customWidth="1"/>
  </cols>
  <sheetData>
    <row r="1" ht="49.5">
      <c r="A1" s="2"/>
      <c r="B1" s="2"/>
      <c r="C1" s="48" t="s">
        <v>0</v>
      </c>
      <c r="D1" s="2"/>
      <c r="E1" s="2"/>
      <c r="F1" s="2"/>
      <c r="G1" s="2"/>
      <c r="H1" s="2"/>
      <c r="I1" s="2"/>
      <c r="J1" s="2"/>
    </row>
    <row r="2">
      <c r="A2" s="2"/>
      <c r="B2" s="11" t="s">
        <v>1</v>
      </c>
      <c r="C2" s="2"/>
      <c r="D2" s="2"/>
      <c r="E2" s="2"/>
      <c r="F2" s="2"/>
      <c r="G2" s="2"/>
      <c r="H2" s="2"/>
      <c r="I2" s="2"/>
      <c r="J2" s="2"/>
    </row>
    <row r="3">
      <c r="A3" s="2"/>
      <c r="B3" s="21" t="s">
        <v>0</v>
      </c>
      <c r="C3" s="2"/>
      <c r="D3" s="2"/>
      <c r="E3" s="2"/>
      <c r="F3" s="2"/>
      <c r="G3" s="2"/>
      <c r="H3" s="2"/>
      <c r="I3" s="2"/>
      <c r="J3" s="2"/>
    </row>
    <row r="4">
      <c r="A4" s="2"/>
      <c r="B4" s="19" t="s">
        <v>2</v>
      </c>
      <c r="C4" s="2"/>
      <c r="D4" s="2"/>
      <c r="E4" s="2"/>
      <c r="F4" s="2"/>
      <c r="G4" s="2"/>
      <c r="H4" s="2"/>
      <c r="I4" s="2"/>
      <c r="J4" s="2"/>
    </row>
    <row r="5">
      <c r="A5" s="2"/>
      <c r="B5" s="17" t="s">
        <v>3</v>
      </c>
      <c r="C5" s="69" t="s">
        <v>4</v>
      </c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/>
      <c r="J5" s="4"/>
    </row>
    <row r="6">
      <c r="A6" s="2"/>
      <c r="B6" s="15" t="s">
        <v>10</v>
      </c>
      <c r="C6" s="40">
        <f>DATE(2026,9,30)</f>
        <v>46295</v>
      </c>
      <c r="D6" s="14">
        <f>DATE(2026,9,30)</f>
        <v>46295</v>
      </c>
      <c r="E6" s="14"/>
      <c r="F6" s="14"/>
      <c r="G6" s="14"/>
      <c r="H6" s="14"/>
      <c r="I6" s="14"/>
      <c r="J6" s="14"/>
    </row>
    <row r="7">
      <c r="A7" s="2"/>
      <c r="B7" s="7" t="s">
        <v>11</v>
      </c>
      <c r="C7" s="62">
        <v>92</v>
      </c>
      <c r="D7" s="28">
        <v>92</v>
      </c>
      <c r="E7" s="28"/>
      <c r="F7" s="28"/>
      <c r="G7" s="28"/>
      <c r="H7" s="28"/>
      <c r="I7" s="9"/>
      <c r="J7" s="9"/>
    </row>
    <row r="8">
      <c r="A8" s="2"/>
      <c r="B8" s="2"/>
      <c r="C8" s="60"/>
      <c r="D8" s="2"/>
      <c r="E8" s="2"/>
      <c r="F8" s="2"/>
      <c r="G8" s="2"/>
      <c r="H8" s="2"/>
      <c r="I8" s="2"/>
      <c r="J8" s="2"/>
    </row>
    <row r="9">
      <c r="A9" s="2"/>
      <c r="B9" s="21" t="s">
        <v>12</v>
      </c>
      <c r="C9" s="29" t="s">
        <v>13</v>
      </c>
      <c r="D9" s="5"/>
      <c r="E9" s="5"/>
      <c r="F9" s="5"/>
      <c r="G9" s="5"/>
      <c r="H9" s="5"/>
      <c r="I9" s="2"/>
      <c r="J9" s="2"/>
    </row>
    <row r="10">
      <c r="A10" s="2"/>
      <c r="B10" s="21" t="s">
        <v>14</v>
      </c>
      <c r="C10" s="29" t="s">
        <v>15</v>
      </c>
      <c r="D10" s="5"/>
      <c r="E10" s="5"/>
      <c r="F10" s="5"/>
      <c r="G10" s="5"/>
      <c r="H10" s="5"/>
      <c r="I10" s="2"/>
      <c r="J10" s="2"/>
    </row>
    <row r="11">
      <c r="A11" s="2"/>
      <c r="B11" s="21" t="s">
        <v>16</v>
      </c>
      <c r="C11" s="29" t="s">
        <v>17</v>
      </c>
      <c r="D11" s="5"/>
      <c r="E11" s="5"/>
      <c r="F11" s="5"/>
      <c r="G11" s="5"/>
      <c r="H11" s="5"/>
      <c r="I11" s="2"/>
      <c r="J11" s="2"/>
    </row>
    <row r="12">
      <c r="A12" s="2"/>
      <c r="B12" s="21" t="s">
        <v>18</v>
      </c>
      <c r="C12" s="29" t="s">
        <v>19</v>
      </c>
      <c r="D12" s="5"/>
      <c r="E12" s="5"/>
      <c r="F12" s="5"/>
      <c r="G12" s="5"/>
      <c r="H12" s="5"/>
      <c r="I12" s="2"/>
      <c r="J12" s="2"/>
    </row>
    <row r="13" ht="25.5">
      <c r="A13" s="2"/>
      <c r="B13" s="119" t="s">
        <v>20</v>
      </c>
      <c r="C13" s="110" t="s">
        <v>21</v>
      </c>
      <c r="D13" s="5"/>
      <c r="E13" s="5"/>
      <c r="F13" s="5"/>
      <c r="G13" s="5"/>
      <c r="H13" s="5"/>
      <c r="I13" s="2"/>
      <c r="J13" s="2"/>
    </row>
    <row r="14" ht="25.5">
      <c r="A14" s="2"/>
      <c r="B14" s="119" t="s">
        <v>22</v>
      </c>
      <c r="C14" s="110" t="s">
        <v>23</v>
      </c>
      <c r="D14" s="5"/>
      <c r="E14" s="5"/>
      <c r="F14" s="5"/>
      <c r="G14" s="5"/>
      <c r="H14" s="5"/>
      <c r="I14" s="2"/>
      <c r="J14" s="2"/>
    </row>
    <row r="15" ht="25.5">
      <c r="A15" s="2"/>
      <c r="B15" s="119" t="s">
        <v>24</v>
      </c>
      <c r="C15" s="110" t="s">
        <v>25</v>
      </c>
      <c r="D15" s="5"/>
      <c r="E15" s="5"/>
      <c r="F15" s="5"/>
      <c r="G15" s="5"/>
      <c r="H15" s="5"/>
      <c r="I15" s="2"/>
      <c r="J15" s="2"/>
    </row>
    <row r="16" ht="48">
      <c r="A16" s="2"/>
      <c r="B16" s="119" t="s">
        <v>26</v>
      </c>
      <c r="C16" s="110" t="s">
        <v>27</v>
      </c>
      <c r="D16" s="5"/>
      <c r="E16" s="5"/>
      <c r="F16" s="5"/>
      <c r="G16" s="5"/>
      <c r="H16" s="5"/>
      <c r="I16" s="2"/>
      <c r="J16" s="2"/>
    </row>
    <row r="17">
      <c r="A17" s="2"/>
      <c r="B17" s="119" t="s">
        <v>28</v>
      </c>
      <c r="C17" s="29" t="s">
        <v>29</v>
      </c>
      <c r="D17" s="5"/>
      <c r="E17" s="5"/>
      <c r="F17" s="5"/>
      <c r="G17" s="5"/>
      <c r="H17" s="5"/>
      <c r="I17" s="2"/>
      <c r="J17" s="2"/>
    </row>
    <row r="18" ht="37.5">
      <c r="A18" s="2"/>
      <c r="B18" s="119" t="s">
        <v>30</v>
      </c>
      <c r="C18" s="110" t="s">
        <v>31</v>
      </c>
      <c r="D18" s="5"/>
      <c r="E18" s="5"/>
      <c r="F18" s="5"/>
      <c r="G18" s="5"/>
      <c r="H18" s="5"/>
      <c r="I18" s="2"/>
      <c r="J18" s="2"/>
    </row>
    <row r="19">
      <c r="A19" s="2"/>
      <c r="B19" s="21" t="s">
        <v>32</v>
      </c>
      <c r="C19" s="29" t="s">
        <v>33</v>
      </c>
      <c r="D19" s="5"/>
      <c r="E19" s="5"/>
      <c r="F19" s="5"/>
      <c r="G19" s="5"/>
      <c r="H19" s="5"/>
      <c r="I19" s="2"/>
      <c r="J19" s="2"/>
    </row>
    <row r="20">
      <c r="A20" s="2"/>
      <c r="B20" s="2"/>
      <c r="C20" s="20"/>
      <c r="D20" s="5"/>
      <c r="E20" s="5"/>
      <c r="F20" s="5"/>
      <c r="G20" s="5"/>
      <c r="H20" s="5"/>
      <c r="I20" s="2"/>
      <c r="J20" s="2"/>
    </row>
    <row r="21">
      <c r="A21" s="2"/>
      <c r="B21" s="13" t="s">
        <v>34</v>
      </c>
      <c r="C21" s="54" t="s">
        <v>35</v>
      </c>
      <c r="D21" s="22" t="s">
        <v>5</v>
      </c>
      <c r="E21" s="22" t="s">
        <v>6</v>
      </c>
      <c r="F21" s="22" t="s">
        <v>7</v>
      </c>
      <c r="G21" s="22" t="s">
        <v>8</v>
      </c>
      <c r="H21" s="22" t="s">
        <v>9</v>
      </c>
      <c r="I21" s="13"/>
      <c r="J21" s="13"/>
    </row>
    <row r="22">
      <c r="A22" s="2"/>
      <c r="B22" s="2" t="s">
        <v>36</v>
      </c>
      <c r="C22" s="31">
        <f>'Revenue summary'!H34</f>
        <v>22566.028668697305</v>
      </c>
      <c r="D22" s="30">
        <f>Inputs!C209</f>
        <v>22510.41</v>
      </c>
      <c r="E22" s="24">
        <f>IF(ISNUMBER(D22),C22-D22,"n/a")</f>
        <v>55.61866869730511</v>
      </c>
      <c r="F22" s="23">
        <f>IF(ISNUMBER(D22),C22/D22-1,"n/a")</f>
        <v>0.0024707976752669225</v>
      </c>
      <c r="G22" s="38" t="str">
        <f>Guidance!G18</f>
        <v>n/d</v>
      </c>
      <c r="H22" s="33">
        <f>Inputs!C214</f>
        <v>7</v>
      </c>
      <c r="I22" s="2"/>
      <c r="J22" s="2"/>
    </row>
    <row r="23">
      <c r="A23" s="2"/>
      <c r="B23" s="2" t="s">
        <v>37</v>
      </c>
      <c r="C23" s="31">
        <f>'Income Statement'!H19</f>
        <v>23369.649637661318</v>
      </c>
      <c r="D23" s="24" t="s">
        <v>38</v>
      </c>
      <c r="E23" s="24" t="str">
        <f>IF(ISNUMBER(D23),C23-D23,"n/a")</f>
        <v>n/a</v>
      </c>
      <c r="F23" s="23" t="str">
        <f>IF(ISNUMBER(D23),C23/D23-1,"n/a")</f>
        <v>n/a</v>
      </c>
      <c r="G23" s="38" t="str">
        <f>Guidance!G18</f>
        <v>n/d</v>
      </c>
      <c r="H23" s="36" t="s">
        <v>38</v>
      </c>
      <c r="I23" s="2"/>
      <c r="J23" s="2"/>
    </row>
    <row r="24">
      <c r="A24" s="2"/>
      <c r="B24" s="2" t="s">
        <v>39</v>
      </c>
      <c r="C24" s="31">
        <f>'Income Statement'!H87</f>
        <v>2662.8321195513668</v>
      </c>
      <c r="D24" s="30">
        <f>Inputs!C222</f>
        <v>2570.58</v>
      </c>
      <c r="E24" s="24">
        <f>IF(ISNUMBER(D24),C24-D24,"n/a")</f>
        <v>92.25211955136683</v>
      </c>
      <c r="F24" s="23">
        <f>IF(ISNUMBER(D24),C24/D24-1,"n/a")</f>
        <v>0.03588766720015202</v>
      </c>
      <c r="G24" s="38" t="str">
        <f>Guidance!G18</f>
        <v>n/d</v>
      </c>
      <c r="H24" s="36" t="s">
        <v>38</v>
      </c>
      <c r="I24" s="127" t="s">
        <v>40</v>
      </c>
      <c r="J24" s="2"/>
    </row>
    <row r="25">
      <c r="A25" s="2"/>
      <c r="B25" s="2" t="s">
        <v>41</v>
      </c>
      <c r="C25" s="31">
        <f>'Income Statement'!H39</f>
        <v>2691.272119551367</v>
      </c>
      <c r="D25" s="30">
        <f>Inputs!C223</f>
        <v>2623</v>
      </c>
      <c r="E25" s="24">
        <f>IF(ISNUMBER(D25),C25-D25,"n/a")</f>
        <v>68.27211955136681</v>
      </c>
      <c r="F25" s="23">
        <f>IF(ISNUMBER(D25),C25/D25-1,"n/a")</f>
        <v>0.02602825754912952</v>
      </c>
      <c r="G25" s="38" t="str">
        <f>Guidance!G18</f>
        <v>n/d</v>
      </c>
      <c r="H25" s="36" t="s">
        <v>38</v>
      </c>
      <c r="I25" s="2"/>
      <c r="J25" s="2"/>
    </row>
    <row r="26">
      <c r="A26" s="2"/>
      <c r="B26" s="2" t="s">
        <v>42</v>
      </c>
      <c r="C26" s="59">
        <f>'Income Statement'!H89</f>
        <v>4.574202345141171</v>
      </c>
      <c r="D26" s="25">
        <f>Inputs!C193</f>
        <v>4.35</v>
      </c>
      <c r="E26" s="46">
        <f>IF(ISNUMBER(D26),C26-D26,"n/a")</f>
        <v>0.22420234514117166</v>
      </c>
      <c r="F26" s="23">
        <f>IF(ISNUMBER(D26),C26/D26-1,"n/a")</f>
        <v>0.051540768997970554</v>
      </c>
      <c r="G26" s="38" t="str">
        <f>Guidance!G18</f>
        <v>n/d</v>
      </c>
      <c r="H26" s="33">
        <f>Inputs!C198</f>
        <v>19</v>
      </c>
      <c r="I26" s="2"/>
      <c r="J26" s="2"/>
    </row>
    <row r="27">
      <c r="A27" s="2"/>
      <c r="B27" s="2" t="s">
        <v>43</v>
      </c>
      <c r="C27" s="59">
        <f>'Income Statement'!H77</f>
        <v>4.623056463183631</v>
      </c>
      <c r="D27" s="25">
        <f>Inputs!C202</f>
        <v>4.41</v>
      </c>
      <c r="E27" s="46">
        <f>IF(ISNUMBER(D27),C27-D27,"n/a")</f>
        <v>0.21305646318363092</v>
      </c>
      <c r="F27" s="23">
        <f>IF(ISNUMBER(D27),C27/D27-1,"n/a")</f>
        <v>0.0483121231708914</v>
      </c>
      <c r="G27" s="38" t="str">
        <f>Guidance!G18</f>
        <v>n/d</v>
      </c>
      <c r="H27" s="33">
        <f>Inputs!C207</f>
        <v>11</v>
      </c>
      <c r="I27" s="2"/>
      <c r="J27" s="2"/>
    </row>
    <row r="28">
      <c r="A28" s="2"/>
      <c r="B28" s="19" t="s">
        <v>44</v>
      </c>
      <c r="C28" s="27">
        <f>'Income Statement'!H54</f>
        <v>0.8868490393642038</v>
      </c>
      <c r="D28" s="1" t="s">
        <v>38</v>
      </c>
      <c r="E28" s="1" t="str">
        <f>IF(ISNUMBER(D28),C28-D28,"n/a")</f>
        <v>n/a</v>
      </c>
      <c r="F28" s="1" t="str">
        <f>IF(ISNUMBER(D28),C28/D28-1,"n/a")</f>
        <v>n/a</v>
      </c>
      <c r="G28" s="71" t="str">
        <f>Guidance!G18</f>
        <v>n/d</v>
      </c>
      <c r="H28" s="52" t="s">
        <v>38</v>
      </c>
      <c r="I28" s="2"/>
      <c r="J28" s="2"/>
    </row>
    <row r="29">
      <c r="A29" s="2"/>
      <c r="B29" s="21" t="s">
        <v>45</v>
      </c>
      <c r="C29" s="47" t="str">
        <f>IF(AND((SUMIF('Revenue summary'!C43:G43,"&gt;0")-SUMIF('Revenue summary'!C43:G43,"&lt;0"))&lt;0.5,(SUMIF('Revenue summary'!C45:F45,"&gt;0")-SUMIF('Revenue summary'!C45:F45,"&lt;0"))&lt;0.5,(SUMIF('Revenue summary'!C119:H119,"&gt;0")-SUMIF('Revenue summary'!C119:H119,"&lt;0"))&lt;0.5,(SUMIF('Balance Sheet'!C46:H46,"&gt;0")-SUMIF('Balance Sheet'!C46:H46,"&lt;0"))&lt;0.5,(SUMIF('Cash Flow Statement'!C52:H52,"&gt;0")-SUMIF('Cash Flow Statement'!C52:H52,"&lt;0"))&lt;0.5,(SUMIF('Cash Flow Statement'!C53:H53,"&gt;0")-SUMIF('Cash Flow Statement'!C53:H53,"&lt;0"))&lt;0.5,(SUMIF('Income Statement'!C41:G41,"&gt;0")-SUMIF('Income Statement'!C41:G41,"&lt;0"))&lt;0.5,MAX(ABS('Income Statement'!C80),ABS('Income Statement'!D80),ABS('Income Statement'!E80),ABS('Income Statement'!F80),ABS('Income Statement'!G80))&lt;0.01,MAX(ABS('Income Statement'!C92),ABS('Income Statement'!D92),ABS('Income Statement'!E92),ABS('Income Statement'!F92))&lt;0.01,(SUMIF('Monthly Build'!C146:E146,"&gt;0")-SUMIF('Monthly Build'!C146:E146,"&lt;0"))&lt;1.5,ABS(C26-'Income Statement'!H87/'Income Statement'!H75)&lt;0.000001,ABS(C22-'Monthly Build'!G61)&lt;0.000001),"PASS","FAIL")</f>
        <v>PASS</v>
      </c>
      <c r="D29" s="111" t="s">
        <v>46</v>
      </c>
      <c r="E29" s="32"/>
      <c r="F29" s="32"/>
      <c r="G29" s="32"/>
      <c r="H29" s="32"/>
      <c r="I29" s="2"/>
      <c r="J29" s="2"/>
    </row>
    <row r="30">
      <c r="A30" s="2"/>
      <c r="B30" s="61" t="s">
        <v>47</v>
      </c>
      <c r="C30" s="41">
        <f>Inputs!C275</f>
        <v>0.76</v>
      </c>
      <c r="D30" s="51"/>
      <c r="E30" s="51"/>
      <c r="F30" s="51"/>
      <c r="G30" s="51"/>
      <c r="H30" s="51"/>
      <c r="I30" s="2"/>
      <c r="J30" s="2"/>
    </row>
    <row r="31">
      <c r="A31" s="2"/>
      <c r="B31" s="21" t="s">
        <v>48</v>
      </c>
      <c r="C31" s="34" t="str">
        <f>Inputs!C276</f>
        <v>medium</v>
      </c>
      <c r="D31" s="26"/>
      <c r="E31" s="26"/>
      <c r="F31" s="26"/>
      <c r="G31" s="26"/>
      <c r="H31" s="26"/>
      <c r="I31" s="2"/>
      <c r="J31" s="2"/>
    </row>
    <row r="32">
      <c r="A32" s="2"/>
      <c r="B32" s="2"/>
      <c r="C32" s="20"/>
      <c r="D32" s="5"/>
      <c r="E32" s="5"/>
      <c r="F32" s="5"/>
      <c r="G32" s="5"/>
      <c r="H32" s="5"/>
      <c r="I32" s="2"/>
      <c r="J32" s="2"/>
    </row>
    <row r="33">
      <c r="A33" s="2"/>
      <c r="B33" s="19" t="s">
        <v>49</v>
      </c>
      <c r="C33" s="27">
        <f>Inputs!C273</f>
        <v>0.7314285714285714</v>
      </c>
      <c r="D33" s="1"/>
      <c r="E33" s="1"/>
      <c r="F33" s="1"/>
      <c r="G33" s="1"/>
      <c r="H33" s="1"/>
      <c r="I33" s="2"/>
      <c r="J33" s="2"/>
    </row>
    <row r="34">
      <c r="A34" s="2"/>
      <c r="B34" s="2"/>
      <c r="C34" s="20"/>
      <c r="D34" s="5"/>
      <c r="E34" s="5"/>
      <c r="F34" s="5"/>
      <c r="G34" s="5"/>
      <c r="H34" s="5"/>
      <c r="I34" s="2"/>
      <c r="J34" s="2"/>
    </row>
    <row r="35" ht="25.5">
      <c r="A35" s="2"/>
      <c r="B35" s="139" t="s">
        <v>50</v>
      </c>
      <c r="C35" s="138" t="s">
        <v>51</v>
      </c>
      <c r="D35" s="135"/>
      <c r="E35" s="135"/>
      <c r="F35" s="135"/>
      <c r="G35" s="135"/>
      <c r="H35" s="135"/>
      <c r="I35" s="135"/>
      <c r="J35" s="135"/>
      <c r="K35" s="134"/>
      <c r="L35" s="134"/>
    </row>
  </sheetData>
  <mergeCells count="6">
    <mergeCell ref="C14:L14"/>
    <mergeCell ref="C16:L16"/>
    <mergeCell ref="C18:L18"/>
    <mergeCell ref="C15:L15"/>
    <mergeCell ref="C13:L13"/>
    <mergeCell ref="C35:L35"/>
  </mergeCells>
  <drawing r:id="rId1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23"/>
  <sheetViews>
    <sheetView showGridLines="0" workbookViewId="0"/>
  </sheetViews>
  <sheetFormatPr defaultColWidth="8.42578125" defaultRowHeight="15"/>
  <cols>
    <col min="1" max="1" width="2" customWidth="1"/>
    <col min="2" max="2" width="42" customWidth="1"/>
    <col min="3" max="8" width="12" customWidth="1"/>
    <col min="9" max="9" width="2" customWidth="1"/>
    <col min="10" max="10" width="16" customWidth="1"/>
  </cols>
  <sheetData>
    <row r="1">
      <c r="A1" s="2"/>
      <c r="B1" s="2"/>
      <c r="C1" s="2"/>
      <c r="D1" s="2"/>
      <c r="E1" s="2"/>
      <c r="F1" s="2"/>
      <c r="G1" s="2"/>
      <c r="H1" s="2"/>
      <c r="I1" s="2"/>
      <c r="J1" s="2"/>
    </row>
    <row r="2">
      <c r="A2" s="2"/>
      <c r="B2" s="11" t="s">
        <v>1</v>
      </c>
      <c r="C2" s="2"/>
      <c r="D2" s="2"/>
      <c r="E2" s="2"/>
      <c r="F2" s="2"/>
      <c r="G2" s="2"/>
      <c r="H2" s="2"/>
      <c r="I2" s="2"/>
      <c r="J2" s="2"/>
    </row>
    <row r="3">
      <c r="A3" s="2"/>
      <c r="B3" s="21" t="s">
        <v>52</v>
      </c>
      <c r="C3" s="2"/>
      <c r="D3" s="2"/>
      <c r="E3" s="2"/>
      <c r="F3" s="2"/>
      <c r="G3" s="2"/>
      <c r="H3" s="2"/>
      <c r="I3" s="2"/>
      <c r="J3" s="2"/>
    </row>
    <row r="4">
      <c r="A4" s="2"/>
      <c r="B4" s="19" t="s">
        <v>2</v>
      </c>
      <c r="C4" s="2"/>
      <c r="D4" s="2"/>
      <c r="E4" s="2"/>
      <c r="F4" s="2"/>
      <c r="G4" s="2"/>
      <c r="H4" s="2"/>
      <c r="I4" s="2"/>
      <c r="J4" s="2"/>
    </row>
    <row r="5">
      <c r="A5" s="2"/>
      <c r="B5" s="17" t="s">
        <v>3</v>
      </c>
      <c r="C5" s="4" t="s">
        <v>53</v>
      </c>
      <c r="D5" s="4" t="s">
        <v>54</v>
      </c>
      <c r="E5" s="4" t="s">
        <v>55</v>
      </c>
      <c r="F5" s="4" t="s">
        <v>56</v>
      </c>
      <c r="G5" s="4" t="s">
        <v>57</v>
      </c>
      <c r="H5" s="69" t="s">
        <v>4</v>
      </c>
      <c r="I5" s="4"/>
      <c r="J5" s="114" t="s">
        <v>58</v>
      </c>
    </row>
    <row r="6">
      <c r="A6" s="2"/>
      <c r="B6" s="15" t="s">
        <v>10</v>
      </c>
      <c r="C6" s="14">
        <f>DATE(2025,9,30)</f>
        <v>45930</v>
      </c>
      <c r="D6" s="14">
        <f>DATE(2025,12,31)</f>
        <v>46022</v>
      </c>
      <c r="E6" s="14">
        <f>DATE(2026,3,31)</f>
        <v>46112</v>
      </c>
      <c r="F6" s="14">
        <f>DATE(2026,6,30)</f>
        <v>46203</v>
      </c>
      <c r="G6" s="14">
        <f>DATE(2025,12,31)</f>
        <v>46022</v>
      </c>
      <c r="H6" s="40">
        <f>DATE(2026,9,30)</f>
        <v>46295</v>
      </c>
      <c r="I6" s="14"/>
      <c r="J6" s="14"/>
    </row>
    <row r="7">
      <c r="A7" s="2"/>
      <c r="B7" s="7" t="s">
        <v>11</v>
      </c>
      <c r="C7" s="28">
        <v>92</v>
      </c>
      <c r="D7" s="28">
        <v>92</v>
      </c>
      <c r="E7" s="28">
        <v>90</v>
      </c>
      <c r="F7" s="28">
        <v>91</v>
      </c>
      <c r="G7" s="28">
        <v>365</v>
      </c>
      <c r="H7" s="62">
        <v>92</v>
      </c>
      <c r="I7" s="9"/>
      <c r="J7" s="9"/>
    </row>
    <row r="8">
      <c r="A8" s="2"/>
      <c r="B8" s="2"/>
      <c r="C8" s="2"/>
      <c r="D8" s="2"/>
      <c r="E8" s="2"/>
      <c r="F8" s="2"/>
      <c r="G8" s="2"/>
      <c r="H8" s="60"/>
      <c r="I8" s="2"/>
      <c r="J8" s="2"/>
    </row>
    <row r="9">
      <c r="A9" s="2"/>
      <c r="B9" s="21" t="s">
        <v>59</v>
      </c>
      <c r="C9" s="26"/>
      <c r="D9" s="26"/>
      <c r="E9" s="26"/>
      <c r="F9" s="26"/>
      <c r="G9" s="26"/>
      <c r="H9" s="56"/>
      <c r="I9" s="2"/>
      <c r="J9" s="45"/>
    </row>
    <row r="10">
      <c r="A10" s="2"/>
      <c r="B10" s="66" t="s">
        <v>60</v>
      </c>
      <c r="C10" s="30">
        <f>'Segment - Personal Lines'!C93</f>
        <v>19148</v>
      </c>
      <c r="D10" s="30">
        <f>'Segment - Personal Lines'!D93</f>
        <v>17424</v>
      </c>
      <c r="E10" s="30">
        <f>'Segment - Personal Lines'!E93</f>
        <v>19605</v>
      </c>
      <c r="F10" s="30">
        <f>'Segment - Personal Lines'!F93</f>
        <v>18609</v>
      </c>
      <c r="G10" s="30">
        <f>'Segment - Personal Lines'!G93</f>
        <v>72558</v>
      </c>
      <c r="H10" s="31">
        <f>'Segment - Personal Lines'!H93</f>
        <v>20110.86451003342</v>
      </c>
      <c r="I10" s="2"/>
      <c r="J10" s="45"/>
    </row>
    <row r="11">
      <c r="A11" s="2"/>
      <c r="B11" s="55" t="s">
        <v>61</v>
      </c>
      <c r="C11" s="18">
        <f>IFERROR(C10/Inputs!C15-1,"n/a")</f>
        <v>0.12127422849446634</v>
      </c>
      <c r="D11" s="18">
        <f>IFERROR(D10/Inputs!D15-1,"n/a")</f>
        <v>0.10376282782212076</v>
      </c>
      <c r="E11" s="18">
        <f>IFERROR(E10/Inputs!E15-1,"n/a")</f>
        <v>0.07289443441142662</v>
      </c>
      <c r="F11" s="18">
        <f>IFERROR(F10/Inputs!F15-1,"n/a")</f>
        <v>0.05058431660362439</v>
      </c>
      <c r="G11" s="18">
        <f>IFERROR(G10/Inputs!G15-1,"n/a")</f>
        <v>0.143185757050575</v>
      </c>
      <c r="H11" s="49">
        <f>IFERROR(H10/C10-1,"n/a")</f>
        <v>0.050285382809349466</v>
      </c>
      <c r="I11" s="2"/>
      <c r="J11" s="45"/>
    </row>
    <row r="12">
      <c r="A12" s="2"/>
      <c r="B12" s="55" t="s">
        <v>62</v>
      </c>
      <c r="C12" s="18">
        <f>IFERROR(C10/Inputs!F15-1,"n/a")</f>
        <v>0.08101394456049227</v>
      </c>
      <c r="D12" s="1">
        <f>IFERROR(D10/C10-1,"n/a")</f>
        <v>-0.09003551284729472</v>
      </c>
      <c r="E12" s="1">
        <f>IFERROR(E10/D10-1,"n/a")</f>
        <v>0.12517217630854005</v>
      </c>
      <c r="F12" s="1">
        <f>IFERROR(F10/E10-1,"n/a")</f>
        <v>-0.050803366488140766</v>
      </c>
      <c r="G12" s="1" t="s">
        <v>38</v>
      </c>
      <c r="H12" s="49">
        <f>IFERROR(H10/F10-1,"n/a")</f>
        <v>0.08070635230444534</v>
      </c>
      <c r="I12" s="2"/>
      <c r="J12" s="45"/>
    </row>
    <row r="13">
      <c r="A13" s="2"/>
      <c r="B13" s="79" t="s">
        <v>63</v>
      </c>
      <c r="C13" s="1" t="s">
        <v>64</v>
      </c>
      <c r="D13" s="1" t="s">
        <v>64</v>
      </c>
      <c r="E13" s="1" t="s">
        <v>64</v>
      </c>
      <c r="F13" s="1" t="s">
        <v>64</v>
      </c>
      <c r="G13" s="1" t="s">
        <v>64</v>
      </c>
      <c r="H13" s="49" t="s">
        <v>64</v>
      </c>
      <c r="I13" s="2"/>
      <c r="J13" s="45"/>
    </row>
    <row r="14">
      <c r="A14" s="2"/>
      <c r="B14" s="79" t="s">
        <v>65</v>
      </c>
      <c r="C14" s="1" t="s">
        <v>64</v>
      </c>
      <c r="D14" s="1" t="s">
        <v>64</v>
      </c>
      <c r="E14" s="1" t="s">
        <v>64</v>
      </c>
      <c r="F14" s="1" t="s">
        <v>64</v>
      </c>
      <c r="G14" s="1" t="s">
        <v>64</v>
      </c>
      <c r="H14" s="49" t="s">
        <v>64</v>
      </c>
      <c r="I14" s="2"/>
      <c r="J14" s="45"/>
    </row>
    <row r="15">
      <c r="A15" s="2"/>
      <c r="B15" s="79" t="s">
        <v>66</v>
      </c>
      <c r="C15" s="1" t="str">
        <f>IF(AND(ISNUMBER(C11),ISNUMBER(C13),ISNUMBER(C14)),(1+C11)/((1+C13)*(1+C14))-1,"n/d")</f>
        <v>n/d</v>
      </c>
      <c r="D15" s="1" t="str">
        <f>IF(AND(ISNUMBER(D11),ISNUMBER(D13),ISNUMBER(D14)),(1+D11)/((1+D13)*(1+D14))-1,"n/d")</f>
        <v>n/d</v>
      </c>
      <c r="E15" s="1" t="str">
        <f>IF(AND(ISNUMBER(E11),ISNUMBER(E13),ISNUMBER(E14)),(1+E11)/((1+E13)*(1+E14))-1,"n/d")</f>
        <v>n/d</v>
      </c>
      <c r="F15" s="1" t="str">
        <f>IF(AND(ISNUMBER(F11),ISNUMBER(F13),ISNUMBER(F14)),(1+F11)/((1+F13)*(1+F14))-1,"n/d")</f>
        <v>n/d</v>
      </c>
      <c r="G15" s="1" t="str">
        <f>IF(AND(ISNUMBER(G11),ISNUMBER(G13),ISNUMBER(G14)),(1+G11)/((1+G13)*(1+G14))-1,"n/d")</f>
        <v>n/d</v>
      </c>
      <c r="H15" s="49" t="str">
        <f>IF(AND(ISNUMBER(H11),ISNUMBER(H13),ISNUMBER(H14)),(1+H11)/((1+H13)*(1+H14))-1,"n/d")</f>
        <v>n/d</v>
      </c>
      <c r="I15" s="2"/>
      <c r="J15" s="45"/>
    </row>
    <row r="16">
      <c r="A16" s="2"/>
      <c r="B16" s="79" t="s">
        <v>67</v>
      </c>
      <c r="C16" s="1">
        <f>C11</f>
        <v>0.12127422849446634</v>
      </c>
      <c r="D16" s="1">
        <f>D11</f>
        <v>0.10376282782212076</v>
      </c>
      <c r="E16" s="1">
        <f>E11</f>
        <v>0.07289443441142662</v>
      </c>
      <c r="F16" s="1">
        <f>F11</f>
        <v>0.05058431660362439</v>
      </c>
      <c r="G16" s="1">
        <f>G11</f>
        <v>0.143185757050575</v>
      </c>
      <c r="H16" s="49">
        <f>H11</f>
        <v>0.050285382809349466</v>
      </c>
      <c r="I16" s="2"/>
      <c r="J16" s="45"/>
    </row>
    <row r="17">
      <c r="A17" s="2"/>
      <c r="B17" s="55" t="s">
        <v>68</v>
      </c>
      <c r="C17" s="1">
        <f>C10/C34</f>
        <v>0.8954358398802843</v>
      </c>
      <c r="D17" s="1">
        <f>D10/D34</f>
        <v>0.8931720319868772</v>
      </c>
      <c r="E17" s="1">
        <f>E10/E34</f>
        <v>0.8292796413011294</v>
      </c>
      <c r="F17" s="1">
        <f>F10/F34</f>
        <v>0.8829055368411064</v>
      </c>
      <c r="G17" s="1">
        <f>G10/G34</f>
        <v>0.8723639598913122</v>
      </c>
      <c r="H17" s="49">
        <f>H10/H34</f>
        <v>0.8912008756742568</v>
      </c>
      <c r="I17" s="2"/>
      <c r="J17" s="45"/>
    </row>
    <row r="18">
      <c r="A18" s="2"/>
      <c r="B18" s="66" t="s">
        <v>69</v>
      </c>
      <c r="C18" s="30">
        <f>'Segment - Commercial Lines'!C24</f>
        <v>2234</v>
      </c>
      <c r="D18" s="30">
        <f>'Segment - Commercial Lines'!D24</f>
        <v>2083</v>
      </c>
      <c r="E18" s="30">
        <f>'Segment - Commercial Lines'!E24</f>
        <v>4033</v>
      </c>
      <c r="F18" s="30">
        <f>'Segment - Commercial Lines'!F24</f>
        <v>2465</v>
      </c>
      <c r="G18" s="30">
        <f>'Segment - Commercial Lines'!G24</f>
        <v>10613</v>
      </c>
      <c r="H18" s="31">
        <f>'Segment - Commercial Lines'!H24</f>
        <v>2451.164158663883</v>
      </c>
      <c r="I18" s="2"/>
      <c r="J18" s="45"/>
    </row>
    <row r="19">
      <c r="A19" s="2"/>
      <c r="B19" s="55" t="s">
        <v>61</v>
      </c>
      <c r="C19" s="18">
        <f>IFERROR(C18/Inputs!C13-1,"n/a")</f>
        <v>-0.060555088309503735</v>
      </c>
      <c r="D19" s="18">
        <f>IFERROR(D18/Inputs!D13-1,"n/a")</f>
        <v>-0.10176800344976278</v>
      </c>
      <c r="E19" s="18">
        <f>IFERROR(E18/Inputs!E13-1,"n/a")</f>
        <v>0.02542588354945341</v>
      </c>
      <c r="F19" s="18">
        <f>IFERROR(F18/Inputs!F13-1,"n/a")</f>
        <v>0.043165467625899234</v>
      </c>
      <c r="G19" s="18">
        <f>IFERROR(G18/Inputs!G13-1,"n/a")</f>
        <v>-0.031041723728658766</v>
      </c>
      <c r="H19" s="49">
        <f>IFERROR(H18/C18-1,"n/a")</f>
        <v>0.097208665471747</v>
      </c>
      <c r="I19" s="2"/>
      <c r="J19" s="45"/>
    </row>
    <row r="20">
      <c r="A20" s="2"/>
      <c r="B20" s="55" t="s">
        <v>62</v>
      </c>
      <c r="C20" s="18">
        <f>IFERROR(C18/Inputs!F13-1,"n/a")</f>
        <v>-0.05459162082099023</v>
      </c>
      <c r="D20" s="1">
        <f>IFERROR(D18/C18-1,"n/a")</f>
        <v>-0.06759176365264097</v>
      </c>
      <c r="E20" s="1">
        <f>IFERROR(E18/D18-1,"n/a")</f>
        <v>0.9361497839654345</v>
      </c>
      <c r="F20" s="1">
        <f>IFERROR(F18/E18-1,"n/a")</f>
        <v>-0.3887924621869576</v>
      </c>
      <c r="G20" s="1" t="s">
        <v>38</v>
      </c>
      <c r="H20" s="49">
        <f>IFERROR(H18/F18-1,"n/a")</f>
        <v>-0.0056129173777350605</v>
      </c>
      <c r="I20" s="2"/>
      <c r="J20" s="45"/>
    </row>
    <row r="21">
      <c r="A21" s="2"/>
      <c r="B21" s="79" t="s">
        <v>63</v>
      </c>
      <c r="C21" s="1" t="s">
        <v>64</v>
      </c>
      <c r="D21" s="1" t="s">
        <v>64</v>
      </c>
      <c r="E21" s="1" t="s">
        <v>64</v>
      </c>
      <c r="F21" s="1" t="s">
        <v>64</v>
      </c>
      <c r="G21" s="1" t="s">
        <v>64</v>
      </c>
      <c r="H21" s="49" t="s">
        <v>64</v>
      </c>
      <c r="I21" s="2"/>
      <c r="J21" s="45"/>
    </row>
    <row r="22">
      <c r="A22" s="2"/>
      <c r="B22" s="79" t="s">
        <v>65</v>
      </c>
      <c r="C22" s="1" t="s">
        <v>64</v>
      </c>
      <c r="D22" s="1" t="s">
        <v>64</v>
      </c>
      <c r="E22" s="1" t="s">
        <v>64</v>
      </c>
      <c r="F22" s="1" t="s">
        <v>64</v>
      </c>
      <c r="G22" s="1" t="s">
        <v>64</v>
      </c>
      <c r="H22" s="49" t="s">
        <v>64</v>
      </c>
      <c r="I22" s="2"/>
      <c r="J22" s="45"/>
    </row>
    <row r="23">
      <c r="A23" s="2"/>
      <c r="B23" s="79" t="s">
        <v>66</v>
      </c>
      <c r="C23" s="1" t="str">
        <f>IF(AND(ISNUMBER(C19),ISNUMBER(C21),ISNUMBER(C22)),(1+C19)/((1+C21)*(1+C22))-1,"n/d")</f>
        <v>n/d</v>
      </c>
      <c r="D23" s="1" t="str">
        <f>IF(AND(ISNUMBER(D19),ISNUMBER(D21),ISNUMBER(D22)),(1+D19)/((1+D21)*(1+D22))-1,"n/d")</f>
        <v>n/d</v>
      </c>
      <c r="E23" s="1" t="str">
        <f>IF(AND(ISNUMBER(E19),ISNUMBER(E21),ISNUMBER(E22)),(1+E19)/((1+E21)*(1+E22))-1,"n/d")</f>
        <v>n/d</v>
      </c>
      <c r="F23" s="1" t="str">
        <f>IF(AND(ISNUMBER(F19),ISNUMBER(F21),ISNUMBER(F22)),(1+F19)/((1+F21)*(1+F22))-1,"n/d")</f>
        <v>n/d</v>
      </c>
      <c r="G23" s="1" t="str">
        <f>IF(AND(ISNUMBER(G19),ISNUMBER(G21),ISNUMBER(G22)),(1+G19)/((1+G21)*(1+G22))-1,"n/d")</f>
        <v>n/d</v>
      </c>
      <c r="H23" s="49" t="str">
        <f>IF(AND(ISNUMBER(H19),ISNUMBER(H21),ISNUMBER(H22)),(1+H19)/((1+H21)*(1+H22))-1,"n/d")</f>
        <v>n/d</v>
      </c>
      <c r="I23" s="2"/>
      <c r="J23" s="45"/>
    </row>
    <row r="24">
      <c r="A24" s="2"/>
      <c r="B24" s="79" t="s">
        <v>67</v>
      </c>
      <c r="C24" s="1">
        <f>C19</f>
        <v>-0.060555088309503735</v>
      </c>
      <c r="D24" s="1">
        <f>D19</f>
        <v>-0.10176800344976278</v>
      </c>
      <c r="E24" s="1">
        <f>E19</f>
        <v>0.02542588354945341</v>
      </c>
      <c r="F24" s="1">
        <f>F19</f>
        <v>0.043165467625899234</v>
      </c>
      <c r="G24" s="1">
        <f>G19</f>
        <v>-0.031041723728658766</v>
      </c>
      <c r="H24" s="49">
        <f>H19</f>
        <v>0.097208665471747</v>
      </c>
      <c r="I24" s="2"/>
      <c r="J24" s="45"/>
    </row>
    <row r="25">
      <c r="A25" s="2"/>
      <c r="B25" s="55" t="s">
        <v>68</v>
      </c>
      <c r="C25" s="1">
        <f>C18/C34</f>
        <v>0.10447063224841002</v>
      </c>
      <c r="D25" s="1">
        <f>D18/D34</f>
        <v>0.10677670699200328</v>
      </c>
      <c r="E25" s="1">
        <f>E18/E34</f>
        <v>0.17059346051351465</v>
      </c>
      <c r="F25" s="1">
        <f>F18/F34</f>
        <v>0.11695212791194193</v>
      </c>
      <c r="G25" s="1">
        <f>G18/G34</f>
        <v>0.1275999711448289</v>
      </c>
      <c r="H25" s="49">
        <f>H18/H34</f>
        <v>0.10862186672943654</v>
      </c>
      <c r="I25" s="2"/>
      <c r="J25" s="45"/>
    </row>
    <row r="26">
      <c r="A26" s="2"/>
      <c r="B26" s="66" t="s">
        <v>70</v>
      </c>
      <c r="C26" s="39">
        <v>2</v>
      </c>
      <c r="D26" s="30">
        <f>G26-Inputs!L125</f>
        <v>1</v>
      </c>
      <c r="E26" s="39">
        <v>3</v>
      </c>
      <c r="F26" s="39">
        <v>3</v>
      </c>
      <c r="G26" s="39">
        <v>3</v>
      </c>
      <c r="H26" s="31">
        <f>'Monthly Build'!G60</f>
        <v>4</v>
      </c>
      <c r="I26" s="2"/>
      <c r="J26" s="45" t="s">
        <v>71</v>
      </c>
    </row>
    <row r="27">
      <c r="A27" s="2"/>
      <c r="B27" s="55" t="s">
        <v>61</v>
      </c>
      <c r="C27" s="142" t="s">
        <v>72</v>
      </c>
      <c r="D27" s="142" t="s">
        <v>72</v>
      </c>
      <c r="E27" s="142" t="s">
        <v>72</v>
      </c>
      <c r="F27" s="142" t="s">
        <v>72</v>
      </c>
      <c r="G27" s="142" t="s">
        <v>72</v>
      </c>
      <c r="H27" s="49" t="s">
        <v>72</v>
      </c>
      <c r="I27" s="2"/>
      <c r="J27" s="45" t="s">
        <v>73</v>
      </c>
    </row>
    <row r="28">
      <c r="A28" s="2"/>
      <c r="B28" s="55" t="s">
        <v>62</v>
      </c>
      <c r="C28" s="142" t="s">
        <v>72</v>
      </c>
      <c r="D28" s="1" t="s">
        <v>72</v>
      </c>
      <c r="E28" s="1" t="s">
        <v>72</v>
      </c>
      <c r="F28" s="1" t="s">
        <v>72</v>
      </c>
      <c r="G28" s="1" t="s">
        <v>38</v>
      </c>
      <c r="H28" s="49" t="s">
        <v>72</v>
      </c>
      <c r="I28" s="2"/>
      <c r="J28" s="45"/>
    </row>
    <row r="29">
      <c r="A29" s="2"/>
      <c r="B29" s="79" t="s">
        <v>63</v>
      </c>
      <c r="C29" s="1" t="s">
        <v>64</v>
      </c>
      <c r="D29" s="1" t="s">
        <v>64</v>
      </c>
      <c r="E29" s="1" t="s">
        <v>64</v>
      </c>
      <c r="F29" s="1" t="s">
        <v>64</v>
      </c>
      <c r="G29" s="1" t="s">
        <v>64</v>
      </c>
      <c r="H29" s="49" t="s">
        <v>64</v>
      </c>
      <c r="I29" s="2"/>
      <c r="J29" s="45"/>
    </row>
    <row r="30">
      <c r="A30" s="2"/>
      <c r="B30" s="79" t="s">
        <v>65</v>
      </c>
      <c r="C30" s="1" t="s">
        <v>64</v>
      </c>
      <c r="D30" s="1" t="s">
        <v>64</v>
      </c>
      <c r="E30" s="1" t="s">
        <v>64</v>
      </c>
      <c r="F30" s="1" t="s">
        <v>64</v>
      </c>
      <c r="G30" s="1" t="s">
        <v>64</v>
      </c>
      <c r="H30" s="49" t="s">
        <v>64</v>
      </c>
      <c r="I30" s="2"/>
      <c r="J30" s="45"/>
    </row>
    <row r="31">
      <c r="A31" s="2"/>
      <c r="B31" s="79" t="s">
        <v>66</v>
      </c>
      <c r="C31" s="1" t="str">
        <f>IF(AND(ISNUMBER(C27),ISNUMBER(C29),ISNUMBER(C30)),(1+C27)/((1+C29)*(1+C30))-1,"n/d")</f>
        <v>n/d</v>
      </c>
      <c r="D31" s="1" t="str">
        <f>IF(AND(ISNUMBER(D27),ISNUMBER(D29),ISNUMBER(D30)),(1+D27)/((1+D29)*(1+D30))-1,"n/d")</f>
        <v>n/d</v>
      </c>
      <c r="E31" s="1" t="str">
        <f>IF(AND(ISNUMBER(E27),ISNUMBER(E29),ISNUMBER(E30)),(1+E27)/((1+E29)*(1+E30))-1,"n/d")</f>
        <v>n/d</v>
      </c>
      <c r="F31" s="1" t="str">
        <f>IF(AND(ISNUMBER(F27),ISNUMBER(F29),ISNUMBER(F30)),(1+F27)/((1+F29)*(1+F30))-1,"n/d")</f>
        <v>n/d</v>
      </c>
      <c r="G31" s="1" t="str">
        <f>IF(AND(ISNUMBER(G27),ISNUMBER(G29),ISNUMBER(G30)),(1+G27)/((1+G29)*(1+G30))-1,"n/d")</f>
        <v>n/d</v>
      </c>
      <c r="H31" s="49" t="str">
        <f>IF(AND(ISNUMBER(H27),ISNUMBER(H29),ISNUMBER(H30)),(1+H27)/((1+H29)*(1+H30))-1,"n/d")</f>
        <v>n/d</v>
      </c>
      <c r="I31" s="2"/>
      <c r="J31" s="45"/>
    </row>
    <row r="32">
      <c r="A32" s="2"/>
      <c r="B32" s="79" t="s">
        <v>67</v>
      </c>
      <c r="C32" s="1" t="str">
        <f>C27</f>
        <v>n/m</v>
      </c>
      <c r="D32" s="1" t="str">
        <f>D27</f>
        <v>n/m</v>
      </c>
      <c r="E32" s="1" t="str">
        <f>E27</f>
        <v>n/m</v>
      </c>
      <c r="F32" s="1" t="str">
        <f>F27</f>
        <v>n/m</v>
      </c>
      <c r="G32" s="1" t="str">
        <f>G27</f>
        <v>n/m</v>
      </c>
      <c r="H32" s="49" t="str">
        <f>H27</f>
        <v>n/m</v>
      </c>
      <c r="I32" s="2"/>
      <c r="J32" s="45"/>
    </row>
    <row r="33">
      <c r="A33" s="2"/>
      <c r="B33" s="55" t="s">
        <v>68</v>
      </c>
      <c r="C33" s="140">
        <f>C26/C34</f>
        <v>0.00009352787130564908</v>
      </c>
      <c r="D33" s="140">
        <f>D26/D34</f>
        <v>0.0000512610211195407</v>
      </c>
      <c r="E33" s="140">
        <f>E26/E34</f>
        <v>0.0001268981853559494</v>
      </c>
      <c r="F33" s="140">
        <f>F26/F34</f>
        <v>0.00014233524695165346</v>
      </c>
      <c r="G33" s="140">
        <f>G26/G34</f>
        <v>0.000036068963858898214</v>
      </c>
      <c r="H33" s="141">
        <f>H26/H34</f>
        <v>0.00017725759630663948</v>
      </c>
      <c r="I33" s="2"/>
      <c r="J33" s="45"/>
    </row>
    <row r="34">
      <c r="A34" s="2"/>
      <c r="B34" s="21" t="s">
        <v>74</v>
      </c>
      <c r="C34" s="37">
        <f>C10+C18+C26</f>
        <v>21384</v>
      </c>
      <c r="D34" s="37">
        <f>D10+D18+D26</f>
        <v>19508</v>
      </c>
      <c r="E34" s="37">
        <f>E10+E18+E26</f>
        <v>23641</v>
      </c>
      <c r="F34" s="37">
        <f>F10+F18+F26</f>
        <v>21077</v>
      </c>
      <c r="G34" s="37">
        <f>G10+G18+G26</f>
        <v>83174</v>
      </c>
      <c r="H34" s="50">
        <f>H10+H18+H26</f>
        <v>22566.028668697305</v>
      </c>
      <c r="I34" s="2"/>
      <c r="J34" s="45"/>
    </row>
    <row r="35">
      <c r="A35" s="2"/>
      <c r="B35" s="55" t="s">
        <v>61</v>
      </c>
      <c r="C35" s="18">
        <f>IFERROR(C34/Inputs!C16-1,"n/a")</f>
        <v>0.09915188897455662</v>
      </c>
      <c r="D35" s="18">
        <f>IFERROR(D34/Inputs!D16-1,"n/a")</f>
        <v>0.07749240541286939</v>
      </c>
      <c r="E35" s="18">
        <f>IFERROR(E34/Inputs!E16-1,"n/a")</f>
        <v>0.06462217418715666</v>
      </c>
      <c r="F35" s="18">
        <f>IFERROR(F34/Inputs!F16-1,"n/a")</f>
        <v>0.04986052998605306</v>
      </c>
      <c r="G35" s="18">
        <f>IFERROR(G34/Inputs!G16-1,"n/a")</f>
        <v>0.11756960120391269</v>
      </c>
      <c r="H35" s="49">
        <f>IFERROR(H34/C34-1,"n/a")</f>
        <v>0.055276312602754674</v>
      </c>
      <c r="I35" s="2"/>
      <c r="J35" s="45" t="s">
        <v>75</v>
      </c>
    </row>
    <row r="36">
      <c r="A36" s="2"/>
      <c r="B36" s="55" t="s">
        <v>62</v>
      </c>
      <c r="C36" s="18">
        <f>IFERROR(C34/Inputs!F16-1,"n/a")</f>
        <v>0.0651524208009564</v>
      </c>
      <c r="D36" s="1">
        <f>IFERROR(D34/C34-1,"n/a")</f>
        <v>-0.08772914328469883</v>
      </c>
      <c r="E36" s="1">
        <f>IFERROR(E34/D34-1,"n/a")</f>
        <v>0.2118618002870618</v>
      </c>
      <c r="F36" s="1">
        <f>IFERROR(F34/E34-1,"n/a")</f>
        <v>-0.10845564908421812</v>
      </c>
      <c r="G36" s="1" t="s">
        <v>38</v>
      </c>
      <c r="H36" s="49">
        <f>IFERROR(H34/F34-1,"n/a")</f>
        <v>0.07064708775904083</v>
      </c>
      <c r="I36" s="2"/>
      <c r="J36" s="45"/>
    </row>
    <row r="37">
      <c r="A37" s="2"/>
      <c r="B37" s="79" t="s">
        <v>63</v>
      </c>
      <c r="C37" s="1" t="s">
        <v>64</v>
      </c>
      <c r="D37" s="1" t="s">
        <v>64</v>
      </c>
      <c r="E37" s="1" t="s">
        <v>64</v>
      </c>
      <c r="F37" s="1" t="s">
        <v>64</v>
      </c>
      <c r="G37" s="1" t="s">
        <v>64</v>
      </c>
      <c r="H37" s="49" t="s">
        <v>64</v>
      </c>
      <c r="I37" s="2"/>
      <c r="J37" s="45"/>
    </row>
    <row r="38">
      <c r="A38" s="2"/>
      <c r="B38" s="79" t="s">
        <v>65</v>
      </c>
      <c r="C38" s="1" t="s">
        <v>64</v>
      </c>
      <c r="D38" s="1" t="s">
        <v>64</v>
      </c>
      <c r="E38" s="1" t="s">
        <v>64</v>
      </c>
      <c r="F38" s="1" t="s">
        <v>64</v>
      </c>
      <c r="G38" s="1" t="s">
        <v>64</v>
      </c>
      <c r="H38" s="49" t="s">
        <v>64</v>
      </c>
      <c r="I38" s="2"/>
      <c r="J38" s="45"/>
    </row>
    <row r="39">
      <c r="A39" s="2"/>
      <c r="B39" s="79" t="s">
        <v>66</v>
      </c>
      <c r="C39" s="1" t="str">
        <f>IF(AND(ISNUMBER(C35),ISNUMBER(C37),ISNUMBER(C38)),(1+C35)/((1+C37)*(1+C38))-1,"n/d")</f>
        <v>n/d</v>
      </c>
      <c r="D39" s="1" t="str">
        <f>IF(AND(ISNUMBER(D35),ISNUMBER(D37),ISNUMBER(D38)),(1+D35)/((1+D37)*(1+D38))-1,"n/d")</f>
        <v>n/d</v>
      </c>
      <c r="E39" s="1" t="str">
        <f>IF(AND(ISNUMBER(E35),ISNUMBER(E37),ISNUMBER(E38)),(1+E35)/((1+E37)*(1+E38))-1,"n/d")</f>
        <v>n/d</v>
      </c>
      <c r="F39" s="1" t="str">
        <f>IF(AND(ISNUMBER(F35),ISNUMBER(F37),ISNUMBER(F38)),(1+F35)/((1+F37)*(1+F38))-1,"n/d")</f>
        <v>n/d</v>
      </c>
      <c r="G39" s="1" t="str">
        <f>IF(AND(ISNUMBER(G35),ISNUMBER(G37),ISNUMBER(G38)),(1+G35)/((1+G37)*(1+G38))-1,"n/d")</f>
        <v>n/d</v>
      </c>
      <c r="H39" s="49" t="str">
        <f>IF(AND(ISNUMBER(H35),ISNUMBER(H37),ISNUMBER(H38)),(1+H35)/((1+H37)*(1+H38))-1,"n/d")</f>
        <v>n/d</v>
      </c>
      <c r="I39" s="2"/>
      <c r="J39" s="45"/>
    </row>
    <row r="40">
      <c r="A40" s="2"/>
      <c r="B40" s="79" t="s">
        <v>67</v>
      </c>
      <c r="C40" s="1">
        <f>C35</f>
        <v>0.09915188897455662</v>
      </c>
      <c r="D40" s="1">
        <f>D35</f>
        <v>0.07749240541286939</v>
      </c>
      <c r="E40" s="1">
        <f>E35</f>
        <v>0.06462217418715666</v>
      </c>
      <c r="F40" s="1">
        <f>F35</f>
        <v>0.04986052998605306</v>
      </c>
      <c r="G40" s="1">
        <f>G35</f>
        <v>0.11756960120391269</v>
      </c>
      <c r="H40" s="49">
        <f>H35</f>
        <v>0.055276312602754674</v>
      </c>
      <c r="I40" s="2"/>
      <c r="J40" s="45"/>
    </row>
    <row r="41">
      <c r="A41" s="2"/>
      <c r="B41" s="55" t="s">
        <v>68</v>
      </c>
      <c r="C41" s="1">
        <f>C34/C34</f>
        <v>1</v>
      </c>
      <c r="D41" s="1">
        <f>D34/D34</f>
        <v>1</v>
      </c>
      <c r="E41" s="1">
        <f>E34/E34</f>
        <v>1</v>
      </c>
      <c r="F41" s="1">
        <f>F34/F34</f>
        <v>1</v>
      </c>
      <c r="G41" s="1">
        <f>G34/G34</f>
        <v>1</v>
      </c>
      <c r="H41" s="49">
        <f>H34/H34</f>
        <v>1</v>
      </c>
      <c r="I41" s="2"/>
      <c r="J41" s="45"/>
    </row>
    <row r="42">
      <c r="A42" s="2"/>
      <c r="B42" s="66" t="s">
        <v>76</v>
      </c>
      <c r="C42" s="39">
        <v>21384</v>
      </c>
      <c r="D42" s="39">
        <v>19508</v>
      </c>
      <c r="E42" s="39">
        <v>23641</v>
      </c>
      <c r="F42" s="39">
        <v>21077</v>
      </c>
      <c r="G42" s="39">
        <v>83174</v>
      </c>
      <c r="H42" s="65"/>
      <c r="I42" s="2"/>
      <c r="J42" s="45" t="s">
        <v>77</v>
      </c>
    </row>
    <row r="43">
      <c r="A43" s="2"/>
      <c r="B43" s="55" t="s">
        <v>78</v>
      </c>
      <c r="C43" s="42">
        <f>C34-C42</f>
        <v>0</v>
      </c>
      <c r="D43" s="42">
        <f>D34-D42</f>
        <v>0</v>
      </c>
      <c r="E43" s="42">
        <f>E34-E42</f>
        <v>0</v>
      </c>
      <c r="F43" s="42">
        <f>F34-F42</f>
        <v>0</v>
      </c>
      <c r="G43" s="42">
        <f>G34-G42</f>
        <v>0</v>
      </c>
      <c r="H43" s="57"/>
      <c r="I43" s="2"/>
      <c r="J43" s="45"/>
    </row>
    <row r="44">
      <c r="A44" s="2"/>
      <c r="B44" s="66" t="s">
        <v>79</v>
      </c>
      <c r="C44" s="30">
        <f>Inputs!I257</f>
        <v>21384</v>
      </c>
      <c r="D44" s="30">
        <f>Inputs!I258</f>
        <v>19508</v>
      </c>
      <c r="E44" s="30">
        <f>Inputs!I259</f>
        <v>23641</v>
      </c>
      <c r="F44" s="30">
        <f>Inputs!I260</f>
        <v>21077</v>
      </c>
      <c r="G44" s="24"/>
      <c r="H44" s="65"/>
      <c r="I44" s="2"/>
      <c r="J44" s="45"/>
    </row>
    <row r="45">
      <c r="A45" s="2"/>
      <c r="B45" s="55" t="s">
        <v>80</v>
      </c>
      <c r="C45" s="42">
        <f>C34-C44</f>
        <v>0</v>
      </c>
      <c r="D45" s="42">
        <f>D34-D44</f>
        <v>0</v>
      </c>
      <c r="E45" s="42">
        <f>E34-E44</f>
        <v>0</v>
      </c>
      <c r="F45" s="42">
        <f>F34-F44</f>
        <v>0</v>
      </c>
      <c r="G45" s="42"/>
      <c r="H45" s="57"/>
      <c r="I45" s="2"/>
      <c r="J45" s="45"/>
    </row>
    <row r="46">
      <c r="A46" s="2"/>
      <c r="B46" s="2"/>
      <c r="C46" s="5"/>
      <c r="D46" s="5"/>
      <c r="E46" s="5"/>
      <c r="F46" s="5"/>
      <c r="G46" s="5"/>
      <c r="H46" s="20"/>
      <c r="I46" s="2"/>
      <c r="J46" s="45"/>
    </row>
    <row r="47">
      <c r="A47" s="2"/>
      <c r="B47" s="21" t="s">
        <v>81</v>
      </c>
      <c r="C47" s="26"/>
      <c r="D47" s="26"/>
      <c r="E47" s="26"/>
      <c r="F47" s="26"/>
      <c r="G47" s="26"/>
      <c r="H47" s="56"/>
      <c r="I47" s="2"/>
      <c r="J47" s="45"/>
    </row>
    <row r="48">
      <c r="A48" s="2"/>
      <c r="B48" s="66" t="s">
        <v>82</v>
      </c>
      <c r="C48" s="30">
        <f>'Segment - Personal Lines'!C152</f>
        <v>18089</v>
      </c>
      <c r="D48" s="30">
        <f>'Segment - Personal Lines'!D152</f>
        <v>18435</v>
      </c>
      <c r="E48" s="30">
        <f>'Segment - Personal Lines'!E152</f>
        <v>18384</v>
      </c>
      <c r="F48" s="30">
        <f>'Segment - Personal Lines'!F152</f>
        <v>18880</v>
      </c>
      <c r="G48" s="30">
        <f>'Segment - Personal Lines'!G152</f>
        <v>70778</v>
      </c>
      <c r="H48" s="31">
        <f>'Segment - Personal Lines'!H152</f>
        <v>19128.68205185756</v>
      </c>
      <c r="I48" s="2"/>
      <c r="J48" s="45" t="s">
        <v>83</v>
      </c>
    </row>
    <row r="49">
      <c r="A49" s="2"/>
      <c r="B49" s="55" t="s">
        <v>61</v>
      </c>
      <c r="C49" s="18">
        <f>IFERROR(C48/Inputs!C22-1,"n/a")</f>
        <v>0.16178548490687228</v>
      </c>
      <c r="D49" s="18">
        <f>IFERROR(D48/Inputs!D22-1,"n/a")</f>
        <v>0.12511443393347577</v>
      </c>
      <c r="E49" s="18">
        <f>IFERROR(E48/Inputs!E22-1,"n/a")</f>
        <v>0.10017953321364459</v>
      </c>
      <c r="F49" s="18">
        <f>IFERROR(F48/Inputs!F22-1,"n/a")</f>
        <v>0.07615139078887379</v>
      </c>
      <c r="G49" s="18">
        <f>IFERROR(G48/Inputs!G22-1,"n/a")</f>
        <v>0.17784693215290148</v>
      </c>
      <c r="H49" s="49">
        <f>IFERROR(H48/C48-1,"n/a")</f>
        <v>0.05747592746185859</v>
      </c>
      <c r="I49" s="2"/>
      <c r="J49" s="45"/>
    </row>
    <row r="50">
      <c r="A50" s="2"/>
      <c r="B50" s="55" t="s">
        <v>62</v>
      </c>
      <c r="C50" s="18">
        <f>IFERROR(C48/Inputs!F22-1,"n/a")</f>
        <v>0.031064751481988173</v>
      </c>
      <c r="D50" s="1">
        <f>IFERROR(D48/C48-1,"n/a")</f>
        <v>0.019127646636077245</v>
      </c>
      <c r="E50" s="1">
        <f>IFERROR(E48/D48-1,"n/a")</f>
        <v>-0.002766476810414975</v>
      </c>
      <c r="F50" s="1">
        <f>IFERROR(F48/E48-1,"n/a")</f>
        <v>0.026979982593559715</v>
      </c>
      <c r="G50" s="1" t="s">
        <v>38</v>
      </c>
      <c r="H50" s="49">
        <f>IFERROR(H48/F48-1,"n/a")</f>
        <v>0.013171718848387748</v>
      </c>
      <c r="I50" s="2"/>
      <c r="J50" s="45"/>
    </row>
    <row r="51">
      <c r="A51" s="2"/>
      <c r="B51" s="79" t="s">
        <v>63</v>
      </c>
      <c r="C51" s="1" t="s">
        <v>64</v>
      </c>
      <c r="D51" s="1" t="s">
        <v>64</v>
      </c>
      <c r="E51" s="1" t="s">
        <v>64</v>
      </c>
      <c r="F51" s="1" t="s">
        <v>64</v>
      </c>
      <c r="G51" s="1" t="s">
        <v>64</v>
      </c>
      <c r="H51" s="49" t="s">
        <v>64</v>
      </c>
      <c r="I51" s="2"/>
      <c r="J51" s="45"/>
    </row>
    <row r="52">
      <c r="A52" s="2"/>
      <c r="B52" s="79" t="s">
        <v>65</v>
      </c>
      <c r="C52" s="1" t="s">
        <v>64</v>
      </c>
      <c r="D52" s="1" t="s">
        <v>64</v>
      </c>
      <c r="E52" s="1" t="s">
        <v>64</v>
      </c>
      <c r="F52" s="1" t="s">
        <v>64</v>
      </c>
      <c r="G52" s="1" t="s">
        <v>64</v>
      </c>
      <c r="H52" s="49" t="s">
        <v>64</v>
      </c>
      <c r="I52" s="2"/>
      <c r="J52" s="45"/>
    </row>
    <row r="53">
      <c r="A53" s="2"/>
      <c r="B53" s="79" t="s">
        <v>66</v>
      </c>
      <c r="C53" s="1" t="str">
        <f>IF(AND(ISNUMBER(C49),ISNUMBER(C51),ISNUMBER(C52)),(1+C49)/((1+C51)*(1+C52))-1,"n/d")</f>
        <v>n/d</v>
      </c>
      <c r="D53" s="1" t="str">
        <f>IF(AND(ISNUMBER(D49),ISNUMBER(D51),ISNUMBER(D52)),(1+D49)/((1+D51)*(1+D52))-1,"n/d")</f>
        <v>n/d</v>
      </c>
      <c r="E53" s="1" t="str">
        <f>IF(AND(ISNUMBER(E49),ISNUMBER(E51),ISNUMBER(E52)),(1+E49)/((1+E51)*(1+E52))-1,"n/d")</f>
        <v>n/d</v>
      </c>
      <c r="F53" s="1" t="str">
        <f>IF(AND(ISNUMBER(F49),ISNUMBER(F51),ISNUMBER(F52)),(1+F49)/((1+F51)*(1+F52))-1,"n/d")</f>
        <v>n/d</v>
      </c>
      <c r="G53" s="1" t="str">
        <f>IF(AND(ISNUMBER(G49),ISNUMBER(G51),ISNUMBER(G52)),(1+G49)/((1+G51)*(1+G52))-1,"n/d")</f>
        <v>n/d</v>
      </c>
      <c r="H53" s="49" t="str">
        <f>IF(AND(ISNUMBER(H49),ISNUMBER(H51),ISNUMBER(H52)),(1+H49)/((1+H51)*(1+H52))-1,"n/d")</f>
        <v>n/d</v>
      </c>
      <c r="I53" s="2"/>
      <c r="J53" s="45"/>
    </row>
    <row r="54">
      <c r="A54" s="2"/>
      <c r="B54" s="79" t="s">
        <v>67</v>
      </c>
      <c r="C54" s="1">
        <f>C49</f>
        <v>0.16178548490687228</v>
      </c>
      <c r="D54" s="1">
        <f>D49</f>
        <v>0.12511443393347577</v>
      </c>
      <c r="E54" s="1">
        <f>E49</f>
        <v>0.10017953321364459</v>
      </c>
      <c r="F54" s="1">
        <f>F49</f>
        <v>0.07615139078887379</v>
      </c>
      <c r="G54" s="1">
        <f>G49</f>
        <v>0.17784693215290148</v>
      </c>
      <c r="H54" s="49">
        <f>H49</f>
        <v>0.05747592746185859</v>
      </c>
      <c r="I54" s="2"/>
      <c r="J54" s="45"/>
    </row>
    <row r="55">
      <c r="A55" s="2"/>
      <c r="B55" s="55" t="s">
        <v>84</v>
      </c>
      <c r="C55" s="1">
        <f>C48/C112</f>
        <v>0.8035270078180526</v>
      </c>
      <c r="D55" s="1">
        <f>D48/D112</f>
        <v>0.8104721709311528</v>
      </c>
      <c r="E55" s="1">
        <f>E48/E112</f>
        <v>0.8285559762033532</v>
      </c>
      <c r="F55" s="1">
        <f>F48/F112</f>
        <v>0.7996950315557626</v>
      </c>
      <c r="G55" s="1">
        <f>G48/G112</f>
        <v>0.8073137069270341</v>
      </c>
      <c r="H55" s="49">
        <f>H48/H112</f>
        <v>0.8185266937434426</v>
      </c>
      <c r="I55" s="2"/>
      <c r="J55" s="45"/>
    </row>
    <row r="56">
      <c r="A56" s="2"/>
      <c r="B56" s="66" t="s">
        <v>85</v>
      </c>
      <c r="C56" s="30">
        <f>'Segment - Commercial Lines'!C42</f>
        <v>2760</v>
      </c>
      <c r="D56" s="30">
        <f>'Segment - Commercial Lines'!D42</f>
        <v>2657</v>
      </c>
      <c r="E56" s="30">
        <f>'Segment - Commercial Lines'!E42</f>
        <v>2583</v>
      </c>
      <c r="F56" s="30">
        <f>'Segment - Commercial Lines'!F42</f>
        <v>2691</v>
      </c>
      <c r="G56" s="30">
        <f>'Segment - Commercial Lines'!G42</f>
        <v>10881</v>
      </c>
      <c r="H56" s="31">
        <f>'Segment - Commercial Lines'!H42</f>
        <v>2727.9675858037576</v>
      </c>
      <c r="I56" s="2"/>
      <c r="J56" s="45"/>
    </row>
    <row r="57">
      <c r="A57" s="2"/>
      <c r="B57" s="55" t="s">
        <v>61</v>
      </c>
      <c r="C57" s="18">
        <f>IFERROR(C56/Inputs!C20-1,"n/a")</f>
        <v>0.012101210121012063</v>
      </c>
      <c r="D57" s="18">
        <f>IFERROR(D56/Inputs!D20-1,"n/a")</f>
        <v>-0.036620739666424984</v>
      </c>
      <c r="E57" s="18">
        <f>IFERROR(E56/Inputs!E20-1,"n/a")</f>
        <v>-0.042978881067061825</v>
      </c>
      <c r="F57" s="18">
        <f>IFERROR(F56/Inputs!F20-1,"n/a")</f>
        <v>-0.026763110307414073</v>
      </c>
      <c r="G57" s="18">
        <f>IFERROR(G56/Inputs!G20-1,"n/a")</f>
        <v>0.01625105071448596</v>
      </c>
      <c r="H57" s="49">
        <f>IFERROR(H56/C56-1,"n/a")</f>
        <v>-0.01160594717255159</v>
      </c>
      <c r="I57" s="2"/>
      <c r="J57" s="45"/>
    </row>
    <row r="58">
      <c r="A58" s="2"/>
      <c r="B58" s="55" t="s">
        <v>62</v>
      </c>
      <c r="C58" s="18">
        <f>IFERROR(C56/Inputs!F20-1,"n/a")</f>
        <v>-0.001808318264014508</v>
      </c>
      <c r="D58" s="1">
        <f>IFERROR(D56/C56-1,"n/a")</f>
        <v>-0.03731884057971013</v>
      </c>
      <c r="E58" s="1">
        <f>IFERROR(E56/D56-1,"n/a")</f>
        <v>-0.027850959729017744</v>
      </c>
      <c r="F58" s="1">
        <f>IFERROR(F56/E56-1,"n/a")</f>
        <v>0.04181184668989557</v>
      </c>
      <c r="G58" s="1" t="s">
        <v>38</v>
      </c>
      <c r="H58" s="49">
        <f>IFERROR(H56/F56-1,"n/a")</f>
        <v>0.013737490079434256</v>
      </c>
      <c r="I58" s="2"/>
      <c r="J58" s="45"/>
    </row>
    <row r="59">
      <c r="A59" s="2"/>
      <c r="B59" s="79" t="s">
        <v>63</v>
      </c>
      <c r="C59" s="1" t="s">
        <v>64</v>
      </c>
      <c r="D59" s="1" t="s">
        <v>64</v>
      </c>
      <c r="E59" s="1" t="s">
        <v>64</v>
      </c>
      <c r="F59" s="1" t="s">
        <v>64</v>
      </c>
      <c r="G59" s="1" t="s">
        <v>64</v>
      </c>
      <c r="H59" s="49" t="s">
        <v>64</v>
      </c>
      <c r="I59" s="2"/>
      <c r="J59" s="45"/>
    </row>
    <row r="60">
      <c r="A60" s="2"/>
      <c r="B60" s="79" t="s">
        <v>65</v>
      </c>
      <c r="C60" s="1" t="s">
        <v>64</v>
      </c>
      <c r="D60" s="1" t="s">
        <v>64</v>
      </c>
      <c r="E60" s="1" t="s">
        <v>64</v>
      </c>
      <c r="F60" s="1" t="s">
        <v>64</v>
      </c>
      <c r="G60" s="1" t="s">
        <v>64</v>
      </c>
      <c r="H60" s="49" t="s">
        <v>64</v>
      </c>
      <c r="I60" s="2"/>
      <c r="J60" s="45"/>
    </row>
    <row r="61">
      <c r="A61" s="2"/>
      <c r="B61" s="79" t="s">
        <v>66</v>
      </c>
      <c r="C61" s="1" t="str">
        <f>IF(AND(ISNUMBER(C57),ISNUMBER(C59),ISNUMBER(C60)),(1+C57)/((1+C59)*(1+C60))-1,"n/d")</f>
        <v>n/d</v>
      </c>
      <c r="D61" s="1" t="str">
        <f>IF(AND(ISNUMBER(D57),ISNUMBER(D59),ISNUMBER(D60)),(1+D57)/((1+D59)*(1+D60))-1,"n/d")</f>
        <v>n/d</v>
      </c>
      <c r="E61" s="1" t="str">
        <f>IF(AND(ISNUMBER(E57),ISNUMBER(E59),ISNUMBER(E60)),(1+E57)/((1+E59)*(1+E60))-1,"n/d")</f>
        <v>n/d</v>
      </c>
      <c r="F61" s="1" t="str">
        <f>IF(AND(ISNUMBER(F57),ISNUMBER(F59),ISNUMBER(F60)),(1+F57)/((1+F59)*(1+F60))-1,"n/d")</f>
        <v>n/d</v>
      </c>
      <c r="G61" s="1" t="str">
        <f>IF(AND(ISNUMBER(G57),ISNUMBER(G59),ISNUMBER(G60)),(1+G57)/((1+G59)*(1+G60))-1,"n/d")</f>
        <v>n/d</v>
      </c>
      <c r="H61" s="49" t="str">
        <f>IF(AND(ISNUMBER(H57),ISNUMBER(H59),ISNUMBER(H60)),(1+H57)/((1+H59)*(1+H60))-1,"n/d")</f>
        <v>n/d</v>
      </c>
      <c r="I61" s="2"/>
      <c r="J61" s="45"/>
    </row>
    <row r="62">
      <c r="A62" s="2"/>
      <c r="B62" s="79" t="s">
        <v>67</v>
      </c>
      <c r="C62" s="1">
        <f>C57</f>
        <v>0.012101210121012063</v>
      </c>
      <c r="D62" s="1">
        <f>D57</f>
        <v>-0.036620739666424984</v>
      </c>
      <c r="E62" s="1">
        <f>E57</f>
        <v>-0.042978881067061825</v>
      </c>
      <c r="F62" s="1">
        <f>F57</f>
        <v>-0.026763110307414073</v>
      </c>
      <c r="G62" s="1">
        <f>G57</f>
        <v>0.01625105071448596</v>
      </c>
      <c r="H62" s="49">
        <f>H57</f>
        <v>-0.01160594717255159</v>
      </c>
      <c r="I62" s="2"/>
      <c r="J62" s="45"/>
    </row>
    <row r="63">
      <c r="A63" s="2"/>
      <c r="B63" s="55" t="s">
        <v>84</v>
      </c>
      <c r="C63" s="1">
        <f>C56/C112</f>
        <v>0.12260127931769722</v>
      </c>
      <c r="D63" s="1">
        <f>D56/D112</f>
        <v>0.11681174712037282</v>
      </c>
      <c r="E63" s="1">
        <f>E56/E112</f>
        <v>0.11641427798810168</v>
      </c>
      <c r="F63" s="1">
        <f>F56/F112</f>
        <v>0.11398195603371596</v>
      </c>
      <c r="G63" s="1">
        <f>G56/G112</f>
        <v>0.12411173592179854</v>
      </c>
      <c r="H63" s="49">
        <f>H56/H112</f>
        <v>0.1167312145496399</v>
      </c>
      <c r="I63" s="2"/>
      <c r="J63" s="45"/>
    </row>
    <row r="64">
      <c r="A64" s="2"/>
      <c r="B64" s="66" t="s">
        <v>86</v>
      </c>
      <c r="C64" s="39">
        <v>0</v>
      </c>
      <c r="D64" s="30">
        <f>G64-Inputs!L130</f>
        <v>1</v>
      </c>
      <c r="E64" s="39">
        <v>1</v>
      </c>
      <c r="F64" s="39">
        <v>2</v>
      </c>
      <c r="G64" s="39">
        <v>2</v>
      </c>
      <c r="H64" s="31">
        <f>'Monthly Build'!G75</f>
        <v>3</v>
      </c>
      <c r="I64" s="2"/>
      <c r="J64" s="45" t="s">
        <v>71</v>
      </c>
    </row>
    <row r="65">
      <c r="A65" s="2"/>
      <c r="B65" s="55" t="s">
        <v>61</v>
      </c>
      <c r="C65" s="142" t="s">
        <v>72</v>
      </c>
      <c r="D65" s="142" t="s">
        <v>72</v>
      </c>
      <c r="E65" s="142" t="s">
        <v>72</v>
      </c>
      <c r="F65" s="142" t="s">
        <v>72</v>
      </c>
      <c r="G65" s="142" t="s">
        <v>72</v>
      </c>
      <c r="H65" s="49" t="s">
        <v>72</v>
      </c>
      <c r="I65" s="2"/>
      <c r="J65" s="45" t="s">
        <v>87</v>
      </c>
    </row>
    <row r="66">
      <c r="A66" s="2"/>
      <c r="B66" s="55" t="s">
        <v>62</v>
      </c>
      <c r="C66" s="142" t="s">
        <v>72</v>
      </c>
      <c r="D66" s="1" t="s">
        <v>72</v>
      </c>
      <c r="E66" s="1" t="s">
        <v>72</v>
      </c>
      <c r="F66" s="1" t="s">
        <v>72</v>
      </c>
      <c r="G66" s="1" t="s">
        <v>38</v>
      </c>
      <c r="H66" s="49" t="s">
        <v>72</v>
      </c>
      <c r="I66" s="2"/>
      <c r="J66" s="45"/>
    </row>
    <row r="67">
      <c r="A67" s="2"/>
      <c r="B67" s="79" t="s">
        <v>63</v>
      </c>
      <c r="C67" s="1" t="s">
        <v>64</v>
      </c>
      <c r="D67" s="1" t="s">
        <v>64</v>
      </c>
      <c r="E67" s="1" t="s">
        <v>64</v>
      </c>
      <c r="F67" s="1" t="s">
        <v>64</v>
      </c>
      <c r="G67" s="1" t="s">
        <v>64</v>
      </c>
      <c r="H67" s="49" t="s">
        <v>64</v>
      </c>
      <c r="I67" s="2"/>
      <c r="J67" s="45"/>
    </row>
    <row r="68">
      <c r="A68" s="2"/>
      <c r="B68" s="79" t="s">
        <v>65</v>
      </c>
      <c r="C68" s="1" t="s">
        <v>64</v>
      </c>
      <c r="D68" s="1" t="s">
        <v>64</v>
      </c>
      <c r="E68" s="1" t="s">
        <v>64</v>
      </c>
      <c r="F68" s="1" t="s">
        <v>64</v>
      </c>
      <c r="G68" s="1" t="s">
        <v>64</v>
      </c>
      <c r="H68" s="49" t="s">
        <v>64</v>
      </c>
      <c r="I68" s="2"/>
      <c r="J68" s="45"/>
    </row>
    <row r="69">
      <c r="A69" s="2"/>
      <c r="B69" s="79" t="s">
        <v>66</v>
      </c>
      <c r="C69" s="1" t="str">
        <f>IF(AND(ISNUMBER(C65),ISNUMBER(C67),ISNUMBER(C68)),(1+C65)/((1+C67)*(1+C68))-1,"n/d")</f>
        <v>n/d</v>
      </c>
      <c r="D69" s="1" t="str">
        <f>IF(AND(ISNUMBER(D65),ISNUMBER(D67),ISNUMBER(D68)),(1+D65)/((1+D67)*(1+D68))-1,"n/d")</f>
        <v>n/d</v>
      </c>
      <c r="E69" s="1" t="str">
        <f>IF(AND(ISNUMBER(E65),ISNUMBER(E67),ISNUMBER(E68)),(1+E65)/((1+E67)*(1+E68))-1,"n/d")</f>
        <v>n/d</v>
      </c>
      <c r="F69" s="1" t="str">
        <f>IF(AND(ISNUMBER(F65),ISNUMBER(F67),ISNUMBER(F68)),(1+F65)/((1+F67)*(1+F68))-1,"n/d")</f>
        <v>n/d</v>
      </c>
      <c r="G69" s="1" t="str">
        <f>IF(AND(ISNUMBER(G65),ISNUMBER(G67),ISNUMBER(G68)),(1+G65)/((1+G67)*(1+G68))-1,"n/d")</f>
        <v>n/d</v>
      </c>
      <c r="H69" s="49" t="str">
        <f>IF(AND(ISNUMBER(H65),ISNUMBER(H67),ISNUMBER(H68)),(1+H65)/((1+H67)*(1+H68))-1,"n/d")</f>
        <v>n/d</v>
      </c>
      <c r="I69" s="2"/>
      <c r="J69" s="45"/>
    </row>
    <row r="70">
      <c r="A70" s="2"/>
      <c r="B70" s="79" t="s">
        <v>67</v>
      </c>
      <c r="C70" s="1" t="str">
        <f>C65</f>
        <v>n/m</v>
      </c>
      <c r="D70" s="1" t="str">
        <f>D65</f>
        <v>n/m</v>
      </c>
      <c r="E70" s="1" t="str">
        <f>E65</f>
        <v>n/m</v>
      </c>
      <c r="F70" s="1" t="str">
        <f>F65</f>
        <v>n/m</v>
      </c>
      <c r="G70" s="1" t="str">
        <f>G65</f>
        <v>n/m</v>
      </c>
      <c r="H70" s="49" t="str">
        <f>H65</f>
        <v>n/m</v>
      </c>
      <c r="I70" s="2"/>
      <c r="J70" s="45"/>
    </row>
    <row r="71">
      <c r="A71" s="2"/>
      <c r="B71" s="55" t="s">
        <v>84</v>
      </c>
      <c r="C71" s="140">
        <f>C64/C112</f>
        <v>0</v>
      </c>
      <c r="D71" s="140">
        <f>D64/D112</f>
        <v>0.00004396377385034731</v>
      </c>
      <c r="E71" s="140">
        <f>E64/E112</f>
        <v>0.00004506940688660537</v>
      </c>
      <c r="F71" s="140">
        <f>F64/F112</f>
        <v>0.00008471345673260198</v>
      </c>
      <c r="G71" s="140">
        <f>G64/G112</f>
        <v>0.000022812560595864083</v>
      </c>
      <c r="H71" s="141">
        <f>H64/H112</f>
        <v>0.0001283716292932931</v>
      </c>
      <c r="I71" s="2"/>
      <c r="J71" s="45"/>
    </row>
    <row r="72">
      <c r="A72" s="2"/>
      <c r="B72" s="21" t="s">
        <v>88</v>
      </c>
      <c r="C72" s="37">
        <f>C48+C56+C64</f>
        <v>20849</v>
      </c>
      <c r="D72" s="37">
        <f>D48+D56+D64</f>
        <v>21093</v>
      </c>
      <c r="E72" s="37">
        <f>E48+E56+E64</f>
        <v>20968</v>
      </c>
      <c r="F72" s="37">
        <f>F48+F56+F64</f>
        <v>21573</v>
      </c>
      <c r="G72" s="37">
        <f>G48+G56+G64</f>
        <v>81661</v>
      </c>
      <c r="H72" s="50">
        <f>H48+H56+H64</f>
        <v>21859.649637661318</v>
      </c>
      <c r="I72" s="2"/>
      <c r="J72" s="45"/>
    </row>
    <row r="73">
      <c r="A73" s="2"/>
      <c r="B73" s="55" t="s">
        <v>61</v>
      </c>
      <c r="C73" s="18">
        <f>IFERROR(C72/Inputs!C23-1,"n/a")</f>
        <v>0.13947641689894508</v>
      </c>
      <c r="D73" s="18">
        <f>IFERROR(D72/Inputs!D23-1,"n/a")</f>
        <v>0.10180735478478886</v>
      </c>
      <c r="E73" s="18">
        <f>IFERROR(E72/Inputs!E23-1,"n/a")</f>
        <v>0.08032356123447881</v>
      </c>
      <c r="F73" s="18">
        <f>IFERROR(F72/Inputs!F23-1,"n/a")</f>
        <v>0.06218611521418027</v>
      </c>
      <c r="G73" s="18">
        <f>IFERROR(G72/Inputs!G23-1,"n/a")</f>
        <v>0.1534202460486731</v>
      </c>
      <c r="H73" s="49">
        <f>IFERROR(H72/C72-1,"n/a")</f>
        <v>0.048474729611075684</v>
      </c>
      <c r="I73" s="2"/>
      <c r="J73" s="45"/>
    </row>
    <row r="74">
      <c r="A74" s="2"/>
      <c r="B74" s="55" t="s">
        <v>62</v>
      </c>
      <c r="C74" s="18">
        <f>IFERROR(C72/Inputs!F23-1,"n/a")</f>
        <v>0.026538650910881367</v>
      </c>
      <c r="D74" s="1">
        <f>IFERROR(D72/C72-1,"n/a")</f>
        <v>0.011703199194206038</v>
      </c>
      <c r="E74" s="1">
        <f>IFERROR(E72/D72-1,"n/a")</f>
        <v>-0.005926136633006229</v>
      </c>
      <c r="F74" s="1">
        <f>IFERROR(F72/E72-1,"n/a")</f>
        <v>0.028853491033956402</v>
      </c>
      <c r="G74" s="1" t="s">
        <v>38</v>
      </c>
      <c r="H74" s="49">
        <f>IFERROR(H72/F72-1,"n/a")</f>
        <v>0.0132874258406952</v>
      </c>
      <c r="I74" s="2"/>
      <c r="J74" s="45"/>
    </row>
    <row r="75">
      <c r="A75" s="2"/>
      <c r="B75" s="79" t="s">
        <v>63</v>
      </c>
      <c r="C75" s="1" t="s">
        <v>64</v>
      </c>
      <c r="D75" s="1" t="s">
        <v>64</v>
      </c>
      <c r="E75" s="1" t="s">
        <v>64</v>
      </c>
      <c r="F75" s="1" t="s">
        <v>64</v>
      </c>
      <c r="G75" s="1" t="s">
        <v>64</v>
      </c>
      <c r="H75" s="49" t="s">
        <v>64</v>
      </c>
      <c r="I75" s="2"/>
      <c r="J75" s="45"/>
    </row>
    <row r="76">
      <c r="A76" s="2"/>
      <c r="B76" s="79" t="s">
        <v>65</v>
      </c>
      <c r="C76" s="1" t="s">
        <v>64</v>
      </c>
      <c r="D76" s="1" t="s">
        <v>64</v>
      </c>
      <c r="E76" s="1" t="s">
        <v>64</v>
      </c>
      <c r="F76" s="1" t="s">
        <v>64</v>
      </c>
      <c r="G76" s="1" t="s">
        <v>64</v>
      </c>
      <c r="H76" s="49" t="s">
        <v>64</v>
      </c>
      <c r="I76" s="2"/>
      <c r="J76" s="45"/>
    </row>
    <row r="77">
      <c r="A77" s="2"/>
      <c r="B77" s="79" t="s">
        <v>66</v>
      </c>
      <c r="C77" s="1" t="str">
        <f>IF(AND(ISNUMBER(C73),ISNUMBER(C75),ISNUMBER(C76)),(1+C73)/((1+C75)*(1+C76))-1,"n/d")</f>
        <v>n/d</v>
      </c>
      <c r="D77" s="1" t="str">
        <f>IF(AND(ISNUMBER(D73),ISNUMBER(D75),ISNUMBER(D76)),(1+D73)/((1+D75)*(1+D76))-1,"n/d")</f>
        <v>n/d</v>
      </c>
      <c r="E77" s="1" t="str">
        <f>IF(AND(ISNUMBER(E73),ISNUMBER(E75),ISNUMBER(E76)),(1+E73)/((1+E75)*(1+E76))-1,"n/d")</f>
        <v>n/d</v>
      </c>
      <c r="F77" s="1" t="str">
        <f>IF(AND(ISNUMBER(F73),ISNUMBER(F75),ISNUMBER(F76)),(1+F73)/((1+F75)*(1+F76))-1,"n/d")</f>
        <v>n/d</v>
      </c>
      <c r="G77" s="1" t="str">
        <f>IF(AND(ISNUMBER(G73),ISNUMBER(G75),ISNUMBER(G76)),(1+G73)/((1+G75)*(1+G76))-1,"n/d")</f>
        <v>n/d</v>
      </c>
      <c r="H77" s="49" t="str">
        <f>IF(AND(ISNUMBER(H73),ISNUMBER(H75),ISNUMBER(H76)),(1+H73)/((1+H75)*(1+H76))-1,"n/d")</f>
        <v>n/d</v>
      </c>
      <c r="I77" s="2"/>
      <c r="J77" s="45"/>
    </row>
    <row r="78">
      <c r="A78" s="2"/>
      <c r="B78" s="79" t="s">
        <v>67</v>
      </c>
      <c r="C78" s="1">
        <f>C73</f>
        <v>0.13947641689894508</v>
      </c>
      <c r="D78" s="1">
        <f>D73</f>
        <v>0.10180735478478886</v>
      </c>
      <c r="E78" s="1">
        <f>E73</f>
        <v>0.08032356123447881</v>
      </c>
      <c r="F78" s="1">
        <f>F73</f>
        <v>0.06218611521418027</v>
      </c>
      <c r="G78" s="1">
        <f>G73</f>
        <v>0.1534202460486731</v>
      </c>
      <c r="H78" s="49">
        <f>H73</f>
        <v>0.048474729611075684</v>
      </c>
      <c r="I78" s="2"/>
      <c r="J78" s="45"/>
    </row>
    <row r="79">
      <c r="A79" s="2"/>
      <c r="B79" s="55" t="s">
        <v>84</v>
      </c>
      <c r="C79" s="1">
        <f>C72/C112</f>
        <v>0.9261282871357498</v>
      </c>
      <c r="D79" s="1">
        <f>D72/D112</f>
        <v>0.9273278818253758</v>
      </c>
      <c r="E79" s="1">
        <f>E72/E112</f>
        <v>0.9450153235983414</v>
      </c>
      <c r="F79" s="1">
        <f>F72/F112</f>
        <v>0.9137617010462112</v>
      </c>
      <c r="G79" s="1">
        <f>G72/G112</f>
        <v>0.9314482554094284</v>
      </c>
      <c r="H79" s="49">
        <f>H72/H112</f>
        <v>0.9353862799223758</v>
      </c>
      <c r="I79" s="2"/>
      <c r="J79" s="45"/>
    </row>
    <row r="80">
      <c r="A80" s="2"/>
      <c r="B80" s="66" t="s">
        <v>89</v>
      </c>
      <c r="C80" s="30">
        <f>'Income Statement'!C17</f>
        <v>306</v>
      </c>
      <c r="D80" s="30">
        <f>'Income Statement'!D17</f>
        <v>300</v>
      </c>
      <c r="E80" s="30">
        <f>'Income Statement'!E17</f>
        <v>297</v>
      </c>
      <c r="F80" s="30">
        <f>'Income Statement'!F17</f>
        <v>305</v>
      </c>
      <c r="G80" s="30">
        <f>'Income Statement'!G17</f>
        <v>1196</v>
      </c>
      <c r="H80" s="31">
        <f>'Income Statement'!H17</f>
        <v>306</v>
      </c>
      <c r="I80" s="2"/>
      <c r="J80" s="45"/>
    </row>
    <row r="81">
      <c r="A81" s="2"/>
      <c r="B81" s="55" t="s">
        <v>61</v>
      </c>
      <c r="C81" s="18">
        <f>IFERROR(C80/Inputs!C26-1,"n/a")</f>
        <v>0.1007194244604317</v>
      </c>
      <c r="D81" s="18">
        <f>IFERROR(D80/Inputs!D26-1,"n/a")</f>
        <v>0.034482758620689724</v>
      </c>
      <c r="E81" s="18">
        <f>IFERROR(E80/Inputs!E26-1,"n/a")</f>
        <v>0.03484320557491283</v>
      </c>
      <c r="F81" s="18">
        <f>IFERROR(F80/Inputs!F26-1,"n/a")</f>
        <v>0.0066006600660066805</v>
      </c>
      <c r="G81" s="18">
        <f>IFERROR(G80/Inputs!G26-1,"n/a")</f>
        <v>0.12406015037593976</v>
      </c>
      <c r="H81" s="49">
        <f>IFERROR(H80/C80-1,"n/a")</f>
        <v>0</v>
      </c>
      <c r="I81" s="2"/>
      <c r="J81" s="45"/>
    </row>
    <row r="82">
      <c r="A82" s="2"/>
      <c r="B82" s="55" t="s">
        <v>62</v>
      </c>
      <c r="C82" s="18">
        <f>IFERROR(C80/Inputs!F26-1,"n/a")</f>
        <v>0.00990099009900991</v>
      </c>
      <c r="D82" s="1">
        <f>IFERROR(D80/C80-1,"n/a")</f>
        <v>-0.019607843137254943</v>
      </c>
      <c r="E82" s="1">
        <f>IFERROR(E80/D80-1,"n/a")</f>
        <v>-0.010000000000000009</v>
      </c>
      <c r="F82" s="1">
        <f>IFERROR(F80/E80-1,"n/a")</f>
        <v>0.026936026936027035</v>
      </c>
      <c r="G82" s="1" t="s">
        <v>38</v>
      </c>
      <c r="H82" s="49">
        <f>IFERROR(H80/F80-1,"n/a")</f>
        <v>0.003278688524590123</v>
      </c>
      <c r="I82" s="2"/>
      <c r="J82" s="45"/>
    </row>
    <row r="83">
      <c r="A83" s="2"/>
      <c r="B83" s="79" t="s">
        <v>63</v>
      </c>
      <c r="C83" s="1" t="s">
        <v>64</v>
      </c>
      <c r="D83" s="1" t="s">
        <v>64</v>
      </c>
      <c r="E83" s="1" t="s">
        <v>64</v>
      </c>
      <c r="F83" s="1" t="s">
        <v>64</v>
      </c>
      <c r="G83" s="1" t="s">
        <v>64</v>
      </c>
      <c r="H83" s="49" t="s">
        <v>64</v>
      </c>
      <c r="I83" s="2"/>
      <c r="J83" s="45"/>
    </row>
    <row r="84">
      <c r="A84" s="2"/>
      <c r="B84" s="79" t="s">
        <v>65</v>
      </c>
      <c r="C84" s="1" t="s">
        <v>64</v>
      </c>
      <c r="D84" s="1" t="s">
        <v>64</v>
      </c>
      <c r="E84" s="1" t="s">
        <v>64</v>
      </c>
      <c r="F84" s="1" t="s">
        <v>64</v>
      </c>
      <c r="G84" s="1" t="s">
        <v>64</v>
      </c>
      <c r="H84" s="49" t="s">
        <v>64</v>
      </c>
      <c r="I84" s="2"/>
      <c r="J84" s="45"/>
    </row>
    <row r="85">
      <c r="A85" s="2"/>
      <c r="B85" s="79" t="s">
        <v>66</v>
      </c>
      <c r="C85" s="1" t="str">
        <f>IF(AND(ISNUMBER(C81),ISNUMBER(C83),ISNUMBER(C84)),(1+C81)/((1+C83)*(1+C84))-1,"n/d")</f>
        <v>n/d</v>
      </c>
      <c r="D85" s="1" t="str">
        <f>IF(AND(ISNUMBER(D81),ISNUMBER(D83),ISNUMBER(D84)),(1+D81)/((1+D83)*(1+D84))-1,"n/d")</f>
        <v>n/d</v>
      </c>
      <c r="E85" s="1" t="str">
        <f>IF(AND(ISNUMBER(E81),ISNUMBER(E83),ISNUMBER(E84)),(1+E81)/((1+E83)*(1+E84))-1,"n/d")</f>
        <v>n/d</v>
      </c>
      <c r="F85" s="1" t="str">
        <f>IF(AND(ISNUMBER(F81),ISNUMBER(F83),ISNUMBER(F84)),(1+F81)/((1+F83)*(1+F84))-1,"n/d")</f>
        <v>n/d</v>
      </c>
      <c r="G85" s="1" t="str">
        <f>IF(AND(ISNUMBER(G81),ISNUMBER(G83),ISNUMBER(G84)),(1+G81)/((1+G83)*(1+G84))-1,"n/d")</f>
        <v>n/d</v>
      </c>
      <c r="H85" s="49" t="str">
        <f>IF(AND(ISNUMBER(H81),ISNUMBER(H83),ISNUMBER(H84)),(1+H81)/((1+H83)*(1+H84))-1,"n/d")</f>
        <v>n/d</v>
      </c>
      <c r="I85" s="2"/>
      <c r="J85" s="45"/>
    </row>
    <row r="86">
      <c r="A86" s="2"/>
      <c r="B86" s="79" t="s">
        <v>67</v>
      </c>
      <c r="C86" s="1">
        <f>C81</f>
        <v>0.1007194244604317</v>
      </c>
      <c r="D86" s="1">
        <f>D81</f>
        <v>0.034482758620689724</v>
      </c>
      <c r="E86" s="1">
        <f>E81</f>
        <v>0.03484320557491283</v>
      </c>
      <c r="F86" s="1">
        <f>F81</f>
        <v>0.0066006600660066805</v>
      </c>
      <c r="G86" s="1">
        <f>G81</f>
        <v>0.12406015037593976</v>
      </c>
      <c r="H86" s="49">
        <f>H81</f>
        <v>0</v>
      </c>
      <c r="I86" s="2"/>
      <c r="J86" s="45"/>
    </row>
    <row r="87">
      <c r="A87" s="2"/>
      <c r="B87" s="55" t="s">
        <v>84</v>
      </c>
      <c r="C87" s="1">
        <f>C80/C112</f>
        <v>0.013592750533049041</v>
      </c>
      <c r="D87" s="1">
        <f>D80/D112</f>
        <v>0.013189132155104194</v>
      </c>
      <c r="E87" s="1">
        <f>E80/E112</f>
        <v>0.013385613845321796</v>
      </c>
      <c r="F87" s="1">
        <f>F80/F112</f>
        <v>0.012918802151721802</v>
      </c>
      <c r="G87" s="1">
        <f>G80/G112</f>
        <v>0.013641911236326722</v>
      </c>
      <c r="H87" s="49">
        <f>H80/H112</f>
        <v>0.013093906187915895</v>
      </c>
      <c r="I87" s="2"/>
      <c r="J87" s="45"/>
    </row>
    <row r="88">
      <c r="A88" s="2"/>
      <c r="B88" s="66" t="s">
        <v>90</v>
      </c>
      <c r="C88" s="30">
        <f>'Income Statement'!C18</f>
        <v>138</v>
      </c>
      <c r="D88" s="30">
        <f>'Income Statement'!D18</f>
        <v>122</v>
      </c>
      <c r="E88" s="30">
        <f>'Income Statement'!E18</f>
        <v>126</v>
      </c>
      <c r="F88" s="30">
        <f>'Income Statement'!F18</f>
        <v>148</v>
      </c>
      <c r="G88" s="30">
        <f>'Income Statement'!G18</f>
        <v>504</v>
      </c>
      <c r="H88" s="31">
        <f>'Income Statement'!H18</f>
        <v>147</v>
      </c>
      <c r="I88" s="2"/>
      <c r="J88" s="45"/>
    </row>
    <row r="89">
      <c r="A89" s="2"/>
      <c r="B89" s="55" t="s">
        <v>61</v>
      </c>
      <c r="C89" s="18">
        <f>IFERROR(C88/Inputs!C27-1,"n/a")</f>
        <v>0.17948717948717952</v>
      </c>
      <c r="D89" s="18">
        <f>IFERROR(D88/Inputs!D27-1,"n/a")</f>
        <v>0.161904761904762</v>
      </c>
      <c r="E89" s="18">
        <f>IFERROR(E88/Inputs!E27-1,"n/a")</f>
        <v>0.1351351351351351</v>
      </c>
      <c r="F89" s="18">
        <f>IFERROR(F88/Inputs!F27-1,"n/a")</f>
        <v>0.11278195488721798</v>
      </c>
      <c r="G89" s="18">
        <f>IFERROR(G88/Inputs!G27-1,"n/a")</f>
        <v>0.22033898305084754</v>
      </c>
      <c r="H89" s="49">
        <f>IFERROR(H88/C88-1,"n/a")</f>
        <v>0.0652173913043479</v>
      </c>
      <c r="I89" s="2"/>
      <c r="J89" s="45"/>
    </row>
    <row r="90">
      <c r="A90" s="2"/>
      <c r="B90" s="55" t="s">
        <v>62</v>
      </c>
      <c r="C90" s="18">
        <f>IFERROR(C88/Inputs!F27-1,"n/a")</f>
        <v>0.03759398496240607</v>
      </c>
      <c r="D90" s="1">
        <f>IFERROR(D88/C88-1,"n/a")</f>
        <v>-0.1159420289855072</v>
      </c>
      <c r="E90" s="1">
        <f>IFERROR(E88/D88-1,"n/a")</f>
        <v>0.032786885245901676</v>
      </c>
      <c r="F90" s="1">
        <f>IFERROR(F88/E88-1,"n/a")</f>
        <v>0.17460317460317465</v>
      </c>
      <c r="G90" s="1" t="s">
        <v>38</v>
      </c>
      <c r="H90" s="49">
        <f>IFERROR(H88/F88-1,"n/a")</f>
        <v>-0.006756756756756799</v>
      </c>
      <c r="I90" s="2"/>
      <c r="J90" s="45"/>
    </row>
    <row r="91">
      <c r="A91" s="2"/>
      <c r="B91" s="79" t="s">
        <v>63</v>
      </c>
      <c r="C91" s="1" t="s">
        <v>64</v>
      </c>
      <c r="D91" s="1" t="s">
        <v>64</v>
      </c>
      <c r="E91" s="1" t="s">
        <v>64</v>
      </c>
      <c r="F91" s="1" t="s">
        <v>64</v>
      </c>
      <c r="G91" s="1" t="s">
        <v>64</v>
      </c>
      <c r="H91" s="49" t="s">
        <v>64</v>
      </c>
      <c r="I91" s="2"/>
      <c r="J91" s="45"/>
    </row>
    <row r="92">
      <c r="A92" s="2"/>
      <c r="B92" s="79" t="s">
        <v>65</v>
      </c>
      <c r="C92" s="1" t="s">
        <v>64</v>
      </c>
      <c r="D92" s="1" t="s">
        <v>64</v>
      </c>
      <c r="E92" s="1" t="s">
        <v>64</v>
      </c>
      <c r="F92" s="1" t="s">
        <v>64</v>
      </c>
      <c r="G92" s="1" t="s">
        <v>64</v>
      </c>
      <c r="H92" s="49" t="s">
        <v>64</v>
      </c>
      <c r="I92" s="2"/>
      <c r="J92" s="45"/>
    </row>
    <row r="93">
      <c r="A93" s="2"/>
      <c r="B93" s="79" t="s">
        <v>66</v>
      </c>
      <c r="C93" s="1" t="str">
        <f>IF(AND(ISNUMBER(C89),ISNUMBER(C91),ISNUMBER(C92)),(1+C89)/((1+C91)*(1+C92))-1,"n/d")</f>
        <v>n/d</v>
      </c>
      <c r="D93" s="1" t="str">
        <f>IF(AND(ISNUMBER(D89),ISNUMBER(D91),ISNUMBER(D92)),(1+D89)/((1+D91)*(1+D92))-1,"n/d")</f>
        <v>n/d</v>
      </c>
      <c r="E93" s="1" t="str">
        <f>IF(AND(ISNUMBER(E89),ISNUMBER(E91),ISNUMBER(E92)),(1+E89)/((1+E91)*(1+E92))-1,"n/d")</f>
        <v>n/d</v>
      </c>
      <c r="F93" s="1" t="str">
        <f>IF(AND(ISNUMBER(F89),ISNUMBER(F91),ISNUMBER(F92)),(1+F89)/((1+F91)*(1+F92))-1,"n/d")</f>
        <v>n/d</v>
      </c>
      <c r="G93" s="1" t="str">
        <f>IF(AND(ISNUMBER(G89),ISNUMBER(G91),ISNUMBER(G92)),(1+G89)/((1+G91)*(1+G92))-1,"n/d")</f>
        <v>n/d</v>
      </c>
      <c r="H93" s="49" t="str">
        <f>IF(AND(ISNUMBER(H89),ISNUMBER(H91),ISNUMBER(H92)),(1+H89)/((1+H91)*(1+H92))-1,"n/d")</f>
        <v>n/d</v>
      </c>
      <c r="I93" s="2"/>
      <c r="J93" s="45"/>
    </row>
    <row r="94">
      <c r="A94" s="2"/>
      <c r="B94" s="79" t="s">
        <v>67</v>
      </c>
      <c r="C94" s="1">
        <f>C89</f>
        <v>0.17948717948717952</v>
      </c>
      <c r="D94" s="1">
        <f>D89</f>
        <v>0.161904761904762</v>
      </c>
      <c r="E94" s="1">
        <f>E89</f>
        <v>0.1351351351351351</v>
      </c>
      <c r="F94" s="1">
        <f>F89</f>
        <v>0.11278195488721798</v>
      </c>
      <c r="G94" s="1">
        <f>G89</f>
        <v>0.22033898305084754</v>
      </c>
      <c r="H94" s="49">
        <f>H89</f>
        <v>0.0652173913043479</v>
      </c>
      <c r="I94" s="2"/>
      <c r="J94" s="45"/>
    </row>
    <row r="95">
      <c r="A95" s="2"/>
      <c r="B95" s="55" t="s">
        <v>84</v>
      </c>
      <c r="C95" s="1">
        <f>C88/C112</f>
        <v>0.0061300639658848615</v>
      </c>
      <c r="D95" s="1">
        <f>D88/D112</f>
        <v>0.005363580409742373</v>
      </c>
      <c r="E95" s="1">
        <f>E88/E112</f>
        <v>0.005678745267712277</v>
      </c>
      <c r="F95" s="1">
        <f>F88/F112</f>
        <v>0.006268795798212546</v>
      </c>
      <c r="G95" s="1">
        <f>G88/G112</f>
        <v>0.005748765270157749</v>
      </c>
      <c r="H95" s="49">
        <f>H88/H112</f>
        <v>0.006290209835371362</v>
      </c>
      <c r="I95" s="2"/>
      <c r="J95" s="45"/>
    </row>
    <row r="96">
      <c r="A96" s="2"/>
      <c r="B96" s="66" t="s">
        <v>91</v>
      </c>
      <c r="C96" s="30">
        <f>'Income Statement'!C12</f>
        <v>924</v>
      </c>
      <c r="D96" s="30">
        <f>'Income Statement'!D12</f>
        <v>974</v>
      </c>
      <c r="E96" s="30">
        <f>'Income Statement'!E12</f>
        <v>917</v>
      </c>
      <c r="F96" s="30">
        <f>'Income Statement'!F12</f>
        <v>979</v>
      </c>
      <c r="G96" s="30">
        <f>'Income Statement'!G12</f>
        <v>3583</v>
      </c>
      <c r="H96" s="31">
        <f>'Income Statement'!H12</f>
        <v>1021</v>
      </c>
      <c r="I96" s="2"/>
      <c r="J96" s="45"/>
    </row>
    <row r="97">
      <c r="A97" s="2"/>
      <c r="B97" s="55" t="s">
        <v>61</v>
      </c>
      <c r="C97" s="18">
        <f>IFERROR(C96/Inputs!C25-1,"n/a")</f>
        <v>0.250338294993234</v>
      </c>
      <c r="D97" s="18">
        <f>IFERROR(D96/Inputs!D25-1,"n/a")</f>
        <v>0.2329113924050632</v>
      </c>
      <c r="E97" s="18">
        <f>IFERROR(E96/Inputs!E25-1,"n/a")</f>
        <v>0.12653562653562656</v>
      </c>
      <c r="F97" s="18">
        <f>IFERROR(F96/Inputs!F25-1,"n/a")</f>
        <v>0.12399540757749716</v>
      </c>
      <c r="G97" s="18">
        <f>IFERROR(G96/Inputs!G25-1,"n/a")</f>
        <v>0.26518361581920913</v>
      </c>
      <c r="H97" s="49">
        <f>IFERROR(H96/C96-1,"n/a")</f>
        <v>0.10497835497835495</v>
      </c>
      <c r="I97" s="2"/>
      <c r="J97" s="45"/>
    </row>
    <row r="98">
      <c r="A98" s="2"/>
      <c r="B98" s="55" t="s">
        <v>62</v>
      </c>
      <c r="C98" s="18">
        <f>IFERROR(C96/Inputs!F25-1,"n/a")</f>
        <v>0.06084959816303104</v>
      </c>
      <c r="D98" s="1">
        <f>IFERROR(D96/C96-1,"n/a")</f>
        <v>0.05411255411255422</v>
      </c>
      <c r="E98" s="1">
        <f>IFERROR(E96/D96-1,"n/a")</f>
        <v>-0.05852156057494862</v>
      </c>
      <c r="F98" s="1">
        <f>IFERROR(F96/E96-1,"n/a")</f>
        <v>0.06761177753544168</v>
      </c>
      <c r="G98" s="1" t="s">
        <v>38</v>
      </c>
      <c r="H98" s="49">
        <f>IFERROR(H96/F96-1,"n/a")</f>
        <v>0.04290091930541373</v>
      </c>
      <c r="I98" s="2"/>
      <c r="J98" s="45"/>
    </row>
    <row r="99">
      <c r="A99" s="2"/>
      <c r="B99" s="79" t="s">
        <v>63</v>
      </c>
      <c r="C99" s="1" t="s">
        <v>64</v>
      </c>
      <c r="D99" s="1" t="s">
        <v>64</v>
      </c>
      <c r="E99" s="1" t="s">
        <v>64</v>
      </c>
      <c r="F99" s="1" t="s">
        <v>64</v>
      </c>
      <c r="G99" s="1" t="s">
        <v>64</v>
      </c>
      <c r="H99" s="49" t="s">
        <v>64</v>
      </c>
      <c r="I99" s="2"/>
      <c r="J99" s="45"/>
    </row>
    <row r="100">
      <c r="A100" s="2"/>
      <c r="B100" s="79" t="s">
        <v>65</v>
      </c>
      <c r="C100" s="1" t="s">
        <v>64</v>
      </c>
      <c r="D100" s="1" t="s">
        <v>64</v>
      </c>
      <c r="E100" s="1" t="s">
        <v>64</v>
      </c>
      <c r="F100" s="1" t="s">
        <v>64</v>
      </c>
      <c r="G100" s="1" t="s">
        <v>64</v>
      </c>
      <c r="H100" s="49" t="s">
        <v>64</v>
      </c>
      <c r="I100" s="2"/>
      <c r="J100" s="45"/>
    </row>
    <row r="101">
      <c r="A101" s="2"/>
      <c r="B101" s="79" t="s">
        <v>66</v>
      </c>
      <c r="C101" s="1" t="str">
        <f>IF(AND(ISNUMBER(C97),ISNUMBER(C99),ISNUMBER(C100)),(1+C97)/((1+C99)*(1+C100))-1,"n/d")</f>
        <v>n/d</v>
      </c>
      <c r="D101" s="1" t="str">
        <f>IF(AND(ISNUMBER(D97),ISNUMBER(D99),ISNUMBER(D100)),(1+D97)/((1+D99)*(1+D100))-1,"n/d")</f>
        <v>n/d</v>
      </c>
      <c r="E101" s="1" t="str">
        <f>IF(AND(ISNUMBER(E97),ISNUMBER(E99),ISNUMBER(E100)),(1+E97)/((1+E99)*(1+E100))-1,"n/d")</f>
        <v>n/d</v>
      </c>
      <c r="F101" s="1" t="str">
        <f>IF(AND(ISNUMBER(F97),ISNUMBER(F99),ISNUMBER(F100)),(1+F97)/((1+F99)*(1+F100))-1,"n/d")</f>
        <v>n/d</v>
      </c>
      <c r="G101" s="1" t="str">
        <f>IF(AND(ISNUMBER(G97),ISNUMBER(G99),ISNUMBER(G100)),(1+G97)/((1+G99)*(1+G100))-1,"n/d")</f>
        <v>n/d</v>
      </c>
      <c r="H101" s="49" t="str">
        <f>IF(AND(ISNUMBER(H97),ISNUMBER(H99),ISNUMBER(H100)),(1+H97)/((1+H99)*(1+H100))-1,"n/d")</f>
        <v>n/d</v>
      </c>
      <c r="I101" s="2"/>
      <c r="J101" s="45"/>
    </row>
    <row r="102">
      <c r="A102" s="2"/>
      <c r="B102" s="79" t="s">
        <v>67</v>
      </c>
      <c r="C102" s="1">
        <f>C97</f>
        <v>0.250338294993234</v>
      </c>
      <c r="D102" s="1">
        <f>D97</f>
        <v>0.2329113924050632</v>
      </c>
      <c r="E102" s="1">
        <f>E97</f>
        <v>0.12653562653562656</v>
      </c>
      <c r="F102" s="1">
        <f>F97</f>
        <v>0.12399540757749716</v>
      </c>
      <c r="G102" s="1">
        <f>G97</f>
        <v>0.26518361581920913</v>
      </c>
      <c r="H102" s="49">
        <f>H97</f>
        <v>0.10497835497835495</v>
      </c>
      <c r="I102" s="2"/>
      <c r="J102" s="45"/>
    </row>
    <row r="103">
      <c r="A103" s="2"/>
      <c r="B103" s="55" t="s">
        <v>84</v>
      </c>
      <c r="C103" s="1">
        <f>C96/C112</f>
        <v>0.041044776119402986</v>
      </c>
      <c r="D103" s="1">
        <f>D96/D112</f>
        <v>0.04282071573023828</v>
      </c>
      <c r="E103" s="1">
        <f>E96/E112</f>
        <v>0.041328646115017124</v>
      </c>
      <c r="F103" s="1">
        <f>F96/F112</f>
        <v>0.04146723707060867</v>
      </c>
      <c r="G103" s="1">
        <f>G96/G112</f>
        <v>0.040868702307490505</v>
      </c>
      <c r="H103" s="49">
        <f>H96/H112</f>
        <v>0.04368914450281742</v>
      </c>
      <c r="I103" s="2"/>
      <c r="J103" s="45"/>
    </row>
    <row r="104">
      <c r="A104" s="2"/>
      <c r="B104" s="66" t="s">
        <v>92</v>
      </c>
      <c r="C104" s="30">
        <f>'Income Statement'!C16</f>
        <v>295</v>
      </c>
      <c r="D104" s="30">
        <f>'Income Statement'!D16</f>
        <v>257</v>
      </c>
      <c r="E104" s="30">
        <f>'Income Statement'!E16</f>
        <v>-120</v>
      </c>
      <c r="F104" s="30">
        <f>'Income Statement'!F16</f>
        <v>604</v>
      </c>
      <c r="G104" s="30">
        <f>'Income Statement'!G16</f>
        <v>727</v>
      </c>
      <c r="H104" s="31">
        <f>'Income Statement'!H16</f>
        <v>36</v>
      </c>
      <c r="I104" s="2"/>
      <c r="J104" s="45"/>
    </row>
    <row r="105">
      <c r="A105" s="2"/>
      <c r="B105" s="55" t="s">
        <v>61</v>
      </c>
      <c r="C105" s="18">
        <f>IFERROR(C104/Inputs!C28-1,"n/a")</f>
        <v>0.02430555555555558</v>
      </c>
      <c r="D105" s="18">
        <f>IFERROR(D104/Inputs!D28-1,"n/a")</f>
        <v>-5.849056603773585</v>
      </c>
      <c r="E105" s="18">
        <f>IFERROR(E104/Inputs!E28-1,"n/a")</f>
        <v>-0.4339622641509434</v>
      </c>
      <c r="F105" s="18">
        <f>IFERROR(F104/Inputs!F28-1,"n/a")</f>
        <v>0.5607235142118863</v>
      </c>
      <c r="G105" s="18">
        <f>IFERROR(G104/Inputs!G28-1,"n/a")</f>
        <v>1.753787878787879</v>
      </c>
      <c r="H105" s="49">
        <f>IFERROR(H104/C104-1,"n/a")</f>
        <v>-0.8779661016949153</v>
      </c>
      <c r="I105" s="2"/>
      <c r="J105" s="45"/>
    </row>
    <row r="106">
      <c r="A106" s="2"/>
      <c r="B106" s="55" t="s">
        <v>62</v>
      </c>
      <c r="C106" s="18">
        <f>IFERROR(C104/Inputs!F28-1,"n/a")</f>
        <v>-0.23772609819121449</v>
      </c>
      <c r="D106" s="1">
        <f>IFERROR(D104/C104-1,"n/a")</f>
        <v>-0.12881355932203387</v>
      </c>
      <c r="E106" s="1">
        <f>IFERROR(E104/D104-1,"n/a")</f>
        <v>-1.4669260700389106</v>
      </c>
      <c r="F106" s="1">
        <f>IFERROR(F104/E104-1,"n/a")</f>
        <v>-6.033333333333333</v>
      </c>
      <c r="G106" s="1" t="s">
        <v>38</v>
      </c>
      <c r="H106" s="49">
        <f>IFERROR(H104/F104-1,"n/a")</f>
        <v>-0.9403973509933775</v>
      </c>
      <c r="I106" s="2"/>
      <c r="J106" s="45"/>
    </row>
    <row r="107">
      <c r="A107" s="2"/>
      <c r="B107" s="79" t="s">
        <v>63</v>
      </c>
      <c r="C107" s="1" t="s">
        <v>64</v>
      </c>
      <c r="D107" s="1" t="s">
        <v>64</v>
      </c>
      <c r="E107" s="1" t="s">
        <v>64</v>
      </c>
      <c r="F107" s="1" t="s">
        <v>64</v>
      </c>
      <c r="G107" s="1" t="s">
        <v>64</v>
      </c>
      <c r="H107" s="49" t="s">
        <v>64</v>
      </c>
      <c r="I107" s="2"/>
      <c r="J107" s="45"/>
    </row>
    <row r="108">
      <c r="A108" s="2"/>
      <c r="B108" s="79" t="s">
        <v>65</v>
      </c>
      <c r="C108" s="1" t="s">
        <v>64</v>
      </c>
      <c r="D108" s="1" t="s">
        <v>64</v>
      </c>
      <c r="E108" s="1" t="s">
        <v>64</v>
      </c>
      <c r="F108" s="1" t="s">
        <v>64</v>
      </c>
      <c r="G108" s="1" t="s">
        <v>64</v>
      </c>
      <c r="H108" s="49" t="s">
        <v>64</v>
      </c>
      <c r="I108" s="2"/>
      <c r="J108" s="45"/>
    </row>
    <row r="109">
      <c r="A109" s="2"/>
      <c r="B109" s="79" t="s">
        <v>66</v>
      </c>
      <c r="C109" s="1" t="str">
        <f>IF(AND(ISNUMBER(C105),ISNUMBER(C107),ISNUMBER(C108)),(1+C105)/((1+C107)*(1+C108))-1,"n/d")</f>
        <v>n/d</v>
      </c>
      <c r="D109" s="1" t="str">
        <f>IF(AND(ISNUMBER(D105),ISNUMBER(D107),ISNUMBER(D108)),(1+D105)/((1+D107)*(1+D108))-1,"n/d")</f>
        <v>n/d</v>
      </c>
      <c r="E109" s="1" t="str">
        <f>IF(AND(ISNUMBER(E105),ISNUMBER(E107),ISNUMBER(E108)),(1+E105)/((1+E107)*(1+E108))-1,"n/d")</f>
        <v>n/d</v>
      </c>
      <c r="F109" s="1" t="str">
        <f>IF(AND(ISNUMBER(F105),ISNUMBER(F107),ISNUMBER(F108)),(1+F105)/((1+F107)*(1+F108))-1,"n/d")</f>
        <v>n/d</v>
      </c>
      <c r="G109" s="1" t="str">
        <f>IF(AND(ISNUMBER(G105),ISNUMBER(G107),ISNUMBER(G108)),(1+G105)/((1+G107)*(1+G108))-1,"n/d")</f>
        <v>n/d</v>
      </c>
      <c r="H109" s="49" t="str">
        <f>IF(AND(ISNUMBER(H105),ISNUMBER(H107),ISNUMBER(H108)),(1+H105)/((1+H107)*(1+H108))-1,"n/d")</f>
        <v>n/d</v>
      </c>
      <c r="I109" s="2"/>
      <c r="J109" s="45"/>
    </row>
    <row r="110">
      <c r="A110" s="2"/>
      <c r="B110" s="79" t="s">
        <v>67</v>
      </c>
      <c r="C110" s="1">
        <f>C105</f>
        <v>0.02430555555555558</v>
      </c>
      <c r="D110" s="1">
        <f>D105</f>
        <v>-5.849056603773585</v>
      </c>
      <c r="E110" s="1">
        <f>E105</f>
        <v>-0.4339622641509434</v>
      </c>
      <c r="F110" s="1">
        <f>F105</f>
        <v>0.5607235142118863</v>
      </c>
      <c r="G110" s="1">
        <f>G105</f>
        <v>1.753787878787879</v>
      </c>
      <c r="H110" s="49">
        <f>H105</f>
        <v>-0.8779661016949153</v>
      </c>
      <c r="I110" s="2"/>
      <c r="J110" s="45"/>
    </row>
    <row r="111">
      <c r="A111" s="2"/>
      <c r="B111" s="55" t="s">
        <v>84</v>
      </c>
      <c r="C111" s="1">
        <f>C104/C112</f>
        <v>0.01310412224591329</v>
      </c>
      <c r="D111" s="1">
        <f>D104/D112</f>
        <v>0.01129868987953926</v>
      </c>
      <c r="E111" s="1">
        <f>E104/E112</f>
        <v>-0.005408328826392645</v>
      </c>
      <c r="F111" s="1">
        <f>F104/F112</f>
        <v>0.025583463933245797</v>
      </c>
      <c r="G111" s="1">
        <f>G104/G112</f>
        <v>0.008292365776596594</v>
      </c>
      <c r="H111" s="49">
        <f>H104/H112</f>
        <v>0.0015404595515195172</v>
      </c>
      <c r="I111" s="2"/>
      <c r="J111" s="45"/>
    </row>
    <row r="112">
      <c r="A112" s="2"/>
      <c r="B112" s="21" t="s">
        <v>93</v>
      </c>
      <c r="C112" s="37">
        <f>C72+C80+C88+C96+C104</f>
        <v>22512</v>
      </c>
      <c r="D112" s="37">
        <f>D72+D80+D88+D96+D104</f>
        <v>22746</v>
      </c>
      <c r="E112" s="37">
        <f>E72+E80+E88+E96+E104</f>
        <v>22188</v>
      </c>
      <c r="F112" s="37">
        <f>F72+F80+F88+F96+F104</f>
        <v>23609</v>
      </c>
      <c r="G112" s="37">
        <f>G72+G80+G88+G96+G104</f>
        <v>87671</v>
      </c>
      <c r="H112" s="50">
        <f>H72+H80+H88+H96+H104</f>
        <v>23369.649637661318</v>
      </c>
      <c r="I112" s="2"/>
      <c r="J112" s="45"/>
    </row>
    <row r="113">
      <c r="A113" s="2"/>
      <c r="B113" s="55" t="s">
        <v>61</v>
      </c>
      <c r="C113" s="18">
        <f>IFERROR(C112/Inputs!C24-1,"n/a")</f>
        <v>0.14164004259850915</v>
      </c>
      <c r="D113" s="18">
        <f>IFERROR(D112/Inputs!D24-1,"n/a")</f>
        <v>0.12181889919116196</v>
      </c>
      <c r="E113" s="18">
        <f>IFERROR(E112/Inputs!E24-1,"n/a")</f>
        <v>0.08716742613552841</v>
      </c>
      <c r="F113" s="18">
        <f>IFERROR(F112/Inputs!F24-1,"n/a")</f>
        <v>0.07294128340301764</v>
      </c>
      <c r="G113" s="18">
        <f>IFERROR(G112/Inputs!G24-1,"n/a")</f>
        <v>0.1631773072228413</v>
      </c>
      <c r="H113" s="49">
        <f>IFERROR(H112/C112-1,"n/a")</f>
        <v>0.03809744303754958</v>
      </c>
      <c r="I113" s="2"/>
      <c r="J113" s="45"/>
    </row>
    <row r="114">
      <c r="A114" s="2"/>
      <c r="B114" s="55" t="s">
        <v>62</v>
      </c>
      <c r="C114" s="18">
        <f>IFERROR(C112/Inputs!F24-1,"n/a")</f>
        <v>0.023086711506998814</v>
      </c>
      <c r="D114" s="1">
        <f>IFERROR(D112/C112-1,"n/a")</f>
        <v>0.010394456289978704</v>
      </c>
      <c r="E114" s="1">
        <f>IFERROR(E112/D112-1,"n/a")</f>
        <v>-0.0245317858084938</v>
      </c>
      <c r="F114" s="1">
        <f>IFERROR(F112/E112-1,"n/a")</f>
        <v>0.0640436271858662</v>
      </c>
      <c r="G114" s="1" t="s">
        <v>38</v>
      </c>
      <c r="H114" s="49">
        <f>IFERROR(H112/F112-1,"n/a")</f>
        <v>-0.010138098281955332</v>
      </c>
      <c r="I114" s="2"/>
      <c r="J114" s="45"/>
    </row>
    <row r="115">
      <c r="A115" s="2"/>
      <c r="B115" s="79" t="s">
        <v>63</v>
      </c>
      <c r="C115" s="1" t="s">
        <v>64</v>
      </c>
      <c r="D115" s="1" t="s">
        <v>64</v>
      </c>
      <c r="E115" s="1" t="s">
        <v>64</v>
      </c>
      <c r="F115" s="1" t="s">
        <v>64</v>
      </c>
      <c r="G115" s="1" t="s">
        <v>64</v>
      </c>
      <c r="H115" s="49" t="s">
        <v>64</v>
      </c>
      <c r="I115" s="2"/>
      <c r="J115" s="45"/>
    </row>
    <row r="116">
      <c r="A116" s="2"/>
      <c r="B116" s="79" t="s">
        <v>65</v>
      </c>
      <c r="C116" s="1" t="s">
        <v>64</v>
      </c>
      <c r="D116" s="1" t="s">
        <v>64</v>
      </c>
      <c r="E116" s="1" t="s">
        <v>64</v>
      </c>
      <c r="F116" s="1" t="s">
        <v>64</v>
      </c>
      <c r="G116" s="1" t="s">
        <v>64</v>
      </c>
      <c r="H116" s="49" t="s">
        <v>64</v>
      </c>
      <c r="I116" s="2"/>
      <c r="J116" s="45"/>
    </row>
    <row r="117">
      <c r="A117" s="2"/>
      <c r="B117" s="79" t="s">
        <v>66</v>
      </c>
      <c r="C117" s="1" t="str">
        <f>IF(AND(ISNUMBER(C113),ISNUMBER(C115),ISNUMBER(C116)),(1+C113)/((1+C115)*(1+C116))-1,"n/d")</f>
        <v>n/d</v>
      </c>
      <c r="D117" s="1" t="str">
        <f>IF(AND(ISNUMBER(D113),ISNUMBER(D115),ISNUMBER(D116)),(1+D113)/((1+D115)*(1+D116))-1,"n/d")</f>
        <v>n/d</v>
      </c>
      <c r="E117" s="1" t="str">
        <f>IF(AND(ISNUMBER(E113),ISNUMBER(E115),ISNUMBER(E116)),(1+E113)/((1+E115)*(1+E116))-1,"n/d")</f>
        <v>n/d</v>
      </c>
      <c r="F117" s="1" t="str">
        <f>IF(AND(ISNUMBER(F113),ISNUMBER(F115),ISNUMBER(F116)),(1+F113)/((1+F115)*(1+F116))-1,"n/d")</f>
        <v>n/d</v>
      </c>
      <c r="G117" s="1" t="str">
        <f>IF(AND(ISNUMBER(G113),ISNUMBER(G115),ISNUMBER(G116)),(1+G113)/((1+G115)*(1+G116))-1,"n/d")</f>
        <v>n/d</v>
      </c>
      <c r="H117" s="49" t="str">
        <f>IF(AND(ISNUMBER(H113),ISNUMBER(H115),ISNUMBER(H116)),(1+H113)/((1+H115)*(1+H116))-1,"n/d")</f>
        <v>n/d</v>
      </c>
      <c r="I117" s="2"/>
      <c r="J117" s="45"/>
    </row>
    <row r="118">
      <c r="A118" s="2"/>
      <c r="B118" s="79" t="s">
        <v>67</v>
      </c>
      <c r="C118" s="1">
        <f>C113</f>
        <v>0.14164004259850915</v>
      </c>
      <c r="D118" s="1">
        <f>D113</f>
        <v>0.12181889919116196</v>
      </c>
      <c r="E118" s="1">
        <f>E113</f>
        <v>0.08716742613552841</v>
      </c>
      <c r="F118" s="1">
        <f>F113</f>
        <v>0.07294128340301764</v>
      </c>
      <c r="G118" s="1">
        <f>G113</f>
        <v>0.1631773072228413</v>
      </c>
      <c r="H118" s="49">
        <f>H113</f>
        <v>0.03809744303754958</v>
      </c>
      <c r="I118" s="2"/>
      <c r="J118" s="45"/>
    </row>
    <row r="119">
      <c r="A119" s="2"/>
      <c r="B119" s="55" t="s">
        <v>94</v>
      </c>
      <c r="C119" s="70">
        <f>C112-'Income Statement'!C19</f>
        <v>0</v>
      </c>
      <c r="D119" s="70">
        <f>D112-'Income Statement'!D19</f>
        <v>0</v>
      </c>
      <c r="E119" s="70">
        <f>E112-'Income Statement'!E19</f>
        <v>0</v>
      </c>
      <c r="F119" s="70">
        <f>F112-'Income Statement'!F19</f>
        <v>0</v>
      </c>
      <c r="G119" s="70">
        <f>G112-'Income Statement'!G19</f>
        <v>0</v>
      </c>
      <c r="H119" s="63">
        <f>H112-'Income Statement'!H19</f>
        <v>0</v>
      </c>
      <c r="I119" s="2"/>
      <c r="J119" s="45"/>
    </row>
    <row r="120">
      <c r="A120" s="2"/>
      <c r="B120" s="2"/>
      <c r="C120" s="5"/>
      <c r="D120" s="5"/>
      <c r="E120" s="5"/>
      <c r="F120" s="5"/>
      <c r="G120" s="5"/>
      <c r="H120" s="20"/>
      <c r="I120" s="2"/>
      <c r="J120" s="45"/>
    </row>
    <row r="121">
      <c r="A121" s="2"/>
      <c r="B121" s="19" t="s">
        <v>95</v>
      </c>
      <c r="C121" s="94"/>
      <c r="D121" s="94"/>
      <c r="E121" s="94"/>
      <c r="F121" s="94"/>
      <c r="G121" s="94"/>
      <c r="H121" s="90"/>
      <c r="I121" s="2"/>
      <c r="J121" s="45"/>
    </row>
    <row r="122">
      <c r="A122" s="2"/>
      <c r="B122" s="2"/>
      <c r="C122" s="5"/>
      <c r="D122" s="5"/>
      <c r="E122" s="5"/>
      <c r="F122" s="5"/>
      <c r="G122" s="5"/>
      <c r="H122" s="20"/>
      <c r="I122" s="2"/>
      <c r="J122" s="45"/>
    </row>
    <row r="123">
      <c r="A123" s="2"/>
      <c r="B123" s="2"/>
      <c r="C123" s="5"/>
      <c r="D123" s="5"/>
      <c r="E123" s="5"/>
      <c r="F123" s="5"/>
      <c r="G123" s="5"/>
      <c r="H123" s="20"/>
      <c r="I123" s="2"/>
      <c r="J123" s="45"/>
    </row>
  </sheetData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J243"/>
  <sheetViews>
    <sheetView showGridLines="0" workbookViewId="0"/>
  </sheetViews>
  <sheetFormatPr defaultColWidth="8.42578125" defaultRowHeight="15"/>
  <cols>
    <col min="1" max="1" width="2" customWidth="1"/>
    <col min="2" max="2" width="42" customWidth="1"/>
    <col min="3" max="8" width="12" customWidth="1"/>
    <col min="9" max="9" width="2" customWidth="1"/>
    <col min="10" max="10" width="16" customWidth="1"/>
  </cols>
  <sheetData>
    <row r="1">
      <c r="A1" s="2"/>
      <c r="B1" s="2"/>
      <c r="C1" s="2"/>
      <c r="D1" s="2"/>
      <c r="E1" s="2"/>
      <c r="F1" s="2"/>
      <c r="G1" s="2"/>
      <c r="H1" s="2"/>
      <c r="I1" s="2"/>
      <c r="J1" s="2"/>
    </row>
    <row r="2">
      <c r="A2" s="2"/>
      <c r="B2" s="11" t="s">
        <v>1</v>
      </c>
      <c r="C2" s="2"/>
      <c r="D2" s="2"/>
      <c r="E2" s="2"/>
      <c r="F2" s="2"/>
      <c r="G2" s="2"/>
      <c r="H2" s="2"/>
      <c r="I2" s="2"/>
      <c r="J2" s="2"/>
    </row>
    <row r="3">
      <c r="A3" s="2"/>
      <c r="B3" s="21" t="s">
        <v>96</v>
      </c>
      <c r="C3" s="2"/>
      <c r="D3" s="2"/>
      <c r="E3" s="2"/>
      <c r="F3" s="2"/>
      <c r="G3" s="2"/>
      <c r="H3" s="2"/>
      <c r="I3" s="2"/>
      <c r="J3" s="2"/>
    </row>
    <row r="4">
      <c r="A4" s="2"/>
      <c r="B4" s="19" t="s">
        <v>2</v>
      </c>
      <c r="C4" s="2"/>
      <c r="D4" s="2"/>
      <c r="E4" s="2"/>
      <c r="F4" s="2"/>
      <c r="G4" s="2"/>
      <c r="H4" s="2"/>
      <c r="I4" s="2"/>
      <c r="J4" s="2"/>
    </row>
    <row r="5">
      <c r="A5" s="2"/>
      <c r="B5" s="17" t="s">
        <v>3</v>
      </c>
      <c r="C5" s="4" t="s">
        <v>53</v>
      </c>
      <c r="D5" s="4" t="s">
        <v>54</v>
      </c>
      <c r="E5" s="4" t="s">
        <v>55</v>
      </c>
      <c r="F5" s="4" t="s">
        <v>56</v>
      </c>
      <c r="G5" s="4" t="s">
        <v>57</v>
      </c>
      <c r="H5" s="69" t="s">
        <v>4</v>
      </c>
      <c r="I5" s="4"/>
      <c r="J5" s="114" t="s">
        <v>58</v>
      </c>
    </row>
    <row r="6">
      <c r="A6" s="2"/>
      <c r="B6" s="15" t="s">
        <v>10</v>
      </c>
      <c r="C6" s="14">
        <f>DATE(2025,9,30)</f>
        <v>45930</v>
      </c>
      <c r="D6" s="14">
        <f>DATE(2025,12,31)</f>
        <v>46022</v>
      </c>
      <c r="E6" s="14">
        <f>DATE(2026,3,31)</f>
        <v>46112</v>
      </c>
      <c r="F6" s="14">
        <f>DATE(2026,6,30)</f>
        <v>46203</v>
      </c>
      <c r="G6" s="14">
        <f>DATE(2025,12,31)</f>
        <v>46022</v>
      </c>
      <c r="H6" s="40">
        <f>DATE(2026,9,30)</f>
        <v>46295</v>
      </c>
      <c r="I6" s="14"/>
      <c r="J6" s="14"/>
    </row>
    <row r="7">
      <c r="A7" s="2"/>
      <c r="B7" s="7" t="s">
        <v>11</v>
      </c>
      <c r="C7" s="28">
        <v>92</v>
      </c>
      <c r="D7" s="28">
        <v>92</v>
      </c>
      <c r="E7" s="28">
        <v>90</v>
      </c>
      <c r="F7" s="28">
        <v>91</v>
      </c>
      <c r="G7" s="28">
        <v>365</v>
      </c>
      <c r="H7" s="62">
        <v>92</v>
      </c>
      <c r="I7" s="9"/>
      <c r="J7" s="9"/>
    </row>
    <row r="8">
      <c r="A8" s="2"/>
      <c r="B8" s="2"/>
      <c r="C8" s="2"/>
      <c r="D8" s="2"/>
      <c r="E8" s="2"/>
      <c r="F8" s="2"/>
      <c r="G8" s="2"/>
      <c r="H8" s="60"/>
      <c r="I8" s="2"/>
      <c r="J8" s="2"/>
    </row>
    <row r="9">
      <c r="A9" s="2"/>
      <c r="B9" s="21" t="s">
        <v>97</v>
      </c>
      <c r="C9" s="26"/>
      <c r="D9" s="26"/>
      <c r="E9" s="26"/>
      <c r="F9" s="26"/>
      <c r="G9" s="26"/>
      <c r="H9" s="56"/>
      <c r="I9" s="2"/>
      <c r="J9" s="45"/>
    </row>
    <row r="10">
      <c r="A10" s="2"/>
      <c r="B10" s="66" t="s">
        <v>98</v>
      </c>
      <c r="C10" s="77">
        <f>Inputs!F65</f>
        <v>10423</v>
      </c>
      <c r="D10" s="83">
        <f>C14</f>
        <v>10630</v>
      </c>
      <c r="E10" s="83">
        <f>D14</f>
        <v>10787</v>
      </c>
      <c r="F10" s="83">
        <f>E14</f>
        <v>11056</v>
      </c>
      <c r="G10" s="77">
        <f>Inputs!G65</f>
        <v>9778</v>
      </c>
      <c r="H10" s="76">
        <f>F14</f>
        <v>11211</v>
      </c>
      <c r="I10" s="2"/>
      <c r="J10" s="45"/>
    </row>
    <row r="11">
      <c r="A11" s="2"/>
      <c r="B11" s="92" t="s">
        <v>99</v>
      </c>
      <c r="C11" s="83" t="s">
        <v>64</v>
      </c>
      <c r="D11" s="83" t="s">
        <v>64</v>
      </c>
      <c r="E11" s="83" t="s">
        <v>64</v>
      </c>
      <c r="F11" s="83" t="s">
        <v>64</v>
      </c>
      <c r="G11" s="83" t="s">
        <v>64</v>
      </c>
      <c r="H11" s="76" t="s">
        <v>64</v>
      </c>
      <c r="I11" s="2"/>
      <c r="J11" s="45"/>
    </row>
    <row r="12">
      <c r="A12" s="2"/>
      <c r="B12" s="92" t="s">
        <v>100</v>
      </c>
      <c r="C12" s="83" t="s">
        <v>64</v>
      </c>
      <c r="D12" s="83" t="s">
        <v>64</v>
      </c>
      <c r="E12" s="83" t="s">
        <v>64</v>
      </c>
      <c r="F12" s="83" t="s">
        <v>64</v>
      </c>
      <c r="G12" s="83" t="s">
        <v>64</v>
      </c>
      <c r="H12" s="76" t="s">
        <v>64</v>
      </c>
      <c r="I12" s="2"/>
      <c r="J12" s="45"/>
    </row>
    <row r="13">
      <c r="A13" s="2"/>
      <c r="B13" s="92" t="s">
        <v>101</v>
      </c>
      <c r="C13" s="83">
        <f>C14-C10</f>
        <v>207</v>
      </c>
      <c r="D13" s="83">
        <f>D14-D10</f>
        <v>157</v>
      </c>
      <c r="E13" s="83">
        <f>E14-E10</f>
        <v>269</v>
      </c>
      <c r="F13" s="83">
        <f>F14-F10</f>
        <v>155</v>
      </c>
      <c r="G13" s="83">
        <f>G14-G10</f>
        <v>1009</v>
      </c>
      <c r="H13" s="76">
        <f>H14-H10</f>
        <v>187</v>
      </c>
      <c r="I13" s="2"/>
      <c r="J13" s="45"/>
    </row>
    <row r="14">
      <c r="A14" s="2"/>
      <c r="B14" s="21" t="s">
        <v>102</v>
      </c>
      <c r="C14" s="78">
        <v>10630</v>
      </c>
      <c r="D14" s="78">
        <v>10787</v>
      </c>
      <c r="E14" s="78">
        <v>11056</v>
      </c>
      <c r="F14" s="78">
        <v>11211</v>
      </c>
      <c r="G14" s="93">
        <f>D14</f>
        <v>10787</v>
      </c>
      <c r="H14" s="88">
        <f>'Monthly Build'!G12</f>
        <v>11398</v>
      </c>
      <c r="I14" s="2"/>
      <c r="J14" s="45" t="s">
        <v>71</v>
      </c>
    </row>
    <row r="15">
      <c r="A15" s="2"/>
      <c r="B15" s="55" t="s">
        <v>61</v>
      </c>
      <c r="C15" s="18">
        <f>IFERROR(C14/Inputs!C65-1,"n/a")</f>
        <v>0.1290493892724376</v>
      </c>
      <c r="D15" s="18">
        <f>IFERROR(D14/Inputs!D65-1,"n/a")</f>
        <v>0.1031908365718961</v>
      </c>
      <c r="E15" s="18">
        <f>IFERROR(E14/Inputs!E65-1,"n/a")</f>
        <v>0.0896905184309087</v>
      </c>
      <c r="F15" s="18">
        <f>IFERROR(F14/Inputs!F65-1,"n/a")</f>
        <v>0.0756020339633503</v>
      </c>
      <c r="G15" s="18">
        <f>IFERROR(G14/Inputs!G65-1,"n/a")</f>
        <v>0.1031908365718961</v>
      </c>
      <c r="H15" s="49">
        <f>IFERROR(H14/C14-1,"n/a")</f>
        <v>0.07224835371589844</v>
      </c>
      <c r="I15" s="2"/>
      <c r="J15" s="45"/>
    </row>
    <row r="16">
      <c r="A16" s="2"/>
      <c r="B16" s="55" t="s">
        <v>103</v>
      </c>
      <c r="C16" s="75">
        <f>C14-Inputs!F65</f>
        <v>207</v>
      </c>
      <c r="D16" s="67">
        <f>D14-C14</f>
        <v>157</v>
      </c>
      <c r="E16" s="67">
        <f>E14-D14</f>
        <v>269</v>
      </c>
      <c r="F16" s="67">
        <f>F14-E14</f>
        <v>155</v>
      </c>
      <c r="G16" s="67" t="s">
        <v>38</v>
      </c>
      <c r="H16" s="85">
        <f>H14-F14</f>
        <v>187</v>
      </c>
      <c r="I16" s="2"/>
      <c r="J16" s="45"/>
    </row>
    <row r="17">
      <c r="A17" s="2"/>
      <c r="B17" s="66" t="s">
        <v>104</v>
      </c>
      <c r="C17" s="83">
        <f>(C10+C14)/2</f>
        <v>10526.5</v>
      </c>
      <c r="D17" s="83">
        <f>(D10+D14)/2</f>
        <v>10708.5</v>
      </c>
      <c r="E17" s="83">
        <f>(E10+E14)/2</f>
        <v>10921.5</v>
      </c>
      <c r="F17" s="83">
        <f>(F10+F14)/2</f>
        <v>11133.5</v>
      </c>
      <c r="G17" s="83">
        <f>(G10+G14)/2</f>
        <v>10282.5</v>
      </c>
      <c r="H17" s="76">
        <f>(H10+H14)/2</f>
        <v>11304.5</v>
      </c>
      <c r="I17" s="2"/>
      <c r="J17" s="45"/>
    </row>
    <row r="18">
      <c r="A18" s="2"/>
      <c r="B18" s="55" t="s">
        <v>105</v>
      </c>
      <c r="C18" s="1">
        <f>C13/C10</f>
        <v>0.019859925165499375</v>
      </c>
      <c r="D18" s="1">
        <f>D13/D10</f>
        <v>0.014769520225776106</v>
      </c>
      <c r="E18" s="1">
        <f>E13/E10</f>
        <v>0.02493742467785297</v>
      </c>
      <c r="F18" s="1">
        <f>F13/F10</f>
        <v>0.014019536903039073</v>
      </c>
      <c r="G18" s="1">
        <f>G13/G10</f>
        <v>0.1031908365718961</v>
      </c>
      <c r="H18" s="49">
        <f>H13/H10</f>
        <v>0.01668004638301668</v>
      </c>
      <c r="I18" s="2"/>
      <c r="J18" s="45"/>
    </row>
    <row r="19">
      <c r="A19" s="2"/>
      <c r="B19" s="79" t="s">
        <v>106</v>
      </c>
      <c r="C19" s="75">
        <f>(C18-Inputs!F95)*10000</f>
        <v>-74.41474400832183</v>
      </c>
      <c r="D19" s="67">
        <f>(D18-C18)*10000</f>
        <v>-50.9040493972327</v>
      </c>
      <c r="E19" s="67">
        <f>(E18-D18)*10000</f>
        <v>101.67904452076866</v>
      </c>
      <c r="F19" s="67">
        <f>(F18-E18)*10000</f>
        <v>-109.17887774813899</v>
      </c>
      <c r="G19" s="67" t="s">
        <v>38</v>
      </c>
      <c r="H19" s="85">
        <f>(H18-F18)*10000</f>
        <v>26.605094799776083</v>
      </c>
      <c r="I19" s="2"/>
      <c r="J19" s="45"/>
    </row>
    <row r="20">
      <c r="A20" s="2"/>
      <c r="B20" s="79" t="s">
        <v>107</v>
      </c>
      <c r="C20" s="67" t="s">
        <v>38</v>
      </c>
      <c r="D20" s="121">
        <f>(D18-(Inputs!D65-Inputs!C65)/Inputs!C65)*10000</f>
        <v>-237.85976322285498</v>
      </c>
      <c r="E20" s="121">
        <f>(E18-(Inputs!E65-Inputs!D65)/Inputs!D65)*10000</f>
        <v>-126.98083606049664</v>
      </c>
      <c r="F20" s="121">
        <f>(F18-Inputs!F95)*10000</f>
        <v>-132.81862663292486</v>
      </c>
      <c r="G20" s="67" t="s">
        <v>38</v>
      </c>
      <c r="H20" s="85">
        <f>(H18-C18)*10000</f>
        <v>-31.798787824826938</v>
      </c>
      <c r="I20" s="2"/>
      <c r="J20" s="45"/>
    </row>
    <row r="21">
      <c r="A21" s="2"/>
      <c r="B21" s="66" t="s">
        <v>108</v>
      </c>
      <c r="C21" s="77">
        <f>Inputs!F66</f>
        <v>15245</v>
      </c>
      <c r="D21" s="83">
        <f>C25</f>
        <v>15619</v>
      </c>
      <c r="E21" s="83">
        <f>D25</f>
        <v>15993</v>
      </c>
      <c r="F21" s="83">
        <f>E25</f>
        <v>16572</v>
      </c>
      <c r="G21" s="77">
        <f>Inputs!G66</f>
        <v>13996</v>
      </c>
      <c r="H21" s="76">
        <f>F25</f>
        <v>16721</v>
      </c>
      <c r="I21" s="2"/>
      <c r="J21" s="45"/>
    </row>
    <row r="22">
      <c r="A22" s="2"/>
      <c r="B22" s="92" t="s">
        <v>109</v>
      </c>
      <c r="C22" s="83" t="s">
        <v>64</v>
      </c>
      <c r="D22" s="83" t="s">
        <v>64</v>
      </c>
      <c r="E22" s="83" t="s">
        <v>64</v>
      </c>
      <c r="F22" s="83" t="s">
        <v>64</v>
      </c>
      <c r="G22" s="83" t="s">
        <v>64</v>
      </c>
      <c r="H22" s="76" t="s">
        <v>64</v>
      </c>
      <c r="I22" s="2"/>
      <c r="J22" s="45"/>
    </row>
    <row r="23">
      <c r="A23" s="2"/>
      <c r="B23" s="92" t="s">
        <v>110</v>
      </c>
      <c r="C23" s="83" t="s">
        <v>64</v>
      </c>
      <c r="D23" s="83" t="s">
        <v>64</v>
      </c>
      <c r="E23" s="83" t="s">
        <v>64</v>
      </c>
      <c r="F23" s="83" t="s">
        <v>64</v>
      </c>
      <c r="G23" s="83" t="s">
        <v>64</v>
      </c>
      <c r="H23" s="76" t="s">
        <v>64</v>
      </c>
      <c r="I23" s="2"/>
      <c r="J23" s="45"/>
    </row>
    <row r="24">
      <c r="A24" s="2"/>
      <c r="B24" s="92" t="s">
        <v>111</v>
      </c>
      <c r="C24" s="83">
        <f>C25-C21</f>
        <v>374</v>
      </c>
      <c r="D24" s="83">
        <f>D25-D21</f>
        <v>374</v>
      </c>
      <c r="E24" s="83">
        <f>E25-E21</f>
        <v>579</v>
      </c>
      <c r="F24" s="83">
        <f>F25-F21</f>
        <v>149</v>
      </c>
      <c r="G24" s="83">
        <f>G25-G21</f>
        <v>1997</v>
      </c>
      <c r="H24" s="76">
        <f>H25-H21</f>
        <v>238</v>
      </c>
      <c r="I24" s="2"/>
      <c r="J24" s="45"/>
    </row>
    <row r="25">
      <c r="A25" s="2"/>
      <c r="B25" s="21" t="s">
        <v>112</v>
      </c>
      <c r="C25" s="78">
        <v>15619</v>
      </c>
      <c r="D25" s="78">
        <v>15993</v>
      </c>
      <c r="E25" s="78">
        <v>16572</v>
      </c>
      <c r="F25" s="78">
        <v>16721</v>
      </c>
      <c r="G25" s="93">
        <f>D25</f>
        <v>15993</v>
      </c>
      <c r="H25" s="88">
        <f>'Monthly Build'!G15</f>
        <v>16959</v>
      </c>
      <c r="I25" s="2"/>
      <c r="J25" s="45" t="s">
        <v>71</v>
      </c>
    </row>
    <row r="26">
      <c r="A26" s="2"/>
      <c r="B26" s="55" t="s">
        <v>61</v>
      </c>
      <c r="C26" s="18">
        <f>IFERROR(C25/Inputs!C66-1,"n/a")</f>
        <v>0.16664176874813275</v>
      </c>
      <c r="D26" s="18">
        <f>IFERROR(D25/Inputs!D66-1,"n/a")</f>
        <v>0.14268362389254063</v>
      </c>
      <c r="E26" s="18">
        <f>IFERROR(E25/Inputs!E66-1,"n/a")</f>
        <v>0.12192810236273788</v>
      </c>
      <c r="F26" s="18">
        <f>IFERROR(F25/Inputs!F66-1,"n/a")</f>
        <v>0.09681862905870786</v>
      </c>
      <c r="G26" s="18">
        <f>IFERROR(G25/Inputs!G66-1,"n/a")</f>
        <v>0.14268362389254063</v>
      </c>
      <c r="H26" s="49">
        <f>IFERROR(H25/C25-1,"n/a")</f>
        <v>0.08579294449068442</v>
      </c>
      <c r="I26" s="2"/>
      <c r="J26" s="45"/>
    </row>
    <row r="27">
      <c r="A27" s="2"/>
      <c r="B27" s="55" t="s">
        <v>103</v>
      </c>
      <c r="C27" s="75">
        <f>C25-Inputs!F66</f>
        <v>374</v>
      </c>
      <c r="D27" s="67">
        <f>D25-C25</f>
        <v>374</v>
      </c>
      <c r="E27" s="67">
        <f>E25-D25</f>
        <v>579</v>
      </c>
      <c r="F27" s="67">
        <f>F25-E25</f>
        <v>149</v>
      </c>
      <c r="G27" s="67" t="s">
        <v>38</v>
      </c>
      <c r="H27" s="85">
        <f>H25-F25</f>
        <v>238</v>
      </c>
      <c r="I27" s="2"/>
      <c r="J27" s="45"/>
    </row>
    <row r="28">
      <c r="A28" s="2"/>
      <c r="B28" s="66" t="s">
        <v>113</v>
      </c>
      <c r="C28" s="83">
        <f>(C21+C25)/2</f>
        <v>15432</v>
      </c>
      <c r="D28" s="83">
        <f>(D21+D25)/2</f>
        <v>15806</v>
      </c>
      <c r="E28" s="83">
        <f>(E21+E25)/2</f>
        <v>16282.5</v>
      </c>
      <c r="F28" s="83">
        <f>(F21+F25)/2</f>
        <v>16646.5</v>
      </c>
      <c r="G28" s="83">
        <f>(G21+G25)/2</f>
        <v>14994.5</v>
      </c>
      <c r="H28" s="76">
        <f>(H21+H25)/2</f>
        <v>16840</v>
      </c>
      <c r="I28" s="2"/>
      <c r="J28" s="45"/>
    </row>
    <row r="29">
      <c r="A29" s="2"/>
      <c r="B29" s="55" t="s">
        <v>105</v>
      </c>
      <c r="C29" s="1">
        <f>C24/C21</f>
        <v>0.024532633650377174</v>
      </c>
      <c r="D29" s="1">
        <f>D24/D21</f>
        <v>0.023945194954862668</v>
      </c>
      <c r="E29" s="1">
        <f>E24/E21</f>
        <v>0.03620333896079535</v>
      </c>
      <c r="F29" s="1">
        <f>F24/F21</f>
        <v>0.008991069273473328</v>
      </c>
      <c r="G29" s="1">
        <f>G24/G21</f>
        <v>0.14268362389254072</v>
      </c>
      <c r="H29" s="49">
        <f>H24/H21</f>
        <v>0.014233598468991089</v>
      </c>
      <c r="I29" s="2"/>
      <c r="J29" s="45"/>
    </row>
    <row r="30">
      <c r="A30" s="2"/>
      <c r="B30" s="79" t="s">
        <v>106</v>
      </c>
      <c r="C30" s="75">
        <f>(C29-Inputs!F96)*10000</f>
        <v>-75.57272246312287</v>
      </c>
      <c r="D30" s="67">
        <f>(D29-C29)*10000</f>
        <v>-5.874386955145063</v>
      </c>
      <c r="E30" s="67">
        <f>(E29-D29)*10000</f>
        <v>122.5814400593268</v>
      </c>
      <c r="F30" s="67">
        <f>(F29-E29)*10000</f>
        <v>-272.1226968732202</v>
      </c>
      <c r="G30" s="67" t="s">
        <v>38</v>
      </c>
      <c r="H30" s="85">
        <f>(H29-F29)*10000</f>
        <v>52.425291955177606</v>
      </c>
      <c r="I30" s="2"/>
      <c r="J30" s="45"/>
    </row>
    <row r="31">
      <c r="A31" s="2"/>
      <c r="B31" s="79" t="s">
        <v>107</v>
      </c>
      <c r="C31" s="67" t="s">
        <v>38</v>
      </c>
      <c r="D31" s="121">
        <f>(D29-(Inputs!D66-Inputs!C66)/Inputs!C66)*10000</f>
        <v>-214.68608451172588</v>
      </c>
      <c r="E31" s="121">
        <f>(E29-(Inputs!E66-Inputs!D66)/Inputs!D66)*10000</f>
        <v>-191.69624743120056</v>
      </c>
      <c r="F31" s="121">
        <f>(F29-Inputs!F96)*10000</f>
        <v>-230.98836623216133</v>
      </c>
      <c r="G31" s="67" t="s">
        <v>38</v>
      </c>
      <c r="H31" s="85">
        <f>(H29-C29)*10000</f>
        <v>-102.99035181386085</v>
      </c>
      <c r="I31" s="2"/>
      <c r="J31" s="45"/>
    </row>
    <row r="32">
      <c r="A32" s="2"/>
      <c r="B32" s="66" t="s">
        <v>114</v>
      </c>
      <c r="C32" s="77">
        <f>Inputs!F67</f>
        <v>6850</v>
      </c>
      <c r="D32" s="83">
        <f>C36</f>
        <v>6980</v>
      </c>
      <c r="E32" s="83">
        <f>D36</f>
        <v>6998</v>
      </c>
      <c r="F32" s="83">
        <f>E36</f>
        <v>7101</v>
      </c>
      <c r="G32" s="77">
        <f>Inputs!G67</f>
        <v>6520</v>
      </c>
      <c r="H32" s="76">
        <f>F36</f>
        <v>7297</v>
      </c>
      <c r="I32" s="2"/>
      <c r="J32" s="45"/>
    </row>
    <row r="33">
      <c r="A33" s="2"/>
      <c r="B33" s="92" t="s">
        <v>115</v>
      </c>
      <c r="C33" s="83" t="s">
        <v>64</v>
      </c>
      <c r="D33" s="83" t="s">
        <v>64</v>
      </c>
      <c r="E33" s="83" t="s">
        <v>64</v>
      </c>
      <c r="F33" s="83" t="s">
        <v>64</v>
      </c>
      <c r="G33" s="83" t="s">
        <v>64</v>
      </c>
      <c r="H33" s="76" t="s">
        <v>64</v>
      </c>
      <c r="I33" s="2"/>
      <c r="J33" s="45"/>
    </row>
    <row r="34">
      <c r="A34" s="2"/>
      <c r="B34" s="92" t="s">
        <v>116</v>
      </c>
      <c r="C34" s="83" t="s">
        <v>64</v>
      </c>
      <c r="D34" s="83" t="s">
        <v>64</v>
      </c>
      <c r="E34" s="83" t="s">
        <v>64</v>
      </c>
      <c r="F34" s="83" t="s">
        <v>64</v>
      </c>
      <c r="G34" s="83" t="s">
        <v>64</v>
      </c>
      <c r="H34" s="76" t="s">
        <v>64</v>
      </c>
      <c r="I34" s="2"/>
      <c r="J34" s="45"/>
    </row>
    <row r="35">
      <c r="A35" s="2"/>
      <c r="B35" s="92" t="s">
        <v>117</v>
      </c>
      <c r="C35" s="83">
        <f>C36-C32</f>
        <v>130</v>
      </c>
      <c r="D35" s="83">
        <f>D36-D32</f>
        <v>18</v>
      </c>
      <c r="E35" s="83">
        <f>E36-E32</f>
        <v>103</v>
      </c>
      <c r="F35" s="83">
        <f>F36-F32</f>
        <v>196</v>
      </c>
      <c r="G35" s="83">
        <f>G36-G32</f>
        <v>478</v>
      </c>
      <c r="H35" s="76">
        <f>H36-H32</f>
        <v>101</v>
      </c>
      <c r="I35" s="2"/>
      <c r="J35" s="45"/>
    </row>
    <row r="36">
      <c r="A36" s="2"/>
      <c r="B36" s="21" t="s">
        <v>118</v>
      </c>
      <c r="C36" s="78">
        <v>6980</v>
      </c>
      <c r="D36" s="78">
        <v>6998</v>
      </c>
      <c r="E36" s="78">
        <v>7101</v>
      </c>
      <c r="F36" s="78">
        <v>7297</v>
      </c>
      <c r="G36" s="93">
        <f>D36</f>
        <v>6998</v>
      </c>
      <c r="H36" s="88">
        <f>'Monthly Build'!G18</f>
        <v>7398</v>
      </c>
      <c r="I36" s="2"/>
      <c r="J36" s="45" t="s">
        <v>71</v>
      </c>
    </row>
    <row r="37">
      <c r="A37" s="2"/>
      <c r="B37" s="55" t="s">
        <v>61</v>
      </c>
      <c r="C37" s="18">
        <f>IFERROR(C36/Inputs!C67-1,"n/a")</f>
        <v>0.07799227799227793</v>
      </c>
      <c r="D37" s="18">
        <f>IFERROR(D36/Inputs!D67-1,"n/a")</f>
        <v>0.07331288343558273</v>
      </c>
      <c r="E37" s="18">
        <f>IFERROR(E36/Inputs!E67-1,"n/a")</f>
        <v>0.06991110441464521</v>
      </c>
      <c r="F37" s="18">
        <f>IFERROR(F36/Inputs!F67-1,"n/a")</f>
        <v>0.06525547445255464</v>
      </c>
      <c r="G37" s="18">
        <f>IFERROR(G36/Inputs!G67-1,"n/a")</f>
        <v>0.07331288343558273</v>
      </c>
      <c r="H37" s="49">
        <f>IFERROR(H36/C36-1,"n/a")</f>
        <v>0.05988538681948419</v>
      </c>
      <c r="I37" s="2"/>
      <c r="J37" s="45"/>
    </row>
    <row r="38">
      <c r="A38" s="2"/>
      <c r="B38" s="55" t="s">
        <v>103</v>
      </c>
      <c r="C38" s="75">
        <f>C36-Inputs!F67</f>
        <v>130</v>
      </c>
      <c r="D38" s="67">
        <f>D36-C36</f>
        <v>18</v>
      </c>
      <c r="E38" s="67">
        <f>E36-D36</f>
        <v>103</v>
      </c>
      <c r="F38" s="67">
        <f>F36-E36</f>
        <v>196</v>
      </c>
      <c r="G38" s="67" t="s">
        <v>38</v>
      </c>
      <c r="H38" s="85">
        <f>H36-F36</f>
        <v>101</v>
      </c>
      <c r="I38" s="2"/>
      <c r="J38" s="45"/>
    </row>
    <row r="39">
      <c r="A39" s="2"/>
      <c r="B39" s="66" t="s">
        <v>119</v>
      </c>
      <c r="C39" s="83">
        <f>(C32+C36)/2</f>
        <v>6915</v>
      </c>
      <c r="D39" s="83">
        <f>(D32+D36)/2</f>
        <v>6989</v>
      </c>
      <c r="E39" s="83">
        <f>(E32+E36)/2</f>
        <v>7049.5</v>
      </c>
      <c r="F39" s="83">
        <f>(F32+F36)/2</f>
        <v>7199</v>
      </c>
      <c r="G39" s="83">
        <f>(G32+G36)/2</f>
        <v>6759</v>
      </c>
      <c r="H39" s="76">
        <f>(H32+H36)/2</f>
        <v>7347.5</v>
      </c>
      <c r="I39" s="2"/>
      <c r="J39" s="45"/>
    </row>
    <row r="40">
      <c r="A40" s="2"/>
      <c r="B40" s="55" t="s">
        <v>105</v>
      </c>
      <c r="C40" s="1">
        <f>C35/C32</f>
        <v>0.01897810218978102</v>
      </c>
      <c r="D40" s="1">
        <f>D35/D32</f>
        <v>0.0025787965616045844</v>
      </c>
      <c r="E40" s="1">
        <f>E35/E32</f>
        <v>0.014718490997427837</v>
      </c>
      <c r="F40" s="1">
        <f>F35/F32</f>
        <v>0.02760174623292494</v>
      </c>
      <c r="G40" s="1">
        <f>G35/G32</f>
        <v>0.07331288343558282</v>
      </c>
      <c r="H40" s="49">
        <f>H35/H32</f>
        <v>0.013841304645744826</v>
      </c>
      <c r="I40" s="2"/>
      <c r="J40" s="45"/>
    </row>
    <row r="41">
      <c r="A41" s="2"/>
      <c r="B41" s="79" t="s">
        <v>106</v>
      </c>
      <c r="C41" s="75">
        <f>(C40-Inputs!F97)*10000</f>
        <v>-131.14710828148768</v>
      </c>
      <c r="D41" s="67">
        <f>(D40-C40)*10000</f>
        <v>-163.99305628176438</v>
      </c>
      <c r="E41" s="67">
        <f>(E40-D40)*10000</f>
        <v>121.39694435823252</v>
      </c>
      <c r="F41" s="67">
        <f>(F40-E40)*10000</f>
        <v>128.83255235497103</v>
      </c>
      <c r="G41" s="67" t="s">
        <v>38</v>
      </c>
      <c r="H41" s="85">
        <f>(H40-F40)*10000</f>
        <v>-137.60441587180114</v>
      </c>
      <c r="I41" s="2"/>
      <c r="J41" s="45"/>
    </row>
    <row r="42">
      <c r="A42" s="2"/>
      <c r="B42" s="79" t="s">
        <v>107</v>
      </c>
      <c r="C42" s="67" t="s">
        <v>38</v>
      </c>
      <c r="D42" s="121">
        <f>(D40-(Inputs!D67-Inputs!C67)/Inputs!C67)*10000</f>
        <v>-43.71010388202365</v>
      </c>
      <c r="E42" s="121">
        <f>(E40-(Inputs!E67-Inputs!D67)/Inputs!D67)*10000</f>
        <v>-32.26294278645783</v>
      </c>
      <c r="F42" s="121">
        <f>(F40-Inputs!F97)*10000</f>
        <v>-44.910667850048476</v>
      </c>
      <c r="G42" s="67" t="s">
        <v>38</v>
      </c>
      <c r="H42" s="85">
        <f>(H40-C40)*10000</f>
        <v>-51.367975440361946</v>
      </c>
      <c r="I42" s="2"/>
      <c r="J42" s="45"/>
    </row>
    <row r="43">
      <c r="A43" s="2"/>
      <c r="B43" s="66" t="s">
        <v>120</v>
      </c>
      <c r="C43" s="77">
        <f>Inputs!F68</f>
        <v>3608</v>
      </c>
      <c r="D43" s="83">
        <f>C47</f>
        <v>3651</v>
      </c>
      <c r="E43" s="83">
        <f>D47</f>
        <v>3650</v>
      </c>
      <c r="F43" s="83">
        <f>E47</f>
        <v>3640</v>
      </c>
      <c r="G43" s="77">
        <f>Inputs!G68</f>
        <v>3517</v>
      </c>
      <c r="H43" s="76">
        <f>F47</f>
        <v>3631</v>
      </c>
      <c r="I43" s="2"/>
      <c r="J43" s="45"/>
    </row>
    <row r="44">
      <c r="A44" s="2"/>
      <c r="B44" s="92" t="s">
        <v>121</v>
      </c>
      <c r="C44" s="83" t="s">
        <v>64</v>
      </c>
      <c r="D44" s="83" t="s">
        <v>64</v>
      </c>
      <c r="E44" s="83" t="s">
        <v>64</v>
      </c>
      <c r="F44" s="83" t="s">
        <v>64</v>
      </c>
      <c r="G44" s="83" t="s">
        <v>64</v>
      </c>
      <c r="H44" s="76" t="s">
        <v>64</v>
      </c>
      <c r="I44" s="2"/>
      <c r="J44" s="45"/>
    </row>
    <row r="45">
      <c r="A45" s="2"/>
      <c r="B45" s="92" t="s">
        <v>122</v>
      </c>
      <c r="C45" s="83" t="s">
        <v>64</v>
      </c>
      <c r="D45" s="83" t="s">
        <v>64</v>
      </c>
      <c r="E45" s="83" t="s">
        <v>64</v>
      </c>
      <c r="F45" s="83" t="s">
        <v>64</v>
      </c>
      <c r="G45" s="83" t="s">
        <v>64</v>
      </c>
      <c r="H45" s="76" t="s">
        <v>64</v>
      </c>
      <c r="I45" s="2"/>
      <c r="J45" s="45"/>
    </row>
    <row r="46">
      <c r="A46" s="2"/>
      <c r="B46" s="92" t="s">
        <v>123</v>
      </c>
      <c r="C46" s="83">
        <f>C47-C43</f>
        <v>43</v>
      </c>
      <c r="D46" s="83">
        <f>D47-D43</f>
        <v>-1</v>
      </c>
      <c r="E46" s="83">
        <f>E47-E43</f>
        <v>-10</v>
      </c>
      <c r="F46" s="83">
        <f>F47-F43</f>
        <v>-9</v>
      </c>
      <c r="G46" s="83">
        <f>G47-G43</f>
        <v>133</v>
      </c>
      <c r="H46" s="76">
        <f>H47-H43</f>
        <v>21</v>
      </c>
      <c r="I46" s="2"/>
      <c r="J46" s="45"/>
    </row>
    <row r="47">
      <c r="A47" s="2"/>
      <c r="B47" s="21" t="s">
        <v>124</v>
      </c>
      <c r="C47" s="78">
        <v>3651</v>
      </c>
      <c r="D47" s="78">
        <v>3650</v>
      </c>
      <c r="E47" s="78">
        <v>3640</v>
      </c>
      <c r="F47" s="78">
        <v>3631</v>
      </c>
      <c r="G47" s="93">
        <f>D47</f>
        <v>3650</v>
      </c>
      <c r="H47" s="88">
        <f>'Monthly Build'!G21</f>
        <v>3652</v>
      </c>
      <c r="I47" s="2"/>
      <c r="J47" s="45" t="s">
        <v>71</v>
      </c>
    </row>
    <row r="48">
      <c r="A48" s="2"/>
      <c r="B48" s="55" t="s">
        <v>61</v>
      </c>
      <c r="C48" s="18">
        <f>IFERROR(C47/Inputs!C68-1,"n/a")</f>
        <v>0.05520231213872839</v>
      </c>
      <c r="D48" s="18">
        <f>IFERROR(D47/Inputs!D68-1,"n/a")</f>
        <v>0.03781632072789298</v>
      </c>
      <c r="E48" s="18">
        <f>IFERROR(E47/Inputs!E68-1,"n/a")</f>
        <v>0.017897091722595126</v>
      </c>
      <c r="F48" s="18">
        <f>IFERROR(F47/Inputs!F68-1,"n/a")</f>
        <v>0.006374722838137448</v>
      </c>
      <c r="G48" s="18">
        <f>IFERROR(G47/Inputs!G68-1,"n/a")</f>
        <v>0.03781632072789298</v>
      </c>
      <c r="H48" s="49">
        <f>IFERROR(H47/C47-1,"n/a")</f>
        <v>0.00027389756231177564</v>
      </c>
      <c r="I48" s="2"/>
      <c r="J48" s="45"/>
    </row>
    <row r="49">
      <c r="A49" s="2"/>
      <c r="B49" s="55" t="s">
        <v>103</v>
      </c>
      <c r="C49" s="75">
        <f>C47-Inputs!F68</f>
        <v>43</v>
      </c>
      <c r="D49" s="67">
        <f>D47-C47</f>
        <v>-1</v>
      </c>
      <c r="E49" s="67">
        <f>E47-D47</f>
        <v>-10</v>
      </c>
      <c r="F49" s="67">
        <f>F47-E47</f>
        <v>-9</v>
      </c>
      <c r="G49" s="67" t="s">
        <v>38</v>
      </c>
      <c r="H49" s="85">
        <f>H47-F47</f>
        <v>21</v>
      </c>
      <c r="I49" s="2"/>
      <c r="J49" s="45"/>
    </row>
    <row r="50">
      <c r="A50" s="2"/>
      <c r="B50" s="66" t="s">
        <v>125</v>
      </c>
      <c r="C50" s="83">
        <f>(C43+C47)/2</f>
        <v>3629.5</v>
      </c>
      <c r="D50" s="83">
        <f>(D43+D47)/2</f>
        <v>3650.5</v>
      </c>
      <c r="E50" s="83">
        <f>(E43+E47)/2</f>
        <v>3645</v>
      </c>
      <c r="F50" s="83">
        <f>(F43+F47)/2</f>
        <v>3635.5</v>
      </c>
      <c r="G50" s="83">
        <f>(G43+G47)/2</f>
        <v>3583.5</v>
      </c>
      <c r="H50" s="76">
        <f>(H43+H47)/2</f>
        <v>3641.5</v>
      </c>
      <c r="I50" s="2"/>
      <c r="J50" s="45"/>
    </row>
    <row r="51">
      <c r="A51" s="2"/>
      <c r="B51" s="55" t="s">
        <v>105</v>
      </c>
      <c r="C51" s="1">
        <f>C46/C43</f>
        <v>0.011917960088691795</v>
      </c>
      <c r="D51" s="1">
        <f>D46/D43</f>
        <v>-0.0002738975623116954</v>
      </c>
      <c r="E51" s="1">
        <f>E46/E43</f>
        <v>-0.0027397260273972603</v>
      </c>
      <c r="F51" s="1">
        <f>F46/F43</f>
        <v>-0.0024725274725274724</v>
      </c>
      <c r="G51" s="1">
        <f>G46/G43</f>
        <v>0.037816320727893094</v>
      </c>
      <c r="H51" s="49">
        <f>H46/H43</f>
        <v>0.005783530707793996</v>
      </c>
      <c r="I51" s="2"/>
      <c r="J51" s="45"/>
    </row>
    <row r="52">
      <c r="A52" s="2"/>
      <c r="B52" s="79" t="s">
        <v>106</v>
      </c>
      <c r="C52" s="75">
        <f>(C51-Inputs!F98)*10000</f>
        <v>29.694142273942564</v>
      </c>
      <c r="D52" s="67">
        <f>(D51-C51)*10000</f>
        <v>-121.91857651003491</v>
      </c>
      <c r="E52" s="67">
        <f>(E51-D51)*10000</f>
        <v>-24.65828465085565</v>
      </c>
      <c r="F52" s="67">
        <f>(F51-E51)*10000</f>
        <v>2.671985548697879</v>
      </c>
      <c r="G52" s="67" t="s">
        <v>38</v>
      </c>
      <c r="H52" s="85">
        <f>(H51-F51)*10000</f>
        <v>82.5605818032147</v>
      </c>
      <c r="I52" s="2"/>
      <c r="J52" s="45"/>
    </row>
    <row r="53">
      <c r="A53" s="2"/>
      <c r="B53" s="79" t="s">
        <v>107</v>
      </c>
      <c r="C53" s="67" t="s">
        <v>38</v>
      </c>
      <c r="D53" s="121">
        <f>(D51-(Inputs!D68-Inputs!C68)/Inputs!C68)*10000</f>
        <v>-167.47886001618053</v>
      </c>
      <c r="E53" s="121">
        <f>(E51-(Inputs!E68-Inputs!D68)/Inputs!D68)*10000</f>
        <v>-195.15387102176902</v>
      </c>
      <c r="F53" s="121">
        <f>(F51-Inputs!F98)*10000</f>
        <v>-114.21073333825011</v>
      </c>
      <c r="G53" s="67" t="s">
        <v>38</v>
      </c>
      <c r="H53" s="85">
        <f>(H51-C51)*10000</f>
        <v>-61.34429380897799</v>
      </c>
      <c r="I53" s="2"/>
      <c r="J53" s="45"/>
    </row>
    <row r="54">
      <c r="A54" s="2"/>
      <c r="B54" s="21" t="s">
        <v>126</v>
      </c>
      <c r="C54" s="93">
        <f>C14+C25+C36+C47</f>
        <v>36880</v>
      </c>
      <c r="D54" s="93">
        <f>D14+D25+D36+D47</f>
        <v>37428</v>
      </c>
      <c r="E54" s="93">
        <f>E14+E25+E36+E47</f>
        <v>38369</v>
      </c>
      <c r="F54" s="93">
        <f>F14+F25+F36+F47</f>
        <v>38860</v>
      </c>
      <c r="G54" s="93">
        <f>G14+G25+G36+G47</f>
        <v>37428</v>
      </c>
      <c r="H54" s="101">
        <f>H14+H25+H36+H47</f>
        <v>39407</v>
      </c>
      <c r="I54" s="2"/>
      <c r="J54" s="45"/>
    </row>
    <row r="55">
      <c r="A55" s="2"/>
      <c r="B55" s="80" t="s">
        <v>127</v>
      </c>
      <c r="C55" s="93">
        <f>C13+C24+C35+C46</f>
        <v>754</v>
      </c>
      <c r="D55" s="93">
        <f>D13+D24+D35+D46</f>
        <v>548</v>
      </c>
      <c r="E55" s="93">
        <f>E13+E24+E35+E46</f>
        <v>941</v>
      </c>
      <c r="F55" s="93">
        <f>F13+F24+F35+F46</f>
        <v>491</v>
      </c>
      <c r="G55" s="93">
        <f>G13+G24+G35+G46</f>
        <v>3617</v>
      </c>
      <c r="H55" s="101">
        <f>H13+H24+H35+H46</f>
        <v>547</v>
      </c>
      <c r="I55" s="2"/>
      <c r="J55" s="45"/>
    </row>
    <row r="56">
      <c r="A56" s="2"/>
      <c r="B56" s="80" t="s">
        <v>128</v>
      </c>
      <c r="C56" s="93">
        <f>C17+C28+C39+C50</f>
        <v>36503</v>
      </c>
      <c r="D56" s="93">
        <f>D17+D28+D39+D50</f>
        <v>37154</v>
      </c>
      <c r="E56" s="93">
        <f>E17+E28+E39+E50</f>
        <v>37898.5</v>
      </c>
      <c r="F56" s="93">
        <f>F17+F28+F39+F50</f>
        <v>38614.5</v>
      </c>
      <c r="G56" s="93">
        <f>G17+G28+G39+G50</f>
        <v>35619.5</v>
      </c>
      <c r="H56" s="101">
        <f>H17+H28+H39+H50</f>
        <v>39133.5</v>
      </c>
      <c r="I56" s="2"/>
      <c r="J56" s="45"/>
    </row>
    <row r="57">
      <c r="A57" s="2"/>
      <c r="B57" s="55" t="s">
        <v>129</v>
      </c>
      <c r="C57" s="1">
        <f>C14/C54</f>
        <v>0.28823210412147504</v>
      </c>
      <c r="D57" s="1">
        <f>D14/D54</f>
        <v>0.288206690178476</v>
      </c>
      <c r="E57" s="1">
        <f>E14/E54</f>
        <v>0.288149287184967</v>
      </c>
      <c r="F57" s="1">
        <f>F14/F54</f>
        <v>0.28849716932578484</v>
      </c>
      <c r="G57" s="1">
        <f>G14/G54</f>
        <v>0.288206690178476</v>
      </c>
      <c r="H57" s="49">
        <f>H14/H54</f>
        <v>0.2892379526480067</v>
      </c>
      <c r="I57" s="2"/>
      <c r="J57" s="45"/>
    </row>
    <row r="58">
      <c r="A58" s="2"/>
      <c r="B58" s="79" t="s">
        <v>106</v>
      </c>
      <c r="C58" s="75">
        <f>(C57-Inputs!F88)*10000</f>
        <v>-2.8586077915054853</v>
      </c>
      <c r="D58" s="67">
        <f>(D57-C57)*10000</f>
        <v>-0.2541394299904187</v>
      </c>
      <c r="E58" s="67">
        <f>(E57-D57)*10000</f>
        <v>-0.5740299350898148</v>
      </c>
      <c r="F58" s="67">
        <f>(F57-E57)*10000</f>
        <v>3.4788214081782343</v>
      </c>
      <c r="G58" s="67" t="s">
        <v>38</v>
      </c>
      <c r="H58" s="85">
        <f>(H57-F57)*10000</f>
        <v>7.407833222218829</v>
      </c>
      <c r="I58" s="2"/>
      <c r="J58" s="45"/>
    </row>
    <row r="59">
      <c r="A59" s="2"/>
      <c r="B59" s="79" t="s">
        <v>107</v>
      </c>
      <c r="C59" s="75">
        <f>(C57-Inputs!C88)*10000</f>
        <v>6.458129613552965</v>
      </c>
      <c r="D59" s="75">
        <f>(D57-Inputs!D88)*10000</f>
        <v>-9.89133665835029</v>
      </c>
      <c r="E59" s="75">
        <f>(E57-Inputs!E88)*10000</f>
        <v>-6.636931737007967</v>
      </c>
      <c r="F59" s="75">
        <f>(F57-Inputs!F88)*10000</f>
        <v>-0.20795574840748454</v>
      </c>
      <c r="G59" s="75">
        <f>(G57-Inputs!G88)*10000</f>
        <v>-9.89133665835029</v>
      </c>
      <c r="H59" s="85">
        <f>(H57-C57)*10000</f>
        <v>10.058485265316829</v>
      </c>
      <c r="I59" s="2"/>
      <c r="J59" s="45"/>
    </row>
    <row r="60">
      <c r="A60" s="2"/>
      <c r="B60" s="55" t="s">
        <v>130</v>
      </c>
      <c r="C60" s="1">
        <f>C25/C54</f>
        <v>0.42350867678958787</v>
      </c>
      <c r="D60" s="1">
        <f>D25/D54</f>
        <v>0.4273004168002565</v>
      </c>
      <c r="E60" s="1">
        <f>E25/E54</f>
        <v>0.4319111782949777</v>
      </c>
      <c r="F60" s="1">
        <f>F25/F54</f>
        <v>0.43028821410190426</v>
      </c>
      <c r="G60" s="1">
        <f>G25/G54</f>
        <v>0.4273004168002565</v>
      </c>
      <c r="H60" s="49">
        <f>H25/H54</f>
        <v>0.43035501306874413</v>
      </c>
      <c r="I60" s="2"/>
      <c r="J60" s="45"/>
    </row>
    <row r="61">
      <c r="A61" s="2"/>
      <c r="B61" s="79" t="s">
        <v>106</v>
      </c>
      <c r="C61" s="75">
        <f>(C60-Inputs!F89)*10000</f>
        <v>15.134379034670854</v>
      </c>
      <c r="D61" s="67">
        <f>(D60-C60)*10000</f>
        <v>37.9174001066862</v>
      </c>
      <c r="E61" s="67">
        <f>(E60-D60)*10000</f>
        <v>46.10761494721227</v>
      </c>
      <c r="F61" s="67">
        <f>(F60-E60)*10000</f>
        <v>-16.229641930734505</v>
      </c>
      <c r="G61" s="67" t="s">
        <v>38</v>
      </c>
      <c r="H61" s="85">
        <f>(H60-F60)*10000</f>
        <v>0.6679896683986497</v>
      </c>
      <c r="I61" s="2"/>
      <c r="J61" s="45"/>
    </row>
    <row r="62">
      <c r="A62" s="2"/>
      <c r="B62" s="79" t="s">
        <v>107</v>
      </c>
      <c r="C62" s="75">
        <f>(C60-Inputs!C89)*10000</f>
        <v>145.6494168054029</v>
      </c>
      <c r="D62" s="75">
        <f>(D60-Inputs!D89)*10000</f>
        <v>133.52293408460892</v>
      </c>
      <c r="E62" s="75">
        <f>(E60-Inputs!E89)*10000</f>
        <v>114.4434083411805</v>
      </c>
      <c r="F62" s="75">
        <f>(F60-Inputs!F89)*10000</f>
        <v>82.92975215783483</v>
      </c>
      <c r="G62" s="75">
        <f>(G60-Inputs!G89)*10000</f>
        <v>133.52293408460892</v>
      </c>
      <c r="H62" s="85">
        <f>(H60-C60)*10000</f>
        <v>68.46336279156262</v>
      </c>
      <c r="I62" s="2"/>
      <c r="J62" s="45"/>
    </row>
    <row r="63">
      <c r="A63" s="2"/>
      <c r="B63" s="55" t="s">
        <v>131</v>
      </c>
      <c r="C63" s="1">
        <f>C36/C54</f>
        <v>0.18926247288503253</v>
      </c>
      <c r="D63" s="1">
        <f>D36/D54</f>
        <v>0.18697232018809448</v>
      </c>
      <c r="E63" s="1">
        <f>E36/E54</f>
        <v>0.18507128150329694</v>
      </c>
      <c r="F63" s="1">
        <f>F36/F54</f>
        <v>0.18777663407102418</v>
      </c>
      <c r="G63" s="1">
        <f>G36/G54</f>
        <v>0.18697232018809448</v>
      </c>
      <c r="H63" s="49">
        <f>H36/H54</f>
        <v>0.18773314385769027</v>
      </c>
      <c r="I63" s="2"/>
      <c r="J63" s="45"/>
    </row>
    <row r="64">
      <c r="A64" s="2"/>
      <c r="B64" s="79" t="s">
        <v>106</v>
      </c>
      <c r="C64" s="75">
        <f>(C63-Inputs!F90)*10000</f>
        <v>-3.5165544359505585</v>
      </c>
      <c r="D64" s="67">
        <f>(D63-C63)*10000</f>
        <v>-22.901526969380527</v>
      </c>
      <c r="E64" s="67">
        <f>(E63-D63)*10000</f>
        <v>-19.010386847975457</v>
      </c>
      <c r="F64" s="67">
        <f>(F63-E63)*10000</f>
        <v>27.053525677272482</v>
      </c>
      <c r="G64" s="67" t="s">
        <v>38</v>
      </c>
      <c r="H64" s="85">
        <f>(H63-F63)*10000</f>
        <v>-0.4349021333391323</v>
      </c>
      <c r="I64" s="2"/>
      <c r="J64" s="45"/>
    </row>
    <row r="65">
      <c r="A65" s="2"/>
      <c r="B65" s="79" t="s">
        <v>107</v>
      </c>
      <c r="C65" s="75">
        <f>(C63-Inputs!C90)*10000</f>
        <v>-85.1992066374871</v>
      </c>
      <c r="D65" s="75">
        <f>(D63-Inputs!D90)*10000</f>
        <v>-58.64330606025786</v>
      </c>
      <c r="E65" s="75">
        <f>(E63-Inputs!E90)*10000</f>
        <v>-38.55561650702499</v>
      </c>
      <c r="F65" s="75">
        <f>(F63-Inputs!F90)*10000</f>
        <v>-18.37494257603406</v>
      </c>
      <c r="G65" s="75">
        <f>(G63-Inputs!G90)*10000</f>
        <v>-58.64330606025786</v>
      </c>
      <c r="H65" s="85">
        <f>(H63-C63)*10000</f>
        <v>-15.293290273422633</v>
      </c>
      <c r="I65" s="2"/>
      <c r="J65" s="45"/>
    </row>
    <row r="66">
      <c r="A66" s="2"/>
      <c r="B66" s="55" t="s">
        <v>132</v>
      </c>
      <c r="C66" s="1">
        <f>C47/C54</f>
        <v>0.09899674620390456</v>
      </c>
      <c r="D66" s="1">
        <f>D47/D54</f>
        <v>0.09752057283317303</v>
      </c>
      <c r="E66" s="1">
        <f>E47/E54</f>
        <v>0.09486825301675832</v>
      </c>
      <c r="F66" s="1">
        <f>F47/F54</f>
        <v>0.09343798250128667</v>
      </c>
      <c r="G66" s="1">
        <f>G47/G54</f>
        <v>0.09752057283317303</v>
      </c>
      <c r="H66" s="49">
        <f>H47/H54</f>
        <v>0.09267389042555892</v>
      </c>
      <c r="I66" s="2"/>
      <c r="J66" s="45"/>
    </row>
    <row r="67">
      <c r="A67" s="2"/>
      <c r="B67" s="79" t="s">
        <v>106</v>
      </c>
      <c r="C67" s="75">
        <f>(C66-Inputs!F91)*10000</f>
        <v>-8.759216807214809</v>
      </c>
      <c r="D67" s="67">
        <f>(D66-C66)*10000</f>
        <v>-14.761733707315262</v>
      </c>
      <c r="E67" s="67">
        <f>(E66-D66)*10000</f>
        <v>-26.52319816414714</v>
      </c>
      <c r="F67" s="67">
        <f>(F66-E66)*10000</f>
        <v>-14.302705154716488</v>
      </c>
      <c r="G67" s="67" t="s">
        <v>38</v>
      </c>
      <c r="H67" s="85">
        <f>(H66-F66)*10000</f>
        <v>-7.640920757277514</v>
      </c>
      <c r="I67" s="2"/>
      <c r="J67" s="45"/>
    </row>
    <row r="68">
      <c r="A68" s="2"/>
      <c r="B68" s="79" t="s">
        <v>107</v>
      </c>
      <c r="C68" s="75">
        <f>(C66-Inputs!C91)*10000</f>
        <v>-66.90833978146877</v>
      </c>
      <c r="D68" s="75">
        <f>(D66-Inputs!D91)*10000</f>
        <v>-64.98829136600118</v>
      </c>
      <c r="E68" s="75">
        <f>(E66-Inputs!E91)*10000</f>
        <v>-69.25086009714782</v>
      </c>
      <c r="F68" s="75">
        <f>(F66-Inputs!F91)*10000</f>
        <v>-64.3468538333937</v>
      </c>
      <c r="G68" s="75">
        <f>(G66-Inputs!G91)*10000</f>
        <v>-64.98829136600118</v>
      </c>
      <c r="H68" s="85">
        <f>(H66-C66)*10000</f>
        <v>-63.2285577834564</v>
      </c>
      <c r="I68" s="2"/>
      <c r="J68" s="45"/>
    </row>
    <row r="69">
      <c r="A69" s="2"/>
      <c r="B69" s="72" t="s">
        <v>133</v>
      </c>
      <c r="C69" s="1" t="s">
        <v>64</v>
      </c>
      <c r="D69" s="1" t="s">
        <v>64</v>
      </c>
      <c r="E69" s="1" t="s">
        <v>64</v>
      </c>
      <c r="F69" s="1" t="s">
        <v>64</v>
      </c>
      <c r="G69" s="1" t="s">
        <v>64</v>
      </c>
      <c r="H69" s="49" t="s">
        <v>64</v>
      </c>
      <c r="I69" s="2"/>
      <c r="J69" s="45"/>
    </row>
    <row r="70">
      <c r="A70" s="2"/>
      <c r="B70" s="2"/>
      <c r="C70" s="5"/>
      <c r="D70" s="5"/>
      <c r="E70" s="5"/>
      <c r="F70" s="5"/>
      <c r="G70" s="5"/>
      <c r="H70" s="20"/>
      <c r="I70" s="2"/>
      <c r="J70" s="45"/>
    </row>
    <row r="71">
      <c r="A71" s="2"/>
      <c r="B71" s="21" t="s">
        <v>134</v>
      </c>
      <c r="C71" s="26"/>
      <c r="D71" s="26"/>
      <c r="E71" s="26"/>
      <c r="F71" s="26"/>
      <c r="G71" s="26"/>
      <c r="H71" s="56"/>
      <c r="I71" s="2"/>
      <c r="J71" s="45"/>
    </row>
    <row r="72">
      <c r="A72" s="2"/>
      <c r="B72" s="66" t="s">
        <v>135</v>
      </c>
      <c r="C72" s="39">
        <v>7724</v>
      </c>
      <c r="D72" s="30">
        <f>G72-Inputs!L121</f>
        <v>7147</v>
      </c>
      <c r="E72" s="39">
        <v>7827</v>
      </c>
      <c r="F72" s="39">
        <v>7655</v>
      </c>
      <c r="G72" s="39">
        <v>29825</v>
      </c>
      <c r="H72" s="31">
        <f>'Monthly Build'!G51</f>
        <v>7964.801613966418</v>
      </c>
      <c r="I72" s="2"/>
      <c r="J72" s="45" t="s">
        <v>71</v>
      </c>
    </row>
    <row r="73">
      <c r="A73" s="2"/>
      <c r="B73" s="55" t="s">
        <v>61</v>
      </c>
      <c r="C73" s="18">
        <f>IFERROR(C72/Inputs!C10-1,"n/a")</f>
        <v>0.08727477477477485</v>
      </c>
      <c r="D73" s="18">
        <f>IFERROR(D72/Inputs!D10-1,"n/a")</f>
        <v>0.06196136701337296</v>
      </c>
      <c r="E73" s="18">
        <f>IFERROR(E72/Inputs!E10-1,"n/a")</f>
        <v>0.04737053392211954</v>
      </c>
      <c r="F73" s="18">
        <f>IFERROR(F72/Inputs!F10-1,"n/a")</f>
        <v>0.02325892260392992</v>
      </c>
      <c r="G73" s="18">
        <f>IFERROR(G72/Inputs!G10-1,"n/a")</f>
        <v>0.10598138465531948</v>
      </c>
      <c r="H73" s="49">
        <f>IFERROR(H72/C72-1,"n/a")</f>
        <v>0.031175765661110466</v>
      </c>
      <c r="I73" s="2"/>
      <c r="J73" s="45"/>
    </row>
    <row r="74">
      <c r="A74" s="2"/>
      <c r="B74" s="55" t="s">
        <v>62</v>
      </c>
      <c r="C74" s="18">
        <f>IFERROR(C72/Inputs!F10-1,"n/a")</f>
        <v>0.032482288464109166</v>
      </c>
      <c r="D74" s="1">
        <f>IFERROR(D72/C72-1,"n/a")</f>
        <v>-0.074702226825479</v>
      </c>
      <c r="E74" s="1">
        <f>IFERROR(E72/D72-1,"n/a")</f>
        <v>0.0951448160067161</v>
      </c>
      <c r="F74" s="1">
        <f>IFERROR(F72/E72-1,"n/a")</f>
        <v>-0.021975214002810772</v>
      </c>
      <c r="G74" s="1" t="s">
        <v>38</v>
      </c>
      <c r="H74" s="49">
        <f>IFERROR(H72/F72-1,"n/a")</f>
        <v>0.040470491700381084</v>
      </c>
      <c r="I74" s="2"/>
      <c r="J74" s="45"/>
    </row>
    <row r="75">
      <c r="A75" s="2"/>
      <c r="B75" s="79" t="s">
        <v>63</v>
      </c>
      <c r="C75" s="1" t="s">
        <v>64</v>
      </c>
      <c r="D75" s="1" t="s">
        <v>64</v>
      </c>
      <c r="E75" s="1" t="s">
        <v>64</v>
      </c>
      <c r="F75" s="1" t="s">
        <v>64</v>
      </c>
      <c r="G75" s="1" t="s">
        <v>64</v>
      </c>
      <c r="H75" s="49" t="s">
        <v>64</v>
      </c>
      <c r="I75" s="2"/>
      <c r="J75" s="45"/>
    </row>
    <row r="76">
      <c r="A76" s="2"/>
      <c r="B76" s="79" t="s">
        <v>65</v>
      </c>
      <c r="C76" s="1" t="s">
        <v>64</v>
      </c>
      <c r="D76" s="1" t="s">
        <v>64</v>
      </c>
      <c r="E76" s="1" t="s">
        <v>64</v>
      </c>
      <c r="F76" s="1" t="s">
        <v>64</v>
      </c>
      <c r="G76" s="1" t="s">
        <v>64</v>
      </c>
      <c r="H76" s="49" t="s">
        <v>64</v>
      </c>
      <c r="I76" s="2"/>
      <c r="J76" s="45"/>
    </row>
    <row r="77">
      <c r="A77" s="2"/>
      <c r="B77" s="79" t="s">
        <v>66</v>
      </c>
      <c r="C77" s="1" t="str">
        <f>IF(AND(ISNUMBER(C73),ISNUMBER(C75),ISNUMBER(C76)),(1+C73)/((1+C75)*(1+C76))-1,"n/d")</f>
        <v>n/d</v>
      </c>
      <c r="D77" s="1" t="str">
        <f>IF(AND(ISNUMBER(D73),ISNUMBER(D75),ISNUMBER(D76)),(1+D73)/((1+D75)*(1+D76))-1,"n/d")</f>
        <v>n/d</v>
      </c>
      <c r="E77" s="1" t="str">
        <f>IF(AND(ISNUMBER(E73),ISNUMBER(E75),ISNUMBER(E76)),(1+E73)/((1+E75)*(1+E76))-1,"n/d")</f>
        <v>n/d</v>
      </c>
      <c r="F77" s="1" t="str">
        <f>IF(AND(ISNUMBER(F73),ISNUMBER(F75),ISNUMBER(F76)),(1+F73)/((1+F75)*(1+F76))-1,"n/d")</f>
        <v>n/d</v>
      </c>
      <c r="G77" s="1" t="str">
        <f>IF(AND(ISNUMBER(G73),ISNUMBER(G75),ISNUMBER(G76)),(1+G73)/((1+G75)*(1+G76))-1,"n/d")</f>
        <v>n/d</v>
      </c>
      <c r="H77" s="49" t="str">
        <f>IF(AND(ISNUMBER(H73),ISNUMBER(H75),ISNUMBER(H76)),(1+H73)/((1+H75)*(1+H76))-1,"n/d")</f>
        <v>n/d</v>
      </c>
      <c r="I77" s="2"/>
      <c r="J77" s="45"/>
    </row>
    <row r="78">
      <c r="A78" s="2"/>
      <c r="B78" s="79" t="s">
        <v>67</v>
      </c>
      <c r="C78" s="1">
        <f>C73</f>
        <v>0.08727477477477485</v>
      </c>
      <c r="D78" s="1">
        <f>D73</f>
        <v>0.06196136701337296</v>
      </c>
      <c r="E78" s="1">
        <f>E73</f>
        <v>0.04737053392211954</v>
      </c>
      <c r="F78" s="1">
        <f>F73</f>
        <v>0.02325892260392992</v>
      </c>
      <c r="G78" s="1">
        <f>G73</f>
        <v>0.10598138465531948</v>
      </c>
      <c r="H78" s="49">
        <f>H73</f>
        <v>0.031175765661110466</v>
      </c>
      <c r="I78" s="2"/>
      <c r="J78" s="45"/>
    </row>
    <row r="79">
      <c r="A79" s="2"/>
      <c r="B79" s="66" t="s">
        <v>136</v>
      </c>
      <c r="C79" s="39">
        <v>10600</v>
      </c>
      <c r="D79" s="30">
        <f>G79-Inputs!L122</f>
        <v>9577</v>
      </c>
      <c r="E79" s="39">
        <v>11085</v>
      </c>
      <c r="F79" s="39">
        <v>10098</v>
      </c>
      <c r="G79" s="39">
        <v>39631</v>
      </c>
      <c r="H79" s="31">
        <f>'Monthly Build'!G53</f>
        <v>11275.142741746015</v>
      </c>
      <c r="I79" s="2"/>
      <c r="J79" s="45" t="s">
        <v>71</v>
      </c>
    </row>
    <row r="80">
      <c r="A80" s="2"/>
      <c r="B80" s="55" t="s">
        <v>61</v>
      </c>
      <c r="C80" s="18">
        <f>IFERROR(C79/Inputs!C11-1,"n/a")</f>
        <v>0.15405552531301026</v>
      </c>
      <c r="D80" s="18">
        <f>IFERROR(D79/Inputs!D11-1,"n/a")</f>
        <v>0.14873455679501024</v>
      </c>
      <c r="E80" s="18">
        <f>IFERROR(E79/Inputs!E11-1,"n/a")</f>
        <v>0.10112247938809982</v>
      </c>
      <c r="F80" s="18">
        <f>IFERROR(F79/Inputs!F11-1,"n/a")</f>
        <v>0.07574304889741135</v>
      </c>
      <c r="G80" s="18">
        <f>IFERROR(G79/Inputs!G11-1,"n/a")</f>
        <v>0.18542115338597753</v>
      </c>
      <c r="H80" s="49">
        <f>IFERROR(H79/C79-1,"n/a")</f>
        <v>0.06369271148547306</v>
      </c>
      <c r="I80" s="2"/>
      <c r="J80" s="45"/>
    </row>
    <row r="81">
      <c r="A81" s="2"/>
      <c r="B81" s="55" t="s">
        <v>62</v>
      </c>
      <c r="C81" s="18">
        <f>IFERROR(C79/Inputs!F11-1,"n/a")</f>
        <v>0.1292212634494514</v>
      </c>
      <c r="D81" s="1">
        <f>IFERROR(D79/C79-1,"n/a")</f>
        <v>-0.09650943396226419</v>
      </c>
      <c r="E81" s="1">
        <f>IFERROR(E79/D79-1,"n/a")</f>
        <v>0.15746058264592255</v>
      </c>
      <c r="F81" s="1">
        <f>IFERROR(F79/E79-1,"n/a")</f>
        <v>-0.08903924221921511</v>
      </c>
      <c r="G81" s="1" t="s">
        <v>38</v>
      </c>
      <c r="H81" s="49">
        <f>IFERROR(H79/F79-1,"n/a")</f>
        <v>0.11657186985007084</v>
      </c>
      <c r="I81" s="2"/>
      <c r="J81" s="45"/>
    </row>
    <row r="82">
      <c r="A82" s="2"/>
      <c r="B82" s="79" t="s">
        <v>63</v>
      </c>
      <c r="C82" s="1" t="s">
        <v>64</v>
      </c>
      <c r="D82" s="1" t="s">
        <v>64</v>
      </c>
      <c r="E82" s="1" t="s">
        <v>64</v>
      </c>
      <c r="F82" s="1" t="s">
        <v>64</v>
      </c>
      <c r="G82" s="1" t="s">
        <v>64</v>
      </c>
      <c r="H82" s="49" t="s">
        <v>64</v>
      </c>
      <c r="I82" s="2"/>
      <c r="J82" s="45"/>
    </row>
    <row r="83">
      <c r="A83" s="2"/>
      <c r="B83" s="79" t="s">
        <v>65</v>
      </c>
      <c r="C83" s="1" t="s">
        <v>64</v>
      </c>
      <c r="D83" s="1" t="s">
        <v>64</v>
      </c>
      <c r="E83" s="1" t="s">
        <v>64</v>
      </c>
      <c r="F83" s="1" t="s">
        <v>64</v>
      </c>
      <c r="G83" s="1" t="s">
        <v>64</v>
      </c>
      <c r="H83" s="49" t="s">
        <v>64</v>
      </c>
      <c r="I83" s="2"/>
      <c r="J83" s="45"/>
    </row>
    <row r="84">
      <c r="A84" s="2"/>
      <c r="B84" s="79" t="s">
        <v>66</v>
      </c>
      <c r="C84" s="1" t="str">
        <f>IF(AND(ISNUMBER(C80),ISNUMBER(C82),ISNUMBER(C83)),(1+C80)/((1+C82)*(1+C83))-1,"n/d")</f>
        <v>n/d</v>
      </c>
      <c r="D84" s="1" t="str">
        <f>IF(AND(ISNUMBER(D80),ISNUMBER(D82),ISNUMBER(D83)),(1+D80)/((1+D82)*(1+D83))-1,"n/d")</f>
        <v>n/d</v>
      </c>
      <c r="E84" s="1" t="str">
        <f>IF(AND(ISNUMBER(E80),ISNUMBER(E82),ISNUMBER(E83)),(1+E80)/((1+E82)*(1+E83))-1,"n/d")</f>
        <v>n/d</v>
      </c>
      <c r="F84" s="1" t="str">
        <f>IF(AND(ISNUMBER(F80),ISNUMBER(F82),ISNUMBER(F83)),(1+F80)/((1+F82)*(1+F83))-1,"n/d")</f>
        <v>n/d</v>
      </c>
      <c r="G84" s="1" t="str">
        <f>IF(AND(ISNUMBER(G80),ISNUMBER(G82),ISNUMBER(G83)),(1+G80)/((1+G82)*(1+G83))-1,"n/d")</f>
        <v>n/d</v>
      </c>
      <c r="H84" s="49" t="str">
        <f>IF(AND(ISNUMBER(H80),ISNUMBER(H82),ISNUMBER(H83)),(1+H80)/((1+H82)*(1+H83))-1,"n/d")</f>
        <v>n/d</v>
      </c>
      <c r="I84" s="2"/>
      <c r="J84" s="45"/>
    </row>
    <row r="85">
      <c r="A85" s="2"/>
      <c r="B85" s="79" t="s">
        <v>67</v>
      </c>
      <c r="C85" s="1">
        <f>C80</f>
        <v>0.15405552531301026</v>
      </c>
      <c r="D85" s="1">
        <f>D80</f>
        <v>0.14873455679501024</v>
      </c>
      <c r="E85" s="1">
        <f>E80</f>
        <v>0.10112247938809982</v>
      </c>
      <c r="F85" s="1">
        <f>F80</f>
        <v>0.07574304889741135</v>
      </c>
      <c r="G85" s="1">
        <f>G80</f>
        <v>0.18542115338597753</v>
      </c>
      <c r="H85" s="49">
        <f>H80</f>
        <v>0.06369271148547306</v>
      </c>
      <c r="I85" s="2"/>
      <c r="J85" s="45"/>
    </row>
    <row r="86">
      <c r="A86" s="2"/>
      <c r="B86" s="66" t="s">
        <v>137</v>
      </c>
      <c r="C86" s="39">
        <v>824</v>
      </c>
      <c r="D86" s="30">
        <f>G86-Inputs!L123</f>
        <v>700</v>
      </c>
      <c r="E86" s="39">
        <v>693</v>
      </c>
      <c r="F86" s="39">
        <v>856</v>
      </c>
      <c r="G86" s="39">
        <v>3102</v>
      </c>
      <c r="H86" s="31">
        <f>'Monthly Build'!G55</f>
        <v>870.9201543209876</v>
      </c>
      <c r="I86" s="2"/>
      <c r="J86" s="45" t="s">
        <v>71</v>
      </c>
    </row>
    <row r="87">
      <c r="A87" s="2"/>
      <c r="B87" s="55" t="s">
        <v>61</v>
      </c>
      <c r="C87" s="18">
        <f>IFERROR(C86/Inputs!C12-1,"n/a")</f>
        <v>0.045685279187817285</v>
      </c>
      <c r="D87" s="18">
        <f>IFERROR(D86/Inputs!D12-1,"n/a")</f>
        <v>-0.026425591098748313</v>
      </c>
      <c r="E87" s="18">
        <f>IFERROR(E86/Inputs!E12-1,"n/a")</f>
        <v>-0.054570259208731264</v>
      </c>
      <c r="F87" s="18">
        <f>IFERROR(F86/Inputs!F12-1,"n/a")</f>
        <v>0.013017751479289963</v>
      </c>
      <c r="G87" s="18">
        <f>IFERROR(G86/Inputs!G12-1,"n/a")</f>
        <v>0.010094431781178859</v>
      </c>
      <c r="H87" s="49">
        <f>IFERROR(H86/C86-1,"n/a")</f>
        <v>0.05694193485556753</v>
      </c>
      <c r="I87" s="2"/>
      <c r="J87" s="45"/>
    </row>
    <row r="88">
      <c r="A88" s="2"/>
      <c r="B88" s="55" t="s">
        <v>62</v>
      </c>
      <c r="C88" s="18">
        <f>IFERROR(C86/Inputs!F12-1,"n/a")</f>
        <v>-0.02485207100591713</v>
      </c>
      <c r="D88" s="1">
        <f>IFERROR(D86/C86-1,"n/a")</f>
        <v>-0.15048543689320393</v>
      </c>
      <c r="E88" s="1">
        <f>IFERROR(E86/D86-1,"n/a")</f>
        <v>-0.010000000000000009</v>
      </c>
      <c r="F88" s="1">
        <f>IFERROR(F86/E86-1,"n/a")</f>
        <v>0.2352092352092352</v>
      </c>
      <c r="G88" s="1" t="s">
        <v>38</v>
      </c>
      <c r="H88" s="49">
        <f>IFERROR(H86/F86-1,"n/a")</f>
        <v>0.017430086823583713</v>
      </c>
      <c r="I88" s="2"/>
      <c r="J88" s="45"/>
    </row>
    <row r="89">
      <c r="A89" s="2"/>
      <c r="B89" s="79" t="s">
        <v>63</v>
      </c>
      <c r="C89" s="1" t="s">
        <v>64</v>
      </c>
      <c r="D89" s="1" t="s">
        <v>64</v>
      </c>
      <c r="E89" s="1" t="s">
        <v>64</v>
      </c>
      <c r="F89" s="1" t="s">
        <v>64</v>
      </c>
      <c r="G89" s="1" t="s">
        <v>64</v>
      </c>
      <c r="H89" s="49" t="s">
        <v>64</v>
      </c>
      <c r="I89" s="2"/>
      <c r="J89" s="45"/>
    </row>
    <row r="90">
      <c r="A90" s="2"/>
      <c r="B90" s="79" t="s">
        <v>65</v>
      </c>
      <c r="C90" s="1" t="s">
        <v>64</v>
      </c>
      <c r="D90" s="1" t="s">
        <v>64</v>
      </c>
      <c r="E90" s="1" t="s">
        <v>64</v>
      </c>
      <c r="F90" s="1" t="s">
        <v>64</v>
      </c>
      <c r="G90" s="1" t="s">
        <v>64</v>
      </c>
      <c r="H90" s="49" t="s">
        <v>64</v>
      </c>
      <c r="I90" s="2"/>
      <c r="J90" s="45"/>
    </row>
    <row r="91">
      <c r="A91" s="2"/>
      <c r="B91" s="79" t="s">
        <v>66</v>
      </c>
      <c r="C91" s="1" t="str">
        <f>IF(AND(ISNUMBER(C87),ISNUMBER(C89),ISNUMBER(C90)),(1+C87)/((1+C89)*(1+C90))-1,"n/d")</f>
        <v>n/d</v>
      </c>
      <c r="D91" s="1" t="str">
        <f>IF(AND(ISNUMBER(D87),ISNUMBER(D89),ISNUMBER(D90)),(1+D87)/((1+D89)*(1+D90))-1,"n/d")</f>
        <v>n/d</v>
      </c>
      <c r="E91" s="1" t="str">
        <f>IF(AND(ISNUMBER(E87),ISNUMBER(E89),ISNUMBER(E90)),(1+E87)/((1+E89)*(1+E90))-1,"n/d")</f>
        <v>n/d</v>
      </c>
      <c r="F91" s="1" t="str">
        <f>IF(AND(ISNUMBER(F87),ISNUMBER(F89),ISNUMBER(F90)),(1+F87)/((1+F89)*(1+F90))-1,"n/d")</f>
        <v>n/d</v>
      </c>
      <c r="G91" s="1" t="str">
        <f>IF(AND(ISNUMBER(G87),ISNUMBER(G89),ISNUMBER(G90)),(1+G87)/((1+G89)*(1+G90))-1,"n/d")</f>
        <v>n/d</v>
      </c>
      <c r="H91" s="49" t="str">
        <f>IF(AND(ISNUMBER(H87),ISNUMBER(H89),ISNUMBER(H90)),(1+H87)/((1+H89)*(1+H90))-1,"n/d")</f>
        <v>n/d</v>
      </c>
      <c r="I91" s="2"/>
      <c r="J91" s="45"/>
    </row>
    <row r="92">
      <c r="A92" s="2"/>
      <c r="B92" s="79" t="s">
        <v>67</v>
      </c>
      <c r="C92" s="1">
        <f>C87</f>
        <v>0.045685279187817285</v>
      </c>
      <c r="D92" s="1">
        <f>D87</f>
        <v>-0.026425591098748313</v>
      </c>
      <c r="E92" s="1">
        <f>E87</f>
        <v>-0.054570259208731264</v>
      </c>
      <c r="F92" s="1">
        <f>F87</f>
        <v>0.013017751479289963</v>
      </c>
      <c r="G92" s="1">
        <f>G87</f>
        <v>0.010094431781178859</v>
      </c>
      <c r="H92" s="49">
        <f>H87</f>
        <v>0.05694193485556753</v>
      </c>
      <c r="I92" s="2"/>
      <c r="J92" s="45"/>
    </row>
    <row r="93">
      <c r="A93" s="2"/>
      <c r="B93" s="21" t="s">
        <v>138</v>
      </c>
      <c r="C93" s="37">
        <f>C72+C79+C86</f>
        <v>19148</v>
      </c>
      <c r="D93" s="37">
        <f>D72+D79+D86</f>
        <v>17424</v>
      </c>
      <c r="E93" s="37">
        <f>E72+E79+E86</f>
        <v>19605</v>
      </c>
      <c r="F93" s="37">
        <f>F72+F79+F86</f>
        <v>18609</v>
      </c>
      <c r="G93" s="37">
        <f>G72+G79+G86</f>
        <v>72558</v>
      </c>
      <c r="H93" s="50">
        <f>H72+H79+H86</f>
        <v>20110.86451003342</v>
      </c>
      <c r="I93" s="2"/>
      <c r="J93" s="45"/>
    </row>
    <row r="94">
      <c r="A94" s="2"/>
      <c r="B94" s="55" t="s">
        <v>61</v>
      </c>
      <c r="C94" s="18">
        <f>IFERROR(C93/Inputs!C15-1,"n/a")</f>
        <v>0.12127422849446634</v>
      </c>
      <c r="D94" s="18">
        <f>IFERROR(D93/Inputs!D15-1,"n/a")</f>
        <v>0.10376282782212076</v>
      </c>
      <c r="E94" s="18">
        <f>IFERROR(E93/Inputs!E15-1,"n/a")</f>
        <v>0.07289443441142662</v>
      </c>
      <c r="F94" s="18">
        <f>IFERROR(F93/Inputs!F15-1,"n/a")</f>
        <v>0.05058431660362439</v>
      </c>
      <c r="G94" s="18">
        <f>IFERROR(G93/Inputs!G15-1,"n/a")</f>
        <v>0.143185757050575</v>
      </c>
      <c r="H94" s="49">
        <f>IFERROR(H93/C93-1,"n/a")</f>
        <v>0.050285382809349466</v>
      </c>
      <c r="I94" s="2"/>
      <c r="J94" s="45"/>
    </row>
    <row r="95">
      <c r="A95" s="2"/>
      <c r="B95" s="55" t="s">
        <v>62</v>
      </c>
      <c r="C95" s="18">
        <f>IFERROR(C93/Inputs!F15-1,"n/a")</f>
        <v>0.08101394456049227</v>
      </c>
      <c r="D95" s="1">
        <f>IFERROR(D93/C93-1,"n/a")</f>
        <v>-0.09003551284729472</v>
      </c>
      <c r="E95" s="1">
        <f>IFERROR(E93/D93-1,"n/a")</f>
        <v>0.12517217630854005</v>
      </c>
      <c r="F95" s="1">
        <f>IFERROR(F93/E93-1,"n/a")</f>
        <v>-0.050803366488140766</v>
      </c>
      <c r="G95" s="1" t="s">
        <v>38</v>
      </c>
      <c r="H95" s="49">
        <f>IFERROR(H93/F93-1,"n/a")</f>
        <v>0.08070635230444534</v>
      </c>
      <c r="I95" s="2"/>
      <c r="J95" s="45"/>
    </row>
    <row r="96">
      <c r="A96" s="2"/>
      <c r="B96" s="79" t="s">
        <v>63</v>
      </c>
      <c r="C96" s="1" t="s">
        <v>64</v>
      </c>
      <c r="D96" s="1" t="s">
        <v>64</v>
      </c>
      <c r="E96" s="1" t="s">
        <v>64</v>
      </c>
      <c r="F96" s="1" t="s">
        <v>64</v>
      </c>
      <c r="G96" s="1" t="s">
        <v>64</v>
      </c>
      <c r="H96" s="49" t="s">
        <v>64</v>
      </c>
      <c r="I96" s="2"/>
      <c r="J96" s="45"/>
    </row>
    <row r="97">
      <c r="A97" s="2"/>
      <c r="B97" s="79" t="s">
        <v>65</v>
      </c>
      <c r="C97" s="1" t="s">
        <v>64</v>
      </c>
      <c r="D97" s="1" t="s">
        <v>64</v>
      </c>
      <c r="E97" s="1" t="s">
        <v>64</v>
      </c>
      <c r="F97" s="1" t="s">
        <v>64</v>
      </c>
      <c r="G97" s="1" t="s">
        <v>64</v>
      </c>
      <c r="H97" s="49" t="s">
        <v>64</v>
      </c>
      <c r="I97" s="2"/>
      <c r="J97" s="45"/>
    </row>
    <row r="98">
      <c r="A98" s="2"/>
      <c r="B98" s="79" t="s">
        <v>66</v>
      </c>
      <c r="C98" s="1" t="str">
        <f>IF(AND(ISNUMBER(C94),ISNUMBER(C96),ISNUMBER(C97)),(1+C94)/((1+C96)*(1+C97))-1,"n/d")</f>
        <v>n/d</v>
      </c>
      <c r="D98" s="1" t="str">
        <f>IF(AND(ISNUMBER(D94),ISNUMBER(D96),ISNUMBER(D97)),(1+D94)/((1+D96)*(1+D97))-1,"n/d")</f>
        <v>n/d</v>
      </c>
      <c r="E98" s="1" t="str">
        <f>IF(AND(ISNUMBER(E94),ISNUMBER(E96),ISNUMBER(E97)),(1+E94)/((1+E96)*(1+E97))-1,"n/d")</f>
        <v>n/d</v>
      </c>
      <c r="F98" s="1" t="str">
        <f>IF(AND(ISNUMBER(F94),ISNUMBER(F96),ISNUMBER(F97)),(1+F94)/((1+F96)*(1+F97))-1,"n/d")</f>
        <v>n/d</v>
      </c>
      <c r="G98" s="1" t="str">
        <f>IF(AND(ISNUMBER(G94),ISNUMBER(G96),ISNUMBER(G97)),(1+G94)/((1+G96)*(1+G97))-1,"n/d")</f>
        <v>n/d</v>
      </c>
      <c r="H98" s="49" t="str">
        <f>IF(AND(ISNUMBER(H94),ISNUMBER(H96),ISNUMBER(H97)),(1+H94)/((1+H96)*(1+H97))-1,"n/d")</f>
        <v>n/d</v>
      </c>
      <c r="I98" s="2"/>
      <c r="J98" s="45"/>
    </row>
    <row r="99">
      <c r="A99" s="2"/>
      <c r="B99" s="79" t="s">
        <v>67</v>
      </c>
      <c r="C99" s="1">
        <f>C94</f>
        <v>0.12127422849446634</v>
      </c>
      <c r="D99" s="1">
        <f>D94</f>
        <v>0.10376282782212076</v>
      </c>
      <c r="E99" s="1">
        <f>E94</f>
        <v>0.07289443441142662</v>
      </c>
      <c r="F99" s="1">
        <f>F94</f>
        <v>0.05058431660362439</v>
      </c>
      <c r="G99" s="1">
        <f>G94</f>
        <v>0.143185757050575</v>
      </c>
      <c r="H99" s="49">
        <f>H94</f>
        <v>0.050285382809349466</v>
      </c>
      <c r="I99" s="2"/>
      <c r="J99" s="45"/>
    </row>
    <row r="100">
      <c r="A100" s="2"/>
      <c r="B100" s="55" t="s">
        <v>139</v>
      </c>
      <c r="C100" s="1">
        <f>C72/C93</f>
        <v>0.4033841654480886</v>
      </c>
      <c r="D100" s="1">
        <f>D72/D93</f>
        <v>0.4101813590449954</v>
      </c>
      <c r="E100" s="1">
        <f>E72/E93</f>
        <v>0.3992348890589135</v>
      </c>
      <c r="F100" s="1">
        <f>F72/F93</f>
        <v>0.4113600945778924</v>
      </c>
      <c r="G100" s="1">
        <f>G72/G93</f>
        <v>0.4110504699688525</v>
      </c>
      <c r="H100" s="49">
        <f>H72/H93</f>
        <v>0.39604471553138526</v>
      </c>
      <c r="I100" s="2"/>
      <c r="J100" s="45"/>
    </row>
    <row r="101">
      <c r="A101" s="2"/>
      <c r="B101" s="79" t="s">
        <v>106</v>
      </c>
      <c r="C101" s="75">
        <f>(C100-Inputs!F92)*10000</f>
        <v>-189.61004765878587</v>
      </c>
      <c r="D101" s="67">
        <f>(D100-C100)*10000</f>
        <v>67.97193596906837</v>
      </c>
      <c r="E101" s="67">
        <f>(E100-D100)*10000</f>
        <v>-109.46469986081897</v>
      </c>
      <c r="F101" s="67">
        <f>(F100-E100)*10000</f>
        <v>121.25205518978888</v>
      </c>
      <c r="G101" s="67" t="s">
        <v>38</v>
      </c>
      <c r="H101" s="85">
        <f>(H100-F100)*10000</f>
        <v>-153.1537904650715</v>
      </c>
      <c r="I101" s="2"/>
      <c r="J101" s="45"/>
    </row>
    <row r="102">
      <c r="A102" s="2"/>
      <c r="B102" s="79" t="s">
        <v>107</v>
      </c>
      <c r="C102" s="75">
        <f>(C100-Inputs!C92)*10000</f>
        <v>-126.13960686478353</v>
      </c>
      <c r="D102" s="75">
        <f>(D100-Inputs!D92)*10000</f>
        <v>-161.45766255904138</v>
      </c>
      <c r="E102" s="75">
        <f>(E100-Inputs!E92)*10000</f>
        <v>-97.29156253843018</v>
      </c>
      <c r="F102" s="75">
        <f>(F100-Inputs!F92)*10000</f>
        <v>-109.8507563607476</v>
      </c>
      <c r="G102" s="75">
        <f>(G100-Inputs!G92)*10000</f>
        <v>-138.27425099683765</v>
      </c>
      <c r="H102" s="85">
        <f>(H100-C100)*10000</f>
        <v>-73.39449916703322</v>
      </c>
      <c r="I102" s="2"/>
      <c r="J102" s="45"/>
    </row>
    <row r="103">
      <c r="A103" s="2"/>
      <c r="B103" s="55" t="s">
        <v>140</v>
      </c>
      <c r="C103" s="1">
        <f>C79/C93</f>
        <v>0.5535826195947358</v>
      </c>
      <c r="D103" s="1">
        <f>D79/D93</f>
        <v>0.5496441689623508</v>
      </c>
      <c r="E103" s="1">
        <f>E79/E93</f>
        <v>0.5654169854628921</v>
      </c>
      <c r="F103" s="1">
        <f>F79/F93</f>
        <v>0.5426406577462518</v>
      </c>
      <c r="G103" s="1">
        <f>G79/G93</f>
        <v>0.5461975247388297</v>
      </c>
      <c r="H103" s="49">
        <f>H79/H93</f>
        <v>0.5606493314159012</v>
      </c>
      <c r="I103" s="2"/>
      <c r="J103" s="45"/>
    </row>
    <row r="104">
      <c r="A104" s="2"/>
      <c r="B104" s="79" t="s">
        <v>106</v>
      </c>
      <c r="C104" s="75">
        <f>(C103-Inputs!F93)*10000</f>
        <v>236.3286517707641</v>
      </c>
      <c r="D104" s="67">
        <f>(D103-C103)*10000</f>
        <v>-39.3845063238496</v>
      </c>
      <c r="E104" s="67">
        <f>(E103-D103)*10000</f>
        <v>157.728165005413</v>
      </c>
      <c r="F104" s="67">
        <f>(F103-E103)*10000</f>
        <v>-227.76327716640287</v>
      </c>
      <c r="G104" s="67" t="s">
        <v>38</v>
      </c>
      <c r="H104" s="85">
        <f>(H103-F103)*10000</f>
        <v>180.08673669649423</v>
      </c>
      <c r="I104" s="2"/>
      <c r="J104" s="45"/>
    </row>
    <row r="105">
      <c r="A105" s="2"/>
      <c r="B105" s="79" t="s">
        <v>107</v>
      </c>
      <c r="C105" s="75">
        <f>(C103-Inputs!C93)*10000</f>
        <v>157.2468201787802</v>
      </c>
      <c r="D105" s="75">
        <f>(D103-Inputs!D93)*10000</f>
        <v>215.17981201043312</v>
      </c>
      <c r="E105" s="75">
        <f>(E103-Inputs!E93)*10000</f>
        <v>144.94859922477232</v>
      </c>
      <c r="F105" s="75">
        <f>(F103-Inputs!F93)*10000</f>
        <v>126.90903328592462</v>
      </c>
      <c r="G105" s="75">
        <f>(G103-Inputs!G93)*10000</f>
        <v>194.60483617039782</v>
      </c>
      <c r="H105" s="85">
        <f>(H103-C103)*10000</f>
        <v>70.66711821165472</v>
      </c>
      <c r="I105" s="2"/>
      <c r="J105" s="45"/>
    </row>
    <row r="106">
      <c r="A106" s="2"/>
      <c r="B106" s="55" t="s">
        <v>141</v>
      </c>
      <c r="C106" s="1">
        <f>C86/C93</f>
        <v>0.043033214957175686</v>
      </c>
      <c r="D106" s="1">
        <f>D86/D93</f>
        <v>0.04017447199265381</v>
      </c>
      <c r="E106" s="1">
        <f>E86/E93</f>
        <v>0.03534812547819434</v>
      </c>
      <c r="F106" s="1">
        <f>F86/F93</f>
        <v>0.04599924767585577</v>
      </c>
      <c r="G106" s="1">
        <f>G86/G93</f>
        <v>0.04275200529231787</v>
      </c>
      <c r="H106" s="49">
        <f>H86/H93</f>
        <v>0.04330595305271341</v>
      </c>
      <c r="I106" s="2"/>
      <c r="J106" s="45"/>
    </row>
    <row r="107">
      <c r="A107" s="2"/>
      <c r="B107" s="79" t="s">
        <v>106</v>
      </c>
      <c r="C107" s="75">
        <f>(C106-Inputs!F94)*10000</f>
        <v>-46.71860411197826</v>
      </c>
      <c r="D107" s="67">
        <f>(D106-C106)*10000</f>
        <v>-28.587429645218766</v>
      </c>
      <c r="E107" s="67">
        <f>(E106-D106)*10000</f>
        <v>-48.263465144594704</v>
      </c>
      <c r="F107" s="67">
        <f>(F106-E106)*10000</f>
        <v>106.51122197661428</v>
      </c>
      <c r="G107" s="67" t="s">
        <v>38</v>
      </c>
      <c r="H107" s="85">
        <f>(H106-F106)*10000</f>
        <v>-26.93294623142356</v>
      </c>
      <c r="I107" s="2"/>
      <c r="J107" s="45"/>
    </row>
    <row r="108">
      <c r="A108" s="2"/>
      <c r="B108" s="79" t="s">
        <v>107</v>
      </c>
      <c r="C108" s="75">
        <f>(C106-Inputs!C94)*10000</f>
        <v>-31.10721331399592</v>
      </c>
      <c r="D108" s="75">
        <f>(D106-Inputs!D94)*10000</f>
        <v>-53.72214945139169</v>
      </c>
      <c r="E108" s="75">
        <f>(E106-Inputs!E94)*10000</f>
        <v>-47.657036686343176</v>
      </c>
      <c r="F108" s="75">
        <f>(F106-Inputs!F94)*10000</f>
        <v>-17.058276925177445</v>
      </c>
      <c r="G108" s="75">
        <f>(G106-Inputs!G94)*10000</f>
        <v>-56.330585173559946</v>
      </c>
      <c r="H108" s="85">
        <f>(H106-C106)*10000</f>
        <v>2.7273809553772512</v>
      </c>
      <c r="I108" s="2"/>
      <c r="J108" s="45"/>
    </row>
    <row r="109">
      <c r="A109" s="2"/>
      <c r="B109" s="2"/>
      <c r="C109" s="5"/>
      <c r="D109" s="5"/>
      <c r="E109" s="5"/>
      <c r="F109" s="5"/>
      <c r="G109" s="5"/>
      <c r="H109" s="20"/>
      <c r="I109" s="2"/>
      <c r="J109" s="45"/>
    </row>
    <row r="110">
      <c r="A110" s="2"/>
      <c r="B110" s="21" t="s">
        <v>142</v>
      </c>
      <c r="C110" s="26"/>
      <c r="D110" s="26"/>
      <c r="E110" s="26"/>
      <c r="F110" s="26"/>
      <c r="G110" s="26"/>
      <c r="H110" s="56"/>
      <c r="I110" s="2"/>
      <c r="J110" s="45"/>
    </row>
    <row r="111">
      <c r="A111" s="2"/>
      <c r="B111" s="2" t="s">
        <v>143</v>
      </c>
      <c r="C111" s="24">
        <f>(C72+C79)*1000/(C14+C25+C36)*365/C$7</f>
        <v>2187.802168613848</v>
      </c>
      <c r="D111" s="24">
        <f>(D72+D79)*1000/(D14+D25+D36)*365/D$7</f>
        <v>1964.3155951777203</v>
      </c>
      <c r="E111" s="24">
        <f>(E72+E79)*1000/(E14+E25+E36)*365/E$7</f>
        <v>2208.490502653882</v>
      </c>
      <c r="F111" s="24">
        <f>(F72+F79)*1000/(F14+F25+F36)*365/F$7</f>
        <v>2021.2633884608679</v>
      </c>
      <c r="G111" s="24">
        <f>(G72+G79)*1000/(G14+G25+G36)*365/G$7</f>
        <v>2056.2496299366453</v>
      </c>
      <c r="H111" s="65">
        <f>(H72+H79)*1000/(H14+H25+H36)*365/H$7</f>
        <v>2134.873106781976</v>
      </c>
      <c r="I111" s="2"/>
      <c r="J111" s="45"/>
    </row>
    <row r="112">
      <c r="A112" s="2"/>
      <c r="B112" s="55" t="s">
        <v>61</v>
      </c>
      <c r="C112" s="18">
        <f>IFERROR(C111/Inputs!C100-1,"n/a")</f>
        <v>-0.008825787277872976</v>
      </c>
      <c r="D112" s="18">
        <f>IFERROR(D111/Inputs!D100-1,"n/a")</f>
        <v>-0.004511928744052707</v>
      </c>
      <c r="E112" s="18">
        <f>IFERROR(E111/Inputs!E100-1,"n/a")</f>
        <v>-0.020352097145209802</v>
      </c>
      <c r="F112" s="18">
        <f>IFERROR(F111/Inputs!F100-1,"n/a")</f>
        <v>-0.028524903959622705</v>
      </c>
      <c r="G112" s="18">
        <f>IFERROR(G111/Inputs!G100-1,"n/a")</f>
        <v>0.03416760832174126</v>
      </c>
      <c r="H112" s="49">
        <f>IFERROR(H111/C111-1,"n/a")</f>
        <v>-0.024192800697975025</v>
      </c>
      <c r="I112" s="2"/>
      <c r="J112" s="45"/>
    </row>
    <row r="113">
      <c r="A113" s="2"/>
      <c r="B113" s="55" t="s">
        <v>144</v>
      </c>
      <c r="C113" s="70">
        <f>C111-Inputs!F100</f>
        <v>107.18950370940638</v>
      </c>
      <c r="D113" s="42">
        <f>D111-C111</f>
        <v>-223.48657343612786</v>
      </c>
      <c r="E113" s="42">
        <f>E111-D111</f>
        <v>244.17490747616148</v>
      </c>
      <c r="F113" s="42">
        <f>F111-E111</f>
        <v>-187.2271141930139</v>
      </c>
      <c r="G113" s="42" t="s">
        <v>38</v>
      </c>
      <c r="H113" s="57">
        <f>H111-F111</f>
        <v>113.60971832110795</v>
      </c>
      <c r="I113" s="2"/>
      <c r="J113" s="45"/>
    </row>
    <row r="114">
      <c r="A114" s="2"/>
      <c r="B114" s="2" t="s">
        <v>145</v>
      </c>
      <c r="C114" s="24">
        <f>C86*1000/C47*365/C$7</f>
        <v>895.4068569659296</v>
      </c>
      <c r="D114" s="24">
        <f>D86*1000/D47*365/D$7</f>
        <v>760.8695652173913</v>
      </c>
      <c r="E114" s="24">
        <f>E86*1000/E47*365/E$7</f>
        <v>772.1153846153845</v>
      </c>
      <c r="F114" s="24">
        <f>F86*1000/F47*365/F$7</f>
        <v>945.5815459671147</v>
      </c>
      <c r="G114" s="24">
        <f>G86*1000/G47*365/G$7</f>
        <v>849.8630136986301</v>
      </c>
      <c r="H114" s="65">
        <f>H86*1000/H47*365/H$7</f>
        <v>946.1339121123639</v>
      </c>
      <c r="I114" s="2"/>
      <c r="J114" s="45"/>
    </row>
    <row r="115">
      <c r="A115" s="2"/>
      <c r="B115" s="55" t="s">
        <v>61</v>
      </c>
      <c r="C115" s="18">
        <f>IFERROR(C114/Inputs!C101-1,"n/a")</f>
        <v>-0.009019154754903447</v>
      </c>
      <c r="D115" s="18">
        <f>IFERROR(D114/Inputs!D101-1,"n/a")</f>
        <v>-0.06190104216282144</v>
      </c>
      <c r="E115" s="18">
        <f>IFERROR(E114/Inputs!E101-1,"n/a")</f>
        <v>-0.07119319970616023</v>
      </c>
      <c r="F115" s="18">
        <f>IFERROR(F114/Inputs!F101-1,"n/a")</f>
        <v>0.006600949418143376</v>
      </c>
      <c r="G115" s="18">
        <f>IFERROR(G114/Inputs!G101-1,"n/a")</f>
        <v>-0.024045205729981256</v>
      </c>
      <c r="H115" s="49">
        <f>IFERROR(H114/C114-1,"n/a")</f>
        <v>0.05665252030604506</v>
      </c>
      <c r="I115" s="2"/>
      <c r="J115" s="45"/>
    </row>
    <row r="116">
      <c r="A116" s="2"/>
      <c r="B116" s="55" t="s">
        <v>144</v>
      </c>
      <c r="C116" s="70">
        <f>C114-Inputs!F101</f>
        <v>-43.97388424407984</v>
      </c>
      <c r="D116" s="42">
        <f>D114-C114</f>
        <v>-134.53729174853834</v>
      </c>
      <c r="E116" s="42">
        <f>E114-D114</f>
        <v>11.245819397993273</v>
      </c>
      <c r="F116" s="42">
        <f>F114-E114</f>
        <v>173.4661613517302</v>
      </c>
      <c r="G116" s="42" t="s">
        <v>38</v>
      </c>
      <c r="H116" s="57">
        <f>H114-F114</f>
        <v>0.5523661452491524</v>
      </c>
      <c r="I116" s="2"/>
      <c r="J116" s="45"/>
    </row>
    <row r="117">
      <c r="A117" s="2"/>
      <c r="B117" s="72" t="s">
        <v>146</v>
      </c>
      <c r="C117" s="3">
        <v>-0.04</v>
      </c>
      <c r="D117" s="1" t="s">
        <v>64</v>
      </c>
      <c r="E117" s="3">
        <v>-0.04</v>
      </c>
      <c r="F117" s="3">
        <v>-0.04</v>
      </c>
      <c r="G117" s="1" t="s">
        <v>64</v>
      </c>
      <c r="H117" s="49" t="s">
        <v>64</v>
      </c>
      <c r="I117" s="2"/>
      <c r="J117" s="45" t="s">
        <v>147</v>
      </c>
    </row>
    <row r="118">
      <c r="A118" s="2"/>
      <c r="B118" s="72" t="s">
        <v>148</v>
      </c>
      <c r="C118" s="3">
        <v>-0.05</v>
      </c>
      <c r="D118" s="1" t="s">
        <v>64</v>
      </c>
      <c r="E118" s="3">
        <v>0</v>
      </c>
      <c r="F118" s="3">
        <v>0.02</v>
      </c>
      <c r="G118" s="1" t="s">
        <v>64</v>
      </c>
      <c r="H118" s="49" t="s">
        <v>64</v>
      </c>
      <c r="I118" s="2"/>
      <c r="J118" s="45" t="s">
        <v>147</v>
      </c>
    </row>
    <row r="119">
      <c r="A119" s="2"/>
      <c r="B119" s="72" t="s">
        <v>149</v>
      </c>
      <c r="C119" s="3">
        <v>0.19</v>
      </c>
      <c r="D119" s="1" t="s">
        <v>64</v>
      </c>
      <c r="E119" s="3">
        <v>0.13</v>
      </c>
      <c r="F119" s="3">
        <v>0.09</v>
      </c>
      <c r="G119" s="1" t="s">
        <v>64</v>
      </c>
      <c r="H119" s="49" t="s">
        <v>64</v>
      </c>
      <c r="I119" s="2"/>
      <c r="J119" s="45" t="s">
        <v>147</v>
      </c>
    </row>
    <row r="120">
      <c r="A120" s="2"/>
      <c r="B120" s="72" t="s">
        <v>150</v>
      </c>
      <c r="C120" s="3">
        <v>-0.05</v>
      </c>
      <c r="D120" s="1" t="s">
        <v>64</v>
      </c>
      <c r="E120" s="3">
        <v>-0.06</v>
      </c>
      <c r="F120" s="3">
        <v>-0.06</v>
      </c>
      <c r="G120" s="1" t="s">
        <v>64</v>
      </c>
      <c r="H120" s="49" t="s">
        <v>64</v>
      </c>
      <c r="I120" s="2"/>
      <c r="J120" s="45" t="s">
        <v>147</v>
      </c>
    </row>
    <row r="121">
      <c r="A121" s="2"/>
      <c r="B121" s="72" t="s">
        <v>151</v>
      </c>
      <c r="C121" s="3">
        <v>0.01</v>
      </c>
      <c r="D121" s="1" t="s">
        <v>64</v>
      </c>
      <c r="E121" s="3">
        <v>0</v>
      </c>
      <c r="F121" s="3">
        <v>0</v>
      </c>
      <c r="G121" s="1" t="s">
        <v>64</v>
      </c>
      <c r="H121" s="49" t="s">
        <v>64</v>
      </c>
      <c r="I121" s="2"/>
      <c r="J121" s="45" t="s">
        <v>147</v>
      </c>
    </row>
    <row r="122">
      <c r="A122" s="2"/>
      <c r="B122" s="72" t="s">
        <v>152</v>
      </c>
      <c r="C122" s="3">
        <v>0</v>
      </c>
      <c r="D122" s="1" t="s">
        <v>64</v>
      </c>
      <c r="E122" s="3">
        <v>0.04</v>
      </c>
      <c r="F122" s="3">
        <v>0.01</v>
      </c>
      <c r="G122" s="1" t="s">
        <v>64</v>
      </c>
      <c r="H122" s="49" t="s">
        <v>64</v>
      </c>
      <c r="I122" s="2"/>
      <c r="J122" s="45" t="s">
        <v>147</v>
      </c>
    </row>
    <row r="123">
      <c r="A123" s="2"/>
      <c r="B123" s="72" t="s">
        <v>153</v>
      </c>
      <c r="C123" s="3">
        <v>0.21</v>
      </c>
      <c r="D123" s="1" t="s">
        <v>64</v>
      </c>
      <c r="E123" s="3">
        <v>0.15</v>
      </c>
      <c r="F123" s="3">
        <v>0.13</v>
      </c>
      <c r="G123" s="1" t="s">
        <v>64</v>
      </c>
      <c r="H123" s="49" t="s">
        <v>64</v>
      </c>
      <c r="I123" s="2"/>
      <c r="J123" s="45" t="s">
        <v>147</v>
      </c>
    </row>
    <row r="124">
      <c r="A124" s="2"/>
      <c r="B124" s="72" t="s">
        <v>154</v>
      </c>
      <c r="C124" s="3">
        <v>-0.06</v>
      </c>
      <c r="D124" s="1" t="s">
        <v>64</v>
      </c>
      <c r="E124" s="3">
        <v>-0.08</v>
      </c>
      <c r="F124" s="3">
        <v>-0.09</v>
      </c>
      <c r="G124" s="1" t="s">
        <v>64</v>
      </c>
      <c r="H124" s="49" t="s">
        <v>64</v>
      </c>
      <c r="I124" s="2"/>
      <c r="J124" s="45" t="s">
        <v>147</v>
      </c>
    </row>
    <row r="125">
      <c r="A125" s="2"/>
      <c r="B125" s="72" t="s">
        <v>155</v>
      </c>
      <c r="C125" s="3">
        <v>-0.05</v>
      </c>
      <c r="D125" s="1" t="s">
        <v>64</v>
      </c>
      <c r="E125" s="3">
        <v>-0.07</v>
      </c>
      <c r="F125" s="3">
        <v>-0.02</v>
      </c>
      <c r="G125" s="1" t="s">
        <v>64</v>
      </c>
      <c r="H125" s="49" t="s">
        <v>64</v>
      </c>
      <c r="I125" s="2"/>
      <c r="J125" s="45" t="s">
        <v>147</v>
      </c>
    </row>
    <row r="126">
      <c r="A126" s="2"/>
      <c r="B126" s="72" t="s">
        <v>156</v>
      </c>
      <c r="C126" s="3">
        <v>-0.04</v>
      </c>
      <c r="D126" s="1" t="s">
        <v>64</v>
      </c>
      <c r="E126" s="3">
        <v>-0.03</v>
      </c>
      <c r="F126" s="3">
        <v>0</v>
      </c>
      <c r="G126" s="1" t="s">
        <v>64</v>
      </c>
      <c r="H126" s="49" t="s">
        <v>64</v>
      </c>
      <c r="I126" s="2"/>
      <c r="J126" s="45" t="s">
        <v>147</v>
      </c>
    </row>
    <row r="127">
      <c r="A127" s="2"/>
      <c r="B127" s="72" t="s">
        <v>157</v>
      </c>
      <c r="C127" s="3">
        <v>0.13</v>
      </c>
      <c r="D127" s="1" t="s">
        <v>64</v>
      </c>
      <c r="E127" s="3">
        <v>0.01</v>
      </c>
      <c r="F127" s="3">
        <v>0.01</v>
      </c>
      <c r="G127" s="1" t="s">
        <v>64</v>
      </c>
      <c r="H127" s="49" t="s">
        <v>64</v>
      </c>
      <c r="I127" s="2"/>
      <c r="J127" s="45" t="s">
        <v>147</v>
      </c>
    </row>
    <row r="128">
      <c r="A128" s="2"/>
      <c r="B128" s="72" t="s">
        <v>158</v>
      </c>
      <c r="C128" s="3">
        <v>-0.15</v>
      </c>
      <c r="D128" s="1" t="s">
        <v>64</v>
      </c>
      <c r="E128" s="3">
        <v>-0.08</v>
      </c>
      <c r="F128" s="3">
        <v>-0.08</v>
      </c>
      <c r="G128" s="1" t="s">
        <v>64</v>
      </c>
      <c r="H128" s="49" t="s">
        <v>64</v>
      </c>
      <c r="I128" s="2"/>
      <c r="J128" s="45" t="s">
        <v>147</v>
      </c>
    </row>
    <row r="129">
      <c r="A129" s="2"/>
      <c r="B129" s="2"/>
      <c r="C129" s="5"/>
      <c r="D129" s="5"/>
      <c r="E129" s="5"/>
      <c r="F129" s="5"/>
      <c r="G129" s="5"/>
      <c r="H129" s="20"/>
      <c r="I129" s="2"/>
      <c r="J129" s="45"/>
    </row>
    <row r="130">
      <c r="A130" s="2"/>
      <c r="B130" s="21" t="s">
        <v>159</v>
      </c>
      <c r="C130" s="26"/>
      <c r="D130" s="26"/>
      <c r="E130" s="26"/>
      <c r="F130" s="26"/>
      <c r="G130" s="26"/>
      <c r="H130" s="56"/>
      <c r="I130" s="2"/>
      <c r="J130" s="45"/>
    </row>
    <row r="131">
      <c r="A131" s="2"/>
      <c r="B131" s="66" t="s">
        <v>135</v>
      </c>
      <c r="C131" s="39">
        <v>7480</v>
      </c>
      <c r="D131" s="30">
        <f>G131-Inputs!L126</f>
        <v>7574</v>
      </c>
      <c r="E131" s="39">
        <v>7480</v>
      </c>
      <c r="F131" s="39">
        <v>7632</v>
      </c>
      <c r="G131" s="39">
        <v>29382</v>
      </c>
      <c r="H131" s="31">
        <f>'Monthly Build'!G66</f>
        <v>7722.24036549616</v>
      </c>
      <c r="I131" s="2"/>
      <c r="J131" s="45" t="s">
        <v>71</v>
      </c>
    </row>
    <row r="132">
      <c r="A132" s="2"/>
      <c r="B132" s="55" t="s">
        <v>61</v>
      </c>
      <c r="C132" s="18">
        <f>IFERROR(C131/Inputs!C17-1,"n/a")</f>
        <v>0.1285455642727822</v>
      </c>
      <c r="D132" s="18">
        <f>IFERROR(D131/Inputs!D17-1,"n/a")</f>
        <v>0.09119723382797873</v>
      </c>
      <c r="E132" s="18">
        <f>IFERROR(E131/Inputs!E17-1,"n/a")</f>
        <v>0.06461713635069732</v>
      </c>
      <c r="F132" s="18">
        <f>IFERROR(F131/Inputs!F17-1,"n/a")</f>
        <v>0.04519309778142966</v>
      </c>
      <c r="G132" s="18">
        <f>IFERROR(G131/Inputs!G17-1,"n/a")</f>
        <v>0.14594383775351005</v>
      </c>
      <c r="H132" s="49">
        <f>IFERROR(H131/C131-1,"n/a")</f>
        <v>0.03238507560109083</v>
      </c>
      <c r="I132" s="2"/>
      <c r="J132" s="45"/>
    </row>
    <row r="133">
      <c r="A133" s="2"/>
      <c r="B133" s="55" t="s">
        <v>62</v>
      </c>
      <c r="C133" s="18">
        <f>IFERROR(C131/Inputs!F17-1,"n/a")</f>
        <v>0.024376883045740927</v>
      </c>
      <c r="D133" s="1">
        <f>IFERROR(D131/C131-1,"n/a")</f>
        <v>0.012566844919785991</v>
      </c>
      <c r="E133" s="1">
        <f>IFERROR(E131/D131-1,"n/a")</f>
        <v>-0.012410879324003199</v>
      </c>
      <c r="F133" s="1">
        <f>IFERROR(F131/E131-1,"n/a")</f>
        <v>0.02032085561497321</v>
      </c>
      <c r="G133" s="1" t="s">
        <v>38</v>
      </c>
      <c r="H133" s="49">
        <f>IFERROR(H131/F131-1,"n/a")</f>
        <v>0.011823947261027312</v>
      </c>
      <c r="I133" s="2"/>
      <c r="J133" s="45"/>
    </row>
    <row r="134">
      <c r="A134" s="2"/>
      <c r="B134" s="79" t="s">
        <v>63</v>
      </c>
      <c r="C134" s="1" t="s">
        <v>64</v>
      </c>
      <c r="D134" s="1" t="s">
        <v>64</v>
      </c>
      <c r="E134" s="1" t="s">
        <v>64</v>
      </c>
      <c r="F134" s="1" t="s">
        <v>64</v>
      </c>
      <c r="G134" s="1" t="s">
        <v>64</v>
      </c>
      <c r="H134" s="49" t="s">
        <v>64</v>
      </c>
      <c r="I134" s="2"/>
      <c r="J134" s="45"/>
    </row>
    <row r="135">
      <c r="A135" s="2"/>
      <c r="B135" s="79" t="s">
        <v>65</v>
      </c>
      <c r="C135" s="1" t="s">
        <v>64</v>
      </c>
      <c r="D135" s="1" t="s">
        <v>64</v>
      </c>
      <c r="E135" s="1" t="s">
        <v>64</v>
      </c>
      <c r="F135" s="1" t="s">
        <v>64</v>
      </c>
      <c r="G135" s="1" t="s">
        <v>64</v>
      </c>
      <c r="H135" s="49" t="s">
        <v>64</v>
      </c>
      <c r="I135" s="2"/>
      <c r="J135" s="45"/>
    </row>
    <row r="136">
      <c r="A136" s="2"/>
      <c r="B136" s="79" t="s">
        <v>66</v>
      </c>
      <c r="C136" s="1" t="str">
        <f>IF(AND(ISNUMBER(C132),ISNUMBER(C134),ISNUMBER(C135)),(1+C132)/((1+C134)*(1+C135))-1,"n/d")</f>
        <v>n/d</v>
      </c>
      <c r="D136" s="1" t="str">
        <f>IF(AND(ISNUMBER(D132),ISNUMBER(D134),ISNUMBER(D135)),(1+D132)/((1+D134)*(1+D135))-1,"n/d")</f>
        <v>n/d</v>
      </c>
      <c r="E136" s="1" t="str">
        <f>IF(AND(ISNUMBER(E132),ISNUMBER(E134),ISNUMBER(E135)),(1+E132)/((1+E134)*(1+E135))-1,"n/d")</f>
        <v>n/d</v>
      </c>
      <c r="F136" s="1" t="str">
        <f>IF(AND(ISNUMBER(F132),ISNUMBER(F134),ISNUMBER(F135)),(1+F132)/((1+F134)*(1+F135))-1,"n/d")</f>
        <v>n/d</v>
      </c>
      <c r="G136" s="1" t="str">
        <f>IF(AND(ISNUMBER(G132),ISNUMBER(G134),ISNUMBER(G135)),(1+G132)/((1+G134)*(1+G135))-1,"n/d")</f>
        <v>n/d</v>
      </c>
      <c r="H136" s="49" t="str">
        <f>IF(AND(ISNUMBER(H132),ISNUMBER(H134),ISNUMBER(H135)),(1+H132)/((1+H134)*(1+H135))-1,"n/d")</f>
        <v>n/d</v>
      </c>
      <c r="I136" s="2"/>
      <c r="J136" s="45"/>
    </row>
    <row r="137">
      <c r="A137" s="2"/>
      <c r="B137" s="79" t="s">
        <v>67</v>
      </c>
      <c r="C137" s="1">
        <f>C132</f>
        <v>0.1285455642727822</v>
      </c>
      <c r="D137" s="1">
        <f>D132</f>
        <v>0.09119723382797873</v>
      </c>
      <c r="E137" s="1">
        <f>E132</f>
        <v>0.06461713635069732</v>
      </c>
      <c r="F137" s="1">
        <f>F132</f>
        <v>0.04519309778142966</v>
      </c>
      <c r="G137" s="1">
        <f>G132</f>
        <v>0.14594383775351005</v>
      </c>
      <c r="H137" s="49">
        <f>H132</f>
        <v>0.03238507560109083</v>
      </c>
      <c r="I137" s="2"/>
      <c r="J137" s="45"/>
    </row>
    <row r="138">
      <c r="A138" s="2"/>
      <c r="B138" s="66" t="s">
        <v>136</v>
      </c>
      <c r="C138" s="39">
        <v>9819</v>
      </c>
      <c r="D138" s="30">
        <f>G138-Inputs!L127</f>
        <v>10087</v>
      </c>
      <c r="E138" s="39">
        <v>10134</v>
      </c>
      <c r="F138" s="39">
        <v>10471</v>
      </c>
      <c r="G138" s="39">
        <v>38280</v>
      </c>
      <c r="H138" s="31">
        <f>'Monthly Build'!G68</f>
        <v>10613.266111052755</v>
      </c>
      <c r="I138" s="2"/>
      <c r="J138" s="45" t="s">
        <v>71</v>
      </c>
    </row>
    <row r="139">
      <c r="A139" s="2"/>
      <c r="B139" s="55" t="s">
        <v>61</v>
      </c>
      <c r="C139" s="18">
        <f>IFERROR(C138/Inputs!C18-1,"n/a")</f>
        <v>0.2003667481662592</v>
      </c>
      <c r="D139" s="18">
        <f>IFERROR(D138/Inputs!D18-1,"n/a")</f>
        <v>0.16451166012468255</v>
      </c>
      <c r="E139" s="18">
        <f>IFERROR(E138/Inputs!E18-1,"n/a")</f>
        <v>0.137629097440503</v>
      </c>
      <c r="F139" s="18">
        <f>IFERROR(F138/Inputs!F18-1,"n/a")</f>
        <v>0.10616944855271493</v>
      </c>
      <c r="G139" s="18">
        <f>IFERROR(G138/Inputs!G18-1,"n/a")</f>
        <v>0.2168605760061033</v>
      </c>
      <c r="H139" s="49">
        <f>IFERROR(H138/C138-1,"n/a")</f>
        <v>0.08089073337944352</v>
      </c>
      <c r="I139" s="2"/>
      <c r="J139" s="45"/>
    </row>
    <row r="140">
      <c r="A140" s="2"/>
      <c r="B140" s="55" t="s">
        <v>62</v>
      </c>
      <c r="C140" s="18">
        <f>IFERROR(C138/Inputs!F18-1,"n/a")</f>
        <v>0.03729135854637655</v>
      </c>
      <c r="D140" s="1">
        <f>IFERROR(D138/C138-1,"n/a")</f>
        <v>0.02729402179448015</v>
      </c>
      <c r="E140" s="1">
        <f>IFERROR(E138/D138-1,"n/a")</f>
        <v>0.004659462674729831</v>
      </c>
      <c r="F140" s="1">
        <f>IFERROR(F138/E138-1,"n/a")</f>
        <v>0.03325439115847639</v>
      </c>
      <c r="G140" s="1" t="s">
        <v>38</v>
      </c>
      <c r="H140" s="49">
        <f>IFERROR(H138/F138-1,"n/a")</f>
        <v>0.01358667854576967</v>
      </c>
      <c r="I140" s="2"/>
      <c r="J140" s="45"/>
    </row>
    <row r="141">
      <c r="A141" s="2"/>
      <c r="B141" s="79" t="s">
        <v>63</v>
      </c>
      <c r="C141" s="1" t="s">
        <v>64</v>
      </c>
      <c r="D141" s="1" t="s">
        <v>64</v>
      </c>
      <c r="E141" s="1" t="s">
        <v>64</v>
      </c>
      <c r="F141" s="1" t="s">
        <v>64</v>
      </c>
      <c r="G141" s="1" t="s">
        <v>64</v>
      </c>
      <c r="H141" s="49" t="s">
        <v>64</v>
      </c>
      <c r="I141" s="2"/>
      <c r="J141" s="45"/>
    </row>
    <row r="142">
      <c r="A142" s="2"/>
      <c r="B142" s="79" t="s">
        <v>65</v>
      </c>
      <c r="C142" s="1" t="s">
        <v>64</v>
      </c>
      <c r="D142" s="1" t="s">
        <v>64</v>
      </c>
      <c r="E142" s="1" t="s">
        <v>64</v>
      </c>
      <c r="F142" s="1" t="s">
        <v>64</v>
      </c>
      <c r="G142" s="1" t="s">
        <v>64</v>
      </c>
      <c r="H142" s="49" t="s">
        <v>64</v>
      </c>
      <c r="I142" s="2"/>
      <c r="J142" s="45"/>
    </row>
    <row r="143">
      <c r="A143" s="2"/>
      <c r="B143" s="79" t="s">
        <v>66</v>
      </c>
      <c r="C143" s="1" t="str">
        <f>IF(AND(ISNUMBER(C139),ISNUMBER(C141),ISNUMBER(C142)),(1+C139)/((1+C141)*(1+C142))-1,"n/d")</f>
        <v>n/d</v>
      </c>
      <c r="D143" s="1" t="str">
        <f>IF(AND(ISNUMBER(D139),ISNUMBER(D141),ISNUMBER(D142)),(1+D139)/((1+D141)*(1+D142))-1,"n/d")</f>
        <v>n/d</v>
      </c>
      <c r="E143" s="1" t="str">
        <f>IF(AND(ISNUMBER(E139),ISNUMBER(E141),ISNUMBER(E142)),(1+E139)/((1+E141)*(1+E142))-1,"n/d")</f>
        <v>n/d</v>
      </c>
      <c r="F143" s="1" t="str">
        <f>IF(AND(ISNUMBER(F139),ISNUMBER(F141),ISNUMBER(F142)),(1+F139)/((1+F141)*(1+F142))-1,"n/d")</f>
        <v>n/d</v>
      </c>
      <c r="G143" s="1" t="str">
        <f>IF(AND(ISNUMBER(G139),ISNUMBER(G141),ISNUMBER(G142)),(1+G139)/((1+G141)*(1+G142))-1,"n/d")</f>
        <v>n/d</v>
      </c>
      <c r="H143" s="49" t="str">
        <f>IF(AND(ISNUMBER(H139),ISNUMBER(H141),ISNUMBER(H142)),(1+H139)/((1+H141)*(1+H142))-1,"n/d")</f>
        <v>n/d</v>
      </c>
      <c r="I143" s="2"/>
      <c r="J143" s="45"/>
    </row>
    <row r="144">
      <c r="A144" s="2"/>
      <c r="B144" s="79" t="s">
        <v>67</v>
      </c>
      <c r="C144" s="1">
        <f>C139</f>
        <v>0.2003667481662592</v>
      </c>
      <c r="D144" s="1">
        <f>D139</f>
        <v>0.16451166012468255</v>
      </c>
      <c r="E144" s="1">
        <f>E139</f>
        <v>0.137629097440503</v>
      </c>
      <c r="F144" s="1">
        <f>F139</f>
        <v>0.10616944855271493</v>
      </c>
      <c r="G144" s="1">
        <f>G139</f>
        <v>0.2168605760061033</v>
      </c>
      <c r="H144" s="49">
        <f>H139</f>
        <v>0.08089073337944352</v>
      </c>
      <c r="I144" s="2"/>
      <c r="J144" s="45"/>
    </row>
    <row r="145">
      <c r="A145" s="2"/>
      <c r="B145" s="66" t="s">
        <v>137</v>
      </c>
      <c r="C145" s="39">
        <v>790</v>
      </c>
      <c r="D145" s="30">
        <f>G145-Inputs!L128</f>
        <v>774</v>
      </c>
      <c r="E145" s="39">
        <v>770</v>
      </c>
      <c r="F145" s="39">
        <v>777</v>
      </c>
      <c r="G145" s="39">
        <v>3116</v>
      </c>
      <c r="H145" s="31">
        <f>'Monthly Build'!G70</f>
        <v>793.175575308642</v>
      </c>
      <c r="I145" s="2"/>
      <c r="J145" s="45" t="s">
        <v>71</v>
      </c>
    </row>
    <row r="146">
      <c r="A146" s="2"/>
      <c r="B146" s="55" t="s">
        <v>61</v>
      </c>
      <c r="C146" s="18">
        <f>IFERROR(C145/Inputs!C19-1,"n/a")</f>
        <v>0.036745406824147064</v>
      </c>
      <c r="D146" s="18">
        <f>IFERROR(D145/Inputs!D19-1,"n/a")</f>
        <v>-0.010230179028132946</v>
      </c>
      <c r="E146" s="18">
        <f>IFERROR(E145/Inputs!E19-1,"n/a")</f>
        <v>-0.0077319587628865705</v>
      </c>
      <c r="F146" s="18">
        <f>IFERROR(F145/Inputs!F19-1,"n/a")</f>
        <v>0.0012886597938144284</v>
      </c>
      <c r="G146" s="18">
        <f>IFERROR(G145/Inputs!G19-1,"n/a")</f>
        <v>0.041095890410958846</v>
      </c>
      <c r="H146" s="49">
        <f>IFERROR(H145/C145-1,"n/a")</f>
        <v>0.004019715580559469</v>
      </c>
      <c r="I146" s="2"/>
      <c r="J146" s="45"/>
    </row>
    <row r="147">
      <c r="A147" s="2"/>
      <c r="B147" s="55" t="s">
        <v>62</v>
      </c>
      <c r="C147" s="18">
        <f>IFERROR(C145/Inputs!F19-1,"n/a")</f>
        <v>0.018041237113401998</v>
      </c>
      <c r="D147" s="1">
        <f>IFERROR(D145/C145-1,"n/a")</f>
        <v>-0.020253164556962022</v>
      </c>
      <c r="E147" s="1">
        <f>IFERROR(E145/D145-1,"n/a")</f>
        <v>-0.0051679586563307955</v>
      </c>
      <c r="F147" s="1">
        <f>IFERROR(F145/E145-1,"n/a")</f>
        <v>0.009090909090909038</v>
      </c>
      <c r="G147" s="1" t="s">
        <v>38</v>
      </c>
      <c r="H147" s="49">
        <f>IFERROR(H145/F145-1,"n/a")</f>
        <v>0.020817986240208475</v>
      </c>
      <c r="I147" s="2"/>
      <c r="J147" s="45"/>
    </row>
    <row r="148">
      <c r="A148" s="2"/>
      <c r="B148" s="79" t="s">
        <v>63</v>
      </c>
      <c r="C148" s="1" t="s">
        <v>64</v>
      </c>
      <c r="D148" s="1" t="s">
        <v>64</v>
      </c>
      <c r="E148" s="1" t="s">
        <v>64</v>
      </c>
      <c r="F148" s="1" t="s">
        <v>64</v>
      </c>
      <c r="G148" s="1" t="s">
        <v>64</v>
      </c>
      <c r="H148" s="49" t="s">
        <v>64</v>
      </c>
      <c r="I148" s="2"/>
      <c r="J148" s="45"/>
    </row>
    <row r="149">
      <c r="A149" s="2"/>
      <c r="B149" s="79" t="s">
        <v>65</v>
      </c>
      <c r="C149" s="1" t="s">
        <v>64</v>
      </c>
      <c r="D149" s="1" t="s">
        <v>64</v>
      </c>
      <c r="E149" s="1" t="s">
        <v>64</v>
      </c>
      <c r="F149" s="1" t="s">
        <v>64</v>
      </c>
      <c r="G149" s="1" t="s">
        <v>64</v>
      </c>
      <c r="H149" s="49" t="s">
        <v>64</v>
      </c>
      <c r="I149" s="2"/>
      <c r="J149" s="45"/>
    </row>
    <row r="150">
      <c r="A150" s="2"/>
      <c r="B150" s="79" t="s">
        <v>66</v>
      </c>
      <c r="C150" s="1" t="str">
        <f>IF(AND(ISNUMBER(C146),ISNUMBER(C148),ISNUMBER(C149)),(1+C146)/((1+C148)*(1+C149))-1,"n/d")</f>
        <v>n/d</v>
      </c>
      <c r="D150" s="1" t="str">
        <f>IF(AND(ISNUMBER(D146),ISNUMBER(D148),ISNUMBER(D149)),(1+D146)/((1+D148)*(1+D149))-1,"n/d")</f>
        <v>n/d</v>
      </c>
      <c r="E150" s="1" t="str">
        <f>IF(AND(ISNUMBER(E146),ISNUMBER(E148),ISNUMBER(E149)),(1+E146)/((1+E148)*(1+E149))-1,"n/d")</f>
        <v>n/d</v>
      </c>
      <c r="F150" s="1" t="str">
        <f>IF(AND(ISNUMBER(F146),ISNUMBER(F148),ISNUMBER(F149)),(1+F146)/((1+F148)*(1+F149))-1,"n/d")</f>
        <v>n/d</v>
      </c>
      <c r="G150" s="1" t="str">
        <f>IF(AND(ISNUMBER(G146),ISNUMBER(G148),ISNUMBER(G149)),(1+G146)/((1+G148)*(1+G149))-1,"n/d")</f>
        <v>n/d</v>
      </c>
      <c r="H150" s="49" t="str">
        <f>IF(AND(ISNUMBER(H146),ISNUMBER(H148),ISNUMBER(H149)),(1+H146)/((1+H148)*(1+H149))-1,"n/d")</f>
        <v>n/d</v>
      </c>
      <c r="I150" s="2"/>
      <c r="J150" s="45"/>
    </row>
    <row r="151">
      <c r="A151" s="2"/>
      <c r="B151" s="79" t="s">
        <v>67</v>
      </c>
      <c r="C151" s="1">
        <f>C146</f>
        <v>0.036745406824147064</v>
      </c>
      <c r="D151" s="1">
        <f>D146</f>
        <v>-0.010230179028132946</v>
      </c>
      <c r="E151" s="1">
        <f>E146</f>
        <v>-0.0077319587628865705</v>
      </c>
      <c r="F151" s="1">
        <f>F146</f>
        <v>0.0012886597938144284</v>
      </c>
      <c r="G151" s="1">
        <f>G146</f>
        <v>0.041095890410958846</v>
      </c>
      <c r="H151" s="49">
        <f>H146</f>
        <v>0.004019715580559469</v>
      </c>
      <c r="I151" s="2"/>
      <c r="J151" s="45"/>
    </row>
    <row r="152">
      <c r="A152" s="2"/>
      <c r="B152" s="21" t="s">
        <v>160</v>
      </c>
      <c r="C152" s="37">
        <f>C131+C138+C145</f>
        <v>18089</v>
      </c>
      <c r="D152" s="37">
        <f>D131+D138+D145</f>
        <v>18435</v>
      </c>
      <c r="E152" s="37">
        <f>E131+E138+E145</f>
        <v>18384</v>
      </c>
      <c r="F152" s="37">
        <f>F131+F138+F145</f>
        <v>18880</v>
      </c>
      <c r="G152" s="37">
        <f>G131+G138+G145</f>
        <v>70778</v>
      </c>
      <c r="H152" s="50">
        <f>H131+H138+H145</f>
        <v>19128.68205185756</v>
      </c>
      <c r="I152" s="2"/>
      <c r="J152" s="45"/>
    </row>
    <row r="153">
      <c r="A153" s="2"/>
      <c r="B153" s="55" t="s">
        <v>61</v>
      </c>
      <c r="C153" s="18">
        <f>IFERROR(C152/Inputs!C22-1,"n/a")</f>
        <v>0.16178548490687228</v>
      </c>
      <c r="D153" s="18">
        <f>IFERROR(D152/Inputs!D22-1,"n/a")</f>
        <v>0.12511443393347577</v>
      </c>
      <c r="E153" s="18">
        <f>IFERROR(E152/Inputs!E22-1,"n/a")</f>
        <v>0.10017953321364459</v>
      </c>
      <c r="F153" s="18">
        <f>IFERROR(F152/Inputs!F22-1,"n/a")</f>
        <v>0.07615139078887379</v>
      </c>
      <c r="G153" s="18">
        <f>IFERROR(G152/Inputs!G22-1,"n/a")</f>
        <v>0.17784693215290148</v>
      </c>
      <c r="H153" s="49">
        <f>IFERROR(H152/C152-1,"n/a")</f>
        <v>0.05747592746185859</v>
      </c>
      <c r="I153" s="2"/>
      <c r="J153" s="45"/>
    </row>
    <row r="154">
      <c r="A154" s="2"/>
      <c r="B154" s="55" t="s">
        <v>62</v>
      </c>
      <c r="C154" s="18">
        <f>IFERROR(C152/Inputs!F22-1,"n/a")</f>
        <v>0.031064751481988173</v>
      </c>
      <c r="D154" s="1">
        <f>IFERROR(D152/C152-1,"n/a")</f>
        <v>0.019127646636077245</v>
      </c>
      <c r="E154" s="1">
        <f>IFERROR(E152/D152-1,"n/a")</f>
        <v>-0.002766476810414975</v>
      </c>
      <c r="F154" s="1">
        <f>IFERROR(F152/E152-1,"n/a")</f>
        <v>0.026979982593559715</v>
      </c>
      <c r="G154" s="1" t="s">
        <v>38</v>
      </c>
      <c r="H154" s="49">
        <f>IFERROR(H152/F152-1,"n/a")</f>
        <v>0.013171718848387748</v>
      </c>
      <c r="I154" s="2"/>
      <c r="J154" s="45"/>
    </row>
    <row r="155">
      <c r="A155" s="2"/>
      <c r="B155" s="79" t="s">
        <v>63</v>
      </c>
      <c r="C155" s="1" t="s">
        <v>64</v>
      </c>
      <c r="D155" s="1" t="s">
        <v>64</v>
      </c>
      <c r="E155" s="1" t="s">
        <v>64</v>
      </c>
      <c r="F155" s="1" t="s">
        <v>64</v>
      </c>
      <c r="G155" s="1" t="s">
        <v>64</v>
      </c>
      <c r="H155" s="49" t="s">
        <v>64</v>
      </c>
      <c r="I155" s="2"/>
      <c r="J155" s="45"/>
    </row>
    <row r="156">
      <c r="A156" s="2"/>
      <c r="B156" s="79" t="s">
        <v>65</v>
      </c>
      <c r="C156" s="1" t="s">
        <v>64</v>
      </c>
      <c r="D156" s="1" t="s">
        <v>64</v>
      </c>
      <c r="E156" s="1" t="s">
        <v>64</v>
      </c>
      <c r="F156" s="1" t="s">
        <v>64</v>
      </c>
      <c r="G156" s="1" t="s">
        <v>64</v>
      </c>
      <c r="H156" s="49" t="s">
        <v>64</v>
      </c>
      <c r="I156" s="2"/>
      <c r="J156" s="45"/>
    </row>
    <row r="157">
      <c r="A157" s="2"/>
      <c r="B157" s="79" t="s">
        <v>66</v>
      </c>
      <c r="C157" s="1" t="str">
        <f>IF(AND(ISNUMBER(C153),ISNUMBER(C155),ISNUMBER(C156)),(1+C153)/((1+C155)*(1+C156))-1,"n/d")</f>
        <v>n/d</v>
      </c>
      <c r="D157" s="1" t="str">
        <f>IF(AND(ISNUMBER(D153),ISNUMBER(D155),ISNUMBER(D156)),(1+D153)/((1+D155)*(1+D156))-1,"n/d")</f>
        <v>n/d</v>
      </c>
      <c r="E157" s="1" t="str">
        <f>IF(AND(ISNUMBER(E153),ISNUMBER(E155),ISNUMBER(E156)),(1+E153)/((1+E155)*(1+E156))-1,"n/d")</f>
        <v>n/d</v>
      </c>
      <c r="F157" s="1" t="str">
        <f>IF(AND(ISNUMBER(F153),ISNUMBER(F155),ISNUMBER(F156)),(1+F153)/((1+F155)*(1+F156))-1,"n/d")</f>
        <v>n/d</v>
      </c>
      <c r="G157" s="1" t="str">
        <f>IF(AND(ISNUMBER(G153),ISNUMBER(G155),ISNUMBER(G156)),(1+G153)/((1+G155)*(1+G156))-1,"n/d")</f>
        <v>n/d</v>
      </c>
      <c r="H157" s="49" t="str">
        <f>IF(AND(ISNUMBER(H153),ISNUMBER(H155),ISNUMBER(H156)),(1+H153)/((1+H155)*(1+H156))-1,"n/d")</f>
        <v>n/d</v>
      </c>
      <c r="I157" s="2"/>
      <c r="J157" s="45"/>
    </row>
    <row r="158">
      <c r="A158" s="2"/>
      <c r="B158" s="79" t="s">
        <v>67</v>
      </c>
      <c r="C158" s="1">
        <f>C153</f>
        <v>0.16178548490687228</v>
      </c>
      <c r="D158" s="1">
        <f>D153</f>
        <v>0.12511443393347577</v>
      </c>
      <c r="E158" s="1">
        <f>E153</f>
        <v>0.10017953321364459</v>
      </c>
      <c r="F158" s="1">
        <f>F153</f>
        <v>0.07615139078887379</v>
      </c>
      <c r="G158" s="1">
        <f>G153</f>
        <v>0.17784693215290148</v>
      </c>
      <c r="H158" s="49">
        <f>H153</f>
        <v>0.05747592746185859</v>
      </c>
      <c r="I158" s="2"/>
      <c r="J158" s="45"/>
    </row>
    <row r="159">
      <c r="A159" s="2"/>
      <c r="B159" s="55" t="s">
        <v>161</v>
      </c>
      <c r="C159" s="1">
        <f>C152/C93</f>
        <v>0.9446939628159599</v>
      </c>
      <c r="D159" s="1">
        <f>D152/D93</f>
        <v>1.0580234159779613</v>
      </c>
      <c r="E159" s="1">
        <f>E152/E93</f>
        <v>0.9377199693955623</v>
      </c>
      <c r="F159" s="1">
        <f>F152/F93</f>
        <v>1.0145628459347626</v>
      </c>
      <c r="G159" s="1">
        <f>G152/G93</f>
        <v>0.9754679015408363</v>
      </c>
      <c r="H159" s="49">
        <f>H152/H93</f>
        <v>0.9511615993591003</v>
      </c>
      <c r="I159" s="2"/>
      <c r="J159" s="45"/>
    </row>
    <row r="160">
      <c r="A160" s="2"/>
      <c r="B160" s="79" t="s">
        <v>106</v>
      </c>
      <c r="C160" s="75">
        <f>(C159-Inputs!F77)*10000</f>
        <v>-457.6502211036548</v>
      </c>
      <c r="D160" s="67">
        <f>(D159-C159)*10000</f>
        <v>1133.2945316200148</v>
      </c>
      <c r="E160" s="67">
        <f>(E159-D159)*10000</f>
        <v>-1203.0344658239899</v>
      </c>
      <c r="F160" s="67">
        <f>(F159-E159)*10000</f>
        <v>768.428765392003</v>
      </c>
      <c r="G160" s="67" t="s">
        <v>38</v>
      </c>
      <c r="H160" s="85">
        <f>(H159-F159)*10000</f>
        <v>-634.0124657566238</v>
      </c>
      <c r="I160" s="2"/>
      <c r="J160" s="45"/>
    </row>
    <row r="161">
      <c r="A161" s="2"/>
      <c r="B161" s="79" t="s">
        <v>107</v>
      </c>
      <c r="C161" s="75">
        <f>(C159-Inputs!C77)*10000</f>
        <v>329.4131305312098</v>
      </c>
      <c r="D161" s="75">
        <f>(D159-Inputs!D77)*10000</f>
        <v>200.78401408089252</v>
      </c>
      <c r="E161" s="75">
        <f>(E159-Inputs!E77)*10000</f>
        <v>232.5600617113288</v>
      </c>
      <c r="F161" s="75">
        <f>(F159-Inputs!F77)*10000</f>
        <v>241.03861008437312</v>
      </c>
      <c r="G161" s="75">
        <f>(G159-Inputs!G77)*10000</f>
        <v>287.05651659002405</v>
      </c>
      <c r="H161" s="85">
        <f>(H159-C159)*10000</f>
        <v>64.67636543140421</v>
      </c>
      <c r="I161" s="2"/>
      <c r="J161" s="45"/>
    </row>
    <row r="162">
      <c r="A162" s="2"/>
      <c r="B162" s="2"/>
      <c r="C162" s="5"/>
      <c r="D162" s="5"/>
      <c r="E162" s="5"/>
      <c r="F162" s="5"/>
      <c r="G162" s="5"/>
      <c r="H162" s="20"/>
      <c r="I162" s="2"/>
      <c r="J162" s="45"/>
    </row>
    <row r="163">
      <c r="A163" s="2"/>
      <c r="B163" s="21" t="s">
        <v>162</v>
      </c>
      <c r="C163" s="26"/>
      <c r="D163" s="26"/>
      <c r="E163" s="26"/>
      <c r="F163" s="26"/>
      <c r="G163" s="26"/>
      <c r="H163" s="56"/>
      <c r="I163" s="2"/>
      <c r="J163" s="45"/>
    </row>
    <row r="164">
      <c r="A164" s="2"/>
      <c r="B164" s="72" t="s">
        <v>163</v>
      </c>
      <c r="C164" s="3">
        <v>0.637</v>
      </c>
      <c r="D164" s="18">
        <f>(G164*G131-Inputs!L138*Inputs!L126)/D131</f>
        <v>0.6702759440190125</v>
      </c>
      <c r="E164" s="3">
        <v>0.646</v>
      </c>
      <c r="F164" s="3">
        <v>0.681</v>
      </c>
      <c r="G164" s="3">
        <v>0.653</v>
      </c>
      <c r="H164" s="27">
        <f>'Monthly Build'!G84</f>
        <v>0.672319299358668</v>
      </c>
      <c r="I164" s="2"/>
      <c r="J164" s="45" t="s">
        <v>164</v>
      </c>
    </row>
    <row r="165">
      <c r="A165" s="2"/>
      <c r="B165" s="55" t="s">
        <v>106</v>
      </c>
      <c r="C165" s="75">
        <f>(C164-Inputs!F41)*10000</f>
        <v>-250.00000000000023</v>
      </c>
      <c r="D165" s="67">
        <f>(D164-C164)*10000</f>
        <v>332.7594401901246</v>
      </c>
      <c r="E165" s="67">
        <f>(E164-D164)*10000</f>
        <v>-242.7594401901245</v>
      </c>
      <c r="F165" s="67">
        <f>(F164-E164)*10000</f>
        <v>350.0000000000003</v>
      </c>
      <c r="G165" s="67" t="s">
        <v>38</v>
      </c>
      <c r="H165" s="85">
        <f>(H164-F164)*10000</f>
        <v>-86.80700641332083</v>
      </c>
      <c r="I165" s="2"/>
      <c r="J165" s="45"/>
    </row>
    <row r="166">
      <c r="A166" s="2"/>
      <c r="B166" s="55" t="s">
        <v>107</v>
      </c>
      <c r="C166" s="75">
        <f>(C164-Inputs!C41)*10000</f>
        <v>-420.0000000000004</v>
      </c>
      <c r="D166" s="75">
        <f>(D164-Inputs!D41)*10000</f>
        <v>-94.18048201128903</v>
      </c>
      <c r="E166" s="75">
        <f>(E164-Inputs!E41)*10000</f>
        <v>70.00000000000006</v>
      </c>
      <c r="F166" s="75">
        <f>(F164-Inputs!F41)*10000</f>
        <v>190.00000000000017</v>
      </c>
      <c r="G166" s="75">
        <f>(G164-Inputs!G41)*10000</f>
        <v>-240.00000000000023</v>
      </c>
      <c r="H166" s="85">
        <f>(H164-C164)*10000</f>
        <v>353.19299358667956</v>
      </c>
      <c r="I166" s="2"/>
      <c r="J166" s="45"/>
    </row>
    <row r="167">
      <c r="A167" s="2"/>
      <c r="B167" s="72" t="s">
        <v>165</v>
      </c>
      <c r="C167" s="3">
        <v>0.246</v>
      </c>
      <c r="D167" s="18">
        <f>(G167*G131-Inputs!L139*Inputs!L126)/D131</f>
        <v>0.1952413519936625</v>
      </c>
      <c r="E167" s="3">
        <v>0.182</v>
      </c>
      <c r="F167" s="3">
        <v>0.183</v>
      </c>
      <c r="G167" s="3">
        <v>0.201</v>
      </c>
      <c r="H167" s="27">
        <f>'Monthly Build'!G83</f>
        <v>0.18349643885728772</v>
      </c>
      <c r="I167" s="2"/>
      <c r="J167" s="45" t="s">
        <v>164</v>
      </c>
    </row>
    <row r="168">
      <c r="A168" s="2"/>
      <c r="B168" s="55" t="s">
        <v>106</v>
      </c>
      <c r="C168" s="75">
        <f>(C167-Inputs!F42)*10000</f>
        <v>640</v>
      </c>
      <c r="D168" s="67">
        <f>(D167-C167)*10000</f>
        <v>-507.586480063375</v>
      </c>
      <c r="E168" s="67">
        <f>(E167-D167)*10000</f>
        <v>-132.413519936625</v>
      </c>
      <c r="F168" s="67">
        <f>(F167-E167)*10000</f>
        <v>10.000000000000009</v>
      </c>
      <c r="G168" s="67" t="s">
        <v>38</v>
      </c>
      <c r="H168" s="85">
        <f>(H167-F167)*10000</f>
        <v>4.964388572877287</v>
      </c>
      <c r="I168" s="2"/>
      <c r="J168" s="45"/>
    </row>
    <row r="169">
      <c r="A169" s="2"/>
      <c r="B169" s="55" t="s">
        <v>107</v>
      </c>
      <c r="C169" s="75">
        <f>(C167-Inputs!C42)*10000</f>
        <v>559.9999999999999</v>
      </c>
      <c r="D169" s="75">
        <f>(D167-Inputs!D42)*10000</f>
        <v>112.41351993662468</v>
      </c>
      <c r="E169" s="75">
        <f>(E167-Inputs!E42)*10000</f>
        <v>20.000000000000018</v>
      </c>
      <c r="F169" s="75">
        <f>(F167-Inputs!F42)*10000</f>
        <v>10.000000000000009</v>
      </c>
      <c r="G169" s="75">
        <f>(G167-Inputs!G42)*10000</f>
        <v>170.00000000000014</v>
      </c>
      <c r="H169" s="85">
        <f>(H167-C167)*10000</f>
        <v>-625.0356114271227</v>
      </c>
      <c r="I169" s="2"/>
      <c r="J169" s="45"/>
    </row>
    <row r="170">
      <c r="A170" s="2"/>
      <c r="B170" s="61" t="s">
        <v>166</v>
      </c>
      <c r="C170" s="51">
        <f>C164+C167</f>
        <v>0.883</v>
      </c>
      <c r="D170" s="51">
        <f>D164+D167</f>
        <v>0.8655172960126749</v>
      </c>
      <c r="E170" s="51">
        <f>E164+E167</f>
        <v>0.8280000000000001</v>
      </c>
      <c r="F170" s="51">
        <f>F164+F167</f>
        <v>0.8640000000000001</v>
      </c>
      <c r="G170" s="51">
        <f>G164+G167</f>
        <v>0.8540000000000001</v>
      </c>
      <c r="H170" s="87">
        <f>H164+H167</f>
        <v>0.8558157382159557</v>
      </c>
      <c r="I170" s="2"/>
      <c r="J170" s="45"/>
    </row>
    <row r="171">
      <c r="A171" s="2"/>
      <c r="B171" s="55" t="s">
        <v>106</v>
      </c>
      <c r="C171" s="75">
        <f>(C170-Inputs!F33)*10000</f>
        <v>390.00000000000034</v>
      </c>
      <c r="D171" s="67">
        <f>(D170-C170)*10000</f>
        <v>-174.82703987325098</v>
      </c>
      <c r="E171" s="67">
        <f>(E170-D170)*10000</f>
        <v>-375.17296012674836</v>
      </c>
      <c r="F171" s="67">
        <f>(F170-E170)*10000</f>
        <v>360.00000000000034</v>
      </c>
      <c r="G171" s="67" t="s">
        <v>38</v>
      </c>
      <c r="H171" s="85">
        <f>(H170-F170)*10000</f>
        <v>-81.8426178404441</v>
      </c>
      <c r="I171" s="2"/>
      <c r="J171" s="45"/>
    </row>
    <row r="172">
      <c r="A172" s="2"/>
      <c r="B172" s="55" t="s">
        <v>107</v>
      </c>
      <c r="C172" s="75">
        <f>(C170-Inputs!C33)*10000</f>
        <v>140.0000000000001</v>
      </c>
      <c r="D172" s="75">
        <f>(D170-Inputs!D33)*10000</f>
        <v>18.233037925334816</v>
      </c>
      <c r="E172" s="75">
        <f>(E170-Inputs!E33)*10000</f>
        <v>90.0000000000012</v>
      </c>
      <c r="F172" s="75">
        <f>(F170-Inputs!F33)*10000</f>
        <v>200.00000000000128</v>
      </c>
      <c r="G172" s="75">
        <f>(G170-Inputs!G33)*10000</f>
        <v>-69.99999999999895</v>
      </c>
      <c r="H172" s="85">
        <f>(H170-C170)*10000</f>
        <v>-271.84261784044315</v>
      </c>
      <c r="I172" s="2"/>
      <c r="J172" s="45"/>
    </row>
    <row r="173">
      <c r="A173" s="2"/>
      <c r="B173" s="72" t="s">
        <v>167</v>
      </c>
      <c r="C173" s="3">
        <v>0.664</v>
      </c>
      <c r="D173" s="18">
        <f>(G173*G138-Inputs!L140*Inputs!L127)/D138</f>
        <v>0.6995648854961831</v>
      </c>
      <c r="E173" s="3">
        <v>0.676</v>
      </c>
      <c r="F173" s="3">
        <v>0.696</v>
      </c>
      <c r="G173" s="3">
        <v>0.68</v>
      </c>
      <c r="H173" s="27">
        <f>'Monthly Build'!G88</f>
        <v>0.6938984031462154</v>
      </c>
      <c r="I173" s="2"/>
      <c r="J173" s="45" t="s">
        <v>164</v>
      </c>
    </row>
    <row r="174">
      <c r="A174" s="2"/>
      <c r="B174" s="55" t="s">
        <v>106</v>
      </c>
      <c r="C174" s="75">
        <f>(C173-Inputs!F43)*10000</f>
        <v>-190.00000000000017</v>
      </c>
      <c r="D174" s="67">
        <f>(D173-C173)*10000</f>
        <v>355.64885496183086</v>
      </c>
      <c r="E174" s="67">
        <f>(E173-D173)*10000</f>
        <v>-235.64885496183075</v>
      </c>
      <c r="F174" s="67">
        <f>(F173-E173)*10000</f>
        <v>199.99999999999906</v>
      </c>
      <c r="G174" s="67" t="s">
        <v>38</v>
      </c>
      <c r="H174" s="85">
        <f>(H173-F173)*10000</f>
        <v>-21.015968537845264</v>
      </c>
      <c r="I174" s="2"/>
      <c r="J174" s="45"/>
    </row>
    <row r="175">
      <c r="A175" s="2"/>
      <c r="B175" s="55" t="s">
        <v>107</v>
      </c>
      <c r="C175" s="75">
        <f>(C173-Inputs!C43)*10000</f>
        <v>-349.9999999999992</v>
      </c>
      <c r="D175" s="75">
        <f>(D173-Inputs!D43)*10000</f>
        <v>-10.668392786955527</v>
      </c>
      <c r="E175" s="75">
        <f>(E173-Inputs!E43)*10000</f>
        <v>30.00000000000003</v>
      </c>
      <c r="F175" s="75">
        <f>(F173-Inputs!F43)*10000</f>
        <v>129.999999999999</v>
      </c>
      <c r="G175" s="75">
        <f>(G173-Inputs!G43)*10000</f>
        <v>-179.99999999999906</v>
      </c>
      <c r="H175" s="85">
        <f>(H173-C173)*10000</f>
        <v>298.9840314621539</v>
      </c>
      <c r="I175" s="2"/>
      <c r="J175" s="45"/>
    </row>
    <row r="176">
      <c r="A176" s="2"/>
      <c r="B176" s="72" t="s">
        <v>168</v>
      </c>
      <c r="C176" s="3">
        <v>0.261</v>
      </c>
      <c r="D176" s="18">
        <f>(G176*G138-Inputs!L141*Inputs!L127)/D138</f>
        <v>0.21541003271537618</v>
      </c>
      <c r="E176" s="3">
        <v>0.213</v>
      </c>
      <c r="F176" s="3">
        <v>0.196</v>
      </c>
      <c r="G176" s="3">
        <v>0.221</v>
      </c>
      <c r="H176" s="27">
        <f>'Monthly Build'!G87</f>
        <v>0.2100001884434046</v>
      </c>
      <c r="I176" s="2"/>
      <c r="J176" s="45" t="s">
        <v>164</v>
      </c>
    </row>
    <row r="177">
      <c r="A177" s="2"/>
      <c r="B177" s="55" t="s">
        <v>106</v>
      </c>
      <c r="C177" s="75">
        <f>(C176-Inputs!F44)*10000</f>
        <v>690.0000000000001</v>
      </c>
      <c r="D177" s="67">
        <f>(D176-C176)*10000</f>
        <v>-455.89967284623833</v>
      </c>
      <c r="E177" s="67">
        <f>(E176-D176)*10000</f>
        <v>-24.100327153761814</v>
      </c>
      <c r="F177" s="67">
        <f>(F176-E176)*10000</f>
        <v>-169.9999999999999</v>
      </c>
      <c r="G177" s="67" t="s">
        <v>38</v>
      </c>
      <c r="H177" s="85">
        <f>(H176-F176)*10000</f>
        <v>140.00188443404588</v>
      </c>
      <c r="I177" s="2"/>
      <c r="J177" s="45"/>
    </row>
    <row r="178">
      <c r="A178" s="2"/>
      <c r="B178" s="55" t="s">
        <v>107</v>
      </c>
      <c r="C178" s="75">
        <f>(C176-Inputs!C44)*10000</f>
        <v>410.0000000000001</v>
      </c>
      <c r="D178" s="75">
        <f>(D176-Inputs!D44)*10000</f>
        <v>32.51408840982184</v>
      </c>
      <c r="E178" s="75">
        <f>(E176-Inputs!E44)*10000</f>
        <v>0</v>
      </c>
      <c r="F178" s="75">
        <f>(F176-Inputs!F44)*10000</f>
        <v>40.000000000000036</v>
      </c>
      <c r="G178" s="75">
        <f>(G176-Inputs!G44)*10000</f>
        <v>219.99999999999991</v>
      </c>
      <c r="H178" s="85">
        <f>(H176-C176)*10000</f>
        <v>-509.99811556595415</v>
      </c>
      <c r="I178" s="2"/>
      <c r="J178" s="45"/>
    </row>
    <row r="179">
      <c r="A179" s="2"/>
      <c r="B179" s="61" t="s">
        <v>169</v>
      </c>
      <c r="C179" s="51">
        <f>C173+C176</f>
        <v>0.925</v>
      </c>
      <c r="D179" s="51">
        <f>D173+D176</f>
        <v>0.9149749182115593</v>
      </c>
      <c r="E179" s="51">
        <f>E173+E176</f>
        <v>0.889</v>
      </c>
      <c r="F179" s="51">
        <f>F173+F176</f>
        <v>0.8919999999999999</v>
      </c>
      <c r="G179" s="51">
        <f>G173+G176</f>
        <v>0.901</v>
      </c>
      <c r="H179" s="87">
        <f>H173+H176</f>
        <v>0.90389859158962</v>
      </c>
      <c r="I179" s="2"/>
      <c r="J179" s="45"/>
    </row>
    <row r="180">
      <c r="A180" s="2"/>
      <c r="B180" s="55" t="s">
        <v>106</v>
      </c>
      <c r="C180" s="75">
        <f>(C179-Inputs!F34)*10000</f>
        <v>500.00000000000045</v>
      </c>
      <c r="D180" s="67">
        <f>(D179-C179)*10000</f>
        <v>-100.25081788440748</v>
      </c>
      <c r="E180" s="67">
        <f>(E179-D179)*10000</f>
        <v>-259.7491821155928</v>
      </c>
      <c r="F180" s="67">
        <f>(F179-E179)*10000</f>
        <v>29.999999999998916</v>
      </c>
      <c r="G180" s="67" t="s">
        <v>38</v>
      </c>
      <c r="H180" s="85">
        <f>(H179-F179)*10000</f>
        <v>118.98591589620145</v>
      </c>
      <c r="I180" s="2"/>
      <c r="J180" s="45"/>
    </row>
    <row r="181">
      <c r="A181" s="2"/>
      <c r="B181" s="55" t="s">
        <v>107</v>
      </c>
      <c r="C181" s="75">
        <f>(C179-Inputs!C34)*10000</f>
        <v>60.00000000000006</v>
      </c>
      <c r="D181" s="75">
        <f>(D179-Inputs!D34)*10000</f>
        <v>21.845695622866312</v>
      </c>
      <c r="E181" s="75">
        <f>(E179-Inputs!E34)*10000</f>
        <v>30.00000000000003</v>
      </c>
      <c r="F181" s="75">
        <f>(F179-Inputs!F34)*10000</f>
        <v>169.99999999999903</v>
      </c>
      <c r="G181" s="75">
        <f>(G179-Inputs!G34)*10000</f>
        <v>40.000000000000036</v>
      </c>
      <c r="H181" s="85">
        <f>(H179-C179)*10000</f>
        <v>-211.01408410379997</v>
      </c>
      <c r="I181" s="2"/>
      <c r="J181" s="45"/>
    </row>
    <row r="182">
      <c r="A182" s="2"/>
      <c r="B182" s="72" t="s">
        <v>170</v>
      </c>
      <c r="C182" s="3">
        <v>0.338</v>
      </c>
      <c r="D182" s="18">
        <f>(G182*G145-Inputs!L142*Inputs!L128)/D145</f>
        <v>0.3631989664082687</v>
      </c>
      <c r="E182" s="3">
        <v>0.49</v>
      </c>
      <c r="F182" s="3">
        <v>0.479</v>
      </c>
      <c r="G182" s="3">
        <v>0.457</v>
      </c>
      <c r="H182" s="27">
        <f>'Monthly Build'!G92</f>
        <v>0.497279348702606</v>
      </c>
      <c r="I182" s="2"/>
      <c r="J182" s="45" t="s">
        <v>164</v>
      </c>
    </row>
    <row r="183">
      <c r="A183" s="2"/>
      <c r="B183" s="55" t="s">
        <v>106</v>
      </c>
      <c r="C183" s="75">
        <f>(C182-Inputs!F45)*10000</f>
        <v>-2060</v>
      </c>
      <c r="D183" s="67">
        <f>(D182-C182)*10000</f>
        <v>251.98966408268686</v>
      </c>
      <c r="E183" s="67">
        <f>(E182-D182)*10000</f>
        <v>1268.010335917313</v>
      </c>
      <c r="F183" s="67">
        <f>(F182-E182)*10000</f>
        <v>-110.0000000000001</v>
      </c>
      <c r="G183" s="67" t="s">
        <v>38</v>
      </c>
      <c r="H183" s="85">
        <f>(H182-F182)*10000</f>
        <v>182.79348702606</v>
      </c>
      <c r="I183" s="2"/>
      <c r="J183" s="45"/>
    </row>
    <row r="184">
      <c r="A184" s="2"/>
      <c r="B184" s="55" t="s">
        <v>107</v>
      </c>
      <c r="C184" s="75">
        <f>(C182-Inputs!C45)*10000</f>
        <v>-1479.9999999999995</v>
      </c>
      <c r="D184" s="75">
        <f>(D182-Inputs!D45)*10000</f>
        <v>660.3016845430454</v>
      </c>
      <c r="E184" s="75">
        <f>(E182-Inputs!E45)*10000</f>
        <v>-939.9999999999998</v>
      </c>
      <c r="F184" s="75">
        <f>(F182-Inputs!F45)*10000</f>
        <v>-650.0000000000006</v>
      </c>
      <c r="G184" s="75">
        <f>(G182-Inputs!G45)*10000</f>
        <v>-2359.9999999999995</v>
      </c>
      <c r="H184" s="85">
        <f>(H182-C182)*10000</f>
        <v>1592.7934870260597</v>
      </c>
      <c r="I184" s="2"/>
      <c r="J184" s="45"/>
    </row>
    <row r="185">
      <c r="A185" s="2"/>
      <c r="B185" s="72" t="s">
        <v>171</v>
      </c>
      <c r="C185" s="3">
        <v>0.297</v>
      </c>
      <c r="D185" s="18">
        <f>(G185*G145-Inputs!L143*Inputs!L128)/D145</f>
        <v>0.3000516795865633</v>
      </c>
      <c r="E185" s="3">
        <v>0.293</v>
      </c>
      <c r="F185" s="3">
        <v>0.301</v>
      </c>
      <c r="G185" s="3">
        <v>0.294</v>
      </c>
      <c r="H185" s="27">
        <f>'Monthly Build'!G91</f>
        <v>0.28549873924509134</v>
      </c>
      <c r="I185" s="2"/>
      <c r="J185" s="45" t="s">
        <v>164</v>
      </c>
    </row>
    <row r="186">
      <c r="A186" s="2"/>
      <c r="B186" s="55" t="s">
        <v>106</v>
      </c>
      <c r="C186" s="75">
        <f>(C185-Inputs!F46)*10000</f>
        <v>50.00000000000004</v>
      </c>
      <c r="D186" s="67">
        <f>(D185-C185)*10000</f>
        <v>30.516795865633274</v>
      </c>
      <c r="E186" s="67">
        <f>(E185-D185)*10000</f>
        <v>-70.51679586563331</v>
      </c>
      <c r="F186" s="67">
        <f>(F185-E185)*10000</f>
        <v>80.00000000000007</v>
      </c>
      <c r="G186" s="67" t="s">
        <v>38</v>
      </c>
      <c r="H186" s="85">
        <f>(H185-F185)*10000</f>
        <v>-155.0126075490865</v>
      </c>
      <c r="I186" s="2"/>
      <c r="J186" s="45"/>
    </row>
    <row r="187">
      <c r="A187" s="2"/>
      <c r="B187" s="55" t="s">
        <v>107</v>
      </c>
      <c r="C187" s="75">
        <f>(C185-Inputs!C46)*10000</f>
        <v>-20.000000000000018</v>
      </c>
      <c r="D187" s="75">
        <f>(D185-Inputs!D46)*10000</f>
        <v>157.06411044363878</v>
      </c>
      <c r="E187" s="75">
        <f>(E185-Inputs!E46)*10000</f>
        <v>50.00000000000004</v>
      </c>
      <c r="F187" s="75">
        <f>(F185-Inputs!F46)*10000</f>
        <v>90.00000000000009</v>
      </c>
      <c r="G187" s="75">
        <f>(G185-Inputs!G46)*10000</f>
        <v>40.000000000000036</v>
      </c>
      <c r="H187" s="85">
        <f>(H185-C185)*10000</f>
        <v>-115.01260754908648</v>
      </c>
      <c r="I187" s="2"/>
      <c r="J187" s="45"/>
    </row>
    <row r="188">
      <c r="A188" s="2"/>
      <c r="B188" s="61" t="s">
        <v>172</v>
      </c>
      <c r="C188" s="51">
        <f>C182+C185</f>
        <v>0.635</v>
      </c>
      <c r="D188" s="51">
        <f>D182+D185</f>
        <v>0.663250645994832</v>
      </c>
      <c r="E188" s="51">
        <f>E182+E185</f>
        <v>0.7829999999999999</v>
      </c>
      <c r="F188" s="51">
        <f>F182+F185</f>
        <v>0.78</v>
      </c>
      <c r="G188" s="51">
        <f>G182+G185</f>
        <v>0.751</v>
      </c>
      <c r="H188" s="87">
        <f>H182+H185</f>
        <v>0.7827780879476973</v>
      </c>
      <c r="I188" s="2"/>
      <c r="J188" s="45"/>
    </row>
    <row r="189">
      <c r="A189" s="2"/>
      <c r="B189" s="55" t="s">
        <v>106</v>
      </c>
      <c r="C189" s="75">
        <f>(C188-Inputs!F35)*10000</f>
        <v>-2009.9999999999995</v>
      </c>
      <c r="D189" s="67">
        <f>(D188-C188)*10000</f>
        <v>282.50645994831956</v>
      </c>
      <c r="E189" s="67">
        <f>(E188-D188)*10000</f>
        <v>1197.4935400516795</v>
      </c>
      <c r="F189" s="67">
        <f>(F188-E188)*10000</f>
        <v>-29.999999999998916</v>
      </c>
      <c r="G189" s="67" t="s">
        <v>38</v>
      </c>
      <c r="H189" s="85">
        <f>(H188-F188)*10000</f>
        <v>27.78087947697294</v>
      </c>
      <c r="I189" s="2"/>
      <c r="J189" s="45"/>
    </row>
    <row r="190">
      <c r="A190" s="2"/>
      <c r="B190" s="55" t="s">
        <v>107</v>
      </c>
      <c r="C190" s="75">
        <f>(C188-Inputs!C35)*10000</f>
        <v>-1500.0000000000002</v>
      </c>
      <c r="D190" s="75">
        <f>(D188-Inputs!D35)*10000</f>
        <v>817.3657949866808</v>
      </c>
      <c r="E190" s="75">
        <f>(E188-Inputs!E35)*10000</f>
        <v>-890.0000000000008</v>
      </c>
      <c r="F190" s="75">
        <f>(F188-Inputs!F35)*10000</f>
        <v>-559.9999999999994</v>
      </c>
      <c r="G190" s="75">
        <f>(G188-Inputs!G35)*10000</f>
        <v>-2320</v>
      </c>
      <c r="H190" s="85">
        <f>(H188-C188)*10000</f>
        <v>1477.780879476973</v>
      </c>
      <c r="I190" s="2"/>
      <c r="J190" s="45"/>
    </row>
    <row r="191">
      <c r="A191" s="2"/>
      <c r="B191" s="72" t="s">
        <v>173</v>
      </c>
      <c r="C191" s="3">
        <v>0.639</v>
      </c>
      <c r="D191" s="18">
        <f>(G191*G152-Inputs!L144*(Inputs!L126+Inputs!L127+Inputs!L128))/D152</f>
        <v>0.6760359641985357</v>
      </c>
      <c r="E191" s="3">
        <v>0.656</v>
      </c>
      <c r="F191" s="3">
        <v>0.681</v>
      </c>
      <c r="G191" s="3">
        <v>0.659</v>
      </c>
      <c r="H191" s="49">
        <f>(H164*H131+H173*H138+H182*H145)/H152</f>
        <v>0.6770340704614105</v>
      </c>
      <c r="I191" s="2"/>
      <c r="J191" s="45" t="s">
        <v>164</v>
      </c>
    </row>
    <row r="192">
      <c r="A192" s="2"/>
      <c r="B192" s="55" t="s">
        <v>106</v>
      </c>
      <c r="C192" s="75">
        <f>(C191-Inputs!F47)*10000</f>
        <v>-290.0000000000003</v>
      </c>
      <c r="D192" s="67">
        <f>(D191-C191)*10000</f>
        <v>370.3596419853572</v>
      </c>
      <c r="E192" s="67">
        <f>(E191-D191)*10000</f>
        <v>-200.35964198535706</v>
      </c>
      <c r="F192" s="67">
        <f>(F191-E191)*10000</f>
        <v>250.00000000000023</v>
      </c>
      <c r="G192" s="67" t="s">
        <v>38</v>
      </c>
      <c r="H192" s="85">
        <f>(H191-F191)*10000</f>
        <v>-39.65929538589541</v>
      </c>
      <c r="I192" s="2"/>
      <c r="J192" s="45"/>
    </row>
    <row r="193">
      <c r="A193" s="2"/>
      <c r="B193" s="55" t="s">
        <v>107</v>
      </c>
      <c r="C193" s="75">
        <f>(C191-Inputs!C47)*10000</f>
        <v>-410.00000000000034</v>
      </c>
      <c r="D193" s="75">
        <f>(D191-Inputs!D47)*10000</f>
        <v>30.40602587306207</v>
      </c>
      <c r="E193" s="75">
        <f>(E191-Inputs!E47)*10000</f>
        <v>20.000000000000018</v>
      </c>
      <c r="F193" s="75">
        <f>(F191-Inputs!F47)*10000</f>
        <v>130.0000000000001</v>
      </c>
      <c r="G193" s="75">
        <f>(G191-Inputs!G47)*10000</f>
        <v>-299.99999999999915</v>
      </c>
      <c r="H193" s="85">
        <f>(H191-C191)*10000</f>
        <v>380.34070461410494</v>
      </c>
      <c r="I193" s="2"/>
      <c r="J193" s="45"/>
    </row>
    <row r="194">
      <c r="A194" s="2"/>
      <c r="B194" s="72" t="s">
        <v>174</v>
      </c>
      <c r="C194" s="3">
        <v>0.256</v>
      </c>
      <c r="D194" s="18">
        <f>(G194*G152-Inputs!L145*(Inputs!L126+Inputs!L127+Inputs!L128))/D152</f>
        <v>0.21032134526715493</v>
      </c>
      <c r="E194" s="3">
        <v>0.204</v>
      </c>
      <c r="F194" s="3">
        <v>0.195</v>
      </c>
      <c r="G194" s="3">
        <v>0.216</v>
      </c>
      <c r="H194" s="49">
        <f>(H167*H131+H176*H138+H185*H145)/H152</f>
        <v>0.20243120287339467</v>
      </c>
      <c r="I194" s="2"/>
      <c r="J194" s="45" t="s">
        <v>164</v>
      </c>
    </row>
    <row r="195">
      <c r="A195" s="2"/>
      <c r="B195" s="55" t="s">
        <v>106</v>
      </c>
      <c r="C195" s="75">
        <f>(C194-Inputs!F48)*10000</f>
        <v>640</v>
      </c>
      <c r="D195" s="67">
        <f>(D194-C194)*10000</f>
        <v>-456.78654732845075</v>
      </c>
      <c r="E195" s="67">
        <f>(E194-D194)*10000</f>
        <v>-63.21345267154943</v>
      </c>
      <c r="F195" s="67">
        <f>(F194-E194)*10000</f>
        <v>-89.9999999999998</v>
      </c>
      <c r="G195" s="67" t="s">
        <v>38</v>
      </c>
      <c r="H195" s="85">
        <f>(H194-F194)*10000</f>
        <v>74.3120287339466</v>
      </c>
      <c r="I195" s="2"/>
      <c r="J195" s="45"/>
    </row>
    <row r="196">
      <c r="A196" s="2"/>
      <c r="B196" s="55" t="s">
        <v>107</v>
      </c>
      <c r="C196" s="75">
        <f>(C194-Inputs!C48)*10000</f>
        <v>450.0000000000001</v>
      </c>
      <c r="D196" s="75">
        <f>(D194-Inputs!D48)*10000</f>
        <v>79.86465804231541</v>
      </c>
      <c r="E196" s="75">
        <f>(E194-Inputs!E48)*10000</f>
        <v>9.999999999999732</v>
      </c>
      <c r="F196" s="75">
        <f>(F194-Inputs!F48)*10000</f>
        <v>30.00000000000003</v>
      </c>
      <c r="G196" s="75">
        <f>(G194-Inputs!G48)*10000</f>
        <v>189.9999999999999</v>
      </c>
      <c r="H196" s="85">
        <f>(H194-C194)*10000</f>
        <v>-535.6879712660534</v>
      </c>
      <c r="I196" s="2"/>
      <c r="J196" s="45"/>
    </row>
    <row r="197">
      <c r="A197" s="2"/>
      <c r="B197" s="61" t="s">
        <v>175</v>
      </c>
      <c r="C197" s="51">
        <f>C191+C194</f>
        <v>0.895</v>
      </c>
      <c r="D197" s="51">
        <f>D191+D194</f>
        <v>0.8863573094656907</v>
      </c>
      <c r="E197" s="51">
        <f>E191+E194</f>
        <v>0.86</v>
      </c>
      <c r="F197" s="51">
        <f>F191+F194</f>
        <v>0.8760000000000001</v>
      </c>
      <c r="G197" s="51">
        <f>G191+G194</f>
        <v>0.875</v>
      </c>
      <c r="H197" s="87">
        <f>H191+H194</f>
        <v>0.8794652733348052</v>
      </c>
      <c r="I197" s="2"/>
      <c r="J197" s="45"/>
    </row>
    <row r="198">
      <c r="A198" s="2"/>
      <c r="B198" s="55" t="s">
        <v>106</v>
      </c>
      <c r="C198" s="75">
        <f>(C197-Inputs!F36)*10000</f>
        <v>350.0000000000003</v>
      </c>
      <c r="D198" s="67">
        <f>(D197-C197)*10000</f>
        <v>-86.42690534309327</v>
      </c>
      <c r="E198" s="67">
        <f>(E197-D197)*10000</f>
        <v>-263.573094656907</v>
      </c>
      <c r="F198" s="67">
        <f>(F197-E197)*10000</f>
        <v>160.00000000000125</v>
      </c>
      <c r="G198" s="67" t="s">
        <v>38</v>
      </c>
      <c r="H198" s="85">
        <f>(H197-F197)*10000</f>
        <v>34.65273334805063</v>
      </c>
      <c r="I198" s="2"/>
      <c r="J198" s="45"/>
    </row>
    <row r="199">
      <c r="A199" s="2"/>
      <c r="B199" s="55" t="s">
        <v>107</v>
      </c>
      <c r="C199" s="75">
        <f>(C197-Inputs!C36)*10000</f>
        <v>40.000000000000036</v>
      </c>
      <c r="D199" s="75">
        <f>(D197-Inputs!D36)*10000</f>
        <v>110.27068391537553</v>
      </c>
      <c r="E199" s="75">
        <f>(E197-Inputs!E36)*10000</f>
        <v>30.00000000000003</v>
      </c>
      <c r="F199" s="75">
        <f>(F197-Inputs!F36)*10000</f>
        <v>160.00000000000125</v>
      </c>
      <c r="G199" s="75">
        <f>(G197-Inputs!G36)*10000</f>
        <v>-110.0000000000001</v>
      </c>
      <c r="H199" s="85">
        <f>(H197-C197)*10000</f>
        <v>-155.34726665194842</v>
      </c>
      <c r="I199" s="2"/>
      <c r="J199" s="45"/>
    </row>
    <row r="200">
      <c r="A200" s="2"/>
      <c r="B200" s="2"/>
      <c r="C200" s="5"/>
      <c r="D200" s="5"/>
      <c r="E200" s="5"/>
      <c r="F200" s="5"/>
      <c r="G200" s="5"/>
      <c r="H200" s="20"/>
      <c r="I200" s="2"/>
      <c r="J200" s="45"/>
    </row>
    <row r="201">
      <c r="A201" s="2"/>
      <c r="B201" s="21" t="s">
        <v>176</v>
      </c>
      <c r="C201" s="26"/>
      <c r="D201" s="26"/>
      <c r="E201" s="26"/>
      <c r="F201" s="26"/>
      <c r="G201" s="26"/>
      <c r="H201" s="56"/>
      <c r="I201" s="2"/>
      <c r="J201" s="45"/>
    </row>
    <row r="202">
      <c r="A202" s="2"/>
      <c r="B202" s="66" t="s">
        <v>177</v>
      </c>
      <c r="C202" s="24"/>
      <c r="D202" s="24"/>
      <c r="E202" s="24"/>
      <c r="F202" s="24"/>
      <c r="G202" s="39">
        <v>1437</v>
      </c>
      <c r="H202" s="65"/>
      <c r="I202" s="2"/>
      <c r="J202" s="45" t="s">
        <v>178</v>
      </c>
    </row>
    <row r="203">
      <c r="A203" s="2"/>
      <c r="B203" s="66" t="s">
        <v>179</v>
      </c>
      <c r="C203" s="39">
        <v>198</v>
      </c>
      <c r="D203" s="30">
        <f>G203-Inputs!L135</f>
        <v>83.93600000000015</v>
      </c>
      <c r="E203" s="39">
        <v>167</v>
      </c>
      <c r="F203" s="39">
        <v>654</v>
      </c>
      <c r="G203" s="24">
        <f>G202-G209</f>
        <v>1112.9360000000001</v>
      </c>
      <c r="H203" s="31">
        <f>'Monthly Build'!G109</f>
        <v>276.1030518123913</v>
      </c>
      <c r="I203" s="2"/>
      <c r="J203" s="45" t="s">
        <v>180</v>
      </c>
    </row>
    <row r="204">
      <c r="A204" s="2"/>
      <c r="B204" s="55" t="s">
        <v>181</v>
      </c>
      <c r="C204" s="1">
        <f>C203/(C131+C138)</f>
        <v>0.011445748309150818</v>
      </c>
      <c r="D204" s="1">
        <f>D203/(D131+D138)</f>
        <v>0.0047526187645093795</v>
      </c>
      <c r="E204" s="1">
        <f>E203/(E131+E138)</f>
        <v>0.009481094583853752</v>
      </c>
      <c r="F204" s="1">
        <f>F203/(F131+F138)</f>
        <v>0.03612660884936198</v>
      </c>
      <c r="G204" s="1">
        <f>G203/(G131+G138)</f>
        <v>0.01644846442611806</v>
      </c>
      <c r="H204" s="49">
        <f>H203/(H131+H138)</f>
        <v>0.015058381515968848</v>
      </c>
      <c r="I204" s="2"/>
      <c r="J204" s="45"/>
    </row>
    <row r="205">
      <c r="A205" s="2"/>
      <c r="B205" s="55" t="s">
        <v>106</v>
      </c>
      <c r="C205" s="75">
        <f>(C204-Inputs!F57)*10000</f>
        <v>-202.2171352291025</v>
      </c>
      <c r="D205" s="67">
        <f>(D204-C204)*10000</f>
        <v>-66.93129544641438</v>
      </c>
      <c r="E205" s="67">
        <f>(E204-D204)*10000</f>
        <v>47.28475819344373</v>
      </c>
      <c r="F205" s="67">
        <f>(F204-E204)*10000</f>
        <v>266.4551426550823</v>
      </c>
      <c r="G205" s="67" t="s">
        <v>38</v>
      </c>
      <c r="H205" s="85">
        <f>(H204-F204)*10000</f>
        <v>-210.68227333393133</v>
      </c>
      <c r="I205" s="2"/>
      <c r="J205" s="45"/>
    </row>
    <row r="206">
      <c r="A206" s="2"/>
      <c r="B206" s="55" t="s">
        <v>107</v>
      </c>
      <c r="C206" s="75">
        <f>(C204-Inputs!C57)*10000</f>
        <v>-318.41663900465613</v>
      </c>
      <c r="D206" s="143" t="s">
        <v>72</v>
      </c>
      <c r="E206" s="75">
        <f>(E204-Inputs!E57)*10000</f>
        <v>-93.46569530618444</v>
      </c>
      <c r="F206" s="75">
        <f>(F204-Inputs!F57)*10000</f>
        <v>44.59147017300914</v>
      </c>
      <c r="G206" s="75">
        <f>(G204-Inputs!G57)*10000</f>
        <v>-131.80174055089685</v>
      </c>
      <c r="H206" s="85">
        <f>(H204-C204)*10000</f>
        <v>36.126332068180304</v>
      </c>
      <c r="I206" s="2"/>
      <c r="J206" s="45" t="s">
        <v>182</v>
      </c>
    </row>
    <row r="207">
      <c r="A207" s="2"/>
      <c r="B207" s="55" t="s">
        <v>183</v>
      </c>
      <c r="C207" s="18">
        <f>IFERROR(C203/Inputs!C53-1,"n/a")</f>
        <v>-0.6911076443057722</v>
      </c>
      <c r="D207" s="142" t="s">
        <v>72</v>
      </c>
      <c r="E207" s="18">
        <f>IFERROR(E203/Inputs!E53-1,"n/a")</f>
        <v>-0.44333333333333336</v>
      </c>
      <c r="F207" s="18">
        <f>IFERROR(F203/Inputs!F53-1,"n/a")</f>
        <v>0.23163841807909602</v>
      </c>
      <c r="G207" s="18">
        <f>IFERROR(G203/Inputs!G53-1,"n/a")</f>
        <v>-0.34213376082320157</v>
      </c>
      <c r="H207" s="49">
        <f>IFERROR(H203/C203-1,"n/a")</f>
        <v>0.3944598576383398</v>
      </c>
      <c r="I207" s="2"/>
      <c r="J207" s="45" t="s">
        <v>184</v>
      </c>
    </row>
    <row r="208">
      <c r="A208" s="2"/>
      <c r="B208" s="55" t="s">
        <v>185</v>
      </c>
      <c r="C208" s="70">
        <f>C203-Inputs!F53</f>
        <v>-333</v>
      </c>
      <c r="D208" s="42">
        <f>D203-C203</f>
        <v>-114.06399999999985</v>
      </c>
      <c r="E208" s="42">
        <f>E203-D203</f>
        <v>83.06399999999985</v>
      </c>
      <c r="F208" s="42">
        <f>F203-E203</f>
        <v>487</v>
      </c>
      <c r="G208" s="42" t="s">
        <v>38</v>
      </c>
      <c r="H208" s="57">
        <f>H203-F203</f>
        <v>-377.8969481876087</v>
      </c>
      <c r="I208" s="2"/>
      <c r="J208" s="45"/>
    </row>
    <row r="209">
      <c r="A209" s="2"/>
      <c r="B209" s="66" t="s">
        <v>186</v>
      </c>
      <c r="C209" s="39">
        <v>9</v>
      </c>
      <c r="D209" s="30">
        <f>G209-Inputs!L136</f>
        <v>4.0639999999999645</v>
      </c>
      <c r="E209" s="39">
        <v>96</v>
      </c>
      <c r="F209" s="39">
        <v>105</v>
      </c>
      <c r="G209" s="24">
        <f>G210*(G145)</f>
        <v>324.06399999999996</v>
      </c>
      <c r="H209" s="31">
        <f>'Monthly Build'!G110</f>
        <v>70.63204602469136</v>
      </c>
      <c r="I209" s="2"/>
      <c r="J209" s="45" t="s">
        <v>187</v>
      </c>
    </row>
    <row r="210">
      <c r="A210" s="2"/>
      <c r="B210" s="55" t="s">
        <v>188</v>
      </c>
      <c r="C210" s="1">
        <f>C209/(C145)</f>
        <v>0.01139240506329114</v>
      </c>
      <c r="D210" s="1">
        <f>D209/(D145)</f>
        <v>0.005250645994831995</v>
      </c>
      <c r="E210" s="1">
        <f>E209/(E145)</f>
        <v>0.12467532467532468</v>
      </c>
      <c r="F210" s="1">
        <f>F209/(F145)</f>
        <v>0.13513513513513514</v>
      </c>
      <c r="G210" s="3">
        <v>0.104</v>
      </c>
      <c r="H210" s="49">
        <f>H209/(H145)</f>
        <v>0.08904969873436519</v>
      </c>
      <c r="I210" s="2"/>
      <c r="J210" s="45" t="s">
        <v>189</v>
      </c>
    </row>
    <row r="211">
      <c r="A211" s="2"/>
      <c r="B211" s="55" t="s">
        <v>106</v>
      </c>
      <c r="C211" s="75">
        <f>(C210-Inputs!F58)*10000</f>
        <v>-1909.2718256557484</v>
      </c>
      <c r="D211" s="67">
        <f>(D210-C210)*10000</f>
        <v>-61.41759068459144</v>
      </c>
      <c r="E211" s="67">
        <f>(E210-D210)*10000</f>
        <v>1194.2467868049268</v>
      </c>
      <c r="F211" s="67">
        <f>(F210-E210)*10000</f>
        <v>104.59810459810467</v>
      </c>
      <c r="G211" s="67" t="s">
        <v>38</v>
      </c>
      <c r="H211" s="85">
        <f>(H210-F210)*10000</f>
        <v>-460.85436400769953</v>
      </c>
      <c r="I211" s="2"/>
      <c r="J211" s="45"/>
    </row>
    <row r="212">
      <c r="A212" s="2"/>
      <c r="B212" s="55" t="s">
        <v>107</v>
      </c>
      <c r="C212" s="75">
        <f>(C210-Inputs!C58)*10000</f>
        <v>-634.1074454300807</v>
      </c>
      <c r="D212" s="143" t="s">
        <v>72</v>
      </c>
      <c r="E212" s="75">
        <f>(E210-Inputs!E58)*10000</f>
        <v>-737.78283572098</v>
      </c>
      <c r="F212" s="75">
        <f>(F210-Inputs!F58)*10000</f>
        <v>-671.8445249373084</v>
      </c>
      <c r="G212" s="75">
        <f>(G210-Inputs!G58)*10000</f>
        <v>-1440.0000000000002</v>
      </c>
      <c r="H212" s="85">
        <f>(H210-C210)*10000</f>
        <v>776.5729367107405</v>
      </c>
      <c r="I212" s="2"/>
      <c r="J212" s="45" t="s">
        <v>190</v>
      </c>
    </row>
    <row r="213">
      <c r="A213" s="2"/>
      <c r="B213" s="55" t="s">
        <v>183</v>
      </c>
      <c r="C213" s="18">
        <f>IFERROR(C209/Inputs!C54-1,"n/a")</f>
        <v>-0.8421052631578947</v>
      </c>
      <c r="D213" s="142" t="s">
        <v>72</v>
      </c>
      <c r="E213" s="18">
        <f>IFERROR(E209/Inputs!E54-1,"n/a")</f>
        <v>-0.37662337662337664</v>
      </c>
      <c r="F213" s="18">
        <f>IFERROR(F209/Inputs!F54-1,"n/a")</f>
        <v>-0.3312101910828026</v>
      </c>
      <c r="G213" s="18">
        <f>IFERROR(G209/Inputs!G54-1,"n/a")</f>
        <v>-0.5634114007954043</v>
      </c>
      <c r="H213" s="49">
        <f>IFERROR(H209/C209-1,"n/a")</f>
        <v>6.848005113854596</v>
      </c>
      <c r="I213" s="2"/>
      <c r="J213" s="45" t="s">
        <v>191</v>
      </c>
    </row>
    <row r="214">
      <c r="A214" s="2"/>
      <c r="B214" s="55" t="s">
        <v>185</v>
      </c>
      <c r="C214" s="70">
        <f>C209-Inputs!F54</f>
        <v>-148</v>
      </c>
      <c r="D214" s="42">
        <f>D209-C209</f>
        <v>-4.9360000000000355</v>
      </c>
      <c r="E214" s="42">
        <f>E209-D209</f>
        <v>91.93600000000004</v>
      </c>
      <c r="F214" s="42">
        <f>F209-E209</f>
        <v>9</v>
      </c>
      <c r="G214" s="42" t="s">
        <v>38</v>
      </c>
      <c r="H214" s="57">
        <f>H209-F209</f>
        <v>-34.36795397530864</v>
      </c>
      <c r="I214" s="2"/>
      <c r="J214" s="45"/>
    </row>
    <row r="215">
      <c r="A215" s="2"/>
      <c r="B215" s="21" t="s">
        <v>192</v>
      </c>
      <c r="C215" s="37">
        <f>C203+C209</f>
        <v>207</v>
      </c>
      <c r="D215" s="37">
        <f>D203+D209</f>
        <v>88.00000000000011</v>
      </c>
      <c r="E215" s="37">
        <f>E203+E209</f>
        <v>263</v>
      </c>
      <c r="F215" s="37">
        <f>F203+F209</f>
        <v>759</v>
      </c>
      <c r="G215" s="37">
        <f>G203+G209</f>
        <v>1437</v>
      </c>
      <c r="H215" s="50">
        <f>H203+H209</f>
        <v>346.73509783708266</v>
      </c>
      <c r="I215" s="2"/>
      <c r="J215" s="45"/>
    </row>
    <row r="216">
      <c r="A216" s="2"/>
      <c r="B216" s="55" t="s">
        <v>193</v>
      </c>
      <c r="C216" s="1">
        <f>C215/C152</f>
        <v>0.01144341865221958</v>
      </c>
      <c r="D216" s="1">
        <f>D215/D152</f>
        <v>0.004773528614049369</v>
      </c>
      <c r="E216" s="1">
        <f>E215/E152</f>
        <v>0.0143059181897302</v>
      </c>
      <c r="F216" s="1">
        <f>F215/F152</f>
        <v>0.04020127118644068</v>
      </c>
      <c r="G216" s="1">
        <f>G215/G152</f>
        <v>0.020302918986125632</v>
      </c>
      <c r="H216" s="49">
        <f>H215/H152</f>
        <v>0.01812644995076447</v>
      </c>
      <c r="I216" s="2"/>
      <c r="J216" s="45"/>
    </row>
    <row r="217">
      <c r="A217" s="2"/>
      <c r="B217" s="79" t="s">
        <v>106</v>
      </c>
      <c r="C217" s="75">
        <f>(C216-Inputs!F76)*10000</f>
        <v>-277.72267622290224</v>
      </c>
      <c r="D217" s="67">
        <f>(D216-C216)*10000</f>
        <v>-66.69890038170212</v>
      </c>
      <c r="E217" s="67">
        <f>(E216-D216)*10000</f>
        <v>95.32389575680831</v>
      </c>
      <c r="F217" s="67">
        <f>(F216-E216)*10000</f>
        <v>258.9535299671048</v>
      </c>
      <c r="G217" s="67" t="s">
        <v>38</v>
      </c>
      <c r="H217" s="85">
        <f>(H216-F216)*10000</f>
        <v>-220.74821235676208</v>
      </c>
      <c r="I217" s="2"/>
      <c r="J217" s="45"/>
    </row>
    <row r="218">
      <c r="A218" s="2"/>
      <c r="B218" s="79" t="s">
        <v>107</v>
      </c>
      <c r="C218" s="75">
        <f>(C216-Inputs!C76)*10000</f>
        <v>-333.86382246945476</v>
      </c>
      <c r="D218" s="75">
        <f>(D216-Inputs!D76)*10000</f>
        <v>-46.86343219945138</v>
      </c>
      <c r="E218" s="75">
        <f>(E216-Inputs!E76)*10000</f>
        <v>-128.63441475141136</v>
      </c>
      <c r="F218" s="75">
        <f>(F216-Inputs!F76)*10000</f>
        <v>9.855849119308758</v>
      </c>
      <c r="G218" s="75">
        <f>(G216-Inputs!G76)*10000</f>
        <v>-202.0231474271895</v>
      </c>
      <c r="H218" s="85">
        <f>(H216-C216)*10000</f>
        <v>66.8303129854489</v>
      </c>
      <c r="I218" s="2"/>
      <c r="J218" s="45"/>
    </row>
    <row r="219">
      <c r="A219" s="2"/>
      <c r="B219" s="2"/>
      <c r="C219" s="5"/>
      <c r="D219" s="5"/>
      <c r="E219" s="5"/>
      <c r="F219" s="5"/>
      <c r="G219" s="5"/>
      <c r="H219" s="20"/>
      <c r="I219" s="2"/>
      <c r="J219" s="45"/>
    </row>
    <row r="220">
      <c r="A220" s="2"/>
      <c r="B220" s="21" t="s">
        <v>194</v>
      </c>
      <c r="C220" s="26"/>
      <c r="D220" s="26"/>
      <c r="E220" s="26"/>
      <c r="F220" s="26"/>
      <c r="G220" s="26"/>
      <c r="H220" s="56"/>
      <c r="I220" s="2"/>
      <c r="J220" s="45"/>
    </row>
    <row r="221">
      <c r="A221" s="2"/>
      <c r="B221" s="66" t="s">
        <v>195</v>
      </c>
      <c r="C221" s="24"/>
      <c r="D221" s="24"/>
      <c r="E221" s="24"/>
      <c r="F221" s="24"/>
      <c r="G221" s="39">
        <v>8854</v>
      </c>
      <c r="H221" s="65"/>
      <c r="I221" s="2"/>
      <c r="J221" s="45" t="s">
        <v>178</v>
      </c>
    </row>
    <row r="222">
      <c r="A222" s="2"/>
      <c r="B222" s="66" t="s">
        <v>196</v>
      </c>
      <c r="C222" s="39">
        <v>873</v>
      </c>
      <c r="D222" s="30">
        <f>G222-Inputs!L131</f>
        <v>1010.7719999999972</v>
      </c>
      <c r="E222" s="39">
        <v>1284</v>
      </c>
      <c r="F222" s="39">
        <v>1041</v>
      </c>
      <c r="G222" s="24">
        <f>G131*(1-G170)</f>
        <v>4289.771999999997</v>
      </c>
      <c r="H222" s="31">
        <f>'Monthly Build'!G115</f>
        <v>1113.4255264180124</v>
      </c>
      <c r="I222" s="2"/>
      <c r="J222" s="45" t="s">
        <v>197</v>
      </c>
    </row>
    <row r="223">
      <c r="A223" s="2"/>
      <c r="B223" s="55" t="s">
        <v>198</v>
      </c>
      <c r="C223" s="1">
        <f>C222/C131</f>
        <v>0.11671122994652407</v>
      </c>
      <c r="D223" s="1">
        <f>D222/D131</f>
        <v>0.13345286506469464</v>
      </c>
      <c r="E223" s="1">
        <f>E222/E131</f>
        <v>0.1716577540106952</v>
      </c>
      <c r="F223" s="1">
        <f>F222/F131</f>
        <v>0.1363993710691824</v>
      </c>
      <c r="G223" s="1">
        <f>G222/G131</f>
        <v>0.1459999999999999</v>
      </c>
      <c r="H223" s="49">
        <f>H222/H131</f>
        <v>0.1441842617840443</v>
      </c>
      <c r="I223" s="2"/>
      <c r="J223" s="45"/>
    </row>
    <row r="224">
      <c r="A224" s="2"/>
      <c r="B224" s="55" t="s">
        <v>106</v>
      </c>
      <c r="C224" s="75">
        <f>(C223-(1-Inputs!F33))*10000</f>
        <v>-392.88770053475963</v>
      </c>
      <c r="D224" s="67">
        <f>(D223-C223)*10000</f>
        <v>167.41635118170575</v>
      </c>
      <c r="E224" s="67">
        <f>(E223-D223)*10000</f>
        <v>382.04888946000546</v>
      </c>
      <c r="F224" s="67">
        <f>(F223-E223)*10000</f>
        <v>-352.58382941512787</v>
      </c>
      <c r="G224" s="67" t="s">
        <v>38</v>
      </c>
      <c r="H224" s="85">
        <f>(H223-F223)*10000</f>
        <v>77.84890714861909</v>
      </c>
      <c r="I224" s="2"/>
      <c r="J224" s="45"/>
    </row>
    <row r="225">
      <c r="A225" s="2"/>
      <c r="B225" s="55" t="s">
        <v>107</v>
      </c>
      <c r="C225" s="75">
        <f>(C223-(1-Inputs!C33))*10000</f>
        <v>-142.88770053475938</v>
      </c>
      <c r="D225" s="75">
        <f>(D223-(1-Inputs!D33))*10000</f>
        <v>-28.53142715163931</v>
      </c>
      <c r="E225" s="75">
        <f>(E223-(1-Inputs!E33))*10000</f>
        <v>-93.4224598930486</v>
      </c>
      <c r="F225" s="75">
        <f>(F223-(1-Inputs!F33))*10000</f>
        <v>-196.00628930817626</v>
      </c>
      <c r="G225" s="75">
        <f>(G223-(1-Inputs!G33))*10000</f>
        <v>69.99999999999895</v>
      </c>
      <c r="H225" s="85">
        <f>(H223-C223)*10000</f>
        <v>274.73031837520244</v>
      </c>
      <c r="I225" s="2"/>
      <c r="J225" s="45"/>
    </row>
    <row r="226">
      <c r="A226" s="2"/>
      <c r="B226" s="55" t="s">
        <v>61</v>
      </c>
      <c r="C226" s="18">
        <f>IFERROR(C222/Inputs!C81-1,"n/a")</f>
        <v>0.005449930205881026</v>
      </c>
      <c r="D226" s="18">
        <f>IFERROR(D222/Inputs!D81-1,"n/a")</f>
        <v>0.06835641052742725</v>
      </c>
      <c r="E226" s="18">
        <f>IFERROR(E222/Inputs!E81-1,"n/a")</f>
        <v>0.009667328769385142</v>
      </c>
      <c r="F226" s="18">
        <f>IFERROR(F222/Inputs!F81-1,"n/a")</f>
        <v>-0.0861302488254011</v>
      </c>
      <c r="G226" s="18">
        <f>IFERROR(G222/Inputs!G81-1,"n/a")</f>
        <v>0.203653239654765</v>
      </c>
      <c r="H226" s="49">
        <f>IFERROR(H222/C222-1,"n/a")</f>
        <v>0.27540151937916657</v>
      </c>
      <c r="I226" s="2"/>
      <c r="J226" s="45" t="s">
        <v>199</v>
      </c>
    </row>
    <row r="227">
      <c r="A227" s="2"/>
      <c r="B227" s="66" t="s">
        <v>200</v>
      </c>
      <c r="C227" s="39">
        <v>737</v>
      </c>
      <c r="D227" s="30">
        <f>G227-Inputs!L132</f>
        <v>854.7199999999989</v>
      </c>
      <c r="E227" s="39">
        <v>1124</v>
      </c>
      <c r="F227" s="39">
        <v>1134</v>
      </c>
      <c r="G227" s="24">
        <f>G138*(1-G179)</f>
        <v>3789.719999999999</v>
      </c>
      <c r="H227" s="31">
        <f>'Monthly Build'!G116</f>
        <v>1019.9498211063255</v>
      </c>
      <c r="I227" s="2"/>
      <c r="J227" s="45" t="s">
        <v>197</v>
      </c>
    </row>
    <row r="228">
      <c r="A228" s="2"/>
      <c r="B228" s="55" t="s">
        <v>198</v>
      </c>
      <c r="C228" s="1">
        <f>C227/C138</f>
        <v>0.07505855993482025</v>
      </c>
      <c r="D228" s="1">
        <f>D227/D138</f>
        <v>0.08473480717755516</v>
      </c>
      <c r="E228" s="1">
        <f>E227/E138</f>
        <v>0.11091375567396881</v>
      </c>
      <c r="F228" s="1">
        <f>F227/F138</f>
        <v>0.10829911183268073</v>
      </c>
      <c r="G228" s="1">
        <f>G227/G138</f>
        <v>0.09899999999999998</v>
      </c>
      <c r="H228" s="49">
        <f>H227/H138</f>
        <v>0.09610140841037994</v>
      </c>
      <c r="I228" s="2"/>
      <c r="J228" s="45"/>
    </row>
    <row r="229">
      <c r="A229" s="2"/>
      <c r="B229" s="55" t="s">
        <v>106</v>
      </c>
      <c r="C229" s="75">
        <f>(C228-(1-Inputs!F34))*10000</f>
        <v>-499.41440065179756</v>
      </c>
      <c r="D229" s="67">
        <f>(D228-C228)*10000</f>
        <v>96.76247242734914</v>
      </c>
      <c r="E229" s="67">
        <f>(E228-D228)*10000</f>
        <v>261.78948496413653</v>
      </c>
      <c r="F229" s="67">
        <f>(F228-E228)*10000</f>
        <v>-26.14643841288081</v>
      </c>
      <c r="G229" s="67" t="s">
        <v>38</v>
      </c>
      <c r="H229" s="85">
        <f>(H228-F228)*10000</f>
        <v>-121.97703422300796</v>
      </c>
      <c r="I229" s="2"/>
      <c r="J229" s="45"/>
    </row>
    <row r="230">
      <c r="A230" s="2"/>
      <c r="B230" s="55" t="s">
        <v>107</v>
      </c>
      <c r="C230" s="75">
        <f>(C228-(1-Inputs!C34))*10000</f>
        <v>-59.41440065179715</v>
      </c>
      <c r="D230" s="75">
        <f>(D228-(1-Inputs!D34))*10000</f>
        <v>-24.748441731721748</v>
      </c>
      <c r="E230" s="75">
        <f>(E228-(1-Inputs!E34))*10000</f>
        <v>-30.86244326031176</v>
      </c>
      <c r="F230" s="75">
        <f>(F228-(1-Inputs!F34))*10000</f>
        <v>-167.00888167319266</v>
      </c>
      <c r="G230" s="75">
        <f>(G228-(1-Inputs!G34))*10000</f>
        <v>-40.000000000000036</v>
      </c>
      <c r="H230" s="85">
        <f>(H228-C228)*10000</f>
        <v>210.4284847555969</v>
      </c>
      <c r="I230" s="2"/>
      <c r="J230" s="45"/>
    </row>
    <row r="231">
      <c r="A231" s="2"/>
      <c r="B231" s="55" t="s">
        <v>61</v>
      </c>
      <c r="C231" s="18">
        <f>IFERROR(C227/Inputs!C82-1,"n/a")</f>
        <v>0.11231851248151226</v>
      </c>
      <c r="D231" s="18">
        <f>IFERROR(D227/Inputs!D82-1,"n/a")</f>
        <v>0.1314650322341493</v>
      </c>
      <c r="E231" s="18">
        <f>IFERROR(E227/Inputs!E82-1,"n/a")</f>
        <v>0.10683084000976861</v>
      </c>
      <c r="F231" s="18">
        <f>IFERROR(F227/Inputs!F82-1,"n/a")</f>
        <v>-0.04162264948235794</v>
      </c>
      <c r="G231" s="18">
        <f>IFERROR(G227/Inputs!G82-1,"n/a")</f>
        <v>0.16960385460780802</v>
      </c>
      <c r="H231" s="49">
        <f>IFERROR(H227/C227-1,"n/a")</f>
        <v>0.3839210598457605</v>
      </c>
      <c r="I231" s="2"/>
      <c r="J231" s="45" t="s">
        <v>201</v>
      </c>
    </row>
    <row r="232">
      <c r="A232" s="2"/>
      <c r="B232" s="66" t="s">
        <v>202</v>
      </c>
      <c r="C232" s="39">
        <v>288</v>
      </c>
      <c r="D232" s="30">
        <f>G232-Inputs!L133</f>
        <v>259.5080000000039</v>
      </c>
      <c r="E232" s="39">
        <v>167</v>
      </c>
      <c r="F232" s="39">
        <v>171</v>
      </c>
      <c r="G232" s="24">
        <f>G221-G222-G227</f>
        <v>774.5080000000039</v>
      </c>
      <c r="H232" s="31">
        <f>'Monthly Build'!G117</f>
        <v>172.29511506172838</v>
      </c>
      <c r="I232" s="2"/>
      <c r="J232" s="45" t="s">
        <v>203</v>
      </c>
    </row>
    <row r="233">
      <c r="A233" s="2"/>
      <c r="B233" s="55" t="s">
        <v>198</v>
      </c>
      <c r="C233" s="1">
        <f>C232/C145</f>
        <v>0.36455696202531646</v>
      </c>
      <c r="D233" s="1">
        <f>D232/D145</f>
        <v>0.33528165374677504</v>
      </c>
      <c r="E233" s="1">
        <f>E232/E145</f>
        <v>0.21688311688311687</v>
      </c>
      <c r="F233" s="1">
        <f>F232/F145</f>
        <v>0.22007722007722008</v>
      </c>
      <c r="G233" s="1">
        <f>G232/G145</f>
        <v>0.24855840821566236</v>
      </c>
      <c r="H233" s="49">
        <f>H232/H145</f>
        <v>0.21722191205230262</v>
      </c>
      <c r="I233" s="2"/>
      <c r="J233" s="45"/>
    </row>
    <row r="234">
      <c r="A234" s="2"/>
      <c r="B234" s="55" t="s">
        <v>106</v>
      </c>
      <c r="C234" s="75">
        <f>(C233-(1-Inputs!F35))*10000</f>
        <v>2005.5696202531642</v>
      </c>
      <c r="D234" s="67">
        <f>(D233-C233)*10000</f>
        <v>-292.7530827854141</v>
      </c>
      <c r="E234" s="67">
        <f>(E233-D233)*10000</f>
        <v>-1183.9853686365818</v>
      </c>
      <c r="F234" s="67">
        <f>(F233-E233)*10000</f>
        <v>31.941031941032094</v>
      </c>
      <c r="G234" s="67" t="s">
        <v>38</v>
      </c>
      <c r="H234" s="85">
        <f>(H233-F233)*10000</f>
        <v>-28.553080249174577</v>
      </c>
      <c r="I234" s="2"/>
      <c r="J234" s="45"/>
    </row>
    <row r="235">
      <c r="A235" s="2"/>
      <c r="B235" s="55" t="s">
        <v>107</v>
      </c>
      <c r="C235" s="75">
        <f>(C233-(1-Inputs!C35))*10000</f>
        <v>1495.5696202531649</v>
      </c>
      <c r="D235" s="75">
        <f>(D233-(1-Inputs!D35))*10000</f>
        <v>-832.0427975706107</v>
      </c>
      <c r="E235" s="75">
        <f>(E233-(1-Inputs!E35))*10000</f>
        <v>888.8311688311687</v>
      </c>
      <c r="F235" s="75">
        <f>(F233-(1-Inputs!F35))*10000</f>
        <v>560.7722007722004</v>
      </c>
      <c r="G235" s="75">
        <f>(G233-(1-Inputs!G35))*10000</f>
        <v>2315.5840821566235</v>
      </c>
      <c r="H235" s="85">
        <f>(H233-C233)*10000</f>
        <v>-1473.3504997301384</v>
      </c>
      <c r="I235" s="2"/>
      <c r="J235" s="45"/>
    </row>
    <row r="236">
      <c r="A236" s="2"/>
      <c r="B236" s="55" t="s">
        <v>61</v>
      </c>
      <c r="C236" s="18">
        <f>IFERROR(C232/Inputs!C83-1,"n/a")</f>
        <v>0.7579197949093575</v>
      </c>
      <c r="D236" s="18">
        <f>IFERROR(D232/Inputs!D83-1,"n/a")</f>
        <v>-0.20701835871609986</v>
      </c>
      <c r="E236" s="18">
        <f>IFERROR(E232/Inputs!E83-1,"n/a")</f>
        <v>0.6812983247422679</v>
      </c>
      <c r="F236" s="18">
        <f>IFERROR(F232/Inputs!F83-1,"n/a")</f>
        <v>0.34366356550163424</v>
      </c>
      <c r="G236" s="142" t="s">
        <v>72</v>
      </c>
      <c r="H236" s="49">
        <f>IFERROR(H232/C232-1,"n/a")</f>
        <v>-0.40175307270233196</v>
      </c>
      <c r="I236" s="2"/>
      <c r="J236" s="45" t="s">
        <v>204</v>
      </c>
    </row>
    <row r="237">
      <c r="A237" s="2"/>
      <c r="B237" s="21" t="s">
        <v>205</v>
      </c>
      <c r="C237" s="37">
        <f>C222+C227+C232</f>
        <v>1898</v>
      </c>
      <c r="D237" s="37">
        <f>D222+D227+D232</f>
        <v>2125</v>
      </c>
      <c r="E237" s="37">
        <f>E222+E227+E232</f>
        <v>2575</v>
      </c>
      <c r="F237" s="37">
        <f>F222+F227+F232</f>
        <v>2346</v>
      </c>
      <c r="G237" s="37">
        <f>G222+G227+G232</f>
        <v>8854</v>
      </c>
      <c r="H237" s="50">
        <f>H222+H227+H232</f>
        <v>2305.670462586066</v>
      </c>
      <c r="I237" s="2"/>
      <c r="J237" s="45"/>
    </row>
    <row r="238">
      <c r="A238" s="2"/>
      <c r="B238" s="55" t="s">
        <v>198</v>
      </c>
      <c r="C238" s="1">
        <f>C237/C152</f>
        <v>0.10492564541986843</v>
      </c>
      <c r="D238" s="1">
        <f>D237/D152</f>
        <v>0.11526986710062381</v>
      </c>
      <c r="E238" s="1">
        <f>E237/E152</f>
        <v>0.1400674499564839</v>
      </c>
      <c r="F238" s="1">
        <f>F237/F152</f>
        <v>0.12425847457627119</v>
      </c>
      <c r="G238" s="1">
        <f>G237/G152</f>
        <v>0.12509536861736698</v>
      </c>
      <c r="H238" s="49">
        <f>H237/H152</f>
        <v>0.12053472666519469</v>
      </c>
      <c r="I238" s="2"/>
      <c r="J238" s="45"/>
    </row>
    <row r="239">
      <c r="A239" s="2"/>
      <c r="B239" s="55" t="s">
        <v>106</v>
      </c>
      <c r="C239" s="75">
        <f>(C238-(1-Inputs!F36))*10000</f>
        <v>-350.74354580131586</v>
      </c>
      <c r="D239" s="67">
        <f>(D238-C238)*10000</f>
        <v>103.44221680755383</v>
      </c>
      <c r="E239" s="67">
        <f>(E238-D238)*10000</f>
        <v>247.9758285586009</v>
      </c>
      <c r="F239" s="67">
        <f>(F238-E238)*10000</f>
        <v>-158.08975380212712</v>
      </c>
      <c r="G239" s="67" t="s">
        <v>38</v>
      </c>
      <c r="H239" s="85">
        <f>(H238-F238)*10000</f>
        <v>-37.23747911076505</v>
      </c>
      <c r="I239" s="2"/>
      <c r="J239" s="45"/>
    </row>
    <row r="240">
      <c r="A240" s="2"/>
      <c r="B240" s="55" t="s">
        <v>107</v>
      </c>
      <c r="C240" s="75">
        <f>(C238-(1-Inputs!C36))*10000</f>
        <v>-40.74354580131556</v>
      </c>
      <c r="D240" s="75">
        <f>(D238-(1-Inputs!D36))*10000</f>
        <v>-93.9989182522305</v>
      </c>
      <c r="E240" s="75">
        <f>(E238-(1-Inputs!E36))*10000</f>
        <v>-29.325500435161132</v>
      </c>
      <c r="F240" s="75">
        <f>(F238-(1-Inputs!F36))*10000</f>
        <v>-157.41525423728822</v>
      </c>
      <c r="G240" s="75">
        <f>(G238-(1-Inputs!G36))*10000</f>
        <v>110.95368617366985</v>
      </c>
      <c r="H240" s="85">
        <f>(H238-C238)*10000</f>
        <v>156.09081245326257</v>
      </c>
      <c r="I240" s="2"/>
      <c r="J240" s="45"/>
    </row>
    <row r="241">
      <c r="A241" s="2"/>
      <c r="B241" s="55" t="s">
        <v>61</v>
      </c>
      <c r="C241" s="18">
        <f>IFERROR(C237/Inputs!C85-1,"n/a")</f>
        <v>0.11835864076411351</v>
      </c>
      <c r="D241" s="18">
        <f>IFERROR(D237/Inputs!D85-1,"n/a")</f>
        <v>0.040282682744622544</v>
      </c>
      <c r="E241" s="18">
        <f>IFERROR(E237/Inputs!E85-1,"n/a")</f>
        <v>0.07761777420664306</v>
      </c>
      <c r="F241" s="18">
        <f>IFERROR(F237/Inputs!F85-1,"n/a")</f>
        <v>-0.04485049833887056</v>
      </c>
      <c r="G241" s="18">
        <f>IFERROR(G237/Inputs!G85-1,"n/a")</f>
        <v>0.29248417677633376</v>
      </c>
      <c r="H241" s="49">
        <f>IFERROR(H237/C237-1,"n/a")</f>
        <v>0.21478949556694737</v>
      </c>
      <c r="I241" s="2"/>
      <c r="J241" s="45" t="s">
        <v>206</v>
      </c>
    </row>
    <row r="242">
      <c r="A242" s="2"/>
      <c r="B242" s="2"/>
      <c r="C242" s="5"/>
      <c r="D242" s="5"/>
      <c r="E242" s="5"/>
      <c r="F242" s="5"/>
      <c r="G242" s="5"/>
      <c r="H242" s="20"/>
      <c r="I242" s="2"/>
      <c r="J242" s="45"/>
    </row>
    <row r="243">
      <c r="A243" s="2"/>
      <c r="B243" s="2"/>
      <c r="C243" s="5"/>
      <c r="D243" s="5"/>
      <c r="E243" s="5"/>
      <c r="F243" s="5"/>
      <c r="G243" s="5"/>
      <c r="H243" s="20"/>
      <c r="I243" s="2"/>
      <c r="J243" s="45"/>
    </row>
  </sheetData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J79"/>
  <sheetViews>
    <sheetView showGridLines="0" workbookViewId="0"/>
  </sheetViews>
  <sheetFormatPr defaultColWidth="8.42578125" defaultRowHeight="15"/>
  <cols>
    <col min="1" max="1" width="2" customWidth="1"/>
    <col min="2" max="2" width="42" customWidth="1"/>
    <col min="3" max="8" width="12" customWidth="1"/>
    <col min="9" max="9" width="2" customWidth="1"/>
    <col min="10" max="10" width="16" customWidth="1"/>
  </cols>
  <sheetData>
    <row r="1">
      <c r="A1" s="2"/>
      <c r="B1" s="2"/>
      <c r="C1" s="2"/>
      <c r="D1" s="2"/>
      <c r="E1" s="2"/>
      <c r="F1" s="2"/>
      <c r="G1" s="2"/>
      <c r="H1" s="2"/>
      <c r="I1" s="2"/>
      <c r="J1" s="2"/>
    </row>
    <row r="2">
      <c r="A2" s="2"/>
      <c r="B2" s="11" t="s">
        <v>1</v>
      </c>
      <c r="C2" s="2"/>
      <c r="D2" s="2"/>
      <c r="E2" s="2"/>
      <c r="F2" s="2"/>
      <c r="G2" s="2"/>
      <c r="H2" s="2"/>
      <c r="I2" s="2"/>
      <c r="J2" s="2"/>
    </row>
    <row r="3">
      <c r="A3" s="2"/>
      <c r="B3" s="21" t="s">
        <v>207</v>
      </c>
      <c r="C3" s="2"/>
      <c r="D3" s="2"/>
      <c r="E3" s="2"/>
      <c r="F3" s="2"/>
      <c r="G3" s="2"/>
      <c r="H3" s="2"/>
      <c r="I3" s="2"/>
      <c r="J3" s="2"/>
    </row>
    <row r="4">
      <c r="A4" s="2"/>
      <c r="B4" s="19" t="s">
        <v>2</v>
      </c>
      <c r="C4" s="2"/>
      <c r="D4" s="2"/>
      <c r="E4" s="2"/>
      <c r="F4" s="2"/>
      <c r="G4" s="2"/>
      <c r="H4" s="2"/>
      <c r="I4" s="2"/>
      <c r="J4" s="2"/>
    </row>
    <row r="5">
      <c r="A5" s="2"/>
      <c r="B5" s="17" t="s">
        <v>3</v>
      </c>
      <c r="C5" s="4" t="s">
        <v>53</v>
      </c>
      <c r="D5" s="4" t="s">
        <v>54</v>
      </c>
      <c r="E5" s="4" t="s">
        <v>55</v>
      </c>
      <c r="F5" s="4" t="s">
        <v>56</v>
      </c>
      <c r="G5" s="4" t="s">
        <v>57</v>
      </c>
      <c r="H5" s="69" t="s">
        <v>4</v>
      </c>
      <c r="I5" s="4"/>
      <c r="J5" s="114" t="s">
        <v>58</v>
      </c>
    </row>
    <row r="6">
      <c r="A6" s="2"/>
      <c r="B6" s="15" t="s">
        <v>10</v>
      </c>
      <c r="C6" s="14">
        <f>DATE(2025,9,30)</f>
        <v>45930</v>
      </c>
      <c r="D6" s="14">
        <f>DATE(2025,12,31)</f>
        <v>46022</v>
      </c>
      <c r="E6" s="14">
        <f>DATE(2026,3,31)</f>
        <v>46112</v>
      </c>
      <c r="F6" s="14">
        <f>DATE(2026,6,30)</f>
        <v>46203</v>
      </c>
      <c r="G6" s="14">
        <f>DATE(2025,12,31)</f>
        <v>46022</v>
      </c>
      <c r="H6" s="40">
        <f>DATE(2026,9,30)</f>
        <v>46295</v>
      </c>
      <c r="I6" s="14"/>
      <c r="J6" s="14"/>
    </row>
    <row r="7">
      <c r="A7" s="2"/>
      <c r="B7" s="7" t="s">
        <v>11</v>
      </c>
      <c r="C7" s="28">
        <v>92</v>
      </c>
      <c r="D7" s="28">
        <v>92</v>
      </c>
      <c r="E7" s="28">
        <v>90</v>
      </c>
      <c r="F7" s="28">
        <v>91</v>
      </c>
      <c r="G7" s="28">
        <v>365</v>
      </c>
      <c r="H7" s="62">
        <v>92</v>
      </c>
      <c r="I7" s="9"/>
      <c r="J7" s="9"/>
    </row>
    <row r="8">
      <c r="A8" s="2"/>
      <c r="B8" s="2"/>
      <c r="C8" s="2"/>
      <c r="D8" s="2"/>
      <c r="E8" s="2"/>
      <c r="F8" s="2"/>
      <c r="G8" s="2"/>
      <c r="H8" s="60"/>
      <c r="I8" s="2"/>
      <c r="J8" s="2"/>
    </row>
    <row r="9">
      <c r="A9" s="2"/>
      <c r="B9" s="21" t="s">
        <v>97</v>
      </c>
      <c r="C9" s="26"/>
      <c r="D9" s="26"/>
      <c r="E9" s="26"/>
      <c r="F9" s="26"/>
      <c r="G9" s="26"/>
      <c r="H9" s="56"/>
      <c r="I9" s="2"/>
      <c r="J9" s="45"/>
    </row>
    <row r="10">
      <c r="A10" s="2"/>
      <c r="B10" s="66" t="s">
        <v>208</v>
      </c>
      <c r="C10" s="77">
        <f>Inputs!F69</f>
        <v>1189</v>
      </c>
      <c r="D10" s="83">
        <f>C14</f>
        <v>1198</v>
      </c>
      <c r="E10" s="83">
        <f>D14</f>
        <v>1191</v>
      </c>
      <c r="F10" s="83">
        <f>E14</f>
        <v>1196</v>
      </c>
      <c r="G10" s="77">
        <f>Inputs!G69</f>
        <v>1141</v>
      </c>
      <c r="H10" s="76">
        <f>F14</f>
        <v>1226</v>
      </c>
      <c r="I10" s="2"/>
      <c r="J10" s="45"/>
    </row>
    <row r="11">
      <c r="A11" s="2"/>
      <c r="B11" s="92" t="s">
        <v>209</v>
      </c>
      <c r="C11" s="83" t="s">
        <v>64</v>
      </c>
      <c r="D11" s="83" t="s">
        <v>64</v>
      </c>
      <c r="E11" s="83" t="s">
        <v>64</v>
      </c>
      <c r="F11" s="83" t="s">
        <v>64</v>
      </c>
      <c r="G11" s="83" t="s">
        <v>64</v>
      </c>
      <c r="H11" s="76" t="s">
        <v>64</v>
      </c>
      <c r="I11" s="2"/>
      <c r="J11" s="45"/>
    </row>
    <row r="12">
      <c r="A12" s="2"/>
      <c r="B12" s="92" t="s">
        <v>210</v>
      </c>
      <c r="C12" s="83" t="s">
        <v>64</v>
      </c>
      <c r="D12" s="83" t="s">
        <v>64</v>
      </c>
      <c r="E12" s="83" t="s">
        <v>64</v>
      </c>
      <c r="F12" s="83" t="s">
        <v>64</v>
      </c>
      <c r="G12" s="83" t="s">
        <v>64</v>
      </c>
      <c r="H12" s="76" t="s">
        <v>64</v>
      </c>
      <c r="I12" s="2"/>
      <c r="J12" s="45"/>
    </row>
    <row r="13">
      <c r="A13" s="2"/>
      <c r="B13" s="92" t="s">
        <v>211</v>
      </c>
      <c r="C13" s="83">
        <f>C14-C10</f>
        <v>9</v>
      </c>
      <c r="D13" s="83">
        <f>D14-D10</f>
        <v>-7</v>
      </c>
      <c r="E13" s="83">
        <f>E14-E10</f>
        <v>5</v>
      </c>
      <c r="F13" s="83">
        <f>F14-F10</f>
        <v>30</v>
      </c>
      <c r="G13" s="83">
        <f>G14-G10</f>
        <v>50</v>
      </c>
      <c r="H13" s="76">
        <f>H14-H10</f>
        <v>22</v>
      </c>
      <c r="I13" s="2"/>
      <c r="J13" s="45"/>
    </row>
    <row r="14">
      <c r="A14" s="2"/>
      <c r="B14" s="21" t="s">
        <v>212</v>
      </c>
      <c r="C14" s="78">
        <v>1198</v>
      </c>
      <c r="D14" s="78">
        <v>1191</v>
      </c>
      <c r="E14" s="78">
        <v>1196</v>
      </c>
      <c r="F14" s="78">
        <v>1226</v>
      </c>
      <c r="G14" s="93">
        <f>D14</f>
        <v>1191</v>
      </c>
      <c r="H14" s="88">
        <f>'Monthly Build'!G24</f>
        <v>1248</v>
      </c>
      <c r="I14" s="2"/>
      <c r="J14" s="45" t="s">
        <v>71</v>
      </c>
    </row>
    <row r="15">
      <c r="A15" s="2"/>
      <c r="B15" s="55" t="s">
        <v>61</v>
      </c>
      <c r="C15" s="18">
        <f>IFERROR(C14/Inputs!C69-1,"n/a")</f>
        <v>0.05923961096374897</v>
      </c>
      <c r="D15" s="18">
        <f>IFERROR(D14/Inputs!D69-1,"n/a")</f>
        <v>0.04382120946538115</v>
      </c>
      <c r="E15" s="18">
        <f>IFERROR(E14/Inputs!E69-1,"n/a")</f>
        <v>0.029259896729776358</v>
      </c>
      <c r="F15" s="18">
        <f>IFERROR(F14/Inputs!F69-1,"n/a")</f>
        <v>0.03111858704793935</v>
      </c>
      <c r="G15" s="18">
        <f>IFERROR(G14/Inputs!G69-1,"n/a")</f>
        <v>0.04382120946538115</v>
      </c>
      <c r="H15" s="49">
        <f>IFERROR(H14/C14-1,"n/a")</f>
        <v>0.04173622704507518</v>
      </c>
      <c r="I15" s="2"/>
      <c r="J15" s="45"/>
    </row>
    <row r="16">
      <c r="A16" s="2"/>
      <c r="B16" s="55" t="s">
        <v>103</v>
      </c>
      <c r="C16" s="75">
        <f>C14-Inputs!F69</f>
        <v>9</v>
      </c>
      <c r="D16" s="67">
        <f>D14-C14</f>
        <v>-7</v>
      </c>
      <c r="E16" s="67">
        <f>E14-D14</f>
        <v>5</v>
      </c>
      <c r="F16" s="67">
        <f>F14-E14</f>
        <v>30</v>
      </c>
      <c r="G16" s="67" t="s">
        <v>38</v>
      </c>
      <c r="H16" s="85">
        <f>H14-F14</f>
        <v>22</v>
      </c>
      <c r="I16" s="2"/>
      <c r="J16" s="45"/>
    </row>
    <row r="17">
      <c r="A17" s="2"/>
      <c r="B17" s="66" t="s">
        <v>213</v>
      </c>
      <c r="C17" s="83">
        <f>(C10+C14)/2</f>
        <v>1193.5</v>
      </c>
      <c r="D17" s="83">
        <f>(D10+D14)/2</f>
        <v>1194.5</v>
      </c>
      <c r="E17" s="83">
        <f>(E10+E14)/2</f>
        <v>1193.5</v>
      </c>
      <c r="F17" s="83">
        <f>(F10+F14)/2</f>
        <v>1211</v>
      </c>
      <c r="G17" s="83">
        <f>(G10+G14)/2</f>
        <v>1166</v>
      </c>
      <c r="H17" s="76">
        <f>(H10+H14)/2</f>
        <v>1237</v>
      </c>
      <c r="I17" s="2"/>
      <c r="J17" s="45"/>
    </row>
    <row r="18">
      <c r="A18" s="2"/>
      <c r="B18" s="55" t="s">
        <v>105</v>
      </c>
      <c r="C18" s="1">
        <f>C13/C10</f>
        <v>0.007569386038687973</v>
      </c>
      <c r="D18" s="1">
        <f>D13/D10</f>
        <v>-0.005843071786310518</v>
      </c>
      <c r="E18" s="1">
        <f>E13/E10</f>
        <v>0.0041981528127623844</v>
      </c>
      <c r="F18" s="1">
        <f>F13/F10</f>
        <v>0.02508361204013378</v>
      </c>
      <c r="G18" s="1">
        <f>G13/G10</f>
        <v>0.04382120946538125</v>
      </c>
      <c r="H18" s="49">
        <f>H13/H10</f>
        <v>0.01794453507340946</v>
      </c>
      <c r="I18" s="2"/>
      <c r="J18" s="45"/>
    </row>
    <row r="19">
      <c r="A19" s="2"/>
      <c r="B19" s="79" t="s">
        <v>106</v>
      </c>
      <c r="C19" s="75">
        <f>(C18-Inputs!F99)*10000</f>
        <v>-156.66414305546107</v>
      </c>
      <c r="D19" s="67">
        <f>(D18-C18)*10000</f>
        <v>-134.1245782499849</v>
      </c>
      <c r="E19" s="67">
        <f>(E18-D18)*10000</f>
        <v>100.41224599072902</v>
      </c>
      <c r="F19" s="67">
        <f>(F18-E18)*10000</f>
        <v>208.85459227371393</v>
      </c>
      <c r="G19" s="67" t="s">
        <v>38</v>
      </c>
      <c r="H19" s="85">
        <f>(H18-F18)*10000</f>
        <v>-71.39076966724319</v>
      </c>
      <c r="I19" s="2"/>
      <c r="J19" s="45"/>
    </row>
    <row r="20">
      <c r="A20" s="2"/>
      <c r="B20" s="79" t="s">
        <v>107</v>
      </c>
      <c r="C20" s="67" t="s">
        <v>38</v>
      </c>
      <c r="D20" s="121">
        <f>(D18-(Inputs!D69-Inputs!C69)/Inputs!C69)*10000</f>
        <v>-146.84804765974533</v>
      </c>
      <c r="E20" s="121">
        <f>(E18-(Inputs!E69-Inputs!D69)/Inputs!D69)*10000</f>
        <v>-142.06755162697738</v>
      </c>
      <c r="F20" s="121">
        <f>(F18-Inputs!F99)*10000</f>
        <v>18.478116958997003</v>
      </c>
      <c r="G20" s="67" t="s">
        <v>38</v>
      </c>
      <c r="H20" s="85">
        <f>(H18-C18)*10000</f>
        <v>103.75149034721487</v>
      </c>
      <c r="I20" s="2"/>
      <c r="J20" s="45"/>
    </row>
    <row r="21">
      <c r="A21" s="2"/>
      <c r="B21" s="72" t="s">
        <v>133</v>
      </c>
      <c r="C21" s="1" t="s">
        <v>64</v>
      </c>
      <c r="D21" s="1" t="s">
        <v>64</v>
      </c>
      <c r="E21" s="1" t="s">
        <v>64</v>
      </c>
      <c r="F21" s="1" t="s">
        <v>64</v>
      </c>
      <c r="G21" s="1" t="s">
        <v>64</v>
      </c>
      <c r="H21" s="49" t="s">
        <v>64</v>
      </c>
      <c r="I21" s="2"/>
      <c r="J21" s="45"/>
    </row>
    <row r="22">
      <c r="A22" s="2"/>
      <c r="B22" s="2"/>
      <c r="C22" s="5"/>
      <c r="D22" s="5"/>
      <c r="E22" s="5"/>
      <c r="F22" s="5"/>
      <c r="G22" s="5"/>
      <c r="H22" s="20"/>
      <c r="I22" s="2"/>
      <c r="J22" s="45"/>
    </row>
    <row r="23">
      <c r="A23" s="2"/>
      <c r="B23" s="21" t="s">
        <v>134</v>
      </c>
      <c r="C23" s="26"/>
      <c r="D23" s="26"/>
      <c r="E23" s="26"/>
      <c r="F23" s="26"/>
      <c r="G23" s="26"/>
      <c r="H23" s="56"/>
      <c r="I23" s="2"/>
      <c r="J23" s="45"/>
    </row>
    <row r="24">
      <c r="A24" s="2"/>
      <c r="B24" s="21" t="s">
        <v>69</v>
      </c>
      <c r="C24" s="84">
        <v>2234</v>
      </c>
      <c r="D24" s="81">
        <f>G24-Inputs!L124</f>
        <v>2083</v>
      </c>
      <c r="E24" s="84">
        <v>4033</v>
      </c>
      <c r="F24" s="84">
        <v>2465</v>
      </c>
      <c r="G24" s="84">
        <v>10613</v>
      </c>
      <c r="H24" s="73">
        <f>'Monthly Build'!G58</f>
        <v>2451.164158663883</v>
      </c>
      <c r="I24" s="2"/>
      <c r="J24" s="45" t="s">
        <v>71</v>
      </c>
    </row>
    <row r="25">
      <c r="A25" s="2"/>
      <c r="B25" s="55" t="s">
        <v>61</v>
      </c>
      <c r="C25" s="18">
        <f>IFERROR(C24/Inputs!C13-1,"n/a")</f>
        <v>-0.060555088309503735</v>
      </c>
      <c r="D25" s="18">
        <f>IFERROR(D24/Inputs!D13-1,"n/a")</f>
        <v>-0.10176800344976278</v>
      </c>
      <c r="E25" s="18">
        <f>IFERROR(E24/Inputs!E13-1,"n/a")</f>
        <v>0.02542588354945341</v>
      </c>
      <c r="F25" s="18">
        <f>IFERROR(F24/Inputs!F13-1,"n/a")</f>
        <v>0.043165467625899234</v>
      </c>
      <c r="G25" s="18">
        <f>IFERROR(G24/Inputs!G13-1,"n/a")</f>
        <v>-0.031041723728658766</v>
      </c>
      <c r="H25" s="49">
        <f>IFERROR(H24/C24-1,"n/a")</f>
        <v>0.097208665471747</v>
      </c>
      <c r="I25" s="2"/>
      <c r="J25" s="45"/>
    </row>
    <row r="26">
      <c r="A26" s="2"/>
      <c r="B26" s="55" t="s">
        <v>62</v>
      </c>
      <c r="C26" s="18">
        <f>IFERROR(C24/Inputs!F13-1,"n/a")</f>
        <v>-0.05459162082099023</v>
      </c>
      <c r="D26" s="1">
        <f>IFERROR(D24/C24-1,"n/a")</f>
        <v>-0.06759176365264097</v>
      </c>
      <c r="E26" s="1">
        <f>IFERROR(E24/D24-1,"n/a")</f>
        <v>0.9361497839654345</v>
      </c>
      <c r="F26" s="1">
        <f>IFERROR(F24/E24-1,"n/a")</f>
        <v>-0.3887924621869576</v>
      </c>
      <c r="G26" s="1" t="s">
        <v>38</v>
      </c>
      <c r="H26" s="49">
        <f>IFERROR(H24/F24-1,"n/a")</f>
        <v>-0.0056129173777350605</v>
      </c>
      <c r="I26" s="2"/>
      <c r="J26" s="45"/>
    </row>
    <row r="27">
      <c r="A27" s="2"/>
      <c r="B27" s="79" t="s">
        <v>63</v>
      </c>
      <c r="C27" s="1" t="s">
        <v>64</v>
      </c>
      <c r="D27" s="1" t="s">
        <v>64</v>
      </c>
      <c r="E27" s="1" t="s">
        <v>64</v>
      </c>
      <c r="F27" s="1" t="s">
        <v>64</v>
      </c>
      <c r="G27" s="1" t="s">
        <v>64</v>
      </c>
      <c r="H27" s="49" t="s">
        <v>64</v>
      </c>
      <c r="I27" s="2"/>
      <c r="J27" s="45"/>
    </row>
    <row r="28">
      <c r="A28" s="2"/>
      <c r="B28" s="79" t="s">
        <v>65</v>
      </c>
      <c r="C28" s="1" t="s">
        <v>64</v>
      </c>
      <c r="D28" s="1" t="s">
        <v>64</v>
      </c>
      <c r="E28" s="1" t="s">
        <v>64</v>
      </c>
      <c r="F28" s="1" t="s">
        <v>64</v>
      </c>
      <c r="G28" s="1" t="s">
        <v>64</v>
      </c>
      <c r="H28" s="49" t="s">
        <v>64</v>
      </c>
      <c r="I28" s="2"/>
      <c r="J28" s="45"/>
    </row>
    <row r="29">
      <c r="A29" s="2"/>
      <c r="B29" s="79" t="s">
        <v>66</v>
      </c>
      <c r="C29" s="1" t="str">
        <f>IF(AND(ISNUMBER(C25),ISNUMBER(C27),ISNUMBER(C28)),(1+C25)/((1+C27)*(1+C28))-1,"n/d")</f>
        <v>n/d</v>
      </c>
      <c r="D29" s="1" t="str">
        <f>IF(AND(ISNUMBER(D25),ISNUMBER(D27),ISNUMBER(D28)),(1+D25)/((1+D27)*(1+D28))-1,"n/d")</f>
        <v>n/d</v>
      </c>
      <c r="E29" s="1" t="str">
        <f>IF(AND(ISNUMBER(E25),ISNUMBER(E27),ISNUMBER(E28)),(1+E25)/((1+E27)*(1+E28))-1,"n/d")</f>
        <v>n/d</v>
      </c>
      <c r="F29" s="1" t="str">
        <f>IF(AND(ISNUMBER(F25),ISNUMBER(F27),ISNUMBER(F28)),(1+F25)/((1+F27)*(1+F28))-1,"n/d")</f>
        <v>n/d</v>
      </c>
      <c r="G29" s="1" t="str">
        <f>IF(AND(ISNUMBER(G25),ISNUMBER(G27),ISNUMBER(G28)),(1+G25)/((1+G27)*(1+G28))-1,"n/d")</f>
        <v>n/d</v>
      </c>
      <c r="H29" s="49" t="str">
        <f>IF(AND(ISNUMBER(H25),ISNUMBER(H27),ISNUMBER(H28)),(1+H25)/((1+H27)*(1+H28))-1,"n/d")</f>
        <v>n/d</v>
      </c>
      <c r="I29" s="2"/>
      <c r="J29" s="45"/>
    </row>
    <row r="30">
      <c r="A30" s="2"/>
      <c r="B30" s="79" t="s">
        <v>67</v>
      </c>
      <c r="C30" s="1">
        <f>C25</f>
        <v>-0.060555088309503735</v>
      </c>
      <c r="D30" s="1">
        <f>D25</f>
        <v>-0.10176800344976278</v>
      </c>
      <c r="E30" s="1">
        <f>E25</f>
        <v>0.02542588354945341</v>
      </c>
      <c r="F30" s="1">
        <f>F25</f>
        <v>0.043165467625899234</v>
      </c>
      <c r="G30" s="1">
        <f>G25</f>
        <v>-0.031041723728658766</v>
      </c>
      <c r="H30" s="49">
        <f>H25</f>
        <v>0.097208665471747</v>
      </c>
      <c r="I30" s="2"/>
      <c r="J30" s="45"/>
    </row>
    <row r="31">
      <c r="A31" s="2"/>
      <c r="B31" s="2"/>
      <c r="C31" s="5"/>
      <c r="D31" s="5"/>
      <c r="E31" s="5"/>
      <c r="F31" s="5"/>
      <c r="G31" s="5"/>
      <c r="H31" s="20"/>
      <c r="I31" s="2"/>
      <c r="J31" s="45"/>
    </row>
    <row r="32">
      <c r="A32" s="2"/>
      <c r="B32" s="21" t="s">
        <v>142</v>
      </c>
      <c r="C32" s="26"/>
      <c r="D32" s="26"/>
      <c r="E32" s="26"/>
      <c r="F32" s="26"/>
      <c r="G32" s="26"/>
      <c r="H32" s="56"/>
      <c r="I32" s="2"/>
      <c r="J32" s="45"/>
    </row>
    <row r="33">
      <c r="A33" s="2"/>
      <c r="B33" s="2" t="s">
        <v>214</v>
      </c>
      <c r="C33" s="24">
        <f>C24*1000/C14*365/C$7</f>
        <v>7398.290629309719</v>
      </c>
      <c r="D33" s="24">
        <f>D24*1000/D14*365/D$7</f>
        <v>6938.770853867776</v>
      </c>
      <c r="E33" s="24">
        <f>E24*1000/E14*365/E$7</f>
        <v>13675.631735414345</v>
      </c>
      <c r="F33" s="24">
        <f>F24*1000/F14*365/F$7</f>
        <v>8064.508900561103</v>
      </c>
      <c r="G33" s="24">
        <f>G24*1000/G14*365/G$7</f>
        <v>8910.999160369438</v>
      </c>
      <c r="H33" s="65">
        <f>H24*1000/H14*365/H$7</f>
        <v>7792.249494080244</v>
      </c>
      <c r="I33" s="2"/>
      <c r="J33" s="45"/>
    </row>
    <row r="34">
      <c r="A34" s="2"/>
      <c r="B34" s="55" t="s">
        <v>61</v>
      </c>
      <c r="C34" s="18">
        <f>IFERROR(C33/Inputs!C102-1,"n/a")</f>
        <v>-0.11309499572458159</v>
      </c>
      <c r="D34" s="18">
        <f>IFERROR(D33/Inputs!D102-1,"n/a")</f>
        <v>-0.13947715527806825</v>
      </c>
      <c r="E34" s="18">
        <f>IFERROR(E33/Inputs!E102-1,"n/a")</f>
        <v>-0.0037250194945945836</v>
      </c>
      <c r="F34" s="18">
        <f>IFERROR(F33/Inputs!F102-1,"n/a")</f>
        <v>0.011683312403910628</v>
      </c>
      <c r="G34" s="18">
        <f>IFERROR(G33/Inputs!G102-1,"n/a")</f>
        <v>-0.06917684018133796</v>
      </c>
      <c r="H34" s="49">
        <f>IFERROR(H33/C33-1,"n/a")</f>
        <v>0.053249984964064856</v>
      </c>
      <c r="I34" s="2"/>
      <c r="J34" s="45"/>
    </row>
    <row r="35">
      <c r="A35" s="2"/>
      <c r="B35" s="55" t="s">
        <v>144</v>
      </c>
      <c r="C35" s="70">
        <f>C33-Inputs!F102</f>
        <v>-573.0861856331167</v>
      </c>
      <c r="D35" s="42">
        <f>D33-C33</f>
        <v>-459.51977544194324</v>
      </c>
      <c r="E35" s="42">
        <f>E33-D33</f>
        <v>6736.860881546569</v>
      </c>
      <c r="F35" s="42">
        <f>F33-E33</f>
        <v>-5611.122834853242</v>
      </c>
      <c r="G35" s="42" t="s">
        <v>38</v>
      </c>
      <c r="H35" s="57">
        <f>H33-F33</f>
        <v>-272.25940648085816</v>
      </c>
      <c r="I35" s="2"/>
      <c r="J35" s="45"/>
    </row>
    <row r="36">
      <c r="A36" s="2"/>
      <c r="B36" s="72" t="s">
        <v>215</v>
      </c>
      <c r="C36" s="3">
        <v>-0.07</v>
      </c>
      <c r="D36" s="1" t="s">
        <v>64</v>
      </c>
      <c r="E36" s="3">
        <v>-0.04</v>
      </c>
      <c r="F36" s="3">
        <v>-0.03</v>
      </c>
      <c r="G36" s="1" t="s">
        <v>64</v>
      </c>
      <c r="H36" s="49" t="s">
        <v>64</v>
      </c>
      <c r="I36" s="2"/>
      <c r="J36" s="45" t="s">
        <v>147</v>
      </c>
    </row>
    <row r="37">
      <c r="A37" s="2"/>
      <c r="B37" s="72" t="s">
        <v>216</v>
      </c>
      <c r="C37" s="3">
        <v>-0.01</v>
      </c>
      <c r="D37" s="1" t="s">
        <v>64</v>
      </c>
      <c r="E37" s="3">
        <v>-0.06</v>
      </c>
      <c r="F37" s="3">
        <v>0.01</v>
      </c>
      <c r="G37" s="1" t="s">
        <v>64</v>
      </c>
      <c r="H37" s="49" t="s">
        <v>64</v>
      </c>
      <c r="I37" s="2"/>
      <c r="J37" s="45" t="s">
        <v>147</v>
      </c>
    </row>
    <row r="38">
      <c r="A38" s="2"/>
      <c r="B38" s="72" t="s">
        <v>217</v>
      </c>
      <c r="C38" s="3">
        <v>0.06</v>
      </c>
      <c r="D38" s="1" t="s">
        <v>64</v>
      </c>
      <c r="E38" s="3">
        <v>0.09</v>
      </c>
      <c r="F38" s="3">
        <v>0.08</v>
      </c>
      <c r="G38" s="1" t="s">
        <v>64</v>
      </c>
      <c r="H38" s="49" t="s">
        <v>64</v>
      </c>
      <c r="I38" s="2"/>
      <c r="J38" s="45" t="s">
        <v>147</v>
      </c>
    </row>
    <row r="39">
      <c r="A39" s="2"/>
      <c r="B39" s="72" t="s">
        <v>218</v>
      </c>
      <c r="C39" s="3">
        <v>0.11</v>
      </c>
      <c r="D39" s="1" t="s">
        <v>64</v>
      </c>
      <c r="E39" s="3">
        <v>0.05</v>
      </c>
      <c r="F39" s="3">
        <v>0.02</v>
      </c>
      <c r="G39" s="1" t="s">
        <v>64</v>
      </c>
      <c r="H39" s="49" t="s">
        <v>64</v>
      </c>
      <c r="I39" s="2"/>
      <c r="J39" s="45" t="s">
        <v>147</v>
      </c>
    </row>
    <row r="40">
      <c r="A40" s="2"/>
      <c r="B40" s="2"/>
      <c r="C40" s="5"/>
      <c r="D40" s="5"/>
      <c r="E40" s="5"/>
      <c r="F40" s="5"/>
      <c r="G40" s="5"/>
      <c r="H40" s="20"/>
      <c r="I40" s="2"/>
      <c r="J40" s="45"/>
    </row>
    <row r="41">
      <c r="A41" s="2"/>
      <c r="B41" s="21" t="s">
        <v>159</v>
      </c>
      <c r="C41" s="26"/>
      <c r="D41" s="26"/>
      <c r="E41" s="26"/>
      <c r="F41" s="26"/>
      <c r="G41" s="26"/>
      <c r="H41" s="56"/>
      <c r="I41" s="2"/>
      <c r="J41" s="45"/>
    </row>
    <row r="42">
      <c r="A42" s="2"/>
      <c r="B42" s="21" t="s">
        <v>69</v>
      </c>
      <c r="C42" s="84">
        <v>2760</v>
      </c>
      <c r="D42" s="81">
        <f>G42-Inputs!L129</f>
        <v>2657</v>
      </c>
      <c r="E42" s="84">
        <v>2583</v>
      </c>
      <c r="F42" s="84">
        <v>2691</v>
      </c>
      <c r="G42" s="84">
        <v>10881</v>
      </c>
      <c r="H42" s="73">
        <f>'Monthly Build'!G73</f>
        <v>2727.9675858037576</v>
      </c>
      <c r="I42" s="2"/>
      <c r="J42" s="45" t="s">
        <v>71</v>
      </c>
    </row>
    <row r="43">
      <c r="A43" s="2"/>
      <c r="B43" s="55" t="s">
        <v>61</v>
      </c>
      <c r="C43" s="18">
        <f>IFERROR(C42/Inputs!C20-1,"n/a")</f>
        <v>0.012101210121012063</v>
      </c>
      <c r="D43" s="18">
        <f>IFERROR(D42/Inputs!D20-1,"n/a")</f>
        <v>-0.036620739666424984</v>
      </c>
      <c r="E43" s="18">
        <f>IFERROR(E42/Inputs!E20-1,"n/a")</f>
        <v>-0.042978881067061825</v>
      </c>
      <c r="F43" s="18">
        <f>IFERROR(F42/Inputs!F20-1,"n/a")</f>
        <v>-0.026763110307414073</v>
      </c>
      <c r="G43" s="18">
        <f>IFERROR(G42/Inputs!G20-1,"n/a")</f>
        <v>0.01625105071448596</v>
      </c>
      <c r="H43" s="49">
        <f>IFERROR(H42/C42-1,"n/a")</f>
        <v>-0.01160594717255159</v>
      </c>
      <c r="I43" s="2"/>
      <c r="J43" s="45"/>
    </row>
    <row r="44">
      <c r="A44" s="2"/>
      <c r="B44" s="55" t="s">
        <v>62</v>
      </c>
      <c r="C44" s="18">
        <f>IFERROR(C42/Inputs!F20-1,"n/a")</f>
        <v>-0.001808318264014508</v>
      </c>
      <c r="D44" s="1">
        <f>IFERROR(D42/C42-1,"n/a")</f>
        <v>-0.03731884057971013</v>
      </c>
      <c r="E44" s="1">
        <f>IFERROR(E42/D42-1,"n/a")</f>
        <v>-0.027850959729017744</v>
      </c>
      <c r="F44" s="1">
        <f>IFERROR(F42/E42-1,"n/a")</f>
        <v>0.04181184668989557</v>
      </c>
      <c r="G44" s="1" t="s">
        <v>38</v>
      </c>
      <c r="H44" s="49">
        <f>IFERROR(H42/F42-1,"n/a")</f>
        <v>0.013737490079434256</v>
      </c>
      <c r="I44" s="2"/>
      <c r="J44" s="45"/>
    </row>
    <row r="45">
      <c r="A45" s="2"/>
      <c r="B45" s="79" t="s">
        <v>63</v>
      </c>
      <c r="C45" s="1" t="s">
        <v>64</v>
      </c>
      <c r="D45" s="1" t="s">
        <v>64</v>
      </c>
      <c r="E45" s="1" t="s">
        <v>64</v>
      </c>
      <c r="F45" s="1" t="s">
        <v>64</v>
      </c>
      <c r="G45" s="1" t="s">
        <v>64</v>
      </c>
      <c r="H45" s="49" t="s">
        <v>64</v>
      </c>
      <c r="I45" s="2"/>
      <c r="J45" s="45"/>
    </row>
    <row r="46">
      <c r="A46" s="2"/>
      <c r="B46" s="79" t="s">
        <v>65</v>
      </c>
      <c r="C46" s="1" t="s">
        <v>64</v>
      </c>
      <c r="D46" s="1" t="s">
        <v>64</v>
      </c>
      <c r="E46" s="1" t="s">
        <v>64</v>
      </c>
      <c r="F46" s="1" t="s">
        <v>64</v>
      </c>
      <c r="G46" s="1" t="s">
        <v>64</v>
      </c>
      <c r="H46" s="49" t="s">
        <v>64</v>
      </c>
      <c r="I46" s="2"/>
      <c r="J46" s="45"/>
    </row>
    <row r="47">
      <c r="A47" s="2"/>
      <c r="B47" s="79" t="s">
        <v>66</v>
      </c>
      <c r="C47" s="1" t="str">
        <f>IF(AND(ISNUMBER(C43),ISNUMBER(C45),ISNUMBER(C46)),(1+C43)/((1+C45)*(1+C46))-1,"n/d")</f>
        <v>n/d</v>
      </c>
      <c r="D47" s="1" t="str">
        <f>IF(AND(ISNUMBER(D43),ISNUMBER(D45),ISNUMBER(D46)),(1+D43)/((1+D45)*(1+D46))-1,"n/d")</f>
        <v>n/d</v>
      </c>
      <c r="E47" s="1" t="str">
        <f>IF(AND(ISNUMBER(E43),ISNUMBER(E45),ISNUMBER(E46)),(1+E43)/((1+E45)*(1+E46))-1,"n/d")</f>
        <v>n/d</v>
      </c>
      <c r="F47" s="1" t="str">
        <f>IF(AND(ISNUMBER(F43),ISNUMBER(F45),ISNUMBER(F46)),(1+F43)/((1+F45)*(1+F46))-1,"n/d")</f>
        <v>n/d</v>
      </c>
      <c r="G47" s="1" t="str">
        <f>IF(AND(ISNUMBER(G43),ISNUMBER(G45),ISNUMBER(G46)),(1+G43)/((1+G45)*(1+G46))-1,"n/d")</f>
        <v>n/d</v>
      </c>
      <c r="H47" s="49" t="str">
        <f>IF(AND(ISNUMBER(H43),ISNUMBER(H45),ISNUMBER(H46)),(1+H43)/((1+H45)*(1+H46))-1,"n/d")</f>
        <v>n/d</v>
      </c>
      <c r="I47" s="2"/>
      <c r="J47" s="45"/>
    </row>
    <row r="48">
      <c r="A48" s="2"/>
      <c r="B48" s="79" t="s">
        <v>67</v>
      </c>
      <c r="C48" s="1">
        <f>C43</f>
        <v>0.012101210121012063</v>
      </c>
      <c r="D48" s="1">
        <f>D43</f>
        <v>-0.036620739666424984</v>
      </c>
      <c r="E48" s="1">
        <f>E43</f>
        <v>-0.042978881067061825</v>
      </c>
      <c r="F48" s="1">
        <f>F43</f>
        <v>-0.026763110307414073</v>
      </c>
      <c r="G48" s="1">
        <f>G43</f>
        <v>0.01625105071448596</v>
      </c>
      <c r="H48" s="49">
        <f>H43</f>
        <v>-0.01160594717255159</v>
      </c>
      <c r="I48" s="2"/>
      <c r="J48" s="45"/>
    </row>
    <row r="49">
      <c r="A49" s="2"/>
      <c r="B49" s="55" t="s">
        <v>161</v>
      </c>
      <c r="C49" s="1">
        <f>C42/C24</f>
        <v>1.2354521038495971</v>
      </c>
      <c r="D49" s="1">
        <f>D42/D24</f>
        <v>1.2755640902544407</v>
      </c>
      <c r="E49" s="1">
        <f>E42/E24</f>
        <v>0.6404661542276221</v>
      </c>
      <c r="F49" s="1">
        <f>F42/F24</f>
        <v>1.091683569979716</v>
      </c>
      <c r="G49" s="1">
        <f>G42/G24</f>
        <v>1.02525204937341</v>
      </c>
      <c r="H49" s="49">
        <f>H42/H24</f>
        <v>1.1129273313504873</v>
      </c>
      <c r="I49" s="2"/>
      <c r="J49" s="45"/>
    </row>
    <row r="50">
      <c r="A50" s="2"/>
      <c r="B50" s="79" t="s">
        <v>106</v>
      </c>
      <c r="C50" s="75">
        <f>(C49-Inputs!F78)*10000</f>
        <v>653.2937850046471</v>
      </c>
      <c r="D50" s="67">
        <f>(D49-C49)*10000</f>
        <v>401.11986404843594</v>
      </c>
      <c r="E50" s="67">
        <f>(E49-D49)*10000</f>
        <v>-6350.979360268187</v>
      </c>
      <c r="F50" s="67">
        <f>(F49-E49)*10000</f>
        <v>4512.17415752094</v>
      </c>
      <c r="G50" s="67" t="s">
        <v>38</v>
      </c>
      <c r="H50" s="85">
        <f>(H49-F49)*10000</f>
        <v>212.4376137077122</v>
      </c>
      <c r="I50" s="2"/>
      <c r="J50" s="45"/>
    </row>
    <row r="51">
      <c r="A51" s="2"/>
      <c r="B51" s="79" t="s">
        <v>107</v>
      </c>
      <c r="C51" s="75">
        <f>(C49-Inputs!C78)*10000</f>
        <v>886.9011898836932</v>
      </c>
      <c r="D51" s="75">
        <f>(D49-Inputs!D78)*10000</f>
        <v>862.5835502373791</v>
      </c>
      <c r="E51" s="75">
        <f>(E49-Inputs!E78)*10000</f>
        <v>-457.78442772123617</v>
      </c>
      <c r="F51" s="75">
        <f>(F49-Inputs!F78)*10000</f>
        <v>-784.3915536941637</v>
      </c>
      <c r="G51" s="75">
        <f>(G49-Inputs!G78)*10000</f>
        <v>477.1164948296913</v>
      </c>
      <c r="H51" s="85">
        <f>(H49-C49)*10000</f>
        <v>-1225.2477249910987</v>
      </c>
      <c r="I51" s="2"/>
      <c r="J51" s="45"/>
    </row>
    <row r="52">
      <c r="A52" s="2"/>
      <c r="B52" s="2"/>
      <c r="C52" s="5"/>
      <c r="D52" s="5"/>
      <c r="E52" s="5"/>
      <c r="F52" s="5"/>
      <c r="G52" s="5"/>
      <c r="H52" s="20"/>
      <c r="I52" s="2"/>
      <c r="J52" s="45"/>
    </row>
    <row r="53">
      <c r="A53" s="2"/>
      <c r="B53" s="21" t="s">
        <v>162</v>
      </c>
      <c r="C53" s="26"/>
      <c r="D53" s="26"/>
      <c r="E53" s="26"/>
      <c r="F53" s="26"/>
      <c r="G53" s="26"/>
      <c r="H53" s="56"/>
      <c r="I53" s="2"/>
      <c r="J53" s="45"/>
    </row>
    <row r="54">
      <c r="A54" s="2"/>
      <c r="B54" s="72" t="s">
        <v>219</v>
      </c>
      <c r="C54" s="3">
        <v>0.676</v>
      </c>
      <c r="D54" s="18">
        <f>(G54*G42-Inputs!L146*Inputs!L129)/D42</f>
        <v>0.6361430184418517</v>
      </c>
      <c r="E54" s="3">
        <v>0.674</v>
      </c>
      <c r="F54" s="3">
        <v>0.632</v>
      </c>
      <c r="G54" s="3">
        <v>0.664</v>
      </c>
      <c r="H54" s="27">
        <f>'Monthly Build'!G96</f>
        <v>0.7165168683115363</v>
      </c>
      <c r="I54" s="2"/>
      <c r="J54" s="45" t="s">
        <v>164</v>
      </c>
    </row>
    <row r="55">
      <c r="A55" s="2"/>
      <c r="B55" s="55" t="s">
        <v>106</v>
      </c>
      <c r="C55" s="75">
        <f>(C54-Inputs!F49)*10000</f>
        <v>80.00000000000007</v>
      </c>
      <c r="D55" s="67">
        <f>(D54-C54)*10000</f>
        <v>-398.56981558148317</v>
      </c>
      <c r="E55" s="67">
        <f>(E54-D54)*10000</f>
        <v>378.56981558148317</v>
      </c>
      <c r="F55" s="67">
        <f>(F54-E54)*10000</f>
        <v>-420.0000000000004</v>
      </c>
      <c r="G55" s="67" t="s">
        <v>38</v>
      </c>
      <c r="H55" s="85">
        <f>(H54-F54)*10000</f>
        <v>845.1686831153627</v>
      </c>
      <c r="I55" s="2"/>
      <c r="J55" s="45"/>
    </row>
    <row r="56">
      <c r="A56" s="2"/>
      <c r="B56" s="55" t="s">
        <v>107</v>
      </c>
      <c r="C56" s="75">
        <f>(C54-Inputs!C49)*10000</f>
        <v>-169.99999999999903</v>
      </c>
      <c r="D56" s="75">
        <f>(D54-Inputs!D49)*10000</f>
        <v>-562.1049859948268</v>
      </c>
      <c r="E56" s="75">
        <f>(E54-Inputs!E49)*10000</f>
        <v>-40.000000000000036</v>
      </c>
      <c r="F56" s="75">
        <f>(F54-Inputs!F49)*10000</f>
        <v>-360.00000000000034</v>
      </c>
      <c r="G56" s="75">
        <f>(G54-Inputs!G49)*10000</f>
        <v>-369.9999999999992</v>
      </c>
      <c r="H56" s="85">
        <f>(H54-C54)*10000</f>
        <v>405.1686831153622</v>
      </c>
      <c r="I56" s="2"/>
      <c r="J56" s="45"/>
    </row>
    <row r="57">
      <c r="A57" s="2"/>
      <c r="B57" s="72" t="s">
        <v>220</v>
      </c>
      <c r="C57" s="3">
        <v>0.216</v>
      </c>
      <c r="D57" s="18">
        <f>(G57*G42-Inputs!L147*Inputs!L129)/D42</f>
        <v>0.2090952201731276</v>
      </c>
      <c r="E57" s="3">
        <v>0.216</v>
      </c>
      <c r="F57" s="3">
        <v>0.221</v>
      </c>
      <c r="G57" s="3">
        <v>0.206</v>
      </c>
      <c r="H57" s="27">
        <f>'Monthly Build'!G95</f>
        <v>0.21899560112075292</v>
      </c>
      <c r="I57" s="2"/>
      <c r="J57" s="45" t="s">
        <v>164</v>
      </c>
    </row>
    <row r="58">
      <c r="A58" s="2"/>
      <c r="B58" s="55" t="s">
        <v>106</v>
      </c>
      <c r="C58" s="75">
        <f>(C57-Inputs!F50)*10000</f>
        <v>159.99999999999986</v>
      </c>
      <c r="D58" s="67">
        <f>(D57-C57)*10000</f>
        <v>-69.04779826872404</v>
      </c>
      <c r="E58" s="67">
        <f>(E57-D57)*10000</f>
        <v>69.04779826872404</v>
      </c>
      <c r="F58" s="67">
        <f>(F57-E57)*10000</f>
        <v>50.00000000000004</v>
      </c>
      <c r="G58" s="67" t="s">
        <v>38</v>
      </c>
      <c r="H58" s="85">
        <f>(H57-F57)*10000</f>
        <v>-20.043988792470824</v>
      </c>
      <c r="I58" s="2"/>
      <c r="J58" s="45"/>
    </row>
    <row r="59">
      <c r="A59" s="2"/>
      <c r="B59" s="55" t="s">
        <v>107</v>
      </c>
      <c r="C59" s="75">
        <f>(C57-Inputs!C50)*10000</f>
        <v>219.99999999999991</v>
      </c>
      <c r="D59" s="75">
        <f>(D57-Inputs!D50)*10000</f>
        <v>160.9522017312756</v>
      </c>
      <c r="E59" s="75">
        <f>(E57-Inputs!E50)*10000</f>
        <v>189.9999999999999</v>
      </c>
      <c r="F59" s="75">
        <f>(F57-Inputs!F50)*10000</f>
        <v>209.99999999999991</v>
      </c>
      <c r="G59" s="75">
        <f>(G57-Inputs!G50)*10000</f>
        <v>129.99999999999983</v>
      </c>
      <c r="H59" s="85">
        <f>(H57-C57)*10000</f>
        <v>29.956011207529222</v>
      </c>
      <c r="I59" s="2"/>
      <c r="J59" s="45"/>
    </row>
    <row r="60">
      <c r="A60" s="2"/>
      <c r="B60" s="61" t="s">
        <v>221</v>
      </c>
      <c r="C60" s="51">
        <f>C54+C57</f>
        <v>0.892</v>
      </c>
      <c r="D60" s="51">
        <f>D54+D57</f>
        <v>0.8452382386149793</v>
      </c>
      <c r="E60" s="51">
        <f>E54+E57</f>
        <v>0.89</v>
      </c>
      <c r="F60" s="51">
        <f>F54+F57</f>
        <v>0.853</v>
      </c>
      <c r="G60" s="51">
        <f>G54+G57</f>
        <v>0.87</v>
      </c>
      <c r="H60" s="87">
        <f>H54+H57</f>
        <v>0.9355124694322892</v>
      </c>
      <c r="I60" s="2"/>
      <c r="J60" s="45"/>
    </row>
    <row r="61">
      <c r="A61" s="2"/>
      <c r="B61" s="55" t="s">
        <v>106</v>
      </c>
      <c r="C61" s="75">
        <f>(C60-Inputs!F37)*10000</f>
        <v>240.00000000000023</v>
      </c>
      <c r="D61" s="67">
        <f>(D60-C60)*10000</f>
        <v>-467.6176138502075</v>
      </c>
      <c r="E61" s="67">
        <f>(E60-D60)*10000</f>
        <v>447.6176138502075</v>
      </c>
      <c r="F61" s="67">
        <f>(F60-E60)*10000</f>
        <v>-370.00000000000034</v>
      </c>
      <c r="G61" s="67" t="s">
        <v>38</v>
      </c>
      <c r="H61" s="85">
        <f>(H60-F60)*10000</f>
        <v>825.1246943228919</v>
      </c>
      <c r="I61" s="2"/>
      <c r="J61" s="45"/>
    </row>
    <row r="62">
      <c r="A62" s="2"/>
      <c r="B62" s="55" t="s">
        <v>107</v>
      </c>
      <c r="C62" s="75">
        <f>(C60-Inputs!C37)*10000</f>
        <v>50.00000000000004</v>
      </c>
      <c r="D62" s="75">
        <f>(D60-Inputs!D37)*10000</f>
        <v>-401.1527842635543</v>
      </c>
      <c r="E62" s="75">
        <f>(E60-Inputs!E37)*10000</f>
        <v>150.00000000000014</v>
      </c>
      <c r="F62" s="75">
        <f>(F60-Inputs!F37)*10000</f>
        <v>-150.00000000000014</v>
      </c>
      <c r="G62" s="75">
        <f>(G60-Inputs!G37)*10000</f>
        <v>-240.00000000000023</v>
      </c>
      <c r="H62" s="85">
        <f>(H60-C60)*10000</f>
        <v>435.12469432289146</v>
      </c>
      <c r="I62" s="2"/>
      <c r="J62" s="45"/>
    </row>
    <row r="63">
      <c r="A63" s="2"/>
      <c r="B63" s="2"/>
      <c r="C63" s="5"/>
      <c r="D63" s="5"/>
      <c r="E63" s="5"/>
      <c r="F63" s="5"/>
      <c r="G63" s="5"/>
      <c r="H63" s="20"/>
      <c r="I63" s="2"/>
      <c r="J63" s="45"/>
    </row>
    <row r="64">
      <c r="A64" s="2"/>
      <c r="B64" s="21" t="s">
        <v>176</v>
      </c>
      <c r="C64" s="26"/>
      <c r="D64" s="26"/>
      <c r="E64" s="26"/>
      <c r="F64" s="26"/>
      <c r="G64" s="26"/>
      <c r="H64" s="56"/>
      <c r="I64" s="2"/>
      <c r="J64" s="45"/>
    </row>
    <row r="65">
      <c r="A65" s="2"/>
      <c r="B65" s="66" t="s">
        <v>222</v>
      </c>
      <c r="C65" s="39">
        <v>12</v>
      </c>
      <c r="D65" s="30">
        <f>G65-Inputs!L137</f>
        <v>5</v>
      </c>
      <c r="E65" s="39">
        <v>5</v>
      </c>
      <c r="F65" s="39">
        <v>14</v>
      </c>
      <c r="G65" s="39">
        <v>41</v>
      </c>
      <c r="H65" s="31">
        <f>'Monthly Build'!G111</f>
        <v>13.715902757411275</v>
      </c>
      <c r="I65" s="2"/>
      <c r="J65" s="45" t="s">
        <v>223</v>
      </c>
    </row>
    <row r="66">
      <c r="A66" s="2"/>
      <c r="B66" s="55" t="s">
        <v>224</v>
      </c>
      <c r="C66" s="1">
        <f>C65/(C42)</f>
        <v>0.004347826086956522</v>
      </c>
      <c r="D66" s="1">
        <f>D65/(D42)</f>
        <v>0.001881821603312006</v>
      </c>
      <c r="E66" s="1">
        <f>E65/(E42)</f>
        <v>0.0019357336430507162</v>
      </c>
      <c r="F66" s="1">
        <f>F65/(F42)</f>
        <v>0.005202526941657376</v>
      </c>
      <c r="G66" s="1">
        <f>G65/(G42)</f>
        <v>0.003768036026100542</v>
      </c>
      <c r="H66" s="49">
        <f>H65/(H42)</f>
        <v>0.005027883332920935</v>
      </c>
      <c r="I66" s="2"/>
      <c r="J66" s="45"/>
    </row>
    <row r="67">
      <c r="A67" s="2"/>
      <c r="B67" s="55" t="s">
        <v>106</v>
      </c>
      <c r="C67" s="75">
        <f>(C66-Inputs!F59)*10000</f>
        <v>-25.237833162984508</v>
      </c>
      <c r="D67" s="67">
        <f>(D66-C66)*10000</f>
        <v>-24.66004483644516</v>
      </c>
      <c r="E67" s="67">
        <f>(E66-D66)*10000</f>
        <v>0.5391203973871029</v>
      </c>
      <c r="F67" s="67">
        <f>(F66-E66)*10000</f>
        <v>32.667932986066596</v>
      </c>
      <c r="G67" s="67" t="s">
        <v>38</v>
      </c>
      <c r="H67" s="85">
        <f>(H66-F66)*10000</f>
        <v>-1.7464360873644096</v>
      </c>
      <c r="I67" s="2"/>
      <c r="J67" s="45"/>
    </row>
    <row r="68">
      <c r="A68" s="2"/>
      <c r="B68" s="55" t="s">
        <v>107</v>
      </c>
      <c r="C68" s="75">
        <f>(C66-Inputs!C59)*10000</f>
        <v>-81.20087371055945</v>
      </c>
      <c r="D68" s="75">
        <f>(D66-Inputs!D59)*10000</f>
        <v>-21.06575786100612</v>
      </c>
      <c r="E68" s="75">
        <f>(E66-Inputs!E59)*10000</f>
        <v>0.8319566602218715</v>
      </c>
      <c r="F68" s="75">
        <f>(F66-Inputs!F59)*10000</f>
        <v>-16.690824615975966</v>
      </c>
      <c r="G68" s="75">
        <f>(G66-Inputs!G59)*10000</f>
        <v>-37.03711428835481</v>
      </c>
      <c r="H68" s="85">
        <f>(H66-C66)*10000</f>
        <v>6.800572459644133</v>
      </c>
      <c r="I68" s="2"/>
      <c r="J68" s="45"/>
    </row>
    <row r="69">
      <c r="A69" s="2"/>
      <c r="B69" s="55" t="s">
        <v>183</v>
      </c>
      <c r="C69" s="18">
        <f>IFERROR(C65/Inputs!C55-1,"n/a")</f>
        <v>-0.6470588235294117</v>
      </c>
      <c r="D69" s="18">
        <f>IFERROR(D65/Inputs!D55-1,"n/a")</f>
        <v>-0.5454545454545454</v>
      </c>
      <c r="E69" s="18">
        <f>IFERROR(E65/Inputs!E55-1,"n/a")</f>
        <v>0</v>
      </c>
      <c r="F69" s="18">
        <f>IFERROR(F65/Inputs!F55-1,"n/a")</f>
        <v>-0.26315789473684215</v>
      </c>
      <c r="G69" s="18">
        <f>IFERROR(G65/Inputs!G55-1,"n/a")</f>
        <v>-0.48750000000000004</v>
      </c>
      <c r="H69" s="49">
        <f>IFERROR(H65/C65-1,"n/a")</f>
        <v>0.14299189645093957</v>
      </c>
      <c r="I69" s="2"/>
      <c r="J69" s="45"/>
    </row>
    <row r="70">
      <c r="A70" s="2"/>
      <c r="B70" s="55" t="s">
        <v>185</v>
      </c>
      <c r="C70" s="70">
        <f>C65-Inputs!F55</f>
        <v>-7</v>
      </c>
      <c r="D70" s="42">
        <f>D65-C65</f>
        <v>-7</v>
      </c>
      <c r="E70" s="42">
        <f>E65-D65</f>
        <v>0</v>
      </c>
      <c r="F70" s="42">
        <f>F65-E65</f>
        <v>9</v>
      </c>
      <c r="G70" s="42" t="s">
        <v>38</v>
      </c>
      <c r="H70" s="57">
        <f>H65-F65</f>
        <v>-0.28409724258872515</v>
      </c>
      <c r="I70" s="2"/>
      <c r="J70" s="45"/>
    </row>
    <row r="71">
      <c r="A71" s="2"/>
      <c r="B71" s="2"/>
      <c r="C71" s="5"/>
      <c r="D71" s="5"/>
      <c r="E71" s="5"/>
      <c r="F71" s="5"/>
      <c r="G71" s="5"/>
      <c r="H71" s="20"/>
      <c r="I71" s="2"/>
      <c r="J71" s="45"/>
    </row>
    <row r="72">
      <c r="A72" s="2"/>
      <c r="B72" s="21" t="s">
        <v>194</v>
      </c>
      <c r="C72" s="26"/>
      <c r="D72" s="26"/>
      <c r="E72" s="26"/>
      <c r="F72" s="26"/>
      <c r="G72" s="26"/>
      <c r="H72" s="56"/>
      <c r="I72" s="2"/>
      <c r="J72" s="45"/>
    </row>
    <row r="73">
      <c r="A73" s="2"/>
      <c r="B73" s="66" t="s">
        <v>225</v>
      </c>
      <c r="C73" s="39">
        <v>298</v>
      </c>
      <c r="D73" s="30">
        <f>G73-Inputs!L134</f>
        <v>416</v>
      </c>
      <c r="E73" s="39">
        <v>284</v>
      </c>
      <c r="F73" s="39">
        <v>397</v>
      </c>
      <c r="G73" s="39">
        <v>1416</v>
      </c>
      <c r="H73" s="31">
        <f>'Monthly Build'!G118</f>
        <v>175.9198930772442</v>
      </c>
      <c r="I73" s="2"/>
      <c r="J73" s="45" t="s">
        <v>223</v>
      </c>
    </row>
    <row r="74">
      <c r="A74" s="2"/>
      <c r="B74" s="55" t="s">
        <v>198</v>
      </c>
      <c r="C74" s="1">
        <f>C73/C42</f>
        <v>0.10797101449275362</v>
      </c>
      <c r="D74" s="1">
        <f>D73/D42</f>
        <v>0.1565675573955589</v>
      </c>
      <c r="E74" s="1">
        <f>E73/E42</f>
        <v>0.10994967092528068</v>
      </c>
      <c r="F74" s="1">
        <f>F73/F42</f>
        <v>0.14752879970271274</v>
      </c>
      <c r="G74" s="1">
        <f>G73/G42</f>
        <v>0.13013509787703337</v>
      </c>
      <c r="H74" s="49">
        <f>H73/H42</f>
        <v>0.06448753056771085</v>
      </c>
      <c r="I74" s="2"/>
      <c r="J74" s="45"/>
    </row>
    <row r="75">
      <c r="A75" s="2"/>
      <c r="B75" s="55" t="s">
        <v>106</v>
      </c>
      <c r="C75" s="75">
        <f>(C74-(1-Inputs!F37))*10000</f>
        <v>-240.28985507246387</v>
      </c>
      <c r="D75" s="67">
        <f>(D74-C74)*10000</f>
        <v>485.96542902805265</v>
      </c>
      <c r="E75" s="67">
        <f>(E74-D74)*10000</f>
        <v>-466.17886470278205</v>
      </c>
      <c r="F75" s="67">
        <f>(F74-E74)*10000</f>
        <v>375.79128777432055</v>
      </c>
      <c r="G75" s="67" t="s">
        <v>38</v>
      </c>
      <c r="H75" s="85">
        <f>(H74-F74)*10000</f>
        <v>-830.4126913500188</v>
      </c>
      <c r="I75" s="2"/>
      <c r="J75" s="45"/>
    </row>
    <row r="76">
      <c r="A76" s="2"/>
      <c r="B76" s="55" t="s">
        <v>107</v>
      </c>
      <c r="C76" s="75">
        <f>(C74-(1-Inputs!C37))*10000</f>
        <v>-50.289855072463695</v>
      </c>
      <c r="D76" s="75">
        <f>(D74-(1-Inputs!D37))*10000</f>
        <v>419.2107443689358</v>
      </c>
      <c r="E76" s="75">
        <f>(E74-(1-Inputs!E37))*10000</f>
        <v>-150.50329074719315</v>
      </c>
      <c r="F76" s="75">
        <f>(F74-(1-Inputs!F37))*10000</f>
        <v>155.28799702712732</v>
      </c>
      <c r="G76" s="75">
        <f>(G74-(1-Inputs!G37))*10000</f>
        <v>241.35097877033385</v>
      </c>
      <c r="H76" s="85">
        <f>(H74-C74)*10000</f>
        <v>-434.8348392504277</v>
      </c>
      <c r="I76" s="2"/>
      <c r="J76" s="45"/>
    </row>
    <row r="77">
      <c r="A77" s="2"/>
      <c r="B77" s="55" t="s">
        <v>61</v>
      </c>
      <c r="C77" s="18">
        <f>IFERROR(C73/Inputs!C84-1,"n/a")</f>
        <v>-0.03294164224682039</v>
      </c>
      <c r="D77" s="18">
        <f>IFERROR(D73/Inputs!D84-1,"n/a")</f>
        <v>0.3156438273850042</v>
      </c>
      <c r="E77" s="18">
        <f>IFERROR(E73/Inputs!E84-1,"n/a")</f>
        <v>-0.15820674323823636</v>
      </c>
      <c r="F77" s="18">
        <f>IFERROR(F73/Inputs!F84-1,"n/a")</f>
        <v>0.0877308345662775</v>
      </c>
      <c r="G77" s="18">
        <f>IFERROR(G73/Inputs!G84-1,"n/a")</f>
        <v>0.2476408486072419</v>
      </c>
      <c r="H77" s="49">
        <f>IFERROR(H73/C73-1,"n/a")</f>
        <v>-0.4096647883313953</v>
      </c>
      <c r="I77" s="2"/>
      <c r="J77" s="45" t="s">
        <v>226</v>
      </c>
    </row>
    <row r="78">
      <c r="A78" s="2"/>
      <c r="B78" s="2"/>
      <c r="C78" s="5"/>
      <c r="D78" s="5"/>
      <c r="E78" s="5"/>
      <c r="F78" s="5"/>
      <c r="G78" s="5"/>
      <c r="H78" s="20"/>
      <c r="I78" s="2"/>
      <c r="J78" s="45"/>
    </row>
    <row r="79">
      <c r="A79" s="2"/>
      <c r="B79" s="2"/>
      <c r="C79" s="5"/>
      <c r="D79" s="5"/>
      <c r="E79" s="5"/>
      <c r="F79" s="5"/>
      <c r="G79" s="5"/>
      <c r="H79" s="20"/>
      <c r="I79" s="2"/>
      <c r="J79" s="45"/>
    </row>
  </sheetData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1:J96"/>
  <sheetViews>
    <sheetView showGridLines="0" workbookViewId="0"/>
  </sheetViews>
  <sheetFormatPr defaultColWidth="8.42578125" defaultRowHeight="15"/>
  <cols>
    <col min="1" max="1" width="2" customWidth="1"/>
    <col min="2" max="2" width="42" customWidth="1"/>
    <col min="3" max="8" width="12" customWidth="1"/>
    <col min="9" max="9" width="2" customWidth="1"/>
    <col min="10" max="10" width="16" customWidth="1"/>
  </cols>
  <sheetData>
    <row r="1">
      <c r="A1" s="2"/>
      <c r="B1" s="2"/>
      <c r="C1" s="2"/>
      <c r="D1" s="2"/>
      <c r="E1" s="2"/>
      <c r="F1" s="2"/>
      <c r="G1" s="2"/>
      <c r="H1" s="2"/>
      <c r="I1" s="2"/>
      <c r="J1" s="2"/>
    </row>
    <row r="2">
      <c r="A2" s="2"/>
      <c r="B2" s="11" t="s">
        <v>1</v>
      </c>
      <c r="C2" s="2"/>
      <c r="D2" s="2"/>
      <c r="E2" s="2"/>
      <c r="F2" s="2"/>
      <c r="G2" s="2"/>
      <c r="H2" s="2"/>
      <c r="I2" s="2"/>
      <c r="J2" s="2"/>
    </row>
    <row r="3">
      <c r="A3" s="2"/>
      <c r="B3" s="21" t="s">
        <v>227</v>
      </c>
      <c r="C3" s="2"/>
      <c r="D3" s="2"/>
      <c r="E3" s="2"/>
      <c r="F3" s="2"/>
      <c r="G3" s="2"/>
      <c r="H3" s="2"/>
      <c r="I3" s="2"/>
      <c r="J3" s="2"/>
    </row>
    <row r="4">
      <c r="A4" s="2"/>
      <c r="B4" s="19" t="s">
        <v>2</v>
      </c>
      <c r="C4" s="2"/>
      <c r="D4" s="2"/>
      <c r="E4" s="2"/>
      <c r="F4" s="2"/>
      <c r="G4" s="2"/>
      <c r="H4" s="2"/>
      <c r="I4" s="2"/>
      <c r="J4" s="2"/>
    </row>
    <row r="5">
      <c r="A5" s="2"/>
      <c r="B5" s="17" t="s">
        <v>3</v>
      </c>
      <c r="C5" s="4" t="s">
        <v>53</v>
      </c>
      <c r="D5" s="4" t="s">
        <v>54</v>
      </c>
      <c r="E5" s="4" t="s">
        <v>55</v>
      </c>
      <c r="F5" s="4" t="s">
        <v>56</v>
      </c>
      <c r="G5" s="4" t="s">
        <v>57</v>
      </c>
      <c r="H5" s="69" t="s">
        <v>4</v>
      </c>
      <c r="I5" s="4"/>
      <c r="J5" s="114" t="s">
        <v>58</v>
      </c>
    </row>
    <row r="6">
      <c r="A6" s="2"/>
      <c r="B6" s="15" t="s">
        <v>10</v>
      </c>
      <c r="C6" s="14">
        <f>DATE(2025,9,30)</f>
        <v>45930</v>
      </c>
      <c r="D6" s="14">
        <f>DATE(2025,12,31)</f>
        <v>46022</v>
      </c>
      <c r="E6" s="14">
        <f>DATE(2026,3,31)</f>
        <v>46112</v>
      </c>
      <c r="F6" s="14">
        <f>DATE(2026,6,30)</f>
        <v>46203</v>
      </c>
      <c r="G6" s="14">
        <f>DATE(2025,12,31)</f>
        <v>46022</v>
      </c>
      <c r="H6" s="40">
        <f>DATE(2026,9,30)</f>
        <v>46295</v>
      </c>
      <c r="I6" s="14"/>
      <c r="J6" s="14"/>
    </row>
    <row r="7">
      <c r="A7" s="2"/>
      <c r="B7" s="7" t="s">
        <v>11</v>
      </c>
      <c r="C7" s="28">
        <v>92</v>
      </c>
      <c r="D7" s="28">
        <v>92</v>
      </c>
      <c r="E7" s="28">
        <v>90</v>
      </c>
      <c r="F7" s="28">
        <v>91</v>
      </c>
      <c r="G7" s="28">
        <v>365</v>
      </c>
      <c r="H7" s="62">
        <v>92</v>
      </c>
      <c r="I7" s="9"/>
      <c r="J7" s="9"/>
    </row>
    <row r="8">
      <c r="A8" s="2"/>
      <c r="B8" s="2"/>
      <c r="C8" s="2"/>
      <c r="D8" s="2"/>
      <c r="E8" s="2"/>
      <c r="F8" s="2"/>
      <c r="G8" s="2"/>
      <c r="H8" s="60"/>
      <c r="I8" s="2"/>
      <c r="J8" s="2"/>
    </row>
    <row r="9">
      <c r="A9" s="2"/>
      <c r="B9" s="2" t="s">
        <v>228</v>
      </c>
      <c r="C9" s="30">
        <f>'Revenue summary'!C34</f>
        <v>21384</v>
      </c>
      <c r="D9" s="30">
        <f>'Revenue summary'!D34</f>
        <v>19508</v>
      </c>
      <c r="E9" s="30">
        <f>'Revenue summary'!E34</f>
        <v>23641</v>
      </c>
      <c r="F9" s="30">
        <f>'Revenue summary'!F34</f>
        <v>21077</v>
      </c>
      <c r="G9" s="30">
        <f>'Revenue summary'!G34</f>
        <v>83174</v>
      </c>
      <c r="H9" s="31">
        <f>'Revenue summary'!H34</f>
        <v>22566.028668697305</v>
      </c>
      <c r="I9" s="2"/>
      <c r="J9" s="45"/>
    </row>
    <row r="10">
      <c r="A10" s="2"/>
      <c r="B10" s="21" t="s">
        <v>229</v>
      </c>
      <c r="C10" s="26"/>
      <c r="D10" s="26"/>
      <c r="E10" s="26"/>
      <c r="F10" s="26"/>
      <c r="G10" s="26"/>
      <c r="H10" s="56"/>
      <c r="I10" s="2"/>
      <c r="J10" s="45"/>
    </row>
    <row r="11">
      <c r="A11" s="2"/>
      <c r="B11" s="66" t="s">
        <v>230</v>
      </c>
      <c r="C11" s="30">
        <f>'Revenue summary'!C72</f>
        <v>20849</v>
      </c>
      <c r="D11" s="30">
        <f>'Revenue summary'!D72</f>
        <v>21093</v>
      </c>
      <c r="E11" s="30">
        <f>'Revenue summary'!E72</f>
        <v>20968</v>
      </c>
      <c r="F11" s="30">
        <f>'Revenue summary'!F72</f>
        <v>21573</v>
      </c>
      <c r="G11" s="30">
        <f>'Revenue summary'!G72</f>
        <v>81661</v>
      </c>
      <c r="H11" s="31">
        <f>'Revenue summary'!H72</f>
        <v>21859.649637661318</v>
      </c>
      <c r="I11" s="2"/>
      <c r="J11" s="45"/>
    </row>
    <row r="12">
      <c r="A12" s="2"/>
      <c r="B12" s="66" t="s">
        <v>91</v>
      </c>
      <c r="C12" s="39">
        <v>924</v>
      </c>
      <c r="D12" s="30">
        <f>G12-Inputs!L106</f>
        <v>974</v>
      </c>
      <c r="E12" s="39">
        <v>917</v>
      </c>
      <c r="F12" s="39">
        <v>979</v>
      </c>
      <c r="G12" s="39">
        <v>3583</v>
      </c>
      <c r="H12" s="31">
        <f>'Monthly Build'!G125</f>
        <v>1021</v>
      </c>
      <c r="I12" s="2"/>
      <c r="J12" s="45" t="s">
        <v>71</v>
      </c>
    </row>
    <row r="13">
      <c r="A13" s="2"/>
      <c r="B13" s="66" t="s">
        <v>231</v>
      </c>
      <c r="C13" s="39">
        <v>12</v>
      </c>
      <c r="D13" s="30">
        <f>G13-Inputs!L107</f>
        <v>216</v>
      </c>
      <c r="E13" s="39">
        <v>96</v>
      </c>
      <c r="F13" s="39">
        <v>16</v>
      </c>
      <c r="G13" s="39">
        <v>248</v>
      </c>
      <c r="H13" s="31">
        <f>'Monthly Build'!G126</f>
        <v>-6</v>
      </c>
      <c r="I13" s="2"/>
      <c r="J13" s="45" t="s">
        <v>71</v>
      </c>
    </row>
    <row r="14">
      <c r="A14" s="2"/>
      <c r="B14" s="66" t="s">
        <v>232</v>
      </c>
      <c r="C14" s="39">
        <v>283</v>
      </c>
      <c r="D14" s="30">
        <f>G14-Inputs!L108</f>
        <v>42</v>
      </c>
      <c r="E14" s="39">
        <v>-216</v>
      </c>
      <c r="F14" s="39">
        <v>588</v>
      </c>
      <c r="G14" s="39">
        <v>480</v>
      </c>
      <c r="H14" s="31">
        <f>'Monthly Build'!G127</f>
        <v>42</v>
      </c>
      <c r="I14" s="2"/>
      <c r="J14" s="45" t="s">
        <v>71</v>
      </c>
    </row>
    <row r="15">
      <c r="A15" s="2"/>
      <c r="B15" s="66" t="s">
        <v>233</v>
      </c>
      <c r="C15" s="39">
        <v>0</v>
      </c>
      <c r="D15" s="30">
        <f>G15-Inputs!L109</f>
        <v>-1</v>
      </c>
      <c r="E15" s="39">
        <v>0</v>
      </c>
      <c r="F15" s="39">
        <v>0</v>
      </c>
      <c r="G15" s="39">
        <v>-1</v>
      </c>
      <c r="H15" s="64">
        <v>0</v>
      </c>
      <c r="I15" s="2"/>
      <c r="J15" s="45" t="s">
        <v>234</v>
      </c>
    </row>
    <row r="16">
      <c r="A16" s="2"/>
      <c r="B16" s="80" t="s">
        <v>92</v>
      </c>
      <c r="C16" s="37">
        <f>SUM(C13:C15)</f>
        <v>295</v>
      </c>
      <c r="D16" s="37">
        <f>SUM(D13:D15)</f>
        <v>257</v>
      </c>
      <c r="E16" s="37">
        <f>SUM(E13:E15)</f>
        <v>-120</v>
      </c>
      <c r="F16" s="37">
        <f>SUM(F13:F15)</f>
        <v>604</v>
      </c>
      <c r="G16" s="37">
        <f>SUM(G13:G15)</f>
        <v>727</v>
      </c>
      <c r="H16" s="50">
        <f>SUM(H13:H15)</f>
        <v>36</v>
      </c>
      <c r="I16" s="2"/>
      <c r="J16" s="45"/>
    </row>
    <row r="17">
      <c r="A17" s="2"/>
      <c r="B17" s="66" t="s">
        <v>89</v>
      </c>
      <c r="C17" s="39">
        <v>306</v>
      </c>
      <c r="D17" s="30">
        <f>G17-Inputs!L110</f>
        <v>300</v>
      </c>
      <c r="E17" s="39">
        <v>297</v>
      </c>
      <c r="F17" s="39">
        <v>305</v>
      </c>
      <c r="G17" s="39">
        <v>1196</v>
      </c>
      <c r="H17" s="31">
        <f>'Monthly Build'!G129</f>
        <v>306</v>
      </c>
      <c r="I17" s="2"/>
      <c r="J17" s="45" t="s">
        <v>71</v>
      </c>
    </row>
    <row r="18">
      <c r="A18" s="2"/>
      <c r="B18" s="66" t="s">
        <v>90</v>
      </c>
      <c r="C18" s="39">
        <v>138</v>
      </c>
      <c r="D18" s="30">
        <f>G18-Inputs!L111</f>
        <v>122</v>
      </c>
      <c r="E18" s="39">
        <v>126</v>
      </c>
      <c r="F18" s="39">
        <v>148</v>
      </c>
      <c r="G18" s="39">
        <v>504</v>
      </c>
      <c r="H18" s="31">
        <f>'Monthly Build'!G130</f>
        <v>147</v>
      </c>
      <c r="I18" s="2"/>
      <c r="J18" s="45" t="s">
        <v>71</v>
      </c>
    </row>
    <row r="19">
      <c r="A19" s="2"/>
      <c r="B19" s="21" t="s">
        <v>235</v>
      </c>
      <c r="C19" s="37">
        <f>C11+C12+C16+C17+C18</f>
        <v>22512</v>
      </c>
      <c r="D19" s="37">
        <f>D11+D12+D16+D17+D18</f>
        <v>22746</v>
      </c>
      <c r="E19" s="37">
        <f>E11+E12+E16+E17+E18</f>
        <v>22188</v>
      </c>
      <c r="F19" s="37">
        <f>F11+F12+F16+F17+F18</f>
        <v>23609</v>
      </c>
      <c r="G19" s="37">
        <f>G11+G12+G16+G17+G18</f>
        <v>87671</v>
      </c>
      <c r="H19" s="50">
        <f>H11+H12+H16+H17+H18</f>
        <v>23369.649637661318</v>
      </c>
      <c r="I19" s="2"/>
      <c r="J19" s="45"/>
    </row>
    <row r="20">
      <c r="A20" s="2"/>
      <c r="B20" s="55" t="s">
        <v>61</v>
      </c>
      <c r="C20" s="18">
        <f>IFERROR(C19/Inputs!C24-1,"n/a")</f>
        <v>0.14164004259850915</v>
      </c>
      <c r="D20" s="18">
        <f>IFERROR(D19/Inputs!D24-1,"n/a")</f>
        <v>0.12181889919116196</v>
      </c>
      <c r="E20" s="18">
        <f>IFERROR(E19/Inputs!E24-1,"n/a")</f>
        <v>0.08716742613552841</v>
      </c>
      <c r="F20" s="18">
        <f>IFERROR(F19/Inputs!F24-1,"n/a")</f>
        <v>0.07294128340301764</v>
      </c>
      <c r="G20" s="18">
        <f>IFERROR(G19/Inputs!G24-1,"n/a")</f>
        <v>0.1631773072228413</v>
      </c>
      <c r="H20" s="49">
        <f>IFERROR(H19/C19-1,"n/a")</f>
        <v>0.03809744303754958</v>
      </c>
      <c r="I20" s="2"/>
      <c r="J20" s="45"/>
    </row>
    <row r="21">
      <c r="A21" s="2"/>
      <c r="B21" s="55" t="s">
        <v>62</v>
      </c>
      <c r="C21" s="18">
        <f>IFERROR(C19/Inputs!F24-1,"n/a")</f>
        <v>0.023086711506998814</v>
      </c>
      <c r="D21" s="1">
        <f>IFERROR(D19/C19-1,"n/a")</f>
        <v>0.010394456289978704</v>
      </c>
      <c r="E21" s="1">
        <f>IFERROR(E19/D19-1,"n/a")</f>
        <v>-0.0245317858084938</v>
      </c>
      <c r="F21" s="1">
        <f>IFERROR(F19/E19-1,"n/a")</f>
        <v>0.0640436271858662</v>
      </c>
      <c r="G21" s="1" t="s">
        <v>38</v>
      </c>
      <c r="H21" s="49">
        <f>IFERROR(H19/F19-1,"n/a")</f>
        <v>-0.010138098281955332</v>
      </c>
      <c r="I21" s="2"/>
      <c r="J21" s="45"/>
    </row>
    <row r="22">
      <c r="A22" s="2"/>
      <c r="B22" s="79" t="s">
        <v>63</v>
      </c>
      <c r="C22" s="1" t="s">
        <v>64</v>
      </c>
      <c r="D22" s="1" t="s">
        <v>64</v>
      </c>
      <c r="E22" s="1" t="s">
        <v>64</v>
      </c>
      <c r="F22" s="1" t="s">
        <v>64</v>
      </c>
      <c r="G22" s="1" t="s">
        <v>64</v>
      </c>
      <c r="H22" s="49" t="s">
        <v>64</v>
      </c>
      <c r="I22" s="2"/>
      <c r="J22" s="45"/>
    </row>
    <row r="23">
      <c r="A23" s="2"/>
      <c r="B23" s="79" t="s">
        <v>65</v>
      </c>
      <c r="C23" s="1" t="s">
        <v>64</v>
      </c>
      <c r="D23" s="1" t="s">
        <v>64</v>
      </c>
      <c r="E23" s="1" t="s">
        <v>64</v>
      </c>
      <c r="F23" s="1" t="s">
        <v>64</v>
      </c>
      <c r="G23" s="1" t="s">
        <v>64</v>
      </c>
      <c r="H23" s="49" t="s">
        <v>64</v>
      </c>
      <c r="I23" s="2"/>
      <c r="J23" s="45"/>
    </row>
    <row r="24">
      <c r="A24" s="2"/>
      <c r="B24" s="79" t="s">
        <v>66</v>
      </c>
      <c r="C24" s="1" t="str">
        <f>IF(AND(ISNUMBER(C20),ISNUMBER(C22),ISNUMBER(C23)),(1+C20)/((1+C22)*(1+C23))-1,"n/d")</f>
        <v>n/d</v>
      </c>
      <c r="D24" s="1" t="str">
        <f>IF(AND(ISNUMBER(D20),ISNUMBER(D22),ISNUMBER(D23)),(1+D20)/((1+D22)*(1+D23))-1,"n/d")</f>
        <v>n/d</v>
      </c>
      <c r="E24" s="1" t="str">
        <f>IF(AND(ISNUMBER(E20),ISNUMBER(E22),ISNUMBER(E23)),(1+E20)/((1+E22)*(1+E23))-1,"n/d")</f>
        <v>n/d</v>
      </c>
      <c r="F24" s="1" t="str">
        <f>IF(AND(ISNUMBER(F20),ISNUMBER(F22),ISNUMBER(F23)),(1+F20)/((1+F22)*(1+F23))-1,"n/d")</f>
        <v>n/d</v>
      </c>
      <c r="G24" s="1" t="str">
        <f>IF(AND(ISNUMBER(G20),ISNUMBER(G22),ISNUMBER(G23)),(1+G20)/((1+G22)*(1+G23))-1,"n/d")</f>
        <v>n/d</v>
      </c>
      <c r="H24" s="49" t="str">
        <f>IF(AND(ISNUMBER(H20),ISNUMBER(H22),ISNUMBER(H23)),(1+H20)/((1+H22)*(1+H23))-1,"n/d")</f>
        <v>n/d</v>
      </c>
      <c r="I24" s="2"/>
      <c r="J24" s="45"/>
    </row>
    <row r="25">
      <c r="A25" s="2"/>
      <c r="B25" s="79" t="s">
        <v>67</v>
      </c>
      <c r="C25" s="1">
        <f>C20</f>
        <v>0.14164004259850915</v>
      </c>
      <c r="D25" s="1">
        <f>D20</f>
        <v>0.12181889919116196</v>
      </c>
      <c r="E25" s="1">
        <f>E20</f>
        <v>0.08716742613552841</v>
      </c>
      <c r="F25" s="1">
        <f>F20</f>
        <v>0.07294128340301764</v>
      </c>
      <c r="G25" s="1">
        <f>G20</f>
        <v>0.1631773072228413</v>
      </c>
      <c r="H25" s="49">
        <f>H20</f>
        <v>0.03809744303754958</v>
      </c>
      <c r="I25" s="2"/>
      <c r="J25" s="45"/>
    </row>
    <row r="26">
      <c r="A26" s="2"/>
      <c r="B26" s="21" t="s">
        <v>236</v>
      </c>
      <c r="C26" s="26"/>
      <c r="D26" s="26"/>
      <c r="E26" s="26"/>
      <c r="F26" s="26"/>
      <c r="G26" s="26"/>
      <c r="H26" s="56"/>
      <c r="I26" s="2"/>
      <c r="J26" s="45"/>
    </row>
    <row r="27">
      <c r="A27" s="2"/>
      <c r="B27" s="66" t="s">
        <v>237</v>
      </c>
      <c r="C27" s="39">
        <v>13445</v>
      </c>
      <c r="D27" s="30">
        <f>G27-Inputs!L112</f>
        <v>14105</v>
      </c>
      <c r="E27" s="39">
        <v>13827</v>
      </c>
      <c r="F27" s="39">
        <v>14572</v>
      </c>
      <c r="G27" s="39">
        <v>53959</v>
      </c>
      <c r="H27" s="31">
        <f>'Monthly Build'!G132</f>
        <v>14921.16126356674</v>
      </c>
      <c r="I27" s="2"/>
      <c r="J27" s="45" t="s">
        <v>71</v>
      </c>
    </row>
    <row r="28">
      <c r="A28" s="2"/>
      <c r="B28" s="66" t="s">
        <v>238</v>
      </c>
      <c r="C28" s="39">
        <v>1555</v>
      </c>
      <c r="D28" s="30">
        <f>G28-Inputs!L113</f>
        <v>1574</v>
      </c>
      <c r="E28" s="39">
        <v>1538</v>
      </c>
      <c r="F28" s="39">
        <v>1567</v>
      </c>
      <c r="G28" s="39">
        <v>6096</v>
      </c>
      <c r="H28" s="31">
        <f>'Monthly Build'!G133</f>
        <v>1603.1426184405743</v>
      </c>
      <c r="I28" s="2"/>
      <c r="J28" s="45" t="s">
        <v>71</v>
      </c>
    </row>
    <row r="29">
      <c r="A29" s="2"/>
      <c r="B29" s="66" t="s">
        <v>239</v>
      </c>
      <c r="C29" s="39">
        <v>3015</v>
      </c>
      <c r="D29" s="30">
        <f>G29-Inputs!L114</f>
        <v>2906</v>
      </c>
      <c r="E29" s="39">
        <v>3048</v>
      </c>
      <c r="F29" s="39">
        <v>3009</v>
      </c>
      <c r="G29" s="39">
        <v>11329</v>
      </c>
      <c r="H29" s="31">
        <f>'Monthly Build'!G135</f>
        <v>3167.905399990689</v>
      </c>
      <c r="I29" s="2"/>
      <c r="J29" s="45" t="s">
        <v>71</v>
      </c>
    </row>
    <row r="30">
      <c r="A30" s="2"/>
      <c r="B30" s="66" t="s">
        <v>240</v>
      </c>
      <c r="C30" s="39">
        <v>950</v>
      </c>
      <c r="D30" s="30">
        <f>G30-Inputs!L115</f>
        <v>274</v>
      </c>
      <c r="E30" s="39">
        <v>0</v>
      </c>
      <c r="F30" s="39">
        <v>0</v>
      </c>
      <c r="G30" s="39">
        <v>1224</v>
      </c>
      <c r="H30" s="31">
        <f>'Monthly Build'!G136</f>
        <v>0</v>
      </c>
      <c r="I30" s="2"/>
      <c r="J30" s="45" t="s">
        <v>71</v>
      </c>
    </row>
    <row r="31">
      <c r="A31" s="2"/>
      <c r="B31" s="66" t="s">
        <v>241</v>
      </c>
      <c r="C31" s="39">
        <v>10</v>
      </c>
      <c r="D31" s="30">
        <f>G31-Inputs!L116</f>
        <v>8</v>
      </c>
      <c r="E31" s="39">
        <v>8</v>
      </c>
      <c r="F31" s="39">
        <v>10</v>
      </c>
      <c r="G31" s="39">
        <v>34</v>
      </c>
      <c r="H31" s="31">
        <f>'Monthly Build'!G137</f>
        <v>10</v>
      </c>
      <c r="I31" s="2"/>
      <c r="J31" s="45" t="s">
        <v>71</v>
      </c>
    </row>
    <row r="32">
      <c r="A32" s="2"/>
      <c r="B32" s="66" t="s">
        <v>242</v>
      </c>
      <c r="C32" s="39">
        <v>144</v>
      </c>
      <c r="D32" s="30">
        <f>G32-Inputs!L117</f>
        <v>128</v>
      </c>
      <c r="E32" s="39">
        <v>131</v>
      </c>
      <c r="F32" s="39">
        <v>154</v>
      </c>
      <c r="G32" s="39">
        <v>528</v>
      </c>
      <c r="H32" s="31">
        <f>'Monthly Build'!G138</f>
        <v>153</v>
      </c>
      <c r="I32" s="2"/>
      <c r="J32" s="45" t="s">
        <v>71</v>
      </c>
    </row>
    <row r="33">
      <c r="A33" s="2"/>
      <c r="B33" s="66" t="s">
        <v>243</v>
      </c>
      <c r="C33" s="39">
        <v>70</v>
      </c>
      <c r="D33" s="30">
        <f>G33-Inputs!L118</f>
        <v>69</v>
      </c>
      <c r="E33" s="39">
        <v>70</v>
      </c>
      <c r="F33" s="39">
        <v>88</v>
      </c>
      <c r="G33" s="39">
        <v>278</v>
      </c>
      <c r="H33" s="31">
        <f>'Monthly Build'!G139</f>
        <v>87</v>
      </c>
      <c r="I33" s="2"/>
      <c r="J33" s="45" t="s">
        <v>71</v>
      </c>
    </row>
    <row r="34">
      <c r="A34" s="2"/>
      <c r="B34" s="21" t="s">
        <v>244</v>
      </c>
      <c r="C34" s="37">
        <f>SUM(C27:C33)</f>
        <v>19189</v>
      </c>
      <c r="D34" s="37">
        <f>SUM(D27:D33)</f>
        <v>19064</v>
      </c>
      <c r="E34" s="37">
        <f>SUM(E27:E33)</f>
        <v>18622</v>
      </c>
      <c r="F34" s="37">
        <f>SUM(F27:F33)</f>
        <v>19400</v>
      </c>
      <c r="G34" s="37">
        <f>SUM(G27:G33)</f>
        <v>73448</v>
      </c>
      <c r="H34" s="50">
        <f>SUM(H27:H33)</f>
        <v>19942.209281998003</v>
      </c>
      <c r="I34" s="2"/>
      <c r="J34" s="45"/>
    </row>
    <row r="35">
      <c r="A35" s="2"/>
      <c r="B35" s="21" t="s">
        <v>245</v>
      </c>
      <c r="C35" s="37">
        <f>C19-C34</f>
        <v>3323</v>
      </c>
      <c r="D35" s="37">
        <f>D19-D34</f>
        <v>3682</v>
      </c>
      <c r="E35" s="37">
        <f>E19-E34</f>
        <v>3566</v>
      </c>
      <c r="F35" s="37">
        <f>F19-F34</f>
        <v>4209</v>
      </c>
      <c r="G35" s="37">
        <f>G19-G34</f>
        <v>14223</v>
      </c>
      <c r="H35" s="50">
        <f>H19-H34</f>
        <v>3427.440355663315</v>
      </c>
      <c r="I35" s="2"/>
      <c r="J35" s="45"/>
    </row>
    <row r="36">
      <c r="A36" s="2"/>
      <c r="B36" s="66" t="s">
        <v>246</v>
      </c>
      <c r="C36" s="39">
        <v>708</v>
      </c>
      <c r="D36" s="30">
        <f>G36-Inputs!L119</f>
        <v>731</v>
      </c>
      <c r="E36" s="39">
        <v>748</v>
      </c>
      <c r="F36" s="39">
        <v>898</v>
      </c>
      <c r="G36" s="39">
        <v>2915</v>
      </c>
      <c r="H36" s="31">
        <f>'Monthly Build'!G142</f>
        <v>736.1682361119483</v>
      </c>
      <c r="I36" s="2"/>
      <c r="J36" s="45" t="s">
        <v>71</v>
      </c>
    </row>
    <row r="37">
      <c r="A37" s="2"/>
      <c r="B37" s="21" t="s">
        <v>247</v>
      </c>
      <c r="C37" s="37">
        <f>C35-C36</f>
        <v>2615</v>
      </c>
      <c r="D37" s="37">
        <f>D35-D36</f>
        <v>2951</v>
      </c>
      <c r="E37" s="37">
        <f>E35-E36</f>
        <v>2818</v>
      </c>
      <c r="F37" s="37">
        <f>F35-F36</f>
        <v>3311</v>
      </c>
      <c r="G37" s="37">
        <f>G35-G36</f>
        <v>11308</v>
      </c>
      <c r="H37" s="50">
        <f>H35-H36</f>
        <v>2691.272119551367</v>
      </c>
      <c r="I37" s="2"/>
      <c r="J37" s="45"/>
    </row>
    <row r="38">
      <c r="A38" s="2"/>
      <c r="B38" s="66" t="s">
        <v>248</v>
      </c>
      <c r="C38" s="39">
        <v>0</v>
      </c>
      <c r="D38" s="39">
        <v>0</v>
      </c>
      <c r="E38" s="39">
        <v>0</v>
      </c>
      <c r="F38" s="39">
        <v>0</v>
      </c>
      <c r="G38" s="39">
        <v>0</v>
      </c>
      <c r="H38" s="64">
        <v>0</v>
      </c>
      <c r="I38" s="2"/>
      <c r="J38" s="45" t="s">
        <v>249</v>
      </c>
    </row>
    <row r="39">
      <c r="A39" s="2"/>
      <c r="B39" s="21" t="s">
        <v>250</v>
      </c>
      <c r="C39" s="37">
        <f>C37-C38</f>
        <v>2615</v>
      </c>
      <c r="D39" s="37">
        <f>D37-D38</f>
        <v>2951</v>
      </c>
      <c r="E39" s="37">
        <f>E37-E38</f>
        <v>2818</v>
      </c>
      <c r="F39" s="37">
        <f>F37-F38</f>
        <v>3311</v>
      </c>
      <c r="G39" s="37">
        <f>G37-G38</f>
        <v>11308</v>
      </c>
      <c r="H39" s="50">
        <f>H37-H38</f>
        <v>2691.272119551367</v>
      </c>
      <c r="I39" s="2"/>
      <c r="J39" s="45"/>
    </row>
    <row r="40">
      <c r="A40" s="2"/>
      <c r="B40" s="66" t="s">
        <v>251</v>
      </c>
      <c r="C40" s="39">
        <v>2615</v>
      </c>
      <c r="D40" s="39">
        <v>2951</v>
      </c>
      <c r="E40" s="39">
        <v>2818</v>
      </c>
      <c r="F40" s="39">
        <v>3311</v>
      </c>
      <c r="G40" s="39">
        <v>11308</v>
      </c>
      <c r="H40" s="65"/>
      <c r="I40" s="2"/>
      <c r="J40" s="45" t="s">
        <v>77</v>
      </c>
    </row>
    <row r="41">
      <c r="A41" s="2"/>
      <c r="B41" s="55" t="s">
        <v>252</v>
      </c>
      <c r="C41" s="42">
        <f>C37-C40</f>
        <v>0</v>
      </c>
      <c r="D41" s="42">
        <f>D37-D40</f>
        <v>0</v>
      </c>
      <c r="E41" s="42">
        <f>E37-E40</f>
        <v>0</v>
      </c>
      <c r="F41" s="42">
        <f>F37-F40</f>
        <v>0</v>
      </c>
      <c r="G41" s="42">
        <f>G37-G40</f>
        <v>0</v>
      </c>
      <c r="H41" s="57"/>
      <c r="I41" s="2"/>
      <c r="J41" s="45"/>
    </row>
    <row r="42">
      <c r="A42" s="2"/>
      <c r="B42" s="2"/>
      <c r="C42" s="5"/>
      <c r="D42" s="5"/>
      <c r="E42" s="5"/>
      <c r="F42" s="5"/>
      <c r="G42" s="5"/>
      <c r="H42" s="20"/>
      <c r="I42" s="2"/>
      <c r="J42" s="45"/>
    </row>
    <row r="43">
      <c r="A43" s="2"/>
      <c r="B43" s="21" t="s">
        <v>253</v>
      </c>
      <c r="C43" s="26"/>
      <c r="D43" s="26"/>
      <c r="E43" s="26"/>
      <c r="F43" s="26"/>
      <c r="G43" s="26"/>
      <c r="H43" s="56"/>
      <c r="I43" s="2"/>
      <c r="J43" s="45"/>
    </row>
    <row r="44">
      <c r="A44" s="2"/>
      <c r="B44" s="72" t="s">
        <v>254</v>
      </c>
      <c r="C44" s="18">
        <f>IFERROR(C11/Inputs!C23-1,"n/a")</f>
        <v>0.13947641689894508</v>
      </c>
      <c r="D44" s="18">
        <f>IFERROR(D11/Inputs!D23-1,"n/a")</f>
        <v>0.10180735478478886</v>
      </c>
      <c r="E44" s="18">
        <f>IFERROR(E11/Inputs!E23-1,"n/a")</f>
        <v>0.08032356123447881</v>
      </c>
      <c r="F44" s="18">
        <f>IFERROR(F11/Inputs!F23-1,"n/a")</f>
        <v>0.06218611521418027</v>
      </c>
      <c r="G44" s="18">
        <f>IFERROR(G11/Inputs!G23-1,"n/a")</f>
        <v>0.1534202460486731</v>
      </c>
      <c r="H44" s="49">
        <f>IFERROR(H11/C11-1,"n/a")</f>
        <v>0.048474729611075684</v>
      </c>
      <c r="I44" s="2"/>
      <c r="J44" s="45"/>
    </row>
    <row r="45">
      <c r="A45" s="2"/>
      <c r="B45" s="72" t="s">
        <v>255</v>
      </c>
      <c r="C45" s="18">
        <f>IFERROR(C37/Inputs!C29-1,"n/a")</f>
        <v>0.12039417309340195</v>
      </c>
      <c r="D45" s="18">
        <f>IFERROR(D37/Inputs!D29-1,"n/a")</f>
        <v>0.252546689303905</v>
      </c>
      <c r="E45" s="18">
        <f>IFERROR(E37/Inputs!E29-1,"n/a")</f>
        <v>0.09777950915465516</v>
      </c>
      <c r="F45" s="18">
        <f>IFERROR(F37/Inputs!F29-1,"n/a")</f>
        <v>0.042834645669291405</v>
      </c>
      <c r="G45" s="18">
        <f>IFERROR(G37/Inputs!G29-1,"n/a")</f>
        <v>0.33349056603773586</v>
      </c>
      <c r="H45" s="49">
        <f>IFERROR(H37/C37-1,"n/a")</f>
        <v>0.02916715852824736</v>
      </c>
      <c r="I45" s="2"/>
      <c r="J45" s="45"/>
    </row>
    <row r="46">
      <c r="A46" s="2"/>
      <c r="B46" s="72" t="s">
        <v>256</v>
      </c>
      <c r="C46" s="18">
        <f>IFERROR(C37/Inputs!F29-1,"n/a")</f>
        <v>-0.1763779527559055</v>
      </c>
      <c r="D46" s="1">
        <f>IFERROR(D37/C37-1,"n/a")</f>
        <v>0.12848948374761004</v>
      </c>
      <c r="E46" s="1">
        <f>IFERROR(E37/D37-1,"n/a")</f>
        <v>-0.04506946797695699</v>
      </c>
      <c r="F46" s="1">
        <f>IFERROR(F37/E37-1,"n/a")</f>
        <v>0.1749467707594039</v>
      </c>
      <c r="G46" s="1" t="s">
        <v>38</v>
      </c>
      <c r="H46" s="49">
        <f>IFERROR(H37/F37-1,"n/a")</f>
        <v>-0.18717241934419604</v>
      </c>
      <c r="I46" s="2"/>
      <c r="J46" s="45"/>
    </row>
    <row r="47">
      <c r="A47" s="2"/>
      <c r="B47" s="72" t="s">
        <v>257</v>
      </c>
      <c r="C47" s="18">
        <f>IFERROR(C12/Inputs!C25-1,"n/a")</f>
        <v>0.250338294993234</v>
      </c>
      <c r="D47" s="18">
        <f>IFERROR(D12/Inputs!D25-1,"n/a")</f>
        <v>0.2329113924050632</v>
      </c>
      <c r="E47" s="18">
        <f>IFERROR(E12/Inputs!E25-1,"n/a")</f>
        <v>0.12653562653562656</v>
      </c>
      <c r="F47" s="18">
        <f>IFERROR(F12/Inputs!F25-1,"n/a")</f>
        <v>0.12399540757749716</v>
      </c>
      <c r="G47" s="18">
        <f>IFERROR(G12/Inputs!G25-1,"n/a")</f>
        <v>0.26518361581920913</v>
      </c>
      <c r="H47" s="49">
        <f>IFERROR(H12/C12-1,"n/a")</f>
        <v>0.10497835497835495</v>
      </c>
      <c r="I47" s="2"/>
      <c r="J47" s="45"/>
    </row>
    <row r="48">
      <c r="A48" s="2"/>
      <c r="B48" s="19" t="s">
        <v>258</v>
      </c>
      <c r="C48" s="1">
        <f>C27/C11</f>
        <v>0.6448750539594225</v>
      </c>
      <c r="D48" s="1">
        <f>D27/D11</f>
        <v>0.6687052576684208</v>
      </c>
      <c r="E48" s="1">
        <f>E27/E11</f>
        <v>0.6594334223578787</v>
      </c>
      <c r="F48" s="1">
        <f>F27/F11</f>
        <v>0.675473972094748</v>
      </c>
      <c r="G48" s="1">
        <f>G27/G11</f>
        <v>0.6607682982084471</v>
      </c>
      <c r="H48" s="49">
        <f>H27/H11</f>
        <v>0.6825892231071962</v>
      </c>
      <c r="I48" s="2"/>
      <c r="J48" s="45"/>
    </row>
    <row r="49">
      <c r="A49" s="2"/>
      <c r="B49" s="55" t="s">
        <v>106</v>
      </c>
      <c r="C49" s="75">
        <f>(C48-Inputs!F39)*10000</f>
        <v>-231.24946040577578</v>
      </c>
      <c r="D49" s="67">
        <f>(D48-C48)*10000</f>
        <v>238.30203708998354</v>
      </c>
      <c r="E49" s="67">
        <f>(E48-D48)*10000</f>
        <v>-92.71835310542099</v>
      </c>
      <c r="F49" s="67">
        <f>(F48-E48)*10000</f>
        <v>160.40549736869303</v>
      </c>
      <c r="G49" s="67" t="s">
        <v>38</v>
      </c>
      <c r="H49" s="85">
        <f>(H48-F48)*10000</f>
        <v>71.15251012448142</v>
      </c>
      <c r="I49" s="2"/>
      <c r="J49" s="45" t="s">
        <v>259</v>
      </c>
    </row>
    <row r="50">
      <c r="A50" s="2"/>
      <c r="B50" s="55" t="s">
        <v>107</v>
      </c>
      <c r="C50" s="75">
        <f>(C48-Inputs!C39)*10000</f>
        <v>-361.2494604057759</v>
      </c>
      <c r="D50" s="75">
        <f>(D48-Inputs!D39)*10000</f>
        <v>-61.05335728988304</v>
      </c>
      <c r="E50" s="75">
        <f>(E48-Inputs!E39)*10000</f>
        <v>14.334223578786887</v>
      </c>
      <c r="F50" s="75">
        <f>(F48-Inputs!F39)*10000</f>
        <v>74.73972094747982</v>
      </c>
      <c r="G50" s="75">
        <f>(G48-Inputs!G39)*10000</f>
        <v>-302.31701791552877</v>
      </c>
      <c r="H50" s="85">
        <f>(H48-C48)*10000</f>
        <v>377.141691477737</v>
      </c>
      <c r="I50" s="2"/>
      <c r="J50" s="45" t="s">
        <v>260</v>
      </c>
    </row>
    <row r="51">
      <c r="A51" s="2"/>
      <c r="B51" s="19" t="s">
        <v>261</v>
      </c>
      <c r="C51" s="1">
        <f>(C28+C29+C30-C17)/C11</f>
        <v>0.2500839368794666</v>
      </c>
      <c r="D51" s="1">
        <f>(D28+D29+D30-D17)/D11</f>
        <v>0.2111601005072773</v>
      </c>
      <c r="E51" s="1">
        <f>(E28+E29+E30-E17)/E11</f>
        <v>0.20454979015642885</v>
      </c>
      <c r="F51" s="1">
        <f>(F28+F29+F30-F17)/F11</f>
        <v>0.1979789551754508</v>
      </c>
      <c r="G51" s="1">
        <f>(G28+G29+G30-G17)/G11</f>
        <v>0.21372503398194978</v>
      </c>
      <c r="H51" s="49">
        <f>(H28+H29+H30-H17)/H11</f>
        <v>0.20425981625700762</v>
      </c>
      <c r="I51" s="2"/>
      <c r="J51" s="45"/>
    </row>
    <row r="52">
      <c r="A52" s="2"/>
      <c r="B52" s="55" t="s">
        <v>106</v>
      </c>
      <c r="C52" s="75">
        <f>(C51-Inputs!F40)*10000</f>
        <v>560.8393687946661</v>
      </c>
      <c r="D52" s="67">
        <f>(D51-C51)*10000</f>
        <v>-389.2383637218932</v>
      </c>
      <c r="E52" s="67">
        <f>(E51-D51)*10000</f>
        <v>-66.10310350848442</v>
      </c>
      <c r="F52" s="67">
        <f>(F51-E51)*10000</f>
        <v>-65.70834980978046</v>
      </c>
      <c r="G52" s="67" t="s">
        <v>38</v>
      </c>
      <c r="H52" s="85">
        <f>(H51-F51)*10000</f>
        <v>62.80861081556816</v>
      </c>
      <c r="I52" s="2"/>
      <c r="J52" s="45" t="s">
        <v>262</v>
      </c>
    </row>
    <row r="53">
      <c r="A53" s="2"/>
      <c r="B53" s="55" t="s">
        <v>107</v>
      </c>
      <c r="C53" s="75">
        <f>(C51-Inputs!C40)*10000</f>
        <v>410.83936879466626</v>
      </c>
      <c r="D53" s="75">
        <f>(D51-Inputs!D40)*10000</f>
        <v>60.65397205981815</v>
      </c>
      <c r="E53" s="75">
        <f>(E51-Inputs!E40)*10000</f>
        <v>25.497901564288384</v>
      </c>
      <c r="F53" s="75">
        <f>(F51-Inputs!F40)*10000</f>
        <v>39.78955175450799</v>
      </c>
      <c r="G53" s="75">
        <f>(G51-Inputs!G40)*10000</f>
        <v>167.25033981949773</v>
      </c>
      <c r="H53" s="85">
        <f>(H51-C51)*10000</f>
        <v>-458.24120622459</v>
      </c>
      <c r="I53" s="2"/>
      <c r="J53" s="45" t="s">
        <v>263</v>
      </c>
    </row>
    <row r="54">
      <c r="A54" s="2"/>
      <c r="B54" s="61" t="s">
        <v>44</v>
      </c>
      <c r="C54" s="51">
        <f>C48+C51</f>
        <v>0.8949589908388891</v>
      </c>
      <c r="D54" s="51">
        <f>D48+D51</f>
        <v>0.8798653581756981</v>
      </c>
      <c r="E54" s="51">
        <f>E48+E51</f>
        <v>0.8639832125143075</v>
      </c>
      <c r="F54" s="51">
        <f>F48+F51</f>
        <v>0.8734529272701989</v>
      </c>
      <c r="G54" s="51">
        <f>G48+G51</f>
        <v>0.8744933321903968</v>
      </c>
      <c r="H54" s="87">
        <f>H48+H51</f>
        <v>0.8868490393642038</v>
      </c>
      <c r="I54" s="2"/>
      <c r="J54" s="45"/>
    </row>
    <row r="55">
      <c r="A55" s="2"/>
      <c r="B55" s="55" t="s">
        <v>106</v>
      </c>
      <c r="C55" s="75">
        <f>(C54-Inputs!F38)*10000</f>
        <v>329.58990838889093</v>
      </c>
      <c r="D55" s="67">
        <f>(D54-C54)*10000</f>
        <v>-150.9363266319097</v>
      </c>
      <c r="E55" s="67">
        <f>(E54-D54)*10000</f>
        <v>-158.82145661390567</v>
      </c>
      <c r="F55" s="67">
        <f>(F54-E54)*10000</f>
        <v>94.69714755891312</v>
      </c>
      <c r="G55" s="67" t="s">
        <v>38</v>
      </c>
      <c r="H55" s="85">
        <f>(H54-F54)*10000</f>
        <v>133.9611209400493</v>
      </c>
      <c r="I55" s="2"/>
      <c r="J55" s="45" t="s">
        <v>264</v>
      </c>
    </row>
    <row r="56">
      <c r="A56" s="2"/>
      <c r="B56" s="55" t="s">
        <v>107</v>
      </c>
      <c r="C56" s="75">
        <f>(C54-Inputs!C38)*10000</f>
        <v>49.589908388890656</v>
      </c>
      <c r="D56" s="75">
        <f>(D54-Inputs!D38)*10000</f>
        <v>-0.3993852300643308</v>
      </c>
      <c r="E56" s="75">
        <f>(E54-Inputs!E38)*10000</f>
        <v>39.832125143075544</v>
      </c>
      <c r="F56" s="75">
        <f>(F54-Inputs!F38)*10000</f>
        <v>114.52927270198865</v>
      </c>
      <c r="G56" s="75">
        <f>(G54-Inputs!G38)*10000</f>
        <v>-135.0666780960319</v>
      </c>
      <c r="H56" s="85">
        <f>(H54-C54)*10000</f>
        <v>-81.09951474685295</v>
      </c>
      <c r="I56" s="2"/>
      <c r="J56" s="45" t="s">
        <v>265</v>
      </c>
    </row>
    <row r="57">
      <c r="A57" s="2"/>
      <c r="B57" s="19" t="s">
        <v>266</v>
      </c>
      <c r="C57" s="1">
        <f>C35/C19</f>
        <v>0.1476101634683724</v>
      </c>
      <c r="D57" s="1">
        <f>D35/D19</f>
        <v>0.1618746153169788</v>
      </c>
      <c r="E57" s="1">
        <f>E35/E19</f>
        <v>0.16071750495763476</v>
      </c>
      <c r="F57" s="1">
        <f>F35/F19</f>
        <v>0.17827946969376085</v>
      </c>
      <c r="G57" s="1">
        <f>G35/G19</f>
        <v>0.16223152467748742</v>
      </c>
      <c r="H57" s="49">
        <f>H35/H19</f>
        <v>0.1466620342540279</v>
      </c>
      <c r="I57" s="2"/>
      <c r="J57" s="45"/>
    </row>
    <row r="58">
      <c r="A58" s="2"/>
      <c r="B58" s="55" t="s">
        <v>106</v>
      </c>
      <c r="C58" s="75">
        <f>(C57-Inputs!F62)*10000</f>
        <v>-333.5693342310186</v>
      </c>
      <c r="D58" s="67">
        <f>(D57-C57)*10000</f>
        <v>142.6445184860639</v>
      </c>
      <c r="E58" s="67">
        <f>(E57-D57)*10000</f>
        <v>-11.571103593440435</v>
      </c>
      <c r="F58" s="67">
        <f>(F57-E57)*10000</f>
        <v>175.6196473612609</v>
      </c>
      <c r="G58" s="67" t="s">
        <v>38</v>
      </c>
      <c r="H58" s="85">
        <f>(H57-F57)*10000</f>
        <v>-316.17435439732947</v>
      </c>
      <c r="I58" s="2"/>
      <c r="J58" s="45"/>
    </row>
    <row r="59">
      <c r="A59" s="2"/>
      <c r="B59" s="55" t="s">
        <v>107</v>
      </c>
      <c r="C59" s="75">
        <f>(C57-Inputs!C62)*10000</f>
        <v>-17.88893278927145</v>
      </c>
      <c r="D59" s="75">
        <f>(D57-Inputs!D62)*10000</f>
        <v>155.4397811042918</v>
      </c>
      <c r="E59" s="75">
        <f>(E57-Inputs!E62)*10000</f>
        <v>21.600058150995917</v>
      </c>
      <c r="F59" s="75">
        <f>(F57-Inputs!F62)*10000</f>
        <v>-26.87627197713427</v>
      </c>
      <c r="G59" s="75">
        <f>(G57-Inputs!G62)*10000</f>
        <v>200.96514328816818</v>
      </c>
      <c r="H59" s="85">
        <f>(H57-C57)*10000</f>
        <v>-9.481292143445064</v>
      </c>
      <c r="I59" s="2"/>
      <c r="J59" s="45"/>
    </row>
    <row r="60">
      <c r="A60" s="2"/>
      <c r="B60" s="19" t="s">
        <v>267</v>
      </c>
      <c r="C60" s="1">
        <f>C37/C19</f>
        <v>0.11616027007818053</v>
      </c>
      <c r="D60" s="1">
        <f>D37/D19</f>
        <v>0.12973709663237493</v>
      </c>
      <c r="E60" s="1">
        <f>E37/E19</f>
        <v>0.12700558860645395</v>
      </c>
      <c r="F60" s="1">
        <f>F37/F19</f>
        <v>0.14024312762082256</v>
      </c>
      <c r="G60" s="1">
        <f>G37/G19</f>
        <v>0.12898221760901551</v>
      </c>
      <c r="H60" s="49">
        <f>H37/H19</f>
        <v>0.11516099561947442</v>
      </c>
      <c r="I60" s="2"/>
      <c r="J60" s="45"/>
    </row>
    <row r="61">
      <c r="A61" s="2"/>
      <c r="B61" s="55" t="s">
        <v>106</v>
      </c>
      <c r="C61" s="75">
        <f>(C60-Inputs!F63)*10000</f>
        <v>-281.31676840561533</v>
      </c>
      <c r="D61" s="67">
        <f>(D60-C60)*10000</f>
        <v>135.76826554194398</v>
      </c>
      <c r="E61" s="67">
        <f>(E60-D60)*10000</f>
        <v>-27.31508025920981</v>
      </c>
      <c r="F61" s="67">
        <f>(F60-E60)*10000</f>
        <v>132.3753901436861</v>
      </c>
      <c r="G61" s="67" t="s">
        <v>38</v>
      </c>
      <c r="H61" s="85">
        <f>(H60-F60)*10000</f>
        <v>-250.82132001348137</v>
      </c>
      <c r="I61" s="2"/>
      <c r="J61" s="45"/>
    </row>
    <row r="62">
      <c r="A62" s="2"/>
      <c r="B62" s="55" t="s">
        <v>107</v>
      </c>
      <c r="C62" s="75">
        <f>(C60-Inputs!C63)*10000</f>
        <v>-22.027300739570073</v>
      </c>
      <c r="D62" s="75">
        <f>(D60-Inputs!D63)*10000</f>
        <v>135.40608173112741</v>
      </c>
      <c r="E62" s="75">
        <f>(E60-Inputs!E63)*10000</f>
        <v>12.277454980214042</v>
      </c>
      <c r="F62" s="75">
        <f>(F60-Inputs!F63)*10000</f>
        <v>-40.488192979195034</v>
      </c>
      <c r="G62" s="75">
        <f>(G60-Inputs!G63)*10000</f>
        <v>164.73593716853975</v>
      </c>
      <c r="H62" s="85">
        <f>(H60-C60)*10000</f>
        <v>-9.992744587061091</v>
      </c>
      <c r="I62" s="2"/>
      <c r="J62" s="45"/>
    </row>
    <row r="63">
      <c r="A63" s="2"/>
      <c r="B63" s="19" t="s">
        <v>268</v>
      </c>
      <c r="C63" s="1">
        <f>C36/C35</f>
        <v>0.21306048751128498</v>
      </c>
      <c r="D63" s="1">
        <f>D36/D35</f>
        <v>0.19853340575774037</v>
      </c>
      <c r="E63" s="1">
        <f>E36/E35</f>
        <v>0.20975883342680876</v>
      </c>
      <c r="F63" s="1">
        <f>F36/F35</f>
        <v>0.21335234022333097</v>
      </c>
      <c r="G63" s="1">
        <f>G36/G35</f>
        <v>0.20494972931167826</v>
      </c>
      <c r="H63" s="49">
        <f>H36/H35</f>
        <v>0.21478659282736873</v>
      </c>
      <c r="I63" s="2"/>
      <c r="J63" s="45"/>
    </row>
    <row r="64">
      <c r="A64" s="2"/>
      <c r="B64" s="55" t="s">
        <v>106</v>
      </c>
      <c r="C64" s="75">
        <f>(C63-Inputs!F64)*10000</f>
        <v>103.98508606212164</v>
      </c>
      <c r="D64" s="67">
        <f>(D63-C63)*10000</f>
        <v>-145.27081753544613</v>
      </c>
      <c r="E64" s="67">
        <f>(E63-D63)*10000</f>
        <v>112.25427669068394</v>
      </c>
      <c r="F64" s="67">
        <f>(F63-E63)*10000</f>
        <v>35.93506796522205</v>
      </c>
      <c r="G64" s="67" t="s">
        <v>38</v>
      </c>
      <c r="H64" s="85">
        <f>(H63-F63)*10000</f>
        <v>14.342526040377612</v>
      </c>
      <c r="I64" s="2"/>
      <c r="J64" s="45"/>
    </row>
    <row r="65">
      <c r="A65" s="2"/>
      <c r="B65" s="55" t="s">
        <v>107</v>
      </c>
      <c r="C65" s="75">
        <f>(C63-Inputs!C64)*10000</f>
        <v>53.21179975643437</v>
      </c>
      <c r="D65" s="75">
        <f>(D63-Inputs!D64)*10000</f>
        <v>-73.98512004308854</v>
      </c>
      <c r="E65" s="75">
        <f>(E63-Inputs!E64)*10000</f>
        <v>30.221214366975</v>
      </c>
      <c r="F65" s="75">
        <f>(F63-Inputs!F64)*10000</f>
        <v>106.90361318258151</v>
      </c>
      <c r="G65" s="75">
        <f>(G63-Inputs!G64)*10000</f>
        <v>-34.8861662316724</v>
      </c>
      <c r="H65" s="85">
        <f>(H63-C63)*10000</f>
        <v>17.26105316083748</v>
      </c>
      <c r="I65" s="2"/>
      <c r="J65" s="45"/>
    </row>
    <row r="66">
      <c r="A66" s="2"/>
      <c r="B66" s="21" t="s">
        <v>269</v>
      </c>
      <c r="C66" s="37">
        <f>C11+C17-C27-C28-C29-C30</f>
        <v>2190</v>
      </c>
      <c r="D66" s="37">
        <f>D11+D17-D27-D28-D29-D30</f>
        <v>2534</v>
      </c>
      <c r="E66" s="37">
        <f>E11+E17-E27-E28-E29-E30</f>
        <v>2852</v>
      </c>
      <c r="F66" s="37">
        <f>F11+F17-F27-F28-F29-F30</f>
        <v>2730</v>
      </c>
      <c r="G66" s="37">
        <f>G11+G17-G27-G28-G29-G30</f>
        <v>10249</v>
      </c>
      <c r="H66" s="50">
        <f>H11+H17-H27-H28-H29-H30</f>
        <v>2473.4403556633133</v>
      </c>
      <c r="I66" s="2"/>
      <c r="J66" s="45"/>
    </row>
    <row r="67">
      <c r="A67" s="2"/>
      <c r="B67" s="55" t="s">
        <v>198</v>
      </c>
      <c r="C67" s="1">
        <f>C66/C11</f>
        <v>0.10504100916111085</v>
      </c>
      <c r="D67" s="1">
        <f>D66/D11</f>
        <v>0.1201346418243019</v>
      </c>
      <c r="E67" s="1">
        <f>E66/E11</f>
        <v>0.1360167874856925</v>
      </c>
      <c r="F67" s="1">
        <f>F66/F11</f>
        <v>0.12654707272980115</v>
      </c>
      <c r="G67" s="1">
        <f>G66/G11</f>
        <v>0.12550666780960312</v>
      </c>
      <c r="H67" s="49">
        <f>H66/H11</f>
        <v>0.11315096063579624</v>
      </c>
      <c r="I67" s="2"/>
      <c r="J67" s="45"/>
    </row>
    <row r="68">
      <c r="A68" s="2"/>
      <c r="B68" s="79" t="s">
        <v>106</v>
      </c>
      <c r="C68" s="75">
        <f>(C67-(1-Inputs!F38))*10000</f>
        <v>-329.5899083888916</v>
      </c>
      <c r="D68" s="67">
        <f>(D67-C67)*10000</f>
        <v>150.93632663191053</v>
      </c>
      <c r="E68" s="67">
        <f>(E67-D67)*10000</f>
        <v>158.8214566139058</v>
      </c>
      <c r="F68" s="67">
        <f>(F67-E67)*10000</f>
        <v>-94.6971475589134</v>
      </c>
      <c r="G68" s="67" t="s">
        <v>38</v>
      </c>
      <c r="H68" s="85">
        <f>(H67-F67)*10000</f>
        <v>-133.96112094004903</v>
      </c>
      <c r="I68" s="2"/>
      <c r="J68" s="45"/>
    </row>
    <row r="69">
      <c r="A69" s="2"/>
      <c r="B69" s="79" t="s">
        <v>107</v>
      </c>
      <c r="C69" s="75">
        <f>(C67-(1-Inputs!C38))*10000</f>
        <v>-49.58990838889135</v>
      </c>
      <c r="D69" s="75">
        <f>(D67-(1-Inputs!D38))*10000</f>
        <v>0.3993852300644696</v>
      </c>
      <c r="E69" s="75">
        <f>(E67-(1-Inputs!E38))*10000</f>
        <v>-39.83212514307527</v>
      </c>
      <c r="F69" s="75">
        <f>(F67-(1-Inputs!F38))*10000</f>
        <v>-114.52927270198865</v>
      </c>
      <c r="G69" s="75">
        <f>(G67-(1-Inputs!G38))*10000</f>
        <v>135.06667809603135</v>
      </c>
      <c r="H69" s="85">
        <f>(H67-C67)*10000</f>
        <v>81.09951474685393</v>
      </c>
      <c r="I69" s="2"/>
      <c r="J69" s="45"/>
    </row>
    <row r="70">
      <c r="A70" s="2"/>
      <c r="B70" s="55" t="s">
        <v>270</v>
      </c>
      <c r="C70" s="18">
        <f>IFERROR(C66/Inputs!C86-1,"n/a")</f>
        <v>0.08810684314865336</v>
      </c>
      <c r="D70" s="18">
        <f>IFERROR(D66/Inputs!D86-1,"n/a")</f>
        <v>0.10217377026505647</v>
      </c>
      <c r="E70" s="18">
        <f>IFERROR(E66/Inputs!E86-1,"n/a")</f>
        <v>0.04958671603011844</v>
      </c>
      <c r="F70" s="18">
        <f>IFERROR(F66/Inputs!F86-1,"n/a")</f>
        <v>-0.02596707554642186</v>
      </c>
      <c r="G70" s="18">
        <f>IFERROR(G66/Inputs!G86-1,"n/a")</f>
        <v>0.292517247015192</v>
      </c>
      <c r="H70" s="49">
        <f>IFERROR(H66/C66-1,"n/a")</f>
        <v>0.12942481993758603</v>
      </c>
      <c r="I70" s="2"/>
      <c r="J70" s="45" t="s">
        <v>271</v>
      </c>
    </row>
    <row r="71">
      <c r="A71" s="2"/>
      <c r="B71" s="2"/>
      <c r="C71" s="5"/>
      <c r="D71" s="5"/>
      <c r="E71" s="5"/>
      <c r="F71" s="5"/>
      <c r="G71" s="5"/>
      <c r="H71" s="20"/>
      <c r="I71" s="2"/>
      <c r="J71" s="45"/>
    </row>
    <row r="72">
      <c r="A72" s="2"/>
      <c r="B72" s="21" t="s">
        <v>272</v>
      </c>
      <c r="C72" s="26"/>
      <c r="D72" s="26"/>
      <c r="E72" s="26"/>
      <c r="F72" s="26"/>
      <c r="G72" s="26"/>
      <c r="H72" s="56"/>
      <c r="I72" s="2"/>
      <c r="J72" s="45"/>
    </row>
    <row r="73">
      <c r="A73" s="2"/>
      <c r="B73" s="66" t="s">
        <v>273</v>
      </c>
      <c r="C73" s="30">
        <f>'Share Count'!C9</f>
        <v>586.5</v>
      </c>
      <c r="D73" s="30">
        <f>'Share Count'!D9</f>
        <v>586.3</v>
      </c>
      <c r="E73" s="30">
        <f>'Share Count'!E9</f>
        <v>585.6</v>
      </c>
      <c r="F73" s="30">
        <f>'Share Count'!F9</f>
        <v>583</v>
      </c>
      <c r="G73" s="30">
        <f>'Share Count'!G9</f>
        <v>586.3</v>
      </c>
      <c r="H73" s="31">
        <f>'Share Count'!H9</f>
        <v>580.7739130434783</v>
      </c>
      <c r="I73" s="2"/>
      <c r="J73" s="45"/>
    </row>
    <row r="74">
      <c r="A74" s="2"/>
      <c r="B74" s="66" t="s">
        <v>274</v>
      </c>
      <c r="C74" s="30">
        <f>'Share Count'!C12</f>
        <v>1.7</v>
      </c>
      <c r="D74" s="30">
        <f>'Share Count'!D12</f>
        <v>1.7</v>
      </c>
      <c r="E74" s="30">
        <f>'Share Count'!E12</f>
        <v>1.3</v>
      </c>
      <c r="F74" s="30">
        <f>'Share Count'!F12</f>
        <v>1.2</v>
      </c>
      <c r="G74" s="30">
        <f>'Share Count'!G12</f>
        <v>1.8</v>
      </c>
      <c r="H74" s="31">
        <f>'Share Count'!H12</f>
        <v>1.3673913043478263</v>
      </c>
      <c r="I74" s="2"/>
      <c r="J74" s="45"/>
    </row>
    <row r="75">
      <c r="A75" s="2"/>
      <c r="B75" s="21" t="s">
        <v>275</v>
      </c>
      <c r="C75" s="81">
        <f>'Share Count'!C13</f>
        <v>588.2</v>
      </c>
      <c r="D75" s="81">
        <f>'Share Count'!D13</f>
        <v>588</v>
      </c>
      <c r="E75" s="81">
        <f>'Share Count'!E13</f>
        <v>586.9</v>
      </c>
      <c r="F75" s="81">
        <f>'Share Count'!F13</f>
        <v>584.2</v>
      </c>
      <c r="G75" s="81">
        <f>'Share Count'!G13</f>
        <v>588.0999999999999</v>
      </c>
      <c r="H75" s="73">
        <f>'Share Count'!H13</f>
        <v>582.1413043478261</v>
      </c>
      <c r="I75" s="2"/>
      <c r="J75" s="45"/>
    </row>
    <row r="76">
      <c r="A76" s="2"/>
      <c r="B76" s="2" t="s">
        <v>276</v>
      </c>
      <c r="C76" s="46">
        <f>C39/C73</f>
        <v>4.458653026427963</v>
      </c>
      <c r="D76" s="46">
        <f>D39/D73</f>
        <v>5.033259423503326</v>
      </c>
      <c r="E76" s="46">
        <f>E39/E73</f>
        <v>4.812158469945355</v>
      </c>
      <c r="F76" s="46">
        <f>F39/F73</f>
        <v>5.679245283018868</v>
      </c>
      <c r="G76" s="46">
        <f>G39/G73</f>
        <v>19.28705440900563</v>
      </c>
      <c r="H76" s="89">
        <f>H39/H73</f>
        <v>4.633941124263085</v>
      </c>
      <c r="I76" s="2"/>
      <c r="J76" s="45"/>
    </row>
    <row r="77">
      <c r="A77" s="2"/>
      <c r="B77" s="21" t="s">
        <v>277</v>
      </c>
      <c r="C77" s="86">
        <f>C39/C75</f>
        <v>4.44576674600476</v>
      </c>
      <c r="D77" s="86">
        <f>D39/D75</f>
        <v>5.0187074829931975</v>
      </c>
      <c r="E77" s="86">
        <f>E39/E75</f>
        <v>4.801499403646277</v>
      </c>
      <c r="F77" s="86">
        <f>F39/F75</f>
        <v>5.667579596028757</v>
      </c>
      <c r="G77" s="86">
        <f>G39/G75</f>
        <v>19.22802244516239</v>
      </c>
      <c r="H77" s="95">
        <f>H39/H75</f>
        <v>4.623056463183631</v>
      </c>
      <c r="I77" s="2"/>
      <c r="J77" s="45"/>
    </row>
    <row r="78">
      <c r="A78" s="2"/>
      <c r="B78" s="55" t="s">
        <v>61</v>
      </c>
      <c r="C78" s="18">
        <f>IFERROR(C77/Inputs!C30-1,"n/a")</f>
        <v>0.11984049017752141</v>
      </c>
      <c r="D78" s="18">
        <f>IFERROR(D77/Inputs!D30-1,"n/a")</f>
        <v>0.25154800074643324</v>
      </c>
      <c r="E78" s="18">
        <f>IFERROR(E77/Inputs!E30-1,"n/a")</f>
        <v>0.0987412822989191</v>
      </c>
      <c r="F78" s="18">
        <f>IFERROR(F77/Inputs!F30-1,"n/a")</f>
        <v>0.049551777042362355</v>
      </c>
      <c r="G78" s="18">
        <f>IFERROR(G77/Inputs!G30-1,"n/a")</f>
        <v>0.3352793364696105</v>
      </c>
      <c r="H78" s="49">
        <f>IFERROR(H77/C77-1,"n/a")</f>
        <v>0.039878321852623966</v>
      </c>
      <c r="I78" s="2"/>
      <c r="J78" s="45"/>
    </row>
    <row r="79">
      <c r="A79" s="2"/>
      <c r="B79" s="66" t="s">
        <v>278</v>
      </c>
      <c r="C79" s="35">
        <v>4.45</v>
      </c>
      <c r="D79" s="35">
        <v>5.02</v>
      </c>
      <c r="E79" s="35">
        <v>4.8</v>
      </c>
      <c r="F79" s="35">
        <v>5.67</v>
      </c>
      <c r="G79" s="35">
        <v>19.23</v>
      </c>
      <c r="H79" s="89"/>
      <c r="I79" s="2"/>
      <c r="J79" s="45" t="s">
        <v>279</v>
      </c>
    </row>
    <row r="80">
      <c r="A80" s="2"/>
      <c r="B80" s="55" t="s">
        <v>280</v>
      </c>
      <c r="C80" s="68">
        <f>C77-C79</f>
        <v>-0.004233253995240105</v>
      </c>
      <c r="D80" s="68">
        <f>D77-D79</f>
        <v>-0.0012925170068021075</v>
      </c>
      <c r="E80" s="68">
        <f>E77-E79</f>
        <v>0.0014994036462772087</v>
      </c>
      <c r="F80" s="68">
        <f>F77-F79</f>
        <v>-0.0024204039712429903</v>
      </c>
      <c r="G80" s="68">
        <f>G77-G79</f>
        <v>-0.0019775548376088636</v>
      </c>
      <c r="H80" s="91"/>
      <c r="I80" s="2"/>
      <c r="J80" s="45"/>
    </row>
    <row r="81">
      <c r="A81" s="2"/>
      <c r="B81" s="2"/>
      <c r="C81" s="5"/>
      <c r="D81" s="5"/>
      <c r="E81" s="5"/>
      <c r="F81" s="5"/>
      <c r="G81" s="5"/>
      <c r="H81" s="20"/>
      <c r="I81" s="2"/>
      <c r="J81" s="45"/>
    </row>
    <row r="82">
      <c r="A82" s="2"/>
      <c r="B82" s="21" t="s">
        <v>281</v>
      </c>
      <c r="C82" s="26"/>
      <c r="D82" s="26"/>
      <c r="E82" s="26"/>
      <c r="F82" s="26"/>
      <c r="G82" s="26"/>
      <c r="H82" s="56"/>
      <c r="I82" s="2"/>
      <c r="J82" s="45"/>
    </row>
    <row r="83">
      <c r="A83" s="2"/>
      <c r="B83" s="2" t="s">
        <v>282</v>
      </c>
      <c r="C83" s="24">
        <f>C39</f>
        <v>2615</v>
      </c>
      <c r="D83" s="24">
        <f>D39</f>
        <v>2951</v>
      </c>
      <c r="E83" s="24">
        <f>E39</f>
        <v>2818</v>
      </c>
      <c r="F83" s="24">
        <f>F39</f>
        <v>3311</v>
      </c>
      <c r="G83" s="24">
        <f>G39</f>
        <v>11308</v>
      </c>
      <c r="H83" s="65">
        <f>H39</f>
        <v>2691.272119551367</v>
      </c>
      <c r="I83" s="2"/>
      <c r="J83" s="45"/>
    </row>
    <row r="84">
      <c r="A84" s="2"/>
      <c r="B84" s="66" t="s">
        <v>283</v>
      </c>
      <c r="C84" s="24">
        <f>-C16</f>
        <v>-295</v>
      </c>
      <c r="D84" s="24">
        <f>-D16</f>
        <v>-257</v>
      </c>
      <c r="E84" s="24">
        <f>-E16</f>
        <v>120</v>
      </c>
      <c r="F84" s="24">
        <f>-F16</f>
        <v>-604</v>
      </c>
      <c r="G84" s="24">
        <f>-G16</f>
        <v>-727</v>
      </c>
      <c r="H84" s="65">
        <f>-H16</f>
        <v>-36</v>
      </c>
      <c r="I84" s="2"/>
      <c r="J84" s="45"/>
    </row>
    <row r="85">
      <c r="A85" s="2"/>
      <c r="B85" s="66" t="s">
        <v>284</v>
      </c>
      <c r="C85" s="30">
        <f>C16*Inputs!$C$278</f>
        <v>61.949999999999996</v>
      </c>
      <c r="D85" s="30">
        <f>D16*Inputs!$C$278</f>
        <v>53.97</v>
      </c>
      <c r="E85" s="30">
        <f>E16*Inputs!$C$278</f>
        <v>-25.2</v>
      </c>
      <c r="F85" s="30">
        <f>F16*Inputs!$C$278</f>
        <v>126.83999999999999</v>
      </c>
      <c r="G85" s="30">
        <f>G16*Inputs!$C$278</f>
        <v>152.67</v>
      </c>
      <c r="H85" s="31">
        <f>H16*Inputs!$C$278</f>
        <v>7.56</v>
      </c>
      <c r="I85" s="2"/>
      <c r="J85" s="45" t="s">
        <v>285</v>
      </c>
    </row>
    <row r="86">
      <c r="A86" s="2"/>
      <c r="B86" s="66" t="s">
        <v>286</v>
      </c>
      <c r="C86" s="39">
        <v>0</v>
      </c>
      <c r="D86" s="39">
        <v>0</v>
      </c>
      <c r="E86" s="39">
        <v>0</v>
      </c>
      <c r="F86" s="39">
        <v>0</v>
      </c>
      <c r="G86" s="39">
        <v>0</v>
      </c>
      <c r="H86" s="64">
        <v>0</v>
      </c>
      <c r="I86" s="2"/>
      <c r="J86" s="45"/>
    </row>
    <row r="87">
      <c r="A87" s="2"/>
      <c r="B87" s="21" t="s">
        <v>287</v>
      </c>
      <c r="C87" s="37">
        <f>C83+C84+C85+C86</f>
        <v>2381.95</v>
      </c>
      <c r="D87" s="37">
        <f>D83+D84+D85+D86</f>
        <v>2747.97</v>
      </c>
      <c r="E87" s="37">
        <f>E83+E84+E85+E86</f>
        <v>2912.8</v>
      </c>
      <c r="F87" s="37">
        <f>F83+F84+F85+F86</f>
        <v>2833.84</v>
      </c>
      <c r="G87" s="37">
        <f>G83+G84+G85+G86</f>
        <v>10733.67</v>
      </c>
      <c r="H87" s="50">
        <f>H83+H84+H85+H86</f>
        <v>2662.8321195513668</v>
      </c>
      <c r="I87" s="2"/>
      <c r="J87" s="45"/>
    </row>
    <row r="88">
      <c r="A88" s="2"/>
      <c r="B88" s="55" t="s">
        <v>61</v>
      </c>
      <c r="C88" s="18">
        <f>IFERROR(C87/Inputs!C79-1,"n/a")</f>
        <v>0.13077266340055438</v>
      </c>
      <c r="D88" s="18">
        <f>IFERROR(D87/Inputs!D79-1,"n/a")</f>
        <v>0.14600457906391928</v>
      </c>
      <c r="E88" s="18">
        <f>IFERROR(E87/Inputs!E79-1,"n/a")</f>
        <v>0.06521166730054717</v>
      </c>
      <c r="F88" s="18">
        <f>IFERROR(F87/Inputs!F79-1,"n/a")</f>
        <v>-0.012348088538199575</v>
      </c>
      <c r="G88" s="18">
        <f>IFERROR(G87/Inputs!G79-1,"n/a")</f>
        <v>0.30035108378036535</v>
      </c>
      <c r="H88" s="49">
        <f>IFERROR(H87/C87-1,"n/a")</f>
        <v>0.11792108127851852</v>
      </c>
      <c r="I88" s="2"/>
      <c r="J88" s="45"/>
    </row>
    <row r="89">
      <c r="A89" s="2"/>
      <c r="B89" s="21" t="s">
        <v>288</v>
      </c>
      <c r="C89" s="86">
        <f>C87/C75</f>
        <v>4.049557973478408</v>
      </c>
      <c r="D89" s="86">
        <f>D87/D75</f>
        <v>4.6734183673469385</v>
      </c>
      <c r="E89" s="86">
        <f>E87/E75</f>
        <v>4.963026069177032</v>
      </c>
      <c r="F89" s="86">
        <f>F87/F75</f>
        <v>4.850804519000342</v>
      </c>
      <c r="G89" s="86">
        <f>G87/G75</f>
        <v>18.25143683047101</v>
      </c>
      <c r="H89" s="95">
        <f>H87/H75</f>
        <v>4.574202345141171</v>
      </c>
      <c r="I89" s="2"/>
      <c r="J89" s="45"/>
    </row>
    <row r="90">
      <c r="A90" s="2"/>
      <c r="B90" s="55" t="s">
        <v>61</v>
      </c>
      <c r="C90" s="18">
        <f>IFERROR(C89/Inputs!C80-1,"n/a")</f>
        <v>0.1296192060764465</v>
      </c>
      <c r="D90" s="18">
        <f>IFERROR(D89/Inputs!D80-1,"n/a")</f>
        <v>0.1454198828501112</v>
      </c>
      <c r="E90" s="18">
        <f>IFERROR(E89/Inputs!E80-1,"n/a")</f>
        <v>0.06666365117146311</v>
      </c>
      <c r="F90" s="18">
        <f>IFERROR(F89/Inputs!F80-1,"n/a")</f>
        <v>-0.006261907639085629</v>
      </c>
      <c r="G90" s="18">
        <f>IFERROR(G89/Inputs!G80-1,"n/a")</f>
        <v>0.29946664162169867</v>
      </c>
      <c r="H90" s="49">
        <f>IFERROR(H89/C89-1,"n/a")</f>
        <v>0.12955596020572946</v>
      </c>
      <c r="I90" s="2"/>
      <c r="J90" s="45"/>
    </row>
    <row r="91">
      <c r="A91" s="2"/>
      <c r="B91" s="66" t="s">
        <v>289</v>
      </c>
      <c r="C91" s="25">
        <f>Inputs!E257</f>
        <v>4.05</v>
      </c>
      <c r="D91" s="25">
        <f>Inputs!E258</f>
        <v>4.67</v>
      </c>
      <c r="E91" s="25">
        <f>Inputs!E259</f>
        <v>4.96</v>
      </c>
      <c r="F91" s="25">
        <f>Inputs!E260</f>
        <v>4.85</v>
      </c>
      <c r="G91" s="46"/>
      <c r="H91" s="89"/>
      <c r="I91" s="2"/>
      <c r="J91" s="45"/>
    </row>
    <row r="92">
      <c r="A92" s="2"/>
      <c r="B92" s="55" t="s">
        <v>290</v>
      </c>
      <c r="C92" s="68">
        <f>C89-C91</f>
        <v>-0.000442026521591643</v>
      </c>
      <c r="D92" s="68">
        <f>D89-D91</f>
        <v>0.0034183673469385667</v>
      </c>
      <c r="E92" s="68">
        <f>E89-E91</f>
        <v>0.003026069177032298</v>
      </c>
      <c r="F92" s="68">
        <f>F89-F91</f>
        <v>0.0008045190003427294</v>
      </c>
      <c r="G92" s="68"/>
      <c r="H92" s="91"/>
      <c r="I92" s="2"/>
      <c r="J92" s="45"/>
    </row>
    <row r="93">
      <c r="A93" s="2"/>
      <c r="B93" s="66" t="s">
        <v>291</v>
      </c>
      <c r="C93" s="25">
        <f>Inputs!D257</f>
        <v>5.05</v>
      </c>
      <c r="D93" s="25">
        <f>Inputs!D258</f>
        <v>4.43</v>
      </c>
      <c r="E93" s="25">
        <f>Inputs!D259</f>
        <v>4.88</v>
      </c>
      <c r="F93" s="25">
        <f>Inputs!D260</f>
        <v>4.84</v>
      </c>
      <c r="G93" s="46"/>
      <c r="H93" s="59">
        <f>Inputs!C193</f>
        <v>4.35</v>
      </c>
      <c r="I93" s="2"/>
      <c r="J93" s="45"/>
    </row>
    <row r="94">
      <c r="A94" s="2"/>
      <c r="B94" s="92" t="s">
        <v>292</v>
      </c>
      <c r="C94" s="46">
        <f>C89-C93</f>
        <v>-1.0004420265215916</v>
      </c>
      <c r="D94" s="46">
        <f>D89-D93</f>
        <v>0.24341836734693878</v>
      </c>
      <c r="E94" s="46">
        <f>E89-E93</f>
        <v>0.08302606917703237</v>
      </c>
      <c r="F94" s="46">
        <f>F89-F93</f>
        <v>0.010804519000342516</v>
      </c>
      <c r="G94" s="46"/>
      <c r="H94" s="89">
        <f>H89-H93</f>
        <v>0.22420234514117166</v>
      </c>
      <c r="I94" s="2"/>
      <c r="J94" s="45"/>
    </row>
    <row r="95">
      <c r="A95" s="2"/>
      <c r="B95" s="2"/>
      <c r="C95" s="5"/>
      <c r="D95" s="5"/>
      <c r="E95" s="5"/>
      <c r="F95" s="5"/>
      <c r="G95" s="5"/>
      <c r="H95" s="20"/>
      <c r="I95" s="2"/>
      <c r="J95" s="45"/>
    </row>
    <row r="96">
      <c r="A96" s="2"/>
      <c r="B96" s="2"/>
      <c r="C96" s="5"/>
      <c r="D96" s="5"/>
      <c r="E96" s="5"/>
      <c r="F96" s="5"/>
      <c r="G96" s="5"/>
      <c r="H96" s="20"/>
      <c r="I96" s="2"/>
      <c r="J96" s="45"/>
    </row>
  </sheetData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1:J73"/>
  <sheetViews>
    <sheetView showGridLines="0" workbookViewId="0"/>
  </sheetViews>
  <sheetFormatPr defaultColWidth="8.42578125" defaultRowHeight="15"/>
  <cols>
    <col min="1" max="1" width="2" customWidth="1"/>
    <col min="2" max="2" width="42" customWidth="1"/>
    <col min="3" max="8" width="12" customWidth="1"/>
    <col min="9" max="9" width="2" customWidth="1"/>
    <col min="10" max="10" width="16" customWidth="1"/>
  </cols>
  <sheetData>
    <row r="1">
      <c r="A1" s="2"/>
      <c r="B1" s="2"/>
      <c r="C1" s="2"/>
      <c r="D1" s="2"/>
      <c r="E1" s="2"/>
      <c r="F1" s="2"/>
      <c r="G1" s="2"/>
      <c r="H1" s="2"/>
      <c r="I1" s="2"/>
      <c r="J1" s="2"/>
    </row>
    <row r="2">
      <c r="A2" s="2"/>
      <c r="B2" s="11" t="s">
        <v>1</v>
      </c>
      <c r="C2" s="2"/>
      <c r="D2" s="2"/>
      <c r="E2" s="2"/>
      <c r="F2" s="2"/>
      <c r="G2" s="2"/>
      <c r="H2" s="2"/>
      <c r="I2" s="2"/>
      <c r="J2" s="2"/>
    </row>
    <row r="3">
      <c r="A3" s="2"/>
      <c r="B3" s="21" t="s">
        <v>293</v>
      </c>
      <c r="C3" s="2"/>
      <c r="D3" s="2"/>
      <c r="E3" s="2"/>
      <c r="F3" s="2"/>
      <c r="G3" s="2"/>
      <c r="H3" s="2"/>
      <c r="I3" s="2"/>
      <c r="J3" s="2"/>
    </row>
    <row r="4">
      <c r="A4" s="2"/>
      <c r="B4" s="19" t="s">
        <v>2</v>
      </c>
      <c r="C4" s="2"/>
      <c r="D4" s="2"/>
      <c r="E4" s="2"/>
      <c r="F4" s="2"/>
      <c r="G4" s="2"/>
      <c r="H4" s="2"/>
      <c r="I4" s="2"/>
      <c r="J4" s="2"/>
    </row>
    <row r="5">
      <c r="A5" s="2"/>
      <c r="B5" s="17" t="s">
        <v>3</v>
      </c>
      <c r="C5" s="4" t="s">
        <v>53</v>
      </c>
      <c r="D5" s="4" t="s">
        <v>54</v>
      </c>
      <c r="E5" s="4" t="s">
        <v>55</v>
      </c>
      <c r="F5" s="4" t="s">
        <v>56</v>
      </c>
      <c r="G5" s="4" t="s">
        <v>57</v>
      </c>
      <c r="H5" s="69" t="s">
        <v>4</v>
      </c>
      <c r="I5" s="4"/>
      <c r="J5" s="114" t="s">
        <v>58</v>
      </c>
    </row>
    <row r="6">
      <c r="A6" s="2"/>
      <c r="B6" s="15" t="s">
        <v>10</v>
      </c>
      <c r="C6" s="14">
        <f>DATE(2025,9,30)</f>
        <v>45930</v>
      </c>
      <c r="D6" s="14">
        <f>DATE(2025,12,31)</f>
        <v>46022</v>
      </c>
      <c r="E6" s="14">
        <f>DATE(2026,3,31)</f>
        <v>46112</v>
      </c>
      <c r="F6" s="14">
        <f>DATE(2026,6,30)</f>
        <v>46203</v>
      </c>
      <c r="G6" s="14">
        <f>DATE(2025,12,31)</f>
        <v>46022</v>
      </c>
      <c r="H6" s="40">
        <f>DATE(2026,9,30)</f>
        <v>46295</v>
      </c>
      <c r="I6" s="14"/>
      <c r="J6" s="14"/>
    </row>
    <row r="7">
      <c r="A7" s="2"/>
      <c r="B7" s="7" t="s">
        <v>11</v>
      </c>
      <c r="C7" s="28">
        <v>92</v>
      </c>
      <c r="D7" s="28">
        <v>92</v>
      </c>
      <c r="E7" s="28">
        <v>90</v>
      </c>
      <c r="F7" s="28">
        <v>91</v>
      </c>
      <c r="G7" s="28">
        <v>365</v>
      </c>
      <c r="H7" s="62">
        <v>92</v>
      </c>
      <c r="I7" s="9"/>
      <c r="J7" s="9"/>
    </row>
    <row r="8">
      <c r="A8" s="2"/>
      <c r="B8" s="2"/>
      <c r="C8" s="2"/>
      <c r="D8" s="2"/>
      <c r="E8" s="2"/>
      <c r="F8" s="2"/>
      <c r="G8" s="2"/>
      <c r="H8" s="60"/>
      <c r="I8" s="2"/>
      <c r="J8" s="2"/>
    </row>
    <row r="9">
      <c r="A9" s="2"/>
      <c r="B9" s="21" t="s">
        <v>294</v>
      </c>
      <c r="C9" s="26"/>
      <c r="D9" s="26"/>
      <c r="E9" s="26"/>
      <c r="F9" s="26"/>
      <c r="G9" s="26"/>
      <c r="H9" s="56"/>
      <c r="I9" s="2"/>
      <c r="J9" s="45"/>
    </row>
    <row r="10">
      <c r="A10" s="2"/>
      <c r="B10" s="66" t="s">
        <v>295</v>
      </c>
      <c r="C10" s="39">
        <v>88509</v>
      </c>
      <c r="D10" s="39">
        <v>82866</v>
      </c>
      <c r="E10" s="39">
        <v>87832</v>
      </c>
      <c r="F10" s="39">
        <v>90435</v>
      </c>
      <c r="G10" s="24">
        <f>D10</f>
        <v>82866</v>
      </c>
      <c r="H10" s="65">
        <f>H45-(H11+H12+H13+H17+SUM(H18:H25))</f>
        <v>91913.11454180787</v>
      </c>
      <c r="I10" s="2"/>
      <c r="J10" s="45" t="s">
        <v>296</v>
      </c>
    </row>
    <row r="11">
      <c r="A11" s="2"/>
      <c r="B11" s="66" t="s">
        <v>297</v>
      </c>
      <c r="C11" s="39">
        <v>1515</v>
      </c>
      <c r="D11" s="39">
        <v>10005</v>
      </c>
      <c r="E11" s="39">
        <v>2126</v>
      </c>
      <c r="F11" s="39">
        <v>1978</v>
      </c>
      <c r="G11" s="24">
        <f>D11</f>
        <v>10005</v>
      </c>
      <c r="H11" s="65">
        <f>H57</f>
        <v>1915</v>
      </c>
      <c r="I11" s="2"/>
      <c r="J11" s="45" t="s">
        <v>298</v>
      </c>
    </row>
    <row r="12">
      <c r="A12" s="2"/>
      <c r="B12" s="66" t="s">
        <v>299</v>
      </c>
      <c r="C12" s="39">
        <v>438</v>
      </c>
      <c r="D12" s="39">
        <v>404</v>
      </c>
      <c r="E12" s="39">
        <v>240</v>
      </c>
      <c r="F12" s="39">
        <v>276</v>
      </c>
      <c r="G12" s="24">
        <f>D12</f>
        <v>404</v>
      </c>
      <c r="H12" s="65">
        <f>H58</f>
        <v>276</v>
      </c>
      <c r="I12" s="2"/>
      <c r="J12" s="45" t="s">
        <v>300</v>
      </c>
    </row>
    <row r="13">
      <c r="A13" s="2"/>
      <c r="B13" s="66" t="s">
        <v>301</v>
      </c>
      <c r="C13" s="39">
        <v>4047</v>
      </c>
      <c r="D13" s="39">
        <v>4098</v>
      </c>
      <c r="E13" s="39">
        <v>3933</v>
      </c>
      <c r="F13" s="39">
        <v>4532</v>
      </c>
      <c r="G13" s="24">
        <f>D13</f>
        <v>4098</v>
      </c>
      <c r="H13" s="31">
        <f>H59+'Monthly Build'!F127</f>
        <v>4608</v>
      </c>
      <c r="I13" s="2"/>
      <c r="J13" s="45" t="s">
        <v>302</v>
      </c>
    </row>
    <row r="14">
      <c r="A14" s="2"/>
      <c r="B14" s="21" t="s">
        <v>303</v>
      </c>
      <c r="C14" s="37">
        <f>SUM(C10:C13)</f>
        <v>94509</v>
      </c>
      <c r="D14" s="37">
        <f>SUM(D10:D13)</f>
        <v>97373</v>
      </c>
      <c r="E14" s="37">
        <f>SUM(E10:E13)</f>
        <v>94131</v>
      </c>
      <c r="F14" s="37">
        <f>SUM(F10:F13)</f>
        <v>97221</v>
      </c>
      <c r="G14" s="37">
        <f>SUM(G10:G13)</f>
        <v>97373</v>
      </c>
      <c r="H14" s="50">
        <f>SUM(H10:H13)</f>
        <v>98712.11454180787</v>
      </c>
      <c r="I14" s="2"/>
      <c r="J14" s="45"/>
    </row>
    <row r="15">
      <c r="A15" s="2"/>
      <c r="B15" s="66" t="s">
        <v>304</v>
      </c>
      <c r="C15" s="39">
        <v>173</v>
      </c>
      <c r="D15" s="39">
        <v>125</v>
      </c>
      <c r="E15" s="39">
        <v>162</v>
      </c>
      <c r="F15" s="39">
        <v>178</v>
      </c>
      <c r="G15" s="24">
        <f>D15</f>
        <v>125</v>
      </c>
      <c r="H15" s="65">
        <f>F15</f>
        <v>178</v>
      </c>
      <c r="I15" s="2"/>
      <c r="J15" s="45" t="s">
        <v>305</v>
      </c>
    </row>
    <row r="16">
      <c r="A16" s="2"/>
      <c r="B16" s="66" t="s">
        <v>306</v>
      </c>
      <c r="C16" s="39">
        <v>12</v>
      </c>
      <c r="D16" s="39">
        <v>13</v>
      </c>
      <c r="E16" s="39">
        <v>17</v>
      </c>
      <c r="F16" s="39">
        <v>15</v>
      </c>
      <c r="G16" s="24">
        <f>D16</f>
        <v>13</v>
      </c>
      <c r="H16" s="65">
        <f>F16</f>
        <v>15</v>
      </c>
      <c r="I16" s="2"/>
      <c r="J16" s="45" t="s">
        <v>305</v>
      </c>
    </row>
    <row r="17">
      <c r="A17" s="2"/>
      <c r="B17" s="21" t="s">
        <v>307</v>
      </c>
      <c r="C17" s="37">
        <f>C15+C16</f>
        <v>185</v>
      </c>
      <c r="D17" s="37">
        <f>D15+D16</f>
        <v>138</v>
      </c>
      <c r="E17" s="37">
        <f>E15+E16</f>
        <v>179</v>
      </c>
      <c r="F17" s="37">
        <f>F15+F16</f>
        <v>193</v>
      </c>
      <c r="G17" s="37">
        <f>G15+G16</f>
        <v>138</v>
      </c>
      <c r="H17" s="50">
        <f>H15+H16</f>
        <v>193</v>
      </c>
      <c r="I17" s="2"/>
      <c r="J17" s="45"/>
    </row>
    <row r="18">
      <c r="A18" s="2"/>
      <c r="B18" s="66" t="s">
        <v>308</v>
      </c>
      <c r="C18" s="39">
        <v>691</v>
      </c>
      <c r="D18" s="39">
        <v>670</v>
      </c>
      <c r="E18" s="39">
        <v>685</v>
      </c>
      <c r="F18" s="39">
        <v>728</v>
      </c>
      <c r="G18" s="24">
        <f>D18</f>
        <v>670</v>
      </c>
      <c r="H18" s="65">
        <f>F18</f>
        <v>728</v>
      </c>
      <c r="I18" s="2"/>
      <c r="J18" s="45" t="s">
        <v>305</v>
      </c>
    </row>
    <row r="19">
      <c r="A19" s="2"/>
      <c r="B19" s="66" t="s">
        <v>309</v>
      </c>
      <c r="C19" s="39">
        <v>16519</v>
      </c>
      <c r="D19" s="39">
        <v>15362</v>
      </c>
      <c r="E19" s="39">
        <v>17614</v>
      </c>
      <c r="F19" s="39">
        <v>17106</v>
      </c>
      <c r="G19" s="24">
        <f>D19</f>
        <v>15362</v>
      </c>
      <c r="H19" s="65">
        <f>H60</f>
        <v>17470</v>
      </c>
      <c r="I19" s="2"/>
      <c r="J19" s="45" t="s">
        <v>310</v>
      </c>
    </row>
    <row r="20">
      <c r="A20" s="2"/>
      <c r="B20" s="66" t="s">
        <v>311</v>
      </c>
      <c r="C20" s="39">
        <v>4107</v>
      </c>
      <c r="D20" s="39">
        <v>4083</v>
      </c>
      <c r="E20" s="39">
        <v>4003</v>
      </c>
      <c r="F20" s="39">
        <v>3919</v>
      </c>
      <c r="G20" s="24">
        <f>D20</f>
        <v>4083</v>
      </c>
      <c r="H20" s="65">
        <f>H61</f>
        <v>3852</v>
      </c>
      <c r="I20" s="2"/>
      <c r="J20" s="45" t="s">
        <v>312</v>
      </c>
    </row>
    <row r="21">
      <c r="A21" s="2"/>
      <c r="B21" s="66" t="s">
        <v>313</v>
      </c>
      <c r="C21" s="39">
        <v>215</v>
      </c>
      <c r="D21" s="39">
        <v>197</v>
      </c>
      <c r="E21" s="39">
        <v>198</v>
      </c>
      <c r="F21" s="39">
        <v>202</v>
      </c>
      <c r="G21" s="24">
        <f>D21</f>
        <v>197</v>
      </c>
      <c r="H21" s="65">
        <f>F21</f>
        <v>202</v>
      </c>
      <c r="I21" s="2"/>
      <c r="J21" s="45" t="s">
        <v>305</v>
      </c>
    </row>
    <row r="22">
      <c r="A22" s="2"/>
      <c r="B22" s="66" t="s">
        <v>314</v>
      </c>
      <c r="C22" s="39">
        <v>2164</v>
      </c>
      <c r="D22" s="39">
        <v>2044</v>
      </c>
      <c r="E22" s="39">
        <v>2131</v>
      </c>
      <c r="F22" s="39">
        <v>2211</v>
      </c>
      <c r="G22" s="24">
        <f>D22</f>
        <v>2044</v>
      </c>
      <c r="H22" s="65">
        <f>H62</f>
        <v>2277</v>
      </c>
      <c r="I22" s="2"/>
      <c r="J22" s="45" t="s">
        <v>315</v>
      </c>
    </row>
    <row r="23">
      <c r="A23" s="2"/>
      <c r="B23" s="66" t="s">
        <v>316</v>
      </c>
      <c r="C23" s="39">
        <v>790</v>
      </c>
      <c r="D23" s="39">
        <v>783</v>
      </c>
      <c r="E23" s="39">
        <v>792</v>
      </c>
      <c r="F23" s="39">
        <v>922</v>
      </c>
      <c r="G23" s="24">
        <f>D23</f>
        <v>783</v>
      </c>
      <c r="H23" s="31">
        <f>F23-'Cash Flow Statement'!H37-'Cash Flow Statement'!H11</f>
        <v>942</v>
      </c>
      <c r="I23" s="2"/>
      <c r="J23" s="45" t="s">
        <v>317</v>
      </c>
    </row>
    <row r="24">
      <c r="A24" s="2"/>
      <c r="B24" s="66" t="s">
        <v>318</v>
      </c>
      <c r="C24" s="39">
        <v>662</v>
      </c>
      <c r="D24" s="39">
        <v>748</v>
      </c>
      <c r="E24" s="39">
        <v>742</v>
      </c>
      <c r="F24" s="39">
        <v>681</v>
      </c>
      <c r="G24" s="24">
        <f>D24</f>
        <v>748</v>
      </c>
      <c r="H24" s="31">
        <f>F24-(H69+H70+H71)/(1-Inputs!$C$279)*Inputs!$C$279</f>
        <v>1129.7088607594937</v>
      </c>
      <c r="I24" s="2"/>
      <c r="J24" s="45" t="s">
        <v>319</v>
      </c>
    </row>
    <row r="25">
      <c r="A25" s="2"/>
      <c r="B25" s="66" t="s">
        <v>320</v>
      </c>
      <c r="C25" s="39">
        <v>1693</v>
      </c>
      <c r="D25" s="39">
        <v>1641</v>
      </c>
      <c r="E25" s="39">
        <v>1734</v>
      </c>
      <c r="F25" s="39">
        <v>1742</v>
      </c>
      <c r="G25" s="24">
        <f>D25</f>
        <v>1641</v>
      </c>
      <c r="H25" s="65">
        <f>F25</f>
        <v>1742</v>
      </c>
      <c r="I25" s="2"/>
      <c r="J25" s="45" t="s">
        <v>305</v>
      </c>
    </row>
    <row r="26">
      <c r="A26" s="2"/>
      <c r="B26" s="21" t="s">
        <v>321</v>
      </c>
      <c r="C26" s="37">
        <f>C14+C17+SUM(C18:C25)</f>
        <v>121535</v>
      </c>
      <c r="D26" s="37">
        <f>D14+D17+SUM(D18:D25)</f>
        <v>123039</v>
      </c>
      <c r="E26" s="37">
        <f>E14+E17+SUM(E18:E25)</f>
        <v>122209</v>
      </c>
      <c r="F26" s="37">
        <f>F14+F17+SUM(F18:F25)</f>
        <v>124925</v>
      </c>
      <c r="G26" s="37">
        <f>G14+G17+SUM(G18:G25)</f>
        <v>123039</v>
      </c>
      <c r="H26" s="50">
        <f>H14+H17+SUM(H18:H25)</f>
        <v>127247.82340256736</v>
      </c>
      <c r="I26" s="2"/>
      <c r="J26" s="45"/>
    </row>
    <row r="27">
      <c r="A27" s="2"/>
      <c r="B27" s="2"/>
      <c r="C27" s="5"/>
      <c r="D27" s="5"/>
      <c r="E27" s="5"/>
      <c r="F27" s="5"/>
      <c r="G27" s="5"/>
      <c r="H27" s="20"/>
      <c r="I27" s="2"/>
      <c r="J27" s="45"/>
    </row>
    <row r="28">
      <c r="A28" s="2"/>
      <c r="B28" s="21" t="s">
        <v>322</v>
      </c>
      <c r="C28" s="26"/>
      <c r="D28" s="26"/>
      <c r="E28" s="26"/>
      <c r="F28" s="26"/>
      <c r="G28" s="26"/>
      <c r="H28" s="56"/>
      <c r="I28" s="2"/>
      <c r="J28" s="45"/>
    </row>
    <row r="29">
      <c r="A29" s="2"/>
      <c r="B29" s="66" t="s">
        <v>323</v>
      </c>
      <c r="C29" s="39">
        <v>26822</v>
      </c>
      <c r="D29" s="39">
        <v>25219</v>
      </c>
      <c r="E29" s="39">
        <v>27893</v>
      </c>
      <c r="F29" s="39">
        <v>27401</v>
      </c>
      <c r="G29" s="24">
        <f>D29</f>
        <v>25219</v>
      </c>
      <c r="H29" s="31">
        <f>H63+'Monthly Build'!F61-'Monthly Build'!F76</f>
        <v>28112.37903103599</v>
      </c>
      <c r="I29" s="2"/>
      <c r="J29" s="45" t="s">
        <v>324</v>
      </c>
    </row>
    <row r="30">
      <c r="A30" s="2"/>
      <c r="B30" s="66" t="s">
        <v>325</v>
      </c>
      <c r="C30" s="39">
        <v>42105</v>
      </c>
      <c r="D30" s="39">
        <v>43310</v>
      </c>
      <c r="E30" s="39">
        <v>44377</v>
      </c>
      <c r="F30" s="39">
        <v>45567</v>
      </c>
      <c r="G30" s="24">
        <f>D30</f>
        <v>43310</v>
      </c>
      <c r="H30" s="65">
        <f>H64+H66</f>
        <v>46600</v>
      </c>
      <c r="I30" s="2"/>
      <c r="J30" s="45" t="s">
        <v>326</v>
      </c>
    </row>
    <row r="31">
      <c r="A31" s="2"/>
      <c r="B31" s="66" t="s">
        <v>327</v>
      </c>
      <c r="C31" s="39">
        <v>0</v>
      </c>
      <c r="D31" s="39">
        <v>7972</v>
      </c>
      <c r="E31" s="39">
        <v>58</v>
      </c>
      <c r="F31" s="39">
        <v>58</v>
      </c>
      <c r="G31" s="24">
        <f>D31</f>
        <v>7972</v>
      </c>
      <c r="H31" s="65">
        <f>H67</f>
        <v>58</v>
      </c>
      <c r="I31" s="2"/>
      <c r="J31" s="45" t="s">
        <v>317</v>
      </c>
    </row>
    <row r="32">
      <c r="A32" s="2"/>
      <c r="B32" s="66" t="s">
        <v>328</v>
      </c>
      <c r="C32" s="39">
        <v>10267</v>
      </c>
      <c r="D32" s="39">
        <v>9318</v>
      </c>
      <c r="E32" s="39">
        <v>9456</v>
      </c>
      <c r="F32" s="39">
        <v>9179</v>
      </c>
      <c r="G32" s="24">
        <f>D32</f>
        <v>9318</v>
      </c>
      <c r="H32" s="65">
        <f>F32</f>
        <v>9179</v>
      </c>
      <c r="I32" s="2"/>
      <c r="J32" s="45" t="s">
        <v>305</v>
      </c>
    </row>
    <row r="33">
      <c r="A33" s="2"/>
      <c r="B33" s="66" t="s">
        <v>329</v>
      </c>
      <c r="C33" s="39">
        <v>6896</v>
      </c>
      <c r="D33" s="39">
        <v>6897</v>
      </c>
      <c r="E33" s="39">
        <v>8386</v>
      </c>
      <c r="F33" s="39">
        <v>8387</v>
      </c>
      <c r="G33" s="24">
        <f>D33</f>
        <v>6897</v>
      </c>
      <c r="H33" s="65">
        <f>H65</f>
        <v>8388</v>
      </c>
      <c r="I33" s="2"/>
      <c r="J33" s="45" t="s">
        <v>317</v>
      </c>
    </row>
    <row r="34">
      <c r="A34" s="2"/>
      <c r="B34" s="21" t="s">
        <v>330</v>
      </c>
      <c r="C34" s="37">
        <f>SUM(C29:C33)</f>
        <v>86090</v>
      </c>
      <c r="D34" s="37">
        <f>SUM(D29:D33)</f>
        <v>92716</v>
      </c>
      <c r="E34" s="37">
        <f>SUM(E29:E33)</f>
        <v>90170</v>
      </c>
      <c r="F34" s="37">
        <f>SUM(F29:F33)</f>
        <v>90592</v>
      </c>
      <c r="G34" s="37">
        <f>SUM(G29:G33)</f>
        <v>92716</v>
      </c>
      <c r="H34" s="50">
        <f>SUM(H29:H33)</f>
        <v>92337.37903103599</v>
      </c>
      <c r="I34" s="2"/>
      <c r="J34" s="45"/>
    </row>
    <row r="35">
      <c r="A35" s="2"/>
      <c r="B35" s="2"/>
      <c r="C35" s="5"/>
      <c r="D35" s="5"/>
      <c r="E35" s="5"/>
      <c r="F35" s="5"/>
      <c r="G35" s="5"/>
      <c r="H35" s="20"/>
      <c r="I35" s="2"/>
      <c r="J35" s="45"/>
    </row>
    <row r="36">
      <c r="A36" s="2"/>
      <c r="B36" s="21" t="s">
        <v>331</v>
      </c>
      <c r="C36" s="26"/>
      <c r="D36" s="26"/>
      <c r="E36" s="26"/>
      <c r="F36" s="26"/>
      <c r="G36" s="26"/>
      <c r="H36" s="56"/>
      <c r="I36" s="2"/>
      <c r="J36" s="45"/>
    </row>
    <row r="37">
      <c r="A37" s="2"/>
      <c r="B37" s="66" t="s">
        <v>332</v>
      </c>
      <c r="C37" s="39">
        <v>586</v>
      </c>
      <c r="D37" s="39">
        <v>586</v>
      </c>
      <c r="E37" s="39">
        <v>584</v>
      </c>
      <c r="F37" s="39">
        <v>581</v>
      </c>
      <c r="G37" s="24">
        <f>D37</f>
        <v>586</v>
      </c>
      <c r="H37" s="31">
        <f>F37-'Share Count'!H26</f>
        <v>579.068847</v>
      </c>
      <c r="I37" s="2"/>
      <c r="J37" s="45" t="s">
        <v>317</v>
      </c>
    </row>
    <row r="38">
      <c r="A38" s="2"/>
      <c r="B38" s="66" t="s">
        <v>333</v>
      </c>
      <c r="C38" s="39">
        <v>2233</v>
      </c>
      <c r="D38" s="39">
        <v>2307</v>
      </c>
      <c r="E38" s="39">
        <v>2314</v>
      </c>
      <c r="F38" s="39">
        <v>2338</v>
      </c>
      <c r="G38" s="24">
        <f>D38</f>
        <v>2307</v>
      </c>
      <c r="H38" s="65">
        <f>F38+H68</f>
        <v>2374</v>
      </c>
      <c r="I38" s="2"/>
      <c r="J38" s="45" t="s">
        <v>317</v>
      </c>
    </row>
    <row r="39">
      <c r="A39" s="2"/>
      <c r="B39" s="66" t="s">
        <v>334</v>
      </c>
      <c r="C39" s="39">
        <v>32437</v>
      </c>
      <c r="D39" s="39">
        <v>27327</v>
      </c>
      <c r="E39" s="39">
        <v>29612</v>
      </c>
      <c r="F39" s="39">
        <v>32261</v>
      </c>
      <c r="G39" s="24">
        <f>D39</f>
        <v>27327</v>
      </c>
      <c r="H39" s="31">
        <f>F39+'Income Statement'!H37-H67-('Share Count'!H27-'Share Count'!H26)</f>
        <v>34492.375524531366</v>
      </c>
      <c r="I39" s="2"/>
      <c r="J39" s="45" t="s">
        <v>317</v>
      </c>
    </row>
    <row r="40">
      <c r="A40" s="2"/>
      <c r="B40" s="66" t="s">
        <v>335</v>
      </c>
      <c r="C40" s="39">
        <v>203</v>
      </c>
      <c r="D40" s="39">
        <v>117</v>
      </c>
      <c r="E40" s="39">
        <v>-457</v>
      </c>
      <c r="F40" s="39">
        <v>-832</v>
      </c>
      <c r="G40" s="24">
        <f>D40</f>
        <v>117</v>
      </c>
      <c r="H40" s="65">
        <f>F40+H69+H70+H71</f>
        <v>-2520</v>
      </c>
      <c r="I40" s="2"/>
      <c r="J40" s="45" t="s">
        <v>317</v>
      </c>
    </row>
    <row r="41">
      <c r="A41" s="2"/>
      <c r="B41" s="66" t="s">
        <v>336</v>
      </c>
      <c r="C41" s="39">
        <v>-13</v>
      </c>
      <c r="D41" s="39">
        <v>-13</v>
      </c>
      <c r="E41" s="39">
        <v>-13</v>
      </c>
      <c r="F41" s="39">
        <v>-13</v>
      </c>
      <c r="G41" s="24">
        <f>D41</f>
        <v>-13</v>
      </c>
      <c r="H41" s="65">
        <f>F41</f>
        <v>-13</v>
      </c>
      <c r="I41" s="2"/>
      <c r="J41" s="45" t="s">
        <v>317</v>
      </c>
    </row>
    <row r="42">
      <c r="A42" s="2"/>
      <c r="B42" s="66" t="s">
        <v>337</v>
      </c>
      <c r="C42" s="39">
        <v>-1</v>
      </c>
      <c r="D42" s="39">
        <v>-1</v>
      </c>
      <c r="E42" s="39">
        <v>-1</v>
      </c>
      <c r="F42" s="39">
        <v>-2</v>
      </c>
      <c r="G42" s="24">
        <f>D42</f>
        <v>-1</v>
      </c>
      <c r="H42" s="65">
        <f>F42</f>
        <v>-2</v>
      </c>
      <c r="I42" s="2"/>
      <c r="J42" s="45" t="s">
        <v>317</v>
      </c>
    </row>
    <row r="43">
      <c r="A43" s="2"/>
      <c r="B43" s="80" t="s">
        <v>338</v>
      </c>
      <c r="C43" s="37">
        <f>SUM(C40:C42)</f>
        <v>189</v>
      </c>
      <c r="D43" s="37">
        <f>SUM(D40:D42)</f>
        <v>103</v>
      </c>
      <c r="E43" s="37">
        <f>SUM(E40:E42)</f>
        <v>-471</v>
      </c>
      <c r="F43" s="37">
        <f>SUM(F40:F42)</f>
        <v>-847</v>
      </c>
      <c r="G43" s="37">
        <f>SUM(G40:G42)</f>
        <v>103</v>
      </c>
      <c r="H43" s="50">
        <f>SUM(H40:H42)</f>
        <v>-2535</v>
      </c>
      <c r="I43" s="2"/>
      <c r="J43" s="45"/>
    </row>
    <row r="44">
      <c r="A44" s="2"/>
      <c r="B44" s="21" t="s">
        <v>339</v>
      </c>
      <c r="C44" s="37">
        <f>C37+C38+C39+C43</f>
        <v>35445</v>
      </c>
      <c r="D44" s="37">
        <f>D37+D38+D39+D43</f>
        <v>30323</v>
      </c>
      <c r="E44" s="37">
        <f>E37+E38+E39+E43</f>
        <v>32039</v>
      </c>
      <c r="F44" s="37">
        <f>F37+F38+F39+F43</f>
        <v>34333</v>
      </c>
      <c r="G44" s="37">
        <f>G37+G38+G39+G43</f>
        <v>30323</v>
      </c>
      <c r="H44" s="50">
        <f>H37+H38+H39+H43</f>
        <v>34910.44437153137</v>
      </c>
      <c r="I44" s="2"/>
      <c r="J44" s="45"/>
    </row>
    <row r="45">
      <c r="A45" s="2"/>
      <c r="B45" s="21" t="s">
        <v>340</v>
      </c>
      <c r="C45" s="37">
        <f>C34+C44</f>
        <v>121535</v>
      </c>
      <c r="D45" s="37">
        <f>D34+D44</f>
        <v>123039</v>
      </c>
      <c r="E45" s="37">
        <f>E34+E44</f>
        <v>122209</v>
      </c>
      <c r="F45" s="37">
        <f>F34+F44</f>
        <v>124925</v>
      </c>
      <c r="G45" s="37">
        <f>G34+G44</f>
        <v>123039</v>
      </c>
      <c r="H45" s="50">
        <f>H34+H44</f>
        <v>127247.82340256736</v>
      </c>
      <c r="I45" s="2"/>
      <c r="J45" s="45"/>
    </row>
    <row r="46">
      <c r="A46" s="2"/>
      <c r="B46" s="72" t="s">
        <v>341</v>
      </c>
      <c r="C46" s="42">
        <f>C26-C34-C44</f>
        <v>0</v>
      </c>
      <c r="D46" s="42">
        <f>D26-D34-D44</f>
        <v>0</v>
      </c>
      <c r="E46" s="42">
        <f>E26-E34-E44</f>
        <v>0</v>
      </c>
      <c r="F46" s="42">
        <f>F26-F34-F44</f>
        <v>0</v>
      </c>
      <c r="G46" s="42">
        <f>G26-G34-G44</f>
        <v>0</v>
      </c>
      <c r="H46" s="57">
        <f>H26-H34-H44</f>
        <v>0</v>
      </c>
      <c r="I46" s="2"/>
      <c r="J46" s="45" t="s">
        <v>342</v>
      </c>
    </row>
    <row r="47">
      <c r="A47" s="2"/>
      <c r="B47" s="2"/>
      <c r="C47" s="5"/>
      <c r="D47" s="5"/>
      <c r="E47" s="5"/>
      <c r="F47" s="5"/>
      <c r="G47" s="5"/>
      <c r="H47" s="20"/>
      <c r="I47" s="2"/>
      <c r="J47" s="45"/>
    </row>
    <row r="48">
      <c r="A48" s="2"/>
      <c r="B48" s="21" t="s">
        <v>343</v>
      </c>
      <c r="C48" s="26"/>
      <c r="D48" s="26"/>
      <c r="E48" s="26"/>
      <c r="F48" s="26"/>
      <c r="G48" s="26"/>
      <c r="H48" s="56"/>
      <c r="I48" s="2"/>
      <c r="J48" s="45"/>
    </row>
    <row r="49">
      <c r="A49" s="2"/>
      <c r="B49" s="19" t="s">
        <v>344</v>
      </c>
      <c r="C49" s="1">
        <f>C33/(C33+C44)</f>
        <v>0.1628681419900333</v>
      </c>
      <c r="D49" s="1">
        <f>D33/(D33+D44)</f>
        <v>0.18530360021493822</v>
      </c>
      <c r="E49" s="1">
        <f>E33/(E33+E44)</f>
        <v>0.20744588744588743</v>
      </c>
      <c r="F49" s="1">
        <f>F33/(F33+F44)</f>
        <v>0.1963249063670412</v>
      </c>
      <c r="G49" s="1">
        <f>G33/(G33+G44)</f>
        <v>0.18530360021493822</v>
      </c>
      <c r="H49" s="49">
        <f>H33/(H33+H44)</f>
        <v>0.19372520472156018</v>
      </c>
      <c r="I49" s="2"/>
      <c r="J49" s="45"/>
    </row>
    <row r="50">
      <c r="A50" s="2"/>
      <c r="B50" s="55" t="s">
        <v>106</v>
      </c>
      <c r="C50" s="75">
        <f>(C49-Inputs!F74)*10000</f>
        <v>-116.93239310759135</v>
      </c>
      <c r="D50" s="67">
        <f>(D49-C49)*10000</f>
        <v>224.3545822490492</v>
      </c>
      <c r="E50" s="67">
        <f>(E49-D49)*10000</f>
        <v>221.42287230949213</v>
      </c>
      <c r="F50" s="67">
        <f>(F49-E49)*10000</f>
        <v>-111.20981078846238</v>
      </c>
      <c r="G50" s="67" t="s">
        <v>38</v>
      </c>
      <c r="H50" s="85">
        <f>(H49-F49)*10000</f>
        <v>-25.99701645481012</v>
      </c>
      <c r="I50" s="2"/>
      <c r="J50" s="45"/>
    </row>
    <row r="51">
      <c r="A51" s="2"/>
      <c r="B51" s="55" t="s">
        <v>107</v>
      </c>
      <c r="C51" s="75">
        <f>(C49-Inputs!C74)*10000</f>
        <v>-395.34136944506054</v>
      </c>
      <c r="D51" s="75">
        <f>(D49-Inputs!D74)*10000</f>
        <v>-268.9317358139229</v>
      </c>
      <c r="E51" s="75">
        <f>(E49-Inputs!E74)*10000</f>
        <v>151.33903513729425</v>
      </c>
      <c r="F51" s="75">
        <f>(F49-Inputs!F74)*10000</f>
        <v>217.63525066248764</v>
      </c>
      <c r="G51" s="75">
        <f>(G49-Inputs!G74)*10000</f>
        <v>-268.9317358139229</v>
      </c>
      <c r="H51" s="85">
        <f>(H49-C49)*10000</f>
        <v>308.57062731526884</v>
      </c>
      <c r="I51" s="2"/>
      <c r="J51" s="45"/>
    </row>
    <row r="52">
      <c r="A52" s="2"/>
      <c r="B52" s="2" t="s">
        <v>345</v>
      </c>
      <c r="C52" s="46">
        <f>C44/C37</f>
        <v>60.48634812286689</v>
      </c>
      <c r="D52" s="46">
        <f>D44/D37</f>
        <v>51.7457337883959</v>
      </c>
      <c r="E52" s="46">
        <f>E44/E37</f>
        <v>54.861301369863014</v>
      </c>
      <c r="F52" s="46">
        <f>F44/F37</f>
        <v>59.09294320137693</v>
      </c>
      <c r="G52" s="46">
        <f>G44/G37</f>
        <v>51.7457337883959</v>
      </c>
      <c r="H52" s="89">
        <f>H44/H37</f>
        <v>60.28720859772201</v>
      </c>
      <c r="I52" s="2"/>
      <c r="J52" s="45" t="s">
        <v>346</v>
      </c>
    </row>
    <row r="53">
      <c r="A53" s="2"/>
      <c r="B53" s="55" t="s">
        <v>61</v>
      </c>
      <c r="C53" s="18">
        <f>IFERROR(C52/Inputs!C75-1,"n/a")</f>
        <v>0.30509223461835866</v>
      </c>
      <c r="D53" s="18">
        <f>IFERROR(D52/Inputs!D75-1,"n/a")</f>
        <v>0.1849087569848773</v>
      </c>
      <c r="E53" s="18">
        <f>IFERROR(E52/Inputs!E75-1,"n/a")</f>
        <v>0.11033786705601045</v>
      </c>
      <c r="F53" s="18">
        <f>IFERROR(F52/Inputs!F75-1,"n/a")</f>
        <v>0.06209252594794745</v>
      </c>
      <c r="G53" s="18">
        <f>IFERROR(G52/Inputs!G75-1,"n/a")</f>
        <v>0.1849087569848773</v>
      </c>
      <c r="H53" s="49">
        <f>IFERROR(H52/C52-1,"n/a")</f>
        <v>-0.0032923053106194144</v>
      </c>
      <c r="I53" s="2"/>
      <c r="J53" s="45"/>
    </row>
    <row r="54">
      <c r="A54" s="2"/>
      <c r="B54" s="55" t="s">
        <v>144</v>
      </c>
      <c r="C54" s="82">
        <f>C52-Inputs!F75</f>
        <v>4.848122866894194</v>
      </c>
      <c r="D54" s="68">
        <f>D52-C52</f>
        <v>-8.74061433447099</v>
      </c>
      <c r="E54" s="68">
        <f>E52-D52</f>
        <v>3.1155675814671113</v>
      </c>
      <c r="F54" s="68">
        <f>F52-E52</f>
        <v>4.231641831513919</v>
      </c>
      <c r="G54" s="68" t="s">
        <v>38</v>
      </c>
      <c r="H54" s="91">
        <f>H52-F52</f>
        <v>1.1942653963450738</v>
      </c>
      <c r="I54" s="2"/>
      <c r="J54" s="45"/>
    </row>
    <row r="55">
      <c r="A55" s="2"/>
      <c r="B55" s="2"/>
      <c r="C55" s="5"/>
      <c r="D55" s="5"/>
      <c r="E55" s="5"/>
      <c r="F55" s="5"/>
      <c r="G55" s="5"/>
      <c r="H55" s="20"/>
      <c r="I55" s="2"/>
      <c r="J55" s="45"/>
    </row>
    <row r="56">
      <c r="A56" s="2"/>
      <c r="B56" s="21" t="s">
        <v>347</v>
      </c>
      <c r="C56" s="26"/>
      <c r="D56" s="26"/>
      <c r="E56" s="26"/>
      <c r="F56" s="26"/>
      <c r="G56" s="26"/>
      <c r="H56" s="56"/>
      <c r="I56" s="2"/>
      <c r="J56" s="45"/>
    </row>
    <row r="57">
      <c r="A57" s="2"/>
      <c r="B57" s="66" t="s">
        <v>348</v>
      </c>
      <c r="C57" s="24"/>
      <c r="D57" s="24"/>
      <c r="E57" s="24"/>
      <c r="F57" s="24"/>
      <c r="G57" s="24"/>
      <c r="H57" s="64">
        <v>1915</v>
      </c>
      <c r="I57" s="2"/>
      <c r="J57" s="45" t="s">
        <v>349</v>
      </c>
    </row>
    <row r="58">
      <c r="A58" s="2"/>
      <c r="B58" s="66" t="s">
        <v>350</v>
      </c>
      <c r="C58" s="24"/>
      <c r="D58" s="24"/>
      <c r="E58" s="24"/>
      <c r="F58" s="24"/>
      <c r="G58" s="24"/>
      <c r="H58" s="64">
        <v>276</v>
      </c>
      <c r="I58" s="2"/>
      <c r="J58" s="45" t="s">
        <v>349</v>
      </c>
    </row>
    <row r="59">
      <c r="A59" s="2"/>
      <c r="B59" s="66" t="s">
        <v>351</v>
      </c>
      <c r="C59" s="24"/>
      <c r="D59" s="24"/>
      <c r="E59" s="24"/>
      <c r="F59" s="24"/>
      <c r="G59" s="24"/>
      <c r="H59" s="64">
        <v>4633</v>
      </c>
      <c r="I59" s="2"/>
      <c r="J59" s="45" t="s">
        <v>349</v>
      </c>
    </row>
    <row r="60">
      <c r="A60" s="2"/>
      <c r="B60" s="66" t="s">
        <v>352</v>
      </c>
      <c r="C60" s="24"/>
      <c r="D60" s="24"/>
      <c r="E60" s="24"/>
      <c r="F60" s="24"/>
      <c r="G60" s="24"/>
      <c r="H60" s="64">
        <v>17470</v>
      </c>
      <c r="I60" s="2"/>
      <c r="J60" s="45" t="s">
        <v>349</v>
      </c>
    </row>
    <row r="61">
      <c r="A61" s="2"/>
      <c r="B61" s="66" t="s">
        <v>353</v>
      </c>
      <c r="C61" s="24"/>
      <c r="D61" s="24"/>
      <c r="E61" s="24"/>
      <c r="F61" s="24"/>
      <c r="G61" s="24"/>
      <c r="H61" s="64">
        <v>3852</v>
      </c>
      <c r="I61" s="2"/>
      <c r="J61" s="45" t="s">
        <v>349</v>
      </c>
    </row>
    <row r="62">
      <c r="A62" s="2"/>
      <c r="B62" s="66" t="s">
        <v>354</v>
      </c>
      <c r="C62" s="24"/>
      <c r="D62" s="24"/>
      <c r="E62" s="24"/>
      <c r="F62" s="24"/>
      <c r="G62" s="24"/>
      <c r="H62" s="64">
        <v>2277</v>
      </c>
      <c r="I62" s="2"/>
      <c r="J62" s="45" t="s">
        <v>349</v>
      </c>
    </row>
    <row r="63">
      <c r="A63" s="2"/>
      <c r="B63" s="66" t="s">
        <v>355</v>
      </c>
      <c r="C63" s="24"/>
      <c r="D63" s="24"/>
      <c r="E63" s="24"/>
      <c r="F63" s="24"/>
      <c r="G63" s="24"/>
      <c r="H63" s="64">
        <v>27743</v>
      </c>
      <c r="I63" s="2"/>
      <c r="J63" s="45" t="s">
        <v>349</v>
      </c>
    </row>
    <row r="64">
      <c r="A64" s="2"/>
      <c r="B64" s="66" t="s">
        <v>356</v>
      </c>
      <c r="C64" s="24"/>
      <c r="D64" s="24"/>
      <c r="E64" s="24"/>
      <c r="F64" s="24"/>
      <c r="G64" s="24"/>
      <c r="H64" s="64">
        <v>46250</v>
      </c>
      <c r="I64" s="2"/>
      <c r="J64" s="45" t="s">
        <v>349</v>
      </c>
    </row>
    <row r="65">
      <c r="A65" s="2"/>
      <c r="B65" s="66" t="s">
        <v>357</v>
      </c>
      <c r="C65" s="24"/>
      <c r="D65" s="24"/>
      <c r="E65" s="24"/>
      <c r="F65" s="24"/>
      <c r="G65" s="24"/>
      <c r="H65" s="64">
        <v>8388</v>
      </c>
      <c r="I65" s="2"/>
      <c r="J65" s="45" t="s">
        <v>349</v>
      </c>
    </row>
    <row r="66">
      <c r="A66" s="2"/>
      <c r="B66" s="66" t="s">
        <v>358</v>
      </c>
      <c r="C66" s="24"/>
      <c r="D66" s="24"/>
      <c r="E66" s="24"/>
      <c r="F66" s="24"/>
      <c r="G66" s="24"/>
      <c r="H66" s="64">
        <v>350</v>
      </c>
      <c r="I66" s="2"/>
      <c r="J66" s="45" t="s">
        <v>359</v>
      </c>
    </row>
    <row r="67">
      <c r="A67" s="2"/>
      <c r="B67" s="66" t="s">
        <v>360</v>
      </c>
      <c r="C67" s="24"/>
      <c r="D67" s="24"/>
      <c r="E67" s="24"/>
      <c r="F67" s="24"/>
      <c r="G67" s="24"/>
      <c r="H67" s="64">
        <v>58</v>
      </c>
      <c r="I67" s="2"/>
      <c r="J67" s="45" t="s">
        <v>361</v>
      </c>
    </row>
    <row r="68">
      <c r="A68" s="2"/>
      <c r="B68" s="66" t="s">
        <v>362</v>
      </c>
      <c r="C68" s="24"/>
      <c r="D68" s="24"/>
      <c r="E68" s="24"/>
      <c r="F68" s="24"/>
      <c r="G68" s="24"/>
      <c r="H68" s="64">
        <v>36</v>
      </c>
      <c r="I68" s="2"/>
      <c r="J68" s="45" t="s">
        <v>363</v>
      </c>
    </row>
    <row r="69">
      <c r="A69" s="2"/>
      <c r="B69" s="66" t="s">
        <v>364</v>
      </c>
      <c r="C69" s="24"/>
      <c r="D69" s="24"/>
      <c r="E69" s="24"/>
      <c r="F69" s="24"/>
      <c r="G69" s="24"/>
      <c r="H69" s="64">
        <v>-514</v>
      </c>
      <c r="I69" s="2"/>
      <c r="J69" s="45" t="s">
        <v>365</v>
      </c>
    </row>
    <row r="70">
      <c r="A70" s="2"/>
      <c r="B70" s="66" t="s">
        <v>366</v>
      </c>
      <c r="C70" s="24"/>
      <c r="D70" s="24"/>
      <c r="E70" s="24"/>
      <c r="F70" s="24"/>
      <c r="G70" s="24"/>
      <c r="H70" s="64">
        <v>-74</v>
      </c>
      <c r="I70" s="2"/>
      <c r="J70" s="45" t="s">
        <v>349</v>
      </c>
    </row>
    <row r="71">
      <c r="A71" s="2"/>
      <c r="B71" s="66" t="s">
        <v>367</v>
      </c>
      <c r="C71" s="24"/>
      <c r="D71" s="24"/>
      <c r="E71" s="24"/>
      <c r="F71" s="24"/>
      <c r="G71" s="24"/>
      <c r="H71" s="64">
        <v>-1100</v>
      </c>
      <c r="I71" s="2"/>
      <c r="J71" s="45" t="s">
        <v>368</v>
      </c>
    </row>
    <row r="72">
      <c r="A72" s="2"/>
      <c r="B72" s="2"/>
      <c r="C72" s="5"/>
      <c r="D72" s="5"/>
      <c r="E72" s="5"/>
      <c r="F72" s="5"/>
      <c r="G72" s="5"/>
      <c r="H72" s="20"/>
      <c r="I72" s="2"/>
      <c r="J72" s="45"/>
    </row>
    <row r="73">
      <c r="A73" s="2"/>
      <c r="B73" s="2"/>
      <c r="C73" s="5"/>
      <c r="D73" s="5"/>
      <c r="E73" s="5"/>
      <c r="F73" s="5"/>
      <c r="G73" s="5"/>
      <c r="H73" s="20"/>
      <c r="I73" s="2"/>
      <c r="J73" s="45"/>
    </row>
  </sheetData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>
  <dimension ref="A1:J59"/>
  <sheetViews>
    <sheetView showGridLines="0" workbookViewId="0"/>
  </sheetViews>
  <sheetFormatPr defaultColWidth="8.42578125" defaultRowHeight="15"/>
  <cols>
    <col min="1" max="1" width="2" customWidth="1"/>
    <col min="2" max="2" width="42" customWidth="1"/>
    <col min="3" max="8" width="12" customWidth="1"/>
    <col min="9" max="9" width="2" customWidth="1"/>
    <col min="10" max="10" width="16" customWidth="1"/>
  </cols>
  <sheetData>
    <row r="1">
      <c r="A1" s="2"/>
      <c r="B1" s="2"/>
      <c r="C1" s="2"/>
      <c r="D1" s="2"/>
      <c r="E1" s="2"/>
      <c r="F1" s="2"/>
      <c r="G1" s="2"/>
      <c r="H1" s="2"/>
      <c r="I1" s="2"/>
      <c r="J1" s="2"/>
    </row>
    <row r="2">
      <c r="A2" s="2"/>
      <c r="B2" s="11" t="s">
        <v>1</v>
      </c>
      <c r="C2" s="2"/>
      <c r="D2" s="2"/>
      <c r="E2" s="2"/>
      <c r="F2" s="2"/>
      <c r="G2" s="2"/>
      <c r="H2" s="2"/>
      <c r="I2" s="2"/>
      <c r="J2" s="2"/>
    </row>
    <row r="3">
      <c r="A3" s="2"/>
      <c r="B3" s="21" t="s">
        <v>369</v>
      </c>
      <c r="C3" s="2"/>
      <c r="D3" s="2"/>
      <c r="E3" s="2"/>
      <c r="F3" s="2"/>
      <c r="G3" s="2"/>
      <c r="H3" s="2"/>
      <c r="I3" s="2"/>
      <c r="J3" s="2"/>
    </row>
    <row r="4">
      <c r="A4" s="2"/>
      <c r="B4" s="19" t="s">
        <v>2</v>
      </c>
      <c r="C4" s="2"/>
      <c r="D4" s="2"/>
      <c r="E4" s="2"/>
      <c r="F4" s="2"/>
      <c r="G4" s="2"/>
      <c r="H4" s="2"/>
      <c r="I4" s="2"/>
      <c r="J4" s="2"/>
    </row>
    <row r="5">
      <c r="A5" s="2"/>
      <c r="B5" s="17" t="s">
        <v>3</v>
      </c>
      <c r="C5" s="4" t="s">
        <v>53</v>
      </c>
      <c r="D5" s="4" t="s">
        <v>54</v>
      </c>
      <c r="E5" s="4" t="s">
        <v>55</v>
      </c>
      <c r="F5" s="4" t="s">
        <v>56</v>
      </c>
      <c r="G5" s="4" t="s">
        <v>57</v>
      </c>
      <c r="H5" s="69" t="s">
        <v>4</v>
      </c>
      <c r="I5" s="4"/>
      <c r="J5" s="114" t="s">
        <v>58</v>
      </c>
    </row>
    <row r="6">
      <c r="A6" s="2"/>
      <c r="B6" s="15" t="s">
        <v>10</v>
      </c>
      <c r="C6" s="14">
        <f>DATE(2025,9,30)</f>
        <v>45930</v>
      </c>
      <c r="D6" s="14">
        <f>DATE(2025,12,31)</f>
        <v>46022</v>
      </c>
      <c r="E6" s="14">
        <f>DATE(2026,3,31)</f>
        <v>46112</v>
      </c>
      <c r="F6" s="14">
        <f>DATE(2026,6,30)</f>
        <v>46203</v>
      </c>
      <c r="G6" s="14">
        <f>DATE(2025,12,31)</f>
        <v>46022</v>
      </c>
      <c r="H6" s="40">
        <f>DATE(2026,9,30)</f>
        <v>46295</v>
      </c>
      <c r="I6" s="14"/>
      <c r="J6" s="14"/>
    </row>
    <row r="7">
      <c r="A7" s="2"/>
      <c r="B7" s="7" t="s">
        <v>11</v>
      </c>
      <c r="C7" s="28">
        <v>92</v>
      </c>
      <c r="D7" s="28">
        <v>92</v>
      </c>
      <c r="E7" s="28">
        <v>90</v>
      </c>
      <c r="F7" s="28">
        <v>91</v>
      </c>
      <c r="G7" s="28">
        <v>365</v>
      </c>
      <c r="H7" s="62">
        <v>92</v>
      </c>
      <c r="I7" s="9"/>
      <c r="J7" s="9"/>
    </row>
    <row r="8">
      <c r="A8" s="2"/>
      <c r="B8" s="2"/>
      <c r="C8" s="2"/>
      <c r="D8" s="2"/>
      <c r="E8" s="2"/>
      <c r="F8" s="2"/>
      <c r="G8" s="2"/>
      <c r="H8" s="60"/>
      <c r="I8" s="2"/>
      <c r="J8" s="2"/>
    </row>
    <row r="9">
      <c r="A9" s="2"/>
      <c r="B9" s="21" t="s">
        <v>370</v>
      </c>
      <c r="C9" s="26"/>
      <c r="D9" s="26"/>
      <c r="E9" s="26"/>
      <c r="F9" s="26"/>
      <c r="G9" s="26"/>
      <c r="H9" s="56"/>
      <c r="I9" s="2"/>
      <c r="J9" s="45"/>
    </row>
    <row r="10">
      <c r="A10" s="2"/>
      <c r="B10" s="66" t="s">
        <v>247</v>
      </c>
      <c r="C10" s="30">
        <f>Inputs!L150-Inputs!K150</f>
        <v>2615</v>
      </c>
      <c r="D10" s="30">
        <f>G10-Inputs!L150</f>
        <v>2951</v>
      </c>
      <c r="E10" s="30">
        <f>'Income Statement'!E37</f>
        <v>2818</v>
      </c>
      <c r="F10" s="30">
        <f>Inputs!M150-E10</f>
        <v>3311</v>
      </c>
      <c r="G10" s="30">
        <f>'Income Statement'!G37</f>
        <v>11308</v>
      </c>
      <c r="H10" s="31">
        <f>'Income Statement'!H37</f>
        <v>2691.272119551367</v>
      </c>
      <c r="I10" s="2"/>
      <c r="J10" s="45" t="s">
        <v>317</v>
      </c>
    </row>
    <row r="11">
      <c r="A11" s="2"/>
      <c r="B11" s="66" t="s">
        <v>371</v>
      </c>
      <c r="C11" s="30">
        <f>Inputs!L151-Inputs!K151</f>
        <v>81</v>
      </c>
      <c r="D11" s="30">
        <f>G11-Inputs!L151</f>
        <v>83</v>
      </c>
      <c r="E11" s="39">
        <v>75</v>
      </c>
      <c r="F11" s="30">
        <f>Inputs!M151-E11</f>
        <v>82</v>
      </c>
      <c r="G11" s="39">
        <v>313</v>
      </c>
      <c r="H11" s="64">
        <v>80</v>
      </c>
      <c r="I11" s="2"/>
      <c r="J11" s="45" t="s">
        <v>372</v>
      </c>
    </row>
    <row r="12">
      <c r="A12" s="2"/>
      <c r="B12" s="66" t="s">
        <v>373</v>
      </c>
      <c r="C12" s="30">
        <f>Inputs!L152-Inputs!K152</f>
        <v>-26</v>
      </c>
      <c r="D12" s="30">
        <f>G12-Inputs!L152</f>
        <v>-43</v>
      </c>
      <c r="E12" s="39">
        <v>-47</v>
      </c>
      <c r="F12" s="30">
        <f>Inputs!M152-E12</f>
        <v>-32</v>
      </c>
      <c r="G12" s="39">
        <v>-124</v>
      </c>
      <c r="H12" s="64">
        <v>-40</v>
      </c>
      <c r="I12" s="2"/>
      <c r="J12" s="45" t="s">
        <v>374</v>
      </c>
    </row>
    <row r="13">
      <c r="A13" s="2"/>
      <c r="B13" s="66" t="s">
        <v>375</v>
      </c>
      <c r="C13" s="30">
        <f>Inputs!L153-Inputs!K153</f>
        <v>42</v>
      </c>
      <c r="D13" s="30">
        <f>G13-Inputs!L153</f>
        <v>42</v>
      </c>
      <c r="E13" s="39">
        <v>16</v>
      </c>
      <c r="F13" s="30">
        <f>Inputs!M153-E13</f>
        <v>36</v>
      </c>
      <c r="G13" s="39">
        <v>132</v>
      </c>
      <c r="H13" s="31">
        <f>'Balance Sheet'!H68</f>
        <v>36</v>
      </c>
      <c r="I13" s="2"/>
      <c r="J13" s="45" t="s">
        <v>317</v>
      </c>
    </row>
    <row r="14">
      <c r="A14" s="2"/>
      <c r="B14" s="66" t="s">
        <v>376</v>
      </c>
      <c r="C14" s="30">
        <f>Inputs!L154-Inputs!K154</f>
        <v>-295</v>
      </c>
      <c r="D14" s="30">
        <f>G14-Inputs!L154</f>
        <v>-257</v>
      </c>
      <c r="E14" s="30">
        <f>-'Income Statement'!E16</f>
        <v>120</v>
      </c>
      <c r="F14" s="30">
        <f>Inputs!M154-E14</f>
        <v>-604</v>
      </c>
      <c r="G14" s="30">
        <f>-'Income Statement'!G16</f>
        <v>-727</v>
      </c>
      <c r="H14" s="31">
        <f>-'Income Statement'!H16</f>
        <v>-36</v>
      </c>
      <c r="I14" s="2"/>
      <c r="J14" s="45" t="s">
        <v>317</v>
      </c>
    </row>
    <row r="15">
      <c r="A15" s="2"/>
      <c r="B15" s="66" t="s">
        <v>377</v>
      </c>
      <c r="C15" s="30">
        <f>Inputs!L155-Inputs!K155</f>
        <v>1</v>
      </c>
      <c r="D15" s="30">
        <f>G15-Inputs!L155</f>
        <v>14</v>
      </c>
      <c r="E15" s="39">
        <v>3</v>
      </c>
      <c r="F15" s="30">
        <f>Inputs!M155-E15</f>
        <v>-1</v>
      </c>
      <c r="G15" s="39">
        <v>16</v>
      </c>
      <c r="H15" s="64">
        <v>0</v>
      </c>
      <c r="I15" s="2"/>
      <c r="J15" s="45" t="s">
        <v>378</v>
      </c>
    </row>
    <row r="16">
      <c r="A16" s="2"/>
      <c r="B16" s="66" t="s">
        <v>379</v>
      </c>
      <c r="C16" s="30">
        <f>Inputs!L156-Inputs!K156</f>
        <v>-113</v>
      </c>
      <c r="D16" s="30">
        <f>G16-Inputs!L156</f>
        <v>1157</v>
      </c>
      <c r="E16" s="39">
        <v>-2252</v>
      </c>
      <c r="F16" s="30">
        <f>Inputs!M156-E16</f>
        <v>508</v>
      </c>
      <c r="G16" s="39">
        <v>-993</v>
      </c>
      <c r="H16" s="31">
        <f>-('Balance Sheet'!H19-'Balance Sheet'!F19)</f>
        <v>-364</v>
      </c>
      <c r="I16" s="2"/>
      <c r="J16" s="45" t="s">
        <v>380</v>
      </c>
    </row>
    <row r="17">
      <c r="A17" s="2"/>
      <c r="B17" s="66" t="s">
        <v>381</v>
      </c>
      <c r="C17" s="30">
        <f>Inputs!L157-Inputs!K157</f>
        <v>90</v>
      </c>
      <c r="D17" s="30">
        <f>G17-Inputs!L157</f>
        <v>24</v>
      </c>
      <c r="E17" s="39">
        <v>80</v>
      </c>
      <c r="F17" s="30">
        <f>Inputs!M157-E17</f>
        <v>84</v>
      </c>
      <c r="G17" s="39">
        <v>682</v>
      </c>
      <c r="H17" s="31">
        <f>-('Balance Sheet'!H20-'Balance Sheet'!F20)</f>
        <v>67</v>
      </c>
      <c r="I17" s="2"/>
      <c r="J17" s="45" t="s">
        <v>382</v>
      </c>
    </row>
    <row r="18">
      <c r="A18" s="2"/>
      <c r="B18" s="66" t="s">
        <v>383</v>
      </c>
      <c r="C18" s="30">
        <f>Inputs!L158-Inputs!K158</f>
        <v>48</v>
      </c>
      <c r="D18" s="30">
        <f>G18-Inputs!L158</f>
        <v>18</v>
      </c>
      <c r="E18" s="39">
        <v>-1</v>
      </c>
      <c r="F18" s="30">
        <f>Inputs!M158-E18</f>
        <v>-4</v>
      </c>
      <c r="G18" s="39">
        <v>152</v>
      </c>
      <c r="H18" s="31">
        <f>-('Balance Sheet'!H21-'Balance Sheet'!F21)</f>
        <v>0</v>
      </c>
      <c r="I18" s="2"/>
      <c r="J18" s="45" t="s">
        <v>384</v>
      </c>
    </row>
    <row r="19">
      <c r="A19" s="2"/>
      <c r="B19" s="66" t="s">
        <v>385</v>
      </c>
      <c r="C19" s="30">
        <f>Inputs!L159-Inputs!K159</f>
        <v>-54</v>
      </c>
      <c r="D19" s="30">
        <f>G19-Inputs!L159</f>
        <v>120</v>
      </c>
      <c r="E19" s="39">
        <v>-87</v>
      </c>
      <c r="F19" s="30">
        <f>Inputs!M159-E19</f>
        <v>-80</v>
      </c>
      <c r="G19" s="39">
        <v>-83</v>
      </c>
      <c r="H19" s="31">
        <f>-('Balance Sheet'!H22-'Balance Sheet'!F22)</f>
        <v>-66</v>
      </c>
      <c r="I19" s="2"/>
      <c r="J19" s="45" t="s">
        <v>386</v>
      </c>
    </row>
    <row r="20">
      <c r="A20" s="2"/>
      <c r="B20" s="66" t="s">
        <v>387</v>
      </c>
      <c r="C20" s="30">
        <f>Inputs!L160-Inputs!K160</f>
        <v>35</v>
      </c>
      <c r="D20" s="30">
        <f>G20-Inputs!L160</f>
        <v>-62</v>
      </c>
      <c r="E20" s="39">
        <v>830</v>
      </c>
      <c r="F20" s="30">
        <f>Inputs!M160-E20</f>
        <v>-589</v>
      </c>
      <c r="G20" s="39">
        <v>-200</v>
      </c>
      <c r="H20" s="64">
        <v>0</v>
      </c>
      <c r="I20" s="2"/>
      <c r="J20" s="45" t="s">
        <v>388</v>
      </c>
    </row>
    <row r="21">
      <c r="A21" s="2"/>
      <c r="B21" s="66" t="s">
        <v>389</v>
      </c>
      <c r="C21" s="30">
        <f>Inputs!L161-Inputs!K161</f>
        <v>487</v>
      </c>
      <c r="D21" s="30">
        <f>G21-Inputs!L161</f>
        <v>-1603</v>
      </c>
      <c r="E21" s="39">
        <v>2674</v>
      </c>
      <c r="F21" s="30">
        <f>Inputs!M161-E21</f>
        <v>-492</v>
      </c>
      <c r="G21" s="39">
        <v>1361</v>
      </c>
      <c r="H21" s="31">
        <f>'Balance Sheet'!H29-'Balance Sheet'!F29</f>
        <v>711.3790310359909</v>
      </c>
      <c r="I21" s="2"/>
      <c r="J21" s="45" t="s">
        <v>390</v>
      </c>
    </row>
    <row r="22">
      <c r="A22" s="2"/>
      <c r="B22" s="66" t="s">
        <v>391</v>
      </c>
      <c r="C22" s="30">
        <f>Inputs!L162-Inputs!K162</f>
        <v>951</v>
      </c>
      <c r="D22" s="30">
        <f>G22-Inputs!L162</f>
        <v>1205</v>
      </c>
      <c r="E22" s="39">
        <v>1067</v>
      </c>
      <c r="F22" s="30">
        <f>Inputs!M162-E22</f>
        <v>1190</v>
      </c>
      <c r="G22" s="39">
        <v>4253</v>
      </c>
      <c r="H22" s="31">
        <f>'Balance Sheet'!H30-'Balance Sheet'!F30</f>
        <v>1033</v>
      </c>
      <c r="I22" s="2"/>
      <c r="J22" s="45" t="s">
        <v>392</v>
      </c>
    </row>
    <row r="23">
      <c r="A23" s="2"/>
      <c r="B23" s="66" t="s">
        <v>393</v>
      </c>
      <c r="C23" s="30">
        <f>Inputs!L163-Inputs!K163</f>
        <v>1529</v>
      </c>
      <c r="D23" s="30">
        <f>G23-Inputs!L163</f>
        <v>-523</v>
      </c>
      <c r="E23" s="39">
        <v>-788</v>
      </c>
      <c r="F23" s="30">
        <f>Inputs!M163-E23</f>
        <v>216</v>
      </c>
      <c r="G23" s="39">
        <v>1556</v>
      </c>
      <c r="H23" s="31">
        <f>'Balance Sheet'!H32-'Balance Sheet'!F32</f>
        <v>0</v>
      </c>
      <c r="I23" s="2"/>
      <c r="J23" s="45" t="s">
        <v>394</v>
      </c>
    </row>
    <row r="24">
      <c r="A24" s="2"/>
      <c r="B24" s="66" t="s">
        <v>395</v>
      </c>
      <c r="C24" s="30">
        <f>Inputs!L164-Inputs!K164</f>
        <v>-196</v>
      </c>
      <c r="D24" s="30">
        <f>G24-Inputs!L164</f>
        <v>44</v>
      </c>
      <c r="E24" s="39">
        <v>-141</v>
      </c>
      <c r="F24" s="30">
        <f>Inputs!M164-E24</f>
        <v>-18</v>
      </c>
      <c r="G24" s="39">
        <v>-98</v>
      </c>
      <c r="H24" s="64">
        <v>0</v>
      </c>
      <c r="I24" s="2"/>
      <c r="J24" s="45" t="s">
        <v>396</v>
      </c>
    </row>
    <row r="25">
      <c r="A25" s="2"/>
      <c r="B25" s="21" t="s">
        <v>397</v>
      </c>
      <c r="C25" s="37">
        <f>SUM(C10:C24)</f>
        <v>5195</v>
      </c>
      <c r="D25" s="37">
        <f>SUM(D10:D24)</f>
        <v>3170</v>
      </c>
      <c r="E25" s="37">
        <f>SUM(E10:E24)</f>
        <v>4367</v>
      </c>
      <c r="F25" s="37">
        <f>SUM(F10:F24)</f>
        <v>3607</v>
      </c>
      <c r="G25" s="37">
        <f>SUM(G10:G24)</f>
        <v>17548</v>
      </c>
      <c r="H25" s="50">
        <f>SUM(H10:H24)</f>
        <v>4112.651150587358</v>
      </c>
      <c r="I25" s="2"/>
      <c r="J25" s="45" t="s">
        <v>398</v>
      </c>
    </row>
    <row r="26">
      <c r="A26" s="2"/>
      <c r="B26" s="55" t="s">
        <v>61</v>
      </c>
      <c r="C26" s="1" t="s">
        <v>38</v>
      </c>
      <c r="D26" s="1" t="s">
        <v>38</v>
      </c>
      <c r="E26" s="1" t="s">
        <v>38</v>
      </c>
      <c r="F26" s="1" t="s">
        <v>38</v>
      </c>
      <c r="G26" s="1" t="s">
        <v>38</v>
      </c>
      <c r="H26" s="49" t="s">
        <v>72</v>
      </c>
      <c r="I26" s="2"/>
      <c r="J26" s="45" t="s">
        <v>399</v>
      </c>
    </row>
    <row r="27">
      <c r="A27" s="2"/>
      <c r="B27" s="2"/>
      <c r="C27" s="5"/>
      <c r="D27" s="5"/>
      <c r="E27" s="5"/>
      <c r="F27" s="5"/>
      <c r="G27" s="5"/>
      <c r="H27" s="20"/>
      <c r="I27" s="2"/>
      <c r="J27" s="45"/>
    </row>
    <row r="28">
      <c r="A28" s="2"/>
      <c r="B28" s="21" t="s">
        <v>400</v>
      </c>
      <c r="C28" s="26"/>
      <c r="D28" s="26"/>
      <c r="E28" s="26"/>
      <c r="F28" s="26"/>
      <c r="G28" s="26"/>
      <c r="H28" s="56"/>
      <c r="I28" s="2"/>
      <c r="J28" s="45"/>
    </row>
    <row r="29">
      <c r="A29" s="2"/>
      <c r="B29" s="66" t="s">
        <v>401</v>
      </c>
      <c r="C29" s="30">
        <f>Inputs!L165-Inputs!K165</f>
        <v>-8558</v>
      </c>
      <c r="D29" s="30">
        <f>G29-Inputs!L165</f>
        <v>-14713</v>
      </c>
      <c r="E29" s="39">
        <v>-19291</v>
      </c>
      <c r="F29" s="30">
        <f>Inputs!M165-E29</f>
        <v>-12862</v>
      </c>
      <c r="G29" s="39">
        <v>-49625</v>
      </c>
      <c r="H29" s="65" t="s">
        <v>402</v>
      </c>
      <c r="I29" s="2"/>
      <c r="J29" s="45" t="s">
        <v>317</v>
      </c>
    </row>
    <row r="30">
      <c r="A30" s="2"/>
      <c r="B30" s="66" t="s">
        <v>403</v>
      </c>
      <c r="C30" s="30">
        <f>Inputs!L166-Inputs!K166</f>
        <v>-56</v>
      </c>
      <c r="D30" s="30">
        <f>G30-Inputs!L166</f>
        <v>-44</v>
      </c>
      <c r="E30" s="39">
        <v>-57</v>
      </c>
      <c r="F30" s="30">
        <f>Inputs!M166-E30</f>
        <v>-121</v>
      </c>
      <c r="G30" s="39">
        <v>-187</v>
      </c>
      <c r="H30" s="65" t="s">
        <v>402</v>
      </c>
      <c r="I30" s="2"/>
      <c r="J30" s="45" t="s">
        <v>317</v>
      </c>
    </row>
    <row r="31">
      <c r="A31" s="2"/>
      <c r="B31" s="66" t="s">
        <v>404</v>
      </c>
      <c r="C31" s="30">
        <f>Inputs!L167-Inputs!K167</f>
        <v>434</v>
      </c>
      <c r="D31" s="30">
        <f>G31-Inputs!L167</f>
        <v>18181</v>
      </c>
      <c r="E31" s="39">
        <v>11115</v>
      </c>
      <c r="F31" s="30">
        <f>Inputs!M167-E31</f>
        <v>7339</v>
      </c>
      <c r="G31" s="39">
        <v>35701</v>
      </c>
      <c r="H31" s="65" t="s">
        <v>402</v>
      </c>
      <c r="I31" s="2"/>
      <c r="J31" s="45" t="s">
        <v>317</v>
      </c>
    </row>
    <row r="32">
      <c r="A32" s="2"/>
      <c r="B32" s="66" t="s">
        <v>405</v>
      </c>
      <c r="C32" s="30">
        <f>Inputs!L168-Inputs!K168</f>
        <v>31</v>
      </c>
      <c r="D32" s="30">
        <f>G32-Inputs!L168</f>
        <v>84</v>
      </c>
      <c r="E32" s="39">
        <v>56</v>
      </c>
      <c r="F32" s="30">
        <f>Inputs!M168-E32</f>
        <v>59</v>
      </c>
      <c r="G32" s="39">
        <v>266</v>
      </c>
      <c r="H32" s="65" t="s">
        <v>402</v>
      </c>
      <c r="I32" s="2"/>
      <c r="J32" s="45" t="s">
        <v>317</v>
      </c>
    </row>
    <row r="33">
      <c r="A33" s="2"/>
      <c r="B33" s="66" t="s">
        <v>406</v>
      </c>
      <c r="C33" s="30">
        <f>Inputs!L169-Inputs!K169</f>
        <v>2263</v>
      </c>
      <c r="D33" s="30">
        <f>G33-Inputs!L169</f>
        <v>2249</v>
      </c>
      <c r="E33" s="39">
        <v>2549</v>
      </c>
      <c r="F33" s="30">
        <f>Inputs!M169-E33</f>
        <v>2483</v>
      </c>
      <c r="G33" s="39">
        <v>8518</v>
      </c>
      <c r="H33" s="65" t="s">
        <v>402</v>
      </c>
      <c r="I33" s="2"/>
      <c r="J33" s="45" t="s">
        <v>317</v>
      </c>
    </row>
    <row r="34">
      <c r="A34" s="2"/>
      <c r="B34" s="66" t="s">
        <v>407</v>
      </c>
      <c r="C34" s="30">
        <f>Inputs!L170-Inputs!K170</f>
        <v>63</v>
      </c>
      <c r="D34" s="30">
        <f>G34-Inputs!L170</f>
        <v>35</v>
      </c>
      <c r="E34" s="39">
        <v>152</v>
      </c>
      <c r="F34" s="30">
        <f>Inputs!M170-E34</f>
        <v>12</v>
      </c>
      <c r="G34" s="39">
        <v>275</v>
      </c>
      <c r="H34" s="65" t="s">
        <v>402</v>
      </c>
      <c r="I34" s="2"/>
      <c r="J34" s="45" t="s">
        <v>317</v>
      </c>
    </row>
    <row r="35">
      <c r="A35" s="2"/>
      <c r="B35" s="66" t="s">
        <v>408</v>
      </c>
      <c r="C35" s="30">
        <f>Inputs!L171-Inputs!K171</f>
        <v>604</v>
      </c>
      <c r="D35" s="30">
        <f>G35-Inputs!L171</f>
        <v>-8457</v>
      </c>
      <c r="E35" s="39">
        <v>7919</v>
      </c>
      <c r="F35" s="30">
        <f>Inputs!M171-E35</f>
        <v>161</v>
      </c>
      <c r="G35" s="39">
        <v>-9282</v>
      </c>
      <c r="H35" s="65" t="s">
        <v>402</v>
      </c>
      <c r="I35" s="2"/>
      <c r="J35" s="45" t="s">
        <v>317</v>
      </c>
    </row>
    <row r="36">
      <c r="A36" s="2"/>
      <c r="B36" s="66" t="s">
        <v>409</v>
      </c>
      <c r="C36" s="30">
        <f>Inputs!L172-Inputs!K172</f>
        <v>220</v>
      </c>
      <c r="D36" s="30">
        <f>G36-Inputs!L172</f>
        <v>-323</v>
      </c>
      <c r="E36" s="39">
        <v>243</v>
      </c>
      <c r="F36" s="30">
        <f>Inputs!M172-E36</f>
        <v>125</v>
      </c>
      <c r="G36" s="39">
        <v>75</v>
      </c>
      <c r="H36" s="65" t="s">
        <v>402</v>
      </c>
      <c r="I36" s="2"/>
      <c r="J36" s="45" t="s">
        <v>317</v>
      </c>
    </row>
    <row r="37">
      <c r="A37" s="2"/>
      <c r="B37" s="66" t="s">
        <v>410</v>
      </c>
      <c r="C37" s="30">
        <f>Inputs!L173-Inputs!K173</f>
        <v>-66</v>
      </c>
      <c r="D37" s="30">
        <f>G37-Inputs!L173</f>
        <v>-121</v>
      </c>
      <c r="E37" s="39">
        <v>-63</v>
      </c>
      <c r="F37" s="30">
        <f>Inputs!M173-E37</f>
        <v>-138</v>
      </c>
      <c r="G37" s="39">
        <v>-348</v>
      </c>
      <c r="H37" s="64">
        <v>-100</v>
      </c>
      <c r="I37" s="2"/>
      <c r="J37" s="45" t="s">
        <v>411</v>
      </c>
    </row>
    <row r="38">
      <c r="A38" s="2"/>
      <c r="B38" s="66" t="s">
        <v>412</v>
      </c>
      <c r="C38" s="30">
        <f>Inputs!L174-Inputs!K174</f>
        <v>18</v>
      </c>
      <c r="D38" s="30">
        <f>G38-Inputs!L174</f>
        <v>10</v>
      </c>
      <c r="E38" s="39">
        <v>14</v>
      </c>
      <c r="F38" s="30">
        <f>Inputs!M174-E38</f>
        <v>21</v>
      </c>
      <c r="G38" s="39">
        <v>80</v>
      </c>
      <c r="H38" s="64">
        <v>0</v>
      </c>
      <c r="I38" s="2"/>
      <c r="J38" s="45" t="s">
        <v>413</v>
      </c>
    </row>
    <row r="39">
      <c r="A39" s="2"/>
      <c r="B39" s="66" t="s">
        <v>414</v>
      </c>
      <c r="C39" s="24" t="s">
        <v>38</v>
      </c>
      <c r="D39" s="24" t="s">
        <v>38</v>
      </c>
      <c r="E39" s="24" t="s">
        <v>38</v>
      </c>
      <c r="F39" s="24" t="s">
        <v>38</v>
      </c>
      <c r="G39" s="24" t="s">
        <v>38</v>
      </c>
      <c r="H39" s="31">
        <f>('Balance Sheet'!H17-'Balance Sheet'!F17)-H25-H47-SUM(H29:H38)</f>
        <v>-3550.823402567358</v>
      </c>
      <c r="I39" s="2"/>
      <c r="J39" s="45" t="s">
        <v>415</v>
      </c>
    </row>
    <row r="40">
      <c r="A40" s="2"/>
      <c r="B40" s="21" t="s">
        <v>416</v>
      </c>
      <c r="C40" s="37">
        <f>SUM(C29:C39)</f>
        <v>-5047</v>
      </c>
      <c r="D40" s="37">
        <f>SUM(D29:D39)</f>
        <v>-3099</v>
      </c>
      <c r="E40" s="37">
        <f>SUM(E29:E39)</f>
        <v>2637</v>
      </c>
      <c r="F40" s="37">
        <f>SUM(F29:F39)</f>
        <v>-2921</v>
      </c>
      <c r="G40" s="37">
        <f>SUM(G29:G39)</f>
        <v>-14527</v>
      </c>
      <c r="H40" s="50">
        <f>SUM(H29:H39)</f>
        <v>-3650.823402567358</v>
      </c>
      <c r="I40" s="2"/>
      <c r="J40" s="45" t="s">
        <v>417</v>
      </c>
    </row>
    <row r="41">
      <c r="A41" s="2"/>
      <c r="B41" s="2"/>
      <c r="C41" s="5"/>
      <c r="D41" s="5"/>
      <c r="E41" s="5"/>
      <c r="F41" s="5"/>
      <c r="G41" s="5"/>
      <c r="H41" s="20"/>
      <c r="I41" s="2"/>
      <c r="J41" s="45"/>
    </row>
    <row r="42">
      <c r="A42" s="2"/>
      <c r="B42" s="21" t="s">
        <v>418</v>
      </c>
      <c r="C42" s="26"/>
      <c r="D42" s="26"/>
      <c r="E42" s="26"/>
      <c r="F42" s="26"/>
      <c r="G42" s="26"/>
      <c r="H42" s="56"/>
      <c r="I42" s="2"/>
      <c r="J42" s="45"/>
    </row>
    <row r="43">
      <c r="A43" s="2"/>
      <c r="B43" s="66" t="s">
        <v>419</v>
      </c>
      <c r="C43" s="30">
        <f>Inputs!L175-Inputs!K175</f>
        <v>-58</v>
      </c>
      <c r="D43" s="30">
        <f>G43-Inputs!L175</f>
        <v>-59</v>
      </c>
      <c r="E43" s="39">
        <v>-7972</v>
      </c>
      <c r="F43" s="30">
        <f>Inputs!M175-E43</f>
        <v>-58</v>
      </c>
      <c r="G43" s="39">
        <v>-2871</v>
      </c>
      <c r="H43" s="31">
        <f>-'Balance Sheet'!F31</f>
        <v>-58</v>
      </c>
      <c r="I43" s="2"/>
      <c r="J43" s="45" t="s">
        <v>317</v>
      </c>
    </row>
    <row r="44">
      <c r="A44" s="2"/>
      <c r="B44" s="66" t="s">
        <v>420</v>
      </c>
      <c r="C44" s="30">
        <f>Inputs!L176-Inputs!K176</f>
        <v>-37</v>
      </c>
      <c r="D44" s="30">
        <f>G44-Inputs!L176</f>
        <v>0</v>
      </c>
      <c r="E44" s="39">
        <v>-43</v>
      </c>
      <c r="F44" s="30">
        <f>Inputs!M176-E44</f>
        <v>-1</v>
      </c>
      <c r="G44" s="39">
        <v>-92</v>
      </c>
      <c r="H44" s="64">
        <v>0</v>
      </c>
      <c r="I44" s="2"/>
      <c r="J44" s="45" t="s">
        <v>421</v>
      </c>
    </row>
    <row r="45">
      <c r="A45" s="2"/>
      <c r="B45" s="66" t="s">
        <v>422</v>
      </c>
      <c r="C45" s="30">
        <f>Inputs!L177-Inputs!K177</f>
        <v>-3</v>
      </c>
      <c r="D45" s="30">
        <f>G45-Inputs!L177</f>
        <v>-59</v>
      </c>
      <c r="E45" s="39">
        <v>-435</v>
      </c>
      <c r="F45" s="30">
        <f>Inputs!M177-E45</f>
        <v>-613</v>
      </c>
      <c r="G45" s="39">
        <v>-74</v>
      </c>
      <c r="H45" s="31">
        <f>-'Share Count'!H27</f>
        <v>-403.82774802</v>
      </c>
      <c r="I45" s="2"/>
      <c r="J45" s="45" t="s">
        <v>317</v>
      </c>
    </row>
    <row r="46">
      <c r="A46" s="2"/>
      <c r="B46" s="66" t="s">
        <v>423</v>
      </c>
      <c r="C46" s="30">
        <f>Inputs!L178-Inputs!K178</f>
        <v>0</v>
      </c>
      <c r="D46" s="30">
        <f>G46-Inputs!L178</f>
        <v>0</v>
      </c>
      <c r="E46" s="39">
        <v>1487</v>
      </c>
      <c r="F46" s="30">
        <f>Inputs!M178-E46</f>
        <v>0</v>
      </c>
      <c r="G46" s="39">
        <v>0</v>
      </c>
      <c r="H46" s="120">
        <v>0</v>
      </c>
      <c r="I46" s="2"/>
      <c r="J46" s="45" t="s">
        <v>424</v>
      </c>
    </row>
    <row r="47">
      <c r="A47" s="2"/>
      <c r="B47" s="21" t="s">
        <v>425</v>
      </c>
      <c r="C47" s="37">
        <f>SUM(C43:C46)</f>
        <v>-98</v>
      </c>
      <c r="D47" s="37">
        <f>SUM(D43:D46)</f>
        <v>-118</v>
      </c>
      <c r="E47" s="37">
        <f>SUM(E43:E46)</f>
        <v>-6963</v>
      </c>
      <c r="F47" s="37">
        <f>SUM(F43:F46)</f>
        <v>-672</v>
      </c>
      <c r="G47" s="37">
        <f>SUM(G43:G46)</f>
        <v>-3037</v>
      </c>
      <c r="H47" s="50">
        <f>SUM(H43:H46)</f>
        <v>-461.82774802</v>
      </c>
      <c r="I47" s="2"/>
      <c r="J47" s="45"/>
    </row>
    <row r="48">
      <c r="A48" s="2"/>
      <c r="B48" s="2"/>
      <c r="C48" s="5"/>
      <c r="D48" s="5"/>
      <c r="E48" s="5"/>
      <c r="F48" s="5"/>
      <c r="G48" s="5"/>
      <c r="H48" s="20"/>
      <c r="I48" s="2"/>
      <c r="J48" s="45"/>
    </row>
    <row r="49">
      <c r="A49" s="2"/>
      <c r="B49" s="21" t="s">
        <v>426</v>
      </c>
      <c r="C49" s="37">
        <f>C25+C40+C47</f>
        <v>50</v>
      </c>
      <c r="D49" s="37">
        <f>D25+D40+D47</f>
        <v>-47</v>
      </c>
      <c r="E49" s="37">
        <f>E25+E40+E47</f>
        <v>41</v>
      </c>
      <c r="F49" s="37">
        <f>F25+F40+F47</f>
        <v>14</v>
      </c>
      <c r="G49" s="37">
        <f>G25+G40+G47</f>
        <v>-16</v>
      </c>
      <c r="H49" s="50">
        <f>H25+H40+H47</f>
        <v>-0.00000000000005684341886080802</v>
      </c>
      <c r="I49" s="2"/>
      <c r="J49" s="45"/>
    </row>
    <row r="50">
      <c r="A50" s="2"/>
      <c r="B50" s="2" t="s">
        <v>427</v>
      </c>
      <c r="C50" s="30">
        <f>Inputs!F70</f>
        <v>135</v>
      </c>
      <c r="D50" s="30">
        <f>'Balance Sheet'!C17</f>
        <v>185</v>
      </c>
      <c r="E50" s="30">
        <f>'Balance Sheet'!D17</f>
        <v>138</v>
      </c>
      <c r="F50" s="30">
        <f>'Balance Sheet'!E17</f>
        <v>179</v>
      </c>
      <c r="G50" s="30">
        <f>Inputs!G70</f>
        <v>154</v>
      </c>
      <c r="H50" s="31">
        <f>'Balance Sheet'!F17</f>
        <v>193</v>
      </c>
      <c r="I50" s="2"/>
      <c r="J50" s="45"/>
    </row>
    <row r="51">
      <c r="A51" s="2"/>
      <c r="B51" s="21" t="s">
        <v>428</v>
      </c>
      <c r="C51" s="37">
        <f>C50+C49</f>
        <v>185</v>
      </c>
      <c r="D51" s="37">
        <f>D50+D49</f>
        <v>138</v>
      </c>
      <c r="E51" s="37">
        <f>E50+E49</f>
        <v>179</v>
      </c>
      <c r="F51" s="37">
        <f>F50+F49</f>
        <v>193</v>
      </c>
      <c r="G51" s="37">
        <f>G50+G49</f>
        <v>138</v>
      </c>
      <c r="H51" s="50">
        <f>H50+H49</f>
        <v>192.99999999999994</v>
      </c>
      <c r="I51" s="2"/>
      <c r="J51" s="45"/>
    </row>
    <row r="52">
      <c r="A52" s="2"/>
      <c r="B52" s="72" t="s">
        <v>429</v>
      </c>
      <c r="C52" s="70">
        <f>C51-'Balance Sheet'!C17</f>
        <v>0</v>
      </c>
      <c r="D52" s="70">
        <f>D51-'Balance Sheet'!D17</f>
        <v>0</v>
      </c>
      <c r="E52" s="70">
        <f>E51-'Balance Sheet'!E17</f>
        <v>0</v>
      </c>
      <c r="F52" s="70">
        <f>F51-'Balance Sheet'!F17</f>
        <v>0</v>
      </c>
      <c r="G52" s="70">
        <f>G51-'Balance Sheet'!G17</f>
        <v>0</v>
      </c>
      <c r="H52" s="63">
        <f>H51-'Balance Sheet'!H17</f>
        <v>0</v>
      </c>
      <c r="I52" s="2"/>
      <c r="J52" s="45" t="s">
        <v>430</v>
      </c>
    </row>
    <row r="53">
      <c r="A53" s="2"/>
      <c r="B53" s="72" t="s">
        <v>431</v>
      </c>
      <c r="C53" s="70">
        <f>C49-('Balance Sheet'!C17-Inputs!F70)</f>
        <v>0</v>
      </c>
      <c r="D53" s="70">
        <f>D49-('Balance Sheet'!D17-'Balance Sheet'!C17)</f>
        <v>0</v>
      </c>
      <c r="E53" s="70">
        <f>E49-('Balance Sheet'!E17-'Balance Sheet'!D17)</f>
        <v>0</v>
      </c>
      <c r="F53" s="70">
        <f>F49-('Balance Sheet'!F17-'Balance Sheet'!E17)</f>
        <v>0</v>
      </c>
      <c r="G53" s="70">
        <f>G49-('Balance Sheet'!G17-Inputs!G70)</f>
        <v>0</v>
      </c>
      <c r="H53" s="63">
        <f>H49-('Balance Sheet'!H17-'Balance Sheet'!F17)</f>
        <v>-0.00000000000005684341886080802</v>
      </c>
      <c r="I53" s="2"/>
      <c r="J53" s="45" t="s">
        <v>430</v>
      </c>
    </row>
    <row r="54">
      <c r="A54" s="2"/>
      <c r="B54" s="2"/>
      <c r="C54" s="5"/>
      <c r="D54" s="5"/>
      <c r="E54" s="5"/>
      <c r="F54" s="5"/>
      <c r="G54" s="5"/>
      <c r="H54" s="20"/>
      <c r="I54" s="2"/>
      <c r="J54" s="45"/>
    </row>
    <row r="55">
      <c r="A55" s="2"/>
      <c r="B55" s="21" t="s">
        <v>432</v>
      </c>
      <c r="C55" s="26"/>
      <c r="D55" s="26"/>
      <c r="E55" s="26"/>
      <c r="F55" s="26"/>
      <c r="G55" s="26"/>
      <c r="H55" s="56"/>
      <c r="I55" s="2"/>
      <c r="J55" s="45"/>
    </row>
    <row r="56">
      <c r="A56" s="2"/>
      <c r="B56" s="72" t="s">
        <v>433</v>
      </c>
      <c r="C56" s="42" t="s">
        <v>38</v>
      </c>
      <c r="D56" s="42" t="s">
        <v>38</v>
      </c>
      <c r="E56" s="42" t="s">
        <v>38</v>
      </c>
      <c r="F56" s="42" t="s">
        <v>38</v>
      </c>
      <c r="G56" s="42" t="s">
        <v>38</v>
      </c>
      <c r="H56" s="57" t="s">
        <v>38</v>
      </c>
      <c r="I56" s="2"/>
      <c r="J56" s="45"/>
    </row>
    <row r="57">
      <c r="A57" s="2"/>
      <c r="B57" s="66" t="s">
        <v>434</v>
      </c>
      <c r="C57" s="24">
        <f>C37</f>
        <v>-66</v>
      </c>
      <c r="D57" s="24">
        <f>D37</f>
        <v>-121</v>
      </c>
      <c r="E57" s="24">
        <f>E37</f>
        <v>-63</v>
      </c>
      <c r="F57" s="24">
        <f>F37</f>
        <v>-138</v>
      </c>
      <c r="G57" s="24">
        <f>G37</f>
        <v>-348</v>
      </c>
      <c r="H57" s="65">
        <f>H37</f>
        <v>-100</v>
      </c>
      <c r="I57" s="2"/>
      <c r="J57" s="45"/>
    </row>
    <row r="58">
      <c r="A58" s="2"/>
      <c r="B58" s="2"/>
      <c r="C58" s="5"/>
      <c r="D58" s="5"/>
      <c r="E58" s="5"/>
      <c r="F58" s="5"/>
      <c r="G58" s="5"/>
      <c r="H58" s="20"/>
      <c r="I58" s="2"/>
      <c r="J58" s="45"/>
    </row>
    <row r="59">
      <c r="A59" s="2"/>
      <c r="B59" s="2"/>
      <c r="C59" s="5"/>
      <c r="D59" s="5"/>
      <c r="E59" s="5"/>
      <c r="F59" s="5"/>
      <c r="G59" s="5"/>
      <c r="H59" s="20"/>
      <c r="I59" s="2"/>
      <c r="J59" s="45"/>
    </row>
  </sheetData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>
  <dimension ref="A1:J35"/>
  <sheetViews>
    <sheetView showGridLines="0" workbookViewId="0"/>
  </sheetViews>
  <sheetFormatPr defaultColWidth="8.42578125" defaultRowHeight="15"/>
  <cols>
    <col min="1" max="1" width="2" customWidth="1"/>
    <col min="2" max="2" width="42" customWidth="1"/>
    <col min="3" max="8" width="12" customWidth="1"/>
    <col min="9" max="9" width="2" customWidth="1"/>
    <col min="10" max="10" width="16" customWidth="1"/>
  </cols>
  <sheetData>
    <row r="1">
      <c r="A1" s="2"/>
      <c r="B1" s="2"/>
      <c r="C1" s="2"/>
      <c r="D1" s="2"/>
      <c r="E1" s="2"/>
      <c r="F1" s="2"/>
      <c r="G1" s="2"/>
      <c r="H1" s="2"/>
      <c r="I1" s="2"/>
      <c r="J1" s="2"/>
    </row>
    <row r="2">
      <c r="A2" s="2"/>
      <c r="B2" s="11" t="s">
        <v>1</v>
      </c>
      <c r="C2" s="2"/>
      <c r="D2" s="2"/>
      <c r="E2" s="2"/>
      <c r="F2" s="2"/>
      <c r="G2" s="2"/>
      <c r="H2" s="2"/>
      <c r="I2" s="2"/>
      <c r="J2" s="2"/>
    </row>
    <row r="3">
      <c r="A3" s="2"/>
      <c r="B3" s="21" t="s">
        <v>435</v>
      </c>
      <c r="C3" s="2"/>
      <c r="D3" s="2"/>
      <c r="E3" s="2"/>
      <c r="F3" s="2"/>
      <c r="G3" s="2"/>
      <c r="H3" s="2"/>
      <c r="I3" s="2"/>
      <c r="J3" s="2"/>
    </row>
    <row r="4">
      <c r="A4" s="2"/>
      <c r="B4" s="19" t="s">
        <v>2</v>
      </c>
      <c r="C4" s="2"/>
      <c r="D4" s="2"/>
      <c r="E4" s="2"/>
      <c r="F4" s="2"/>
      <c r="G4" s="2"/>
      <c r="H4" s="2"/>
      <c r="I4" s="2"/>
      <c r="J4" s="2"/>
    </row>
    <row r="5">
      <c r="A5" s="2"/>
      <c r="B5" s="17" t="s">
        <v>3</v>
      </c>
      <c r="C5" s="4" t="s">
        <v>53</v>
      </c>
      <c r="D5" s="4" t="s">
        <v>54</v>
      </c>
      <c r="E5" s="4" t="s">
        <v>55</v>
      </c>
      <c r="F5" s="4" t="s">
        <v>56</v>
      </c>
      <c r="G5" s="4" t="s">
        <v>57</v>
      </c>
      <c r="H5" s="69" t="s">
        <v>4</v>
      </c>
      <c r="I5" s="4"/>
      <c r="J5" s="114" t="s">
        <v>58</v>
      </c>
    </row>
    <row r="6">
      <c r="A6" s="2"/>
      <c r="B6" s="15" t="s">
        <v>10</v>
      </c>
      <c r="C6" s="14">
        <f>DATE(2025,9,30)</f>
        <v>45930</v>
      </c>
      <c r="D6" s="14">
        <f>DATE(2025,12,31)</f>
        <v>46022</v>
      </c>
      <c r="E6" s="14">
        <f>DATE(2026,3,31)</f>
        <v>46112</v>
      </c>
      <c r="F6" s="14">
        <f>DATE(2026,6,30)</f>
        <v>46203</v>
      </c>
      <c r="G6" s="14">
        <f>DATE(2025,12,31)</f>
        <v>46022</v>
      </c>
      <c r="H6" s="40">
        <f>DATE(2026,9,30)</f>
        <v>46295</v>
      </c>
      <c r="I6" s="14"/>
      <c r="J6" s="14"/>
    </row>
    <row r="7">
      <c r="A7" s="2"/>
      <c r="B7" s="7" t="s">
        <v>11</v>
      </c>
      <c r="C7" s="28">
        <v>92</v>
      </c>
      <c r="D7" s="28">
        <v>92</v>
      </c>
      <c r="E7" s="28">
        <v>90</v>
      </c>
      <c r="F7" s="28">
        <v>91</v>
      </c>
      <c r="G7" s="28">
        <v>365</v>
      </c>
      <c r="H7" s="62">
        <v>92</v>
      </c>
      <c r="I7" s="9"/>
      <c r="J7" s="9"/>
    </row>
    <row r="8">
      <c r="A8" s="2"/>
      <c r="B8" s="2"/>
      <c r="C8" s="2"/>
      <c r="D8" s="2"/>
      <c r="E8" s="2"/>
      <c r="F8" s="2"/>
      <c r="G8" s="2"/>
      <c r="H8" s="60"/>
      <c r="I8" s="2"/>
      <c r="J8" s="2"/>
    </row>
    <row r="9">
      <c r="A9" s="2"/>
      <c r="B9" s="2" t="s">
        <v>436</v>
      </c>
      <c r="C9" s="39">
        <v>586.5</v>
      </c>
      <c r="D9" s="39">
        <v>586.3</v>
      </c>
      <c r="E9" s="39">
        <v>585.6</v>
      </c>
      <c r="F9" s="39">
        <v>583</v>
      </c>
      <c r="G9" s="39">
        <v>586.3</v>
      </c>
      <c r="H9" s="31">
        <f>'Monthly Build'!G151</f>
        <v>580.7739130434783</v>
      </c>
      <c r="I9" s="2"/>
      <c r="J9" s="45" t="s">
        <v>71</v>
      </c>
    </row>
    <row r="10">
      <c r="A10" s="2"/>
      <c r="B10" s="55" t="s">
        <v>61</v>
      </c>
      <c r="C10" s="1" t="s">
        <v>38</v>
      </c>
      <c r="D10" s="1" t="s">
        <v>38</v>
      </c>
      <c r="E10" s="1" t="s">
        <v>38</v>
      </c>
      <c r="F10" s="1" t="s">
        <v>38</v>
      </c>
      <c r="G10" s="1" t="s">
        <v>38</v>
      </c>
      <c r="H10" s="49">
        <f>IFERROR(H9/C9-1,"n/a")</f>
        <v>-0.009763149115979086</v>
      </c>
      <c r="I10" s="2"/>
      <c r="J10" s="45"/>
    </row>
    <row r="11">
      <c r="A11" s="2"/>
      <c r="B11" s="55" t="s">
        <v>437</v>
      </c>
      <c r="C11" s="42" t="s">
        <v>38</v>
      </c>
      <c r="D11" s="42">
        <f>D9-C9</f>
        <v>-0.20000000000004547</v>
      </c>
      <c r="E11" s="42">
        <f>E9-D9</f>
        <v>-0.6999999999999318</v>
      </c>
      <c r="F11" s="42">
        <f>F9-E9</f>
        <v>-2.6000000000000227</v>
      </c>
      <c r="G11" s="42" t="s">
        <v>38</v>
      </c>
      <c r="H11" s="57">
        <f>H9-F9</f>
        <v>-2.2260869565217263</v>
      </c>
      <c r="I11" s="2"/>
      <c r="J11" s="45"/>
    </row>
    <row r="12">
      <c r="A12" s="2"/>
      <c r="B12" s="2" t="s">
        <v>274</v>
      </c>
      <c r="C12" s="39">
        <v>1.7</v>
      </c>
      <c r="D12" s="39">
        <v>1.7</v>
      </c>
      <c r="E12" s="39">
        <v>1.3</v>
      </c>
      <c r="F12" s="39">
        <v>1.2</v>
      </c>
      <c r="G12" s="39">
        <v>1.8</v>
      </c>
      <c r="H12" s="31">
        <f>'Monthly Build'!G152</f>
        <v>1.3673913043478263</v>
      </c>
      <c r="I12" s="2"/>
      <c r="J12" s="45" t="s">
        <v>71</v>
      </c>
    </row>
    <row r="13">
      <c r="A13" s="2"/>
      <c r="B13" s="21" t="s">
        <v>438</v>
      </c>
      <c r="C13" s="37">
        <f>C9+C12</f>
        <v>588.2</v>
      </c>
      <c r="D13" s="37">
        <f>D9+D12</f>
        <v>588</v>
      </c>
      <c r="E13" s="37">
        <f>E9+E12</f>
        <v>586.9</v>
      </c>
      <c r="F13" s="37">
        <f>F9+F12</f>
        <v>584.2</v>
      </c>
      <c r="G13" s="37">
        <f>G9+G12</f>
        <v>588.0999999999999</v>
      </c>
      <c r="H13" s="50">
        <f>H9+H12</f>
        <v>582.1413043478261</v>
      </c>
      <c r="I13" s="2"/>
      <c r="J13" s="45"/>
    </row>
    <row r="14">
      <c r="A14" s="2"/>
      <c r="B14" s="55" t="s">
        <v>61</v>
      </c>
      <c r="C14" s="18">
        <f>IFERROR(C13/Inputs!C31-1,"n/a")</f>
        <v>0.0010211027910143056</v>
      </c>
      <c r="D14" s="18">
        <f>IFERROR(D13/Inputs!D31-1,"n/a")</f>
        <v>0.0005104645227156368</v>
      </c>
      <c r="E14" s="18">
        <f>IFERROR(E13/Inputs!E31-1,"n/a")</f>
        <v>-0.0013612387272419202</v>
      </c>
      <c r="F14" s="18">
        <f>IFERROR(F13/Inputs!F31-1,"n/a")</f>
        <v>-0.006124532153793605</v>
      </c>
      <c r="G14" s="18">
        <f>IFERROR(G13/Inputs!G31-1,"n/a")</f>
        <v>0.000680619363620627</v>
      </c>
      <c r="H14" s="49">
        <f>IFERROR(H13/C13-1,"n/a")</f>
        <v>-0.01030040063273363</v>
      </c>
      <c r="I14" s="2"/>
      <c r="J14" s="45"/>
    </row>
    <row r="15">
      <c r="A15" s="2"/>
      <c r="B15" s="55" t="s">
        <v>437</v>
      </c>
      <c r="C15" s="70">
        <f>C13-Inputs!F31</f>
        <v>0.40000000000009095</v>
      </c>
      <c r="D15" s="42">
        <f>D13-C13</f>
        <v>-0.20000000000004547</v>
      </c>
      <c r="E15" s="42">
        <f>E13-D13</f>
        <v>-1.1000000000000227</v>
      </c>
      <c r="F15" s="42">
        <f>F13-E13</f>
        <v>-2.699999999999932</v>
      </c>
      <c r="G15" s="42" t="s">
        <v>38</v>
      </c>
      <c r="H15" s="57">
        <f>H13-F13</f>
        <v>-2.058695652173924</v>
      </c>
      <c r="I15" s="2"/>
      <c r="J15" s="45"/>
    </row>
    <row r="16">
      <c r="A16" s="2"/>
      <c r="B16" s="2" t="s">
        <v>439</v>
      </c>
      <c r="C16" s="30">
        <f>'Balance Sheet'!C37</f>
        <v>586</v>
      </c>
      <c r="D16" s="30">
        <f>'Balance Sheet'!D37</f>
        <v>586</v>
      </c>
      <c r="E16" s="30">
        <f>'Balance Sheet'!E37</f>
        <v>584</v>
      </c>
      <c r="F16" s="30">
        <f>'Balance Sheet'!F37</f>
        <v>581</v>
      </c>
      <c r="G16" s="30">
        <f>'Balance Sheet'!G37</f>
        <v>586</v>
      </c>
      <c r="H16" s="31">
        <f>'Balance Sheet'!H37</f>
        <v>579.068847</v>
      </c>
      <c r="I16" s="2"/>
      <c r="J16" s="45"/>
    </row>
    <row r="17">
      <c r="A17" s="2"/>
      <c r="B17" s="2" t="s">
        <v>440</v>
      </c>
      <c r="C17" s="30">
        <f>-('Cash Flow Statement'!C44+'Cash Flow Statement'!C45)</f>
        <v>40</v>
      </c>
      <c r="D17" s="30">
        <f>-('Cash Flow Statement'!D44+'Cash Flow Statement'!D45)</f>
        <v>59</v>
      </c>
      <c r="E17" s="30">
        <f>-('Cash Flow Statement'!E44+'Cash Flow Statement'!E45)</f>
        <v>478</v>
      </c>
      <c r="F17" s="30">
        <f>-('Cash Flow Statement'!F44+'Cash Flow Statement'!F45)</f>
        <v>614</v>
      </c>
      <c r="G17" s="30">
        <f>-('Cash Flow Statement'!G44+'Cash Flow Statement'!G45)</f>
        <v>166</v>
      </c>
      <c r="H17" s="31">
        <f>-('Cash Flow Statement'!H44+'Cash Flow Statement'!H45)</f>
        <v>403.82774802</v>
      </c>
      <c r="I17" s="2"/>
      <c r="J17" s="45" t="s">
        <v>441</v>
      </c>
    </row>
    <row r="18">
      <c r="A18" s="2"/>
      <c r="B18" s="2"/>
      <c r="C18" s="5"/>
      <c r="D18" s="5"/>
      <c r="E18" s="5"/>
      <c r="F18" s="5"/>
      <c r="G18" s="5"/>
      <c r="H18" s="20"/>
      <c r="I18" s="2"/>
      <c r="J18" s="45"/>
    </row>
    <row r="19">
      <c r="A19" s="2"/>
      <c r="B19" s="21" t="s">
        <v>442</v>
      </c>
      <c r="C19" s="26"/>
      <c r="D19" s="26"/>
      <c r="E19" s="26"/>
      <c r="F19" s="26"/>
      <c r="G19" s="26"/>
      <c r="H19" s="56"/>
      <c r="I19" s="2"/>
      <c r="J19" s="45"/>
    </row>
    <row r="20">
      <c r="A20" s="2"/>
      <c r="B20" s="2" t="s">
        <v>443</v>
      </c>
      <c r="C20" s="43"/>
      <c r="D20" s="43"/>
      <c r="E20" s="43"/>
      <c r="F20" s="43"/>
      <c r="G20" s="43"/>
      <c r="H20" s="44">
        <v>0.650241</v>
      </c>
      <c r="I20" s="2"/>
      <c r="J20" s="45" t="s">
        <v>365</v>
      </c>
    </row>
    <row r="21">
      <c r="A21" s="2"/>
      <c r="B21" s="2" t="s">
        <v>444</v>
      </c>
      <c r="C21" s="46"/>
      <c r="D21" s="46"/>
      <c r="E21" s="46"/>
      <c r="F21" s="46"/>
      <c r="G21" s="46"/>
      <c r="H21" s="53">
        <v>209.46</v>
      </c>
      <c r="I21" s="2"/>
      <c r="J21" s="45" t="s">
        <v>365</v>
      </c>
    </row>
    <row r="22">
      <c r="A22" s="2"/>
      <c r="B22" s="2" t="s">
        <v>445</v>
      </c>
      <c r="C22" s="43"/>
      <c r="D22" s="43"/>
      <c r="E22" s="43"/>
      <c r="F22" s="43"/>
      <c r="G22" s="43"/>
      <c r="H22" s="44">
        <v>0.630912</v>
      </c>
      <c r="I22" s="2"/>
      <c r="J22" s="45" t="s">
        <v>349</v>
      </c>
    </row>
    <row r="23">
      <c r="A23" s="2"/>
      <c r="B23" s="2" t="s">
        <v>446</v>
      </c>
      <c r="C23" s="46"/>
      <c r="D23" s="46"/>
      <c r="E23" s="46"/>
      <c r="F23" s="46"/>
      <c r="G23" s="46"/>
      <c r="H23" s="53">
        <v>210.93</v>
      </c>
      <c r="I23" s="2"/>
      <c r="J23" s="45" t="s">
        <v>349</v>
      </c>
    </row>
    <row r="24">
      <c r="A24" s="2"/>
      <c r="B24" s="2" t="s">
        <v>447</v>
      </c>
      <c r="C24" s="43"/>
      <c r="D24" s="43"/>
      <c r="E24" s="43"/>
      <c r="F24" s="43"/>
      <c r="G24" s="43"/>
      <c r="H24" s="44">
        <v>0.65</v>
      </c>
      <c r="I24" s="2"/>
      <c r="J24" s="45"/>
    </row>
    <row r="25">
      <c r="A25" s="2"/>
      <c r="B25" s="2" t="s">
        <v>448</v>
      </c>
      <c r="C25" s="46"/>
      <c r="D25" s="46"/>
      <c r="E25" s="46"/>
      <c r="F25" s="46"/>
      <c r="G25" s="46"/>
      <c r="H25" s="53">
        <v>207</v>
      </c>
      <c r="I25" s="2"/>
      <c r="J25" s="45"/>
    </row>
    <row r="26">
      <c r="A26" s="2"/>
      <c r="B26" s="21" t="s">
        <v>449</v>
      </c>
      <c r="C26" s="58"/>
      <c r="D26" s="58"/>
      <c r="E26" s="58"/>
      <c r="F26" s="58"/>
      <c r="G26" s="58"/>
      <c r="H26" s="74">
        <f>H20+H22+H24</f>
        <v>1.9311530000000001</v>
      </c>
      <c r="I26" s="2"/>
      <c r="J26" s="45"/>
    </row>
    <row r="27">
      <c r="A27" s="2"/>
      <c r="B27" s="21" t="s">
        <v>450</v>
      </c>
      <c r="C27" s="37"/>
      <c r="D27" s="37"/>
      <c r="E27" s="37"/>
      <c r="F27" s="37"/>
      <c r="G27" s="37"/>
      <c r="H27" s="50">
        <f>H20*H21+H22*H23+H24*H25</f>
        <v>403.82774802</v>
      </c>
      <c r="I27" s="2"/>
      <c r="J27" s="45"/>
    </row>
    <row r="28">
      <c r="A28" s="2"/>
      <c r="B28" s="2"/>
      <c r="C28" s="5"/>
      <c r="D28" s="5"/>
      <c r="E28" s="5"/>
      <c r="F28" s="5"/>
      <c r="G28" s="5"/>
      <c r="H28" s="20"/>
      <c r="I28" s="2"/>
      <c r="J28" s="45"/>
    </row>
    <row r="29">
      <c r="A29" s="2"/>
      <c r="B29" s="21" t="s">
        <v>451</v>
      </c>
      <c r="C29" s="26"/>
      <c r="D29" s="26"/>
      <c r="E29" s="26"/>
      <c r="F29" s="26"/>
      <c r="G29" s="26"/>
      <c r="H29" s="56"/>
      <c r="I29" s="2"/>
      <c r="J29" s="45"/>
    </row>
    <row r="30">
      <c r="A30" s="2"/>
      <c r="B30" s="2" t="s">
        <v>452</v>
      </c>
      <c r="C30" s="35">
        <v>0.1</v>
      </c>
      <c r="D30" s="35">
        <v>0.1</v>
      </c>
      <c r="E30" s="35">
        <v>0.1</v>
      </c>
      <c r="F30" s="35">
        <v>0.1</v>
      </c>
      <c r="G30" s="35">
        <v>0.4</v>
      </c>
      <c r="H30" s="53">
        <v>0.1</v>
      </c>
      <c r="I30" s="2"/>
      <c r="J30" s="45" t="s">
        <v>453</v>
      </c>
    </row>
    <row r="31">
      <c r="A31" s="2"/>
      <c r="B31" s="2" t="s">
        <v>454</v>
      </c>
      <c r="C31" s="35">
        <v>0</v>
      </c>
      <c r="D31" s="35">
        <v>13.6</v>
      </c>
      <c r="E31" s="35">
        <v>0</v>
      </c>
      <c r="F31" s="35">
        <v>0</v>
      </c>
      <c r="G31" s="35">
        <v>13.6</v>
      </c>
      <c r="H31" s="53">
        <v>0</v>
      </c>
      <c r="I31" s="2"/>
      <c r="J31" s="45" t="s">
        <v>363</v>
      </c>
    </row>
    <row r="32">
      <c r="A32" s="2"/>
      <c r="B32" s="2"/>
      <c r="C32" s="5"/>
      <c r="D32" s="5"/>
      <c r="E32" s="5"/>
      <c r="F32" s="5"/>
      <c r="G32" s="5"/>
      <c r="H32" s="20"/>
      <c r="I32" s="2"/>
      <c r="J32" s="45"/>
    </row>
    <row r="33">
      <c r="A33" s="2"/>
      <c r="B33" s="21" t="s">
        <v>455</v>
      </c>
      <c r="C33" s="37"/>
      <c r="D33" s="37"/>
      <c r="E33" s="37"/>
      <c r="F33" s="37"/>
      <c r="G33" s="37"/>
      <c r="H33" s="50">
        <f>H13</f>
        <v>582.1413043478261</v>
      </c>
      <c r="I33" s="2"/>
      <c r="J33" s="45"/>
    </row>
    <row r="34">
      <c r="A34" s="2"/>
      <c r="B34" s="2"/>
      <c r="C34" s="5"/>
      <c r="D34" s="5"/>
      <c r="E34" s="5"/>
      <c r="F34" s="5"/>
      <c r="G34" s="5"/>
      <c r="H34" s="20"/>
      <c r="I34" s="2"/>
      <c r="J34" s="45"/>
    </row>
    <row r="35">
      <c r="A35" s="2"/>
      <c r="B35" s="2"/>
      <c r="C35" s="5"/>
      <c r="D35" s="5"/>
      <c r="E35" s="5"/>
      <c r="F35" s="5"/>
      <c r="G35" s="5"/>
      <c r="H35" s="20"/>
      <c r="I35" s="2"/>
      <c r="J35" s="45"/>
    </row>
  </sheetData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>
  <dimension ref="A1:J20"/>
  <sheetViews>
    <sheetView showGridLines="0" workbookViewId="0"/>
  </sheetViews>
  <sheetFormatPr defaultColWidth="8.42578125" defaultRowHeight="15"/>
  <cols>
    <col min="1" max="1" width="2" customWidth="1"/>
    <col min="2" max="2" width="32" customWidth="1"/>
    <col min="3" max="3" width="12" customWidth="1"/>
    <col min="4" max="4" width="60" customWidth="1"/>
    <col min="5" max="8" width="12" customWidth="1"/>
    <col min="9" max="9" width="34" customWidth="1"/>
    <col min="10" max="10" width="12" customWidth="1"/>
  </cols>
  <sheetData>
    <row r="1">
      <c r="A1" s="2"/>
      <c r="B1" s="2"/>
      <c r="C1" s="2"/>
      <c r="D1" s="2"/>
      <c r="E1" s="2"/>
      <c r="F1" s="2"/>
      <c r="G1" s="2"/>
      <c r="H1" s="2"/>
      <c r="I1" s="2"/>
      <c r="J1" s="2"/>
    </row>
    <row r="2">
      <c r="A2" s="2"/>
      <c r="B2" s="11" t="s">
        <v>1</v>
      </c>
      <c r="C2" s="2"/>
      <c r="D2" s="2"/>
      <c r="E2" s="2"/>
      <c r="F2" s="2"/>
      <c r="G2" s="2"/>
      <c r="H2" s="2"/>
      <c r="I2" s="2"/>
      <c r="J2" s="2"/>
    </row>
    <row r="3">
      <c r="A3" s="2"/>
      <c r="B3" s="21" t="s">
        <v>456</v>
      </c>
      <c r="C3" s="2"/>
      <c r="D3" s="2"/>
      <c r="E3" s="2"/>
      <c r="F3" s="2"/>
      <c r="G3" s="2"/>
      <c r="H3" s="2"/>
      <c r="I3" s="2"/>
      <c r="J3" s="2"/>
    </row>
    <row r="4">
      <c r="A4" s="2"/>
      <c r="B4" s="19" t="s">
        <v>2</v>
      </c>
      <c r="C4" s="2"/>
      <c r="D4" s="2"/>
      <c r="E4" s="2"/>
      <c r="F4" s="2"/>
      <c r="G4" s="2"/>
      <c r="H4" s="2"/>
      <c r="I4" s="2"/>
      <c r="J4" s="2"/>
    </row>
    <row r="5">
      <c r="A5" s="2"/>
      <c r="B5" s="17" t="s">
        <v>3</v>
      </c>
      <c r="C5" s="4" t="s">
        <v>4</v>
      </c>
      <c r="D5" s="4"/>
      <c r="E5" s="4"/>
      <c r="F5" s="4"/>
      <c r="G5" s="4"/>
      <c r="H5" s="4"/>
      <c r="I5" s="4"/>
      <c r="J5" s="4"/>
    </row>
    <row r="6">
      <c r="A6" s="2"/>
      <c r="B6" s="15" t="s">
        <v>10</v>
      </c>
      <c r="C6" s="14">
        <f>DATE(2026,9,30)</f>
        <v>46295</v>
      </c>
      <c r="D6" s="14"/>
      <c r="E6" s="14"/>
      <c r="F6" s="14"/>
      <c r="G6" s="14"/>
      <c r="H6" s="14"/>
      <c r="I6" s="14"/>
      <c r="J6" s="14"/>
    </row>
    <row r="7">
      <c r="A7" s="2"/>
      <c r="B7" s="7" t="s">
        <v>11</v>
      </c>
      <c r="C7" s="28">
        <v>92</v>
      </c>
      <c r="D7" s="9"/>
      <c r="E7" s="9"/>
      <c r="F7" s="9"/>
      <c r="G7" s="9"/>
      <c r="H7" s="9"/>
      <c r="I7" s="9"/>
      <c r="J7" s="9"/>
    </row>
    <row r="8">
      <c r="A8" s="2"/>
      <c r="B8" s="2"/>
      <c r="C8" s="2"/>
      <c r="D8" s="2"/>
      <c r="E8" s="2"/>
      <c r="F8" s="2"/>
      <c r="G8" s="2"/>
      <c r="H8" s="2"/>
      <c r="I8" s="2"/>
      <c r="J8" s="2"/>
    </row>
    <row r="9">
      <c r="A9" s="2"/>
      <c r="B9" s="112" t="s">
        <v>457</v>
      </c>
      <c r="C9" s="22" t="s">
        <v>3</v>
      </c>
      <c r="D9" s="16" t="s">
        <v>458</v>
      </c>
      <c r="E9" s="22" t="s">
        <v>459</v>
      </c>
      <c r="F9" s="22" t="s">
        <v>460</v>
      </c>
      <c r="G9" s="22" t="s">
        <v>461</v>
      </c>
      <c r="H9" s="22" t="s">
        <v>462</v>
      </c>
      <c r="I9" s="137" t="s">
        <v>463</v>
      </c>
      <c r="J9" s="16" t="s">
        <v>58</v>
      </c>
    </row>
    <row r="10" ht="26.25">
      <c r="A10" s="2"/>
      <c r="B10" s="6">
        <v>46083</v>
      </c>
      <c r="C10" s="5" t="s">
        <v>464</v>
      </c>
      <c r="D10" s="12" t="s">
        <v>465</v>
      </c>
      <c r="E10" s="1" t="s">
        <v>38</v>
      </c>
      <c r="F10" s="3">
        <v>0.96</v>
      </c>
      <c r="G10" s="1" t="s">
        <v>38</v>
      </c>
      <c r="H10" s="142" t="s">
        <v>38</v>
      </c>
      <c r="I10" s="136" t="s">
        <v>466</v>
      </c>
      <c r="J10" s="12" t="s">
        <v>178</v>
      </c>
    </row>
    <row r="11">
      <c r="A11" s="2"/>
      <c r="B11" s="6">
        <v>46083</v>
      </c>
      <c r="C11" s="5" t="s">
        <v>4</v>
      </c>
      <c r="D11" s="12" t="s">
        <v>467</v>
      </c>
      <c r="E11" s="1" t="s">
        <v>38</v>
      </c>
      <c r="F11" s="1">
        <f>F10</f>
        <v>0.96</v>
      </c>
      <c r="G11" s="1" t="s">
        <v>38</v>
      </c>
      <c r="H11" s="18">
        <f>'Income Statement'!H54</f>
        <v>0.8868490393642038</v>
      </c>
      <c r="I11" s="136" t="str">
        <f>IF(H11&lt;=F11,"Beat (better than goal)","Miss")</f>
        <v>Beat (better than goal)</v>
      </c>
      <c r="J11" s="12" t="s">
        <v>178</v>
      </c>
    </row>
    <row r="12">
      <c r="A12" s="2"/>
      <c r="B12" s="6">
        <v>46083</v>
      </c>
      <c r="C12" s="5" t="s">
        <v>56</v>
      </c>
      <c r="D12" s="12" t="s">
        <v>468</v>
      </c>
      <c r="E12" s="1" t="s">
        <v>38</v>
      </c>
      <c r="F12" s="1">
        <f>F10</f>
        <v>0.96</v>
      </c>
      <c r="G12" s="1" t="s">
        <v>38</v>
      </c>
      <c r="H12" s="18">
        <f>'Income Statement'!F54</f>
        <v>0.8734529272701989</v>
      </c>
      <c r="I12" s="136" t="str">
        <f>IF(H12&lt;=F12,"Beat (better than goal)","Miss")</f>
        <v>Beat (better than goal)</v>
      </c>
      <c r="J12" s="12" t="s">
        <v>363</v>
      </c>
    </row>
    <row r="13">
      <c r="A13" s="2"/>
      <c r="B13" s="6">
        <v>46083</v>
      </c>
      <c r="C13" s="5" t="s">
        <v>55</v>
      </c>
      <c r="D13" s="12" t="s">
        <v>468</v>
      </c>
      <c r="E13" s="1" t="s">
        <v>38</v>
      </c>
      <c r="F13" s="1">
        <f>F10</f>
        <v>0.96</v>
      </c>
      <c r="G13" s="1" t="s">
        <v>38</v>
      </c>
      <c r="H13" s="18">
        <f>'Income Statement'!E54</f>
        <v>0.8639832125143075</v>
      </c>
      <c r="I13" s="136" t="str">
        <f>IF(H13&lt;=F13,"Beat (better than goal)","Miss")</f>
        <v>Beat (better than goal)</v>
      </c>
      <c r="J13" s="12" t="s">
        <v>469</v>
      </c>
    </row>
    <row r="14">
      <c r="A14" s="2"/>
      <c r="B14" s="6">
        <v>45719</v>
      </c>
      <c r="C14" s="5" t="s">
        <v>54</v>
      </c>
      <c r="D14" s="12" t="s">
        <v>468</v>
      </c>
      <c r="E14" s="1" t="s">
        <v>38</v>
      </c>
      <c r="F14" s="1">
        <f>F10</f>
        <v>0.96</v>
      </c>
      <c r="G14" s="1" t="s">
        <v>38</v>
      </c>
      <c r="H14" s="18">
        <f>'Income Statement'!D54</f>
        <v>0.8798653581756981</v>
      </c>
      <c r="I14" s="136" t="str">
        <f>IF(H14&lt;=F14,"Beat (better than goal)","Miss")</f>
        <v>Beat (better than goal)</v>
      </c>
      <c r="J14" s="12" t="s">
        <v>470</v>
      </c>
    </row>
    <row r="15">
      <c r="A15" s="2"/>
      <c r="B15" s="6">
        <v>45719</v>
      </c>
      <c r="C15" s="5" t="s">
        <v>53</v>
      </c>
      <c r="D15" s="12" t="s">
        <v>468</v>
      </c>
      <c r="E15" s="1" t="s">
        <v>38</v>
      </c>
      <c r="F15" s="1">
        <f>F10</f>
        <v>0.96</v>
      </c>
      <c r="G15" s="1" t="s">
        <v>38</v>
      </c>
      <c r="H15" s="18">
        <f>'Income Statement'!C54</f>
        <v>0.8949589908388891</v>
      </c>
      <c r="I15" s="136" t="str">
        <f>IF(H15&lt;=F15,"Beat (better than goal)","Miss")</f>
        <v>Beat (better than goal)</v>
      </c>
      <c r="J15" s="12" t="s">
        <v>471</v>
      </c>
    </row>
    <row r="16">
      <c r="A16" s="2"/>
      <c r="B16" s="6">
        <v>45719</v>
      </c>
      <c r="C16" s="5" t="s">
        <v>57</v>
      </c>
      <c r="D16" s="12" t="s">
        <v>472</v>
      </c>
      <c r="E16" s="1" t="s">
        <v>38</v>
      </c>
      <c r="F16" s="1">
        <f>F10</f>
        <v>0.96</v>
      </c>
      <c r="G16" s="1" t="s">
        <v>38</v>
      </c>
      <c r="H16" s="18">
        <f>'Income Statement'!G54</f>
        <v>0.8744933321903968</v>
      </c>
      <c r="I16" s="136" t="str">
        <f>IF(H16&lt;=F16,"Beat (better than goal)","Miss")</f>
        <v>Beat (better than goal)</v>
      </c>
      <c r="J16" s="12" t="s">
        <v>470</v>
      </c>
    </row>
    <row r="17">
      <c r="A17" s="2"/>
      <c r="B17" s="6">
        <v>46237</v>
      </c>
      <c r="C17" s="5" t="s">
        <v>56</v>
      </c>
      <c r="D17" s="12" t="s">
        <v>473</v>
      </c>
      <c r="E17" s="1" t="s">
        <v>38</v>
      </c>
      <c r="F17" s="3">
        <v>0.3</v>
      </c>
      <c r="G17" s="1" t="s">
        <v>38</v>
      </c>
      <c r="H17" s="18">
        <f>'Balance Sheet'!F49</f>
        <v>0.1963249063670412</v>
      </c>
      <c r="I17" s="136" t="str">
        <f>IF(H17&lt;=F17,"Beat (better than goal)","Miss")</f>
        <v>Beat (better than goal)</v>
      </c>
      <c r="J17" s="12" t="s">
        <v>363</v>
      </c>
    </row>
    <row r="18">
      <c r="A18" s="2"/>
      <c r="B18" s="6">
        <v>46306</v>
      </c>
      <c r="C18" s="5" t="s">
        <v>4</v>
      </c>
      <c r="D18" s="12" t="s">
        <v>474</v>
      </c>
      <c r="E18" s="1" t="s">
        <v>64</v>
      </c>
      <c r="F18" s="1" t="s">
        <v>64</v>
      </c>
      <c r="G18" s="1" t="s">
        <v>64</v>
      </c>
      <c r="H18" s="1" t="s">
        <v>38</v>
      </c>
      <c r="I18" s="136" t="s">
        <v>475</v>
      </c>
      <c r="J18" s="12" t="s">
        <v>476</v>
      </c>
    </row>
    <row r="19">
      <c r="A19" s="2"/>
      <c r="B19" s="2"/>
      <c r="C19" s="5"/>
      <c r="D19" s="12"/>
      <c r="E19" s="5"/>
      <c r="F19" s="5"/>
      <c r="G19" s="5"/>
      <c r="H19" s="5"/>
      <c r="I19" s="12"/>
      <c r="J19" s="12"/>
    </row>
    <row r="20">
      <c r="A20" s="2"/>
      <c r="B20" s="2"/>
      <c r="C20" s="5"/>
      <c r="D20" s="12"/>
      <c r="E20" s="5"/>
      <c r="F20" s="5"/>
      <c r="G20" s="5"/>
      <c r="H20" s="5"/>
      <c r="I20" s="12"/>
      <c r="J20" s="12"/>
    </row>
  </sheetData>
</worksheet>
</file>

<file path=xl/worksheets/sheet10.xml><?xml version="1.0" encoding="utf-8"?>
<worksheet xmlns="http://schemas.openxmlformats.org/spreadsheetml/2006/main" xmlns:r="http://schemas.openxmlformats.org/officeDocument/2006/relationships">
  <dimension ref="A1:F43"/>
  <sheetViews>
    <sheetView showGridLines="0" workbookViewId="0"/>
  </sheetViews>
  <sheetFormatPr defaultColWidth="8.42578125" defaultRowHeight="15"/>
  <cols>
    <col min="1" max="1" width="2" customWidth="1"/>
    <col min="2" max="2" width="15" customWidth="1"/>
    <col min="3" max="3" width="14" customWidth="1"/>
    <col min="4" max="4" width="30" customWidth="1"/>
    <col min="5" max="5" width="60" customWidth="1"/>
    <col min="6" max="6" width="80" customWidth="1"/>
  </cols>
  <sheetData>
    <row r="1">
      <c r="A1" s="2"/>
      <c r="B1" s="2"/>
      <c r="C1" s="2"/>
      <c r="D1" s="2"/>
      <c r="E1" s="2"/>
      <c r="F1" s="2"/>
    </row>
    <row r="2">
      <c r="A2" s="2"/>
      <c r="B2" s="11" t="s">
        <v>1</v>
      </c>
      <c r="C2" s="2"/>
      <c r="D2" s="2"/>
      <c r="E2" s="2"/>
      <c r="F2" s="2"/>
    </row>
    <row r="3">
      <c r="A3" s="2"/>
      <c r="B3" s="21" t="s">
        <v>477</v>
      </c>
      <c r="C3" s="2"/>
      <c r="D3" s="2"/>
      <c r="E3" s="2"/>
      <c r="F3" s="2"/>
    </row>
    <row r="4">
      <c r="A4" s="2"/>
      <c r="B4" s="19" t="s">
        <v>2</v>
      </c>
      <c r="C4" s="2"/>
      <c r="D4" s="2"/>
      <c r="E4" s="2"/>
      <c r="F4" s="2"/>
    </row>
    <row r="5">
      <c r="A5" s="2"/>
      <c r="B5" s="17" t="s">
        <v>3</v>
      </c>
      <c r="C5" s="4" t="s">
        <v>4</v>
      </c>
      <c r="D5" s="4"/>
      <c r="E5" s="4"/>
      <c r="F5" s="4"/>
    </row>
    <row r="6">
      <c r="A6" s="2"/>
      <c r="B6" s="15" t="s">
        <v>10</v>
      </c>
      <c r="C6" s="14">
        <f>DATE(2026,9,30)</f>
        <v>46295</v>
      </c>
      <c r="D6" s="14"/>
      <c r="E6" s="14"/>
      <c r="F6" s="14"/>
    </row>
    <row r="7">
      <c r="A7" s="2"/>
      <c r="B7" s="7" t="s">
        <v>11</v>
      </c>
      <c r="C7" s="28">
        <v>92</v>
      </c>
      <c r="D7" s="9"/>
      <c r="E7" s="9"/>
      <c r="F7" s="9"/>
    </row>
    <row r="8">
      <c r="A8" s="2"/>
      <c r="B8" s="2"/>
      <c r="C8" s="2"/>
      <c r="D8" s="2"/>
      <c r="E8" s="2"/>
      <c r="F8" s="2"/>
    </row>
    <row r="9" ht="26.25">
      <c r="A9" s="2"/>
      <c r="B9" s="13" t="s">
        <v>478</v>
      </c>
      <c r="C9" s="112" t="s">
        <v>479</v>
      </c>
      <c r="D9" s="13" t="s">
        <v>480</v>
      </c>
      <c r="E9" s="13" t="s">
        <v>481</v>
      </c>
      <c r="F9" s="13" t="s">
        <v>482</v>
      </c>
    </row>
    <row r="10" ht="26.25">
      <c r="A10" s="2"/>
      <c r="B10" s="10" t="s">
        <v>476</v>
      </c>
      <c r="C10" s="8">
        <v>46306</v>
      </c>
      <c r="D10" s="10" t="s">
        <v>483</v>
      </c>
      <c r="E10" s="10" t="s">
        <v>484</v>
      </c>
      <c r="F10" s="10" t="s">
        <v>485</v>
      </c>
    </row>
    <row r="11" ht="26.25">
      <c r="A11" s="2"/>
      <c r="B11" s="10" t="s">
        <v>486</v>
      </c>
      <c r="C11" s="8">
        <v>46306</v>
      </c>
      <c r="D11" s="10" t="s">
        <v>483</v>
      </c>
      <c r="E11" s="10" t="s">
        <v>487</v>
      </c>
      <c r="F11" s="10" t="s">
        <v>488</v>
      </c>
    </row>
    <row r="12" ht="26.25">
      <c r="A12" s="2"/>
      <c r="B12" s="10" t="s">
        <v>349</v>
      </c>
      <c r="C12" s="8">
        <v>46283</v>
      </c>
      <c r="D12" s="10" t="s">
        <v>489</v>
      </c>
      <c r="E12" s="10" t="s">
        <v>490</v>
      </c>
      <c r="F12" s="10" t="s">
        <v>491</v>
      </c>
    </row>
    <row r="13" ht="26.25">
      <c r="A13" s="2"/>
      <c r="B13" s="10" t="s">
        <v>365</v>
      </c>
      <c r="C13" s="8">
        <v>46253</v>
      </c>
      <c r="D13" s="10" t="s">
        <v>492</v>
      </c>
      <c r="E13" s="10" t="s">
        <v>493</v>
      </c>
      <c r="F13" s="10" t="s">
        <v>494</v>
      </c>
    </row>
    <row r="14" ht="26.25">
      <c r="A14" s="2"/>
      <c r="B14" s="10" t="s">
        <v>495</v>
      </c>
      <c r="C14" s="8">
        <v>46218</v>
      </c>
      <c r="D14" s="10" t="s">
        <v>492</v>
      </c>
      <c r="E14" s="10" t="s">
        <v>496</v>
      </c>
      <c r="F14" s="10" t="s">
        <v>497</v>
      </c>
    </row>
    <row r="15" ht="26.25">
      <c r="A15" s="2"/>
      <c r="B15" s="10" t="s">
        <v>363</v>
      </c>
      <c r="C15" s="8">
        <v>46237</v>
      </c>
      <c r="D15" s="10" t="s">
        <v>498</v>
      </c>
      <c r="E15" s="10" t="s">
        <v>499</v>
      </c>
      <c r="F15" s="10" t="s">
        <v>500</v>
      </c>
    </row>
    <row r="16" ht="26.25">
      <c r="A16" s="2"/>
      <c r="B16" s="10" t="s">
        <v>469</v>
      </c>
      <c r="C16" s="8">
        <v>46146</v>
      </c>
      <c r="D16" s="10" t="s">
        <v>501</v>
      </c>
      <c r="E16" s="10" t="s">
        <v>502</v>
      </c>
      <c r="F16" s="10" t="s">
        <v>503</v>
      </c>
    </row>
    <row r="17" ht="26.25">
      <c r="A17" s="2"/>
      <c r="B17" s="10" t="s">
        <v>504</v>
      </c>
      <c r="C17" s="8">
        <v>46127</v>
      </c>
      <c r="D17" s="10" t="s">
        <v>492</v>
      </c>
      <c r="E17" s="10" t="s">
        <v>505</v>
      </c>
      <c r="F17" s="10" t="s">
        <v>506</v>
      </c>
    </row>
    <row r="18" ht="26.25">
      <c r="A18" s="2"/>
      <c r="B18" s="10" t="s">
        <v>507</v>
      </c>
      <c r="C18" s="8">
        <v>46050</v>
      </c>
      <c r="D18" s="10" t="s">
        <v>508</v>
      </c>
      <c r="E18" s="10" t="s">
        <v>509</v>
      </c>
      <c r="F18" s="10" t="s">
        <v>510</v>
      </c>
    </row>
    <row r="19" ht="26.25">
      <c r="A19" s="2"/>
      <c r="B19" s="10" t="s">
        <v>178</v>
      </c>
      <c r="C19" s="8">
        <v>46083</v>
      </c>
      <c r="D19" s="10" t="s">
        <v>511</v>
      </c>
      <c r="E19" s="10" t="s">
        <v>512</v>
      </c>
      <c r="F19" s="10" t="s">
        <v>513</v>
      </c>
    </row>
    <row r="20" ht="26.25">
      <c r="A20" s="2"/>
      <c r="B20" s="10" t="s">
        <v>514</v>
      </c>
      <c r="C20" s="8">
        <v>45964</v>
      </c>
      <c r="D20" s="10" t="s">
        <v>515</v>
      </c>
      <c r="E20" s="10" t="s">
        <v>516</v>
      </c>
      <c r="F20" s="10" t="s">
        <v>517</v>
      </c>
    </row>
    <row r="21" ht="26.25">
      <c r="A21" s="2"/>
      <c r="B21" s="10" t="s">
        <v>518</v>
      </c>
      <c r="C21" s="8">
        <v>45945</v>
      </c>
      <c r="D21" s="10" t="s">
        <v>492</v>
      </c>
      <c r="E21" s="10" t="s">
        <v>519</v>
      </c>
      <c r="F21" s="10" t="s">
        <v>520</v>
      </c>
    </row>
    <row r="22" ht="26.25">
      <c r="A22" s="2"/>
      <c r="B22" s="10" t="s">
        <v>521</v>
      </c>
      <c r="C22" s="8">
        <v>45686</v>
      </c>
      <c r="D22" s="10" t="s">
        <v>492</v>
      </c>
      <c r="E22" s="10" t="s">
        <v>522</v>
      </c>
      <c r="F22" s="10" t="s">
        <v>523</v>
      </c>
    </row>
    <row r="23" ht="26.25">
      <c r="A23" s="2"/>
      <c r="B23" s="10" t="s">
        <v>524</v>
      </c>
      <c r="C23" s="8">
        <v>46238</v>
      </c>
      <c r="D23" s="10" t="s">
        <v>525</v>
      </c>
      <c r="E23" s="10" t="s">
        <v>526</v>
      </c>
      <c r="F23" s="10" t="s">
        <v>527</v>
      </c>
    </row>
    <row r="24" ht="26.25">
      <c r="A24" s="2"/>
      <c r="B24" s="10" t="s">
        <v>528</v>
      </c>
      <c r="C24" s="8">
        <v>45965</v>
      </c>
      <c r="D24" s="10" t="s">
        <v>529</v>
      </c>
      <c r="E24" s="10" t="s">
        <v>530</v>
      </c>
      <c r="F24" s="10" t="s">
        <v>531</v>
      </c>
    </row>
    <row r="25" ht="26.25">
      <c r="A25" s="2"/>
      <c r="B25" s="10" t="s">
        <v>532</v>
      </c>
      <c r="C25" s="8">
        <v>46036</v>
      </c>
      <c r="D25" s="10" t="s">
        <v>533</v>
      </c>
      <c r="E25" s="10" t="s">
        <v>534</v>
      </c>
      <c r="F25" s="10" t="s">
        <v>535</v>
      </c>
    </row>
    <row r="26">
      <c r="A26" s="2"/>
      <c r="B26" s="10" t="s">
        <v>536</v>
      </c>
      <c r="C26" s="8">
        <v>46304</v>
      </c>
      <c r="D26" s="10" t="s">
        <v>537</v>
      </c>
      <c r="E26" s="10" t="s">
        <v>538</v>
      </c>
      <c r="F26" s="10" t="s">
        <v>539</v>
      </c>
    </row>
    <row r="27">
      <c r="A27" s="2"/>
      <c r="B27" s="10" t="s">
        <v>540</v>
      </c>
      <c r="C27" s="8">
        <v>46301</v>
      </c>
      <c r="D27" s="10" t="s">
        <v>541</v>
      </c>
      <c r="E27" s="10" t="s">
        <v>542</v>
      </c>
      <c r="F27" s="10" t="s">
        <v>543</v>
      </c>
    </row>
    <row r="28" ht="26.25">
      <c r="A28" s="2"/>
      <c r="B28" s="10" t="s">
        <v>544</v>
      </c>
      <c r="C28" s="8">
        <v>46282</v>
      </c>
      <c r="D28" s="10" t="s">
        <v>545</v>
      </c>
      <c r="E28" s="10" t="s">
        <v>546</v>
      </c>
      <c r="F28" s="10" t="s">
        <v>547</v>
      </c>
    </row>
    <row r="29" ht="37.5">
      <c r="A29" s="2"/>
      <c r="B29" s="10" t="s">
        <v>548</v>
      </c>
      <c r="C29" s="8">
        <v>46252</v>
      </c>
      <c r="D29" s="10" t="s">
        <v>549</v>
      </c>
      <c r="E29" s="10" t="s">
        <v>550</v>
      </c>
      <c r="F29" s="10" t="s">
        <v>551</v>
      </c>
    </row>
    <row r="30" ht="26.25">
      <c r="A30" s="2"/>
      <c r="B30" s="10" t="s">
        <v>552</v>
      </c>
      <c r="C30" s="8">
        <v>46303</v>
      </c>
      <c r="D30" s="10" t="s">
        <v>553</v>
      </c>
      <c r="E30" s="10" t="s">
        <v>554</v>
      </c>
      <c r="F30" s="10" t="s">
        <v>555</v>
      </c>
    </row>
    <row r="31" ht="26.25">
      <c r="A31" s="2"/>
      <c r="B31" s="10" t="s">
        <v>368</v>
      </c>
      <c r="C31" s="8">
        <v>46300</v>
      </c>
      <c r="D31" s="10" t="s">
        <v>556</v>
      </c>
      <c r="E31" s="10" t="s">
        <v>557</v>
      </c>
      <c r="F31" s="10" t="s">
        <v>558</v>
      </c>
    </row>
    <row r="32" ht="26.25">
      <c r="A32" s="2"/>
      <c r="B32" s="10" t="s">
        <v>559</v>
      </c>
      <c r="C32" s="8">
        <v>46288</v>
      </c>
      <c r="D32" s="10" t="s">
        <v>560</v>
      </c>
      <c r="E32" s="10" t="s">
        <v>561</v>
      </c>
      <c r="F32" s="10" t="s">
        <v>562</v>
      </c>
    </row>
    <row r="33" ht="26.25">
      <c r="A33" s="2"/>
      <c r="B33" s="10" t="s">
        <v>563</v>
      </c>
      <c r="C33" s="8">
        <v>46283</v>
      </c>
      <c r="D33" s="10" t="s">
        <v>564</v>
      </c>
      <c r="E33" s="10" t="s">
        <v>565</v>
      </c>
      <c r="F33" s="10" t="s">
        <v>566</v>
      </c>
    </row>
    <row r="34" ht="37.5">
      <c r="A34" s="2"/>
      <c r="B34" s="10" t="s">
        <v>567</v>
      </c>
      <c r="C34" s="8">
        <v>46288</v>
      </c>
      <c r="D34" s="10" t="s">
        <v>568</v>
      </c>
      <c r="E34" s="10" t="s">
        <v>569</v>
      </c>
      <c r="F34" s="10" t="s">
        <v>570</v>
      </c>
    </row>
    <row r="35" ht="26.25">
      <c r="A35" s="2"/>
      <c r="B35" s="10" t="s">
        <v>571</v>
      </c>
      <c r="C35" s="8">
        <v>46234</v>
      </c>
      <c r="D35" s="10" t="s">
        <v>572</v>
      </c>
      <c r="E35" s="10" t="s">
        <v>573</v>
      </c>
      <c r="F35" s="10" t="s">
        <v>574</v>
      </c>
    </row>
    <row r="36" ht="26.25">
      <c r="A36" s="2"/>
      <c r="B36" s="10" t="s">
        <v>575</v>
      </c>
      <c r="C36" s="8">
        <v>46296</v>
      </c>
      <c r="D36" s="10" t="s">
        <v>576</v>
      </c>
      <c r="E36" s="10" t="s">
        <v>577</v>
      </c>
      <c r="F36" s="10" t="s">
        <v>578</v>
      </c>
    </row>
    <row r="37" ht="26.25">
      <c r="A37" s="2"/>
      <c r="B37" s="10" t="s">
        <v>361</v>
      </c>
      <c r="C37" s="8">
        <v>46244</v>
      </c>
      <c r="D37" s="10" t="s">
        <v>579</v>
      </c>
      <c r="E37" s="10" t="s">
        <v>580</v>
      </c>
      <c r="F37" s="10" t="s">
        <v>581</v>
      </c>
    </row>
    <row r="38" ht="26.25">
      <c r="A38" s="2"/>
      <c r="B38" s="10" t="s">
        <v>582</v>
      </c>
      <c r="C38" s="8">
        <v>46307</v>
      </c>
      <c r="D38" s="10" t="s">
        <v>583</v>
      </c>
      <c r="E38" s="10" t="s">
        <v>584</v>
      </c>
      <c r="F38" s="10" t="s">
        <v>585</v>
      </c>
    </row>
    <row r="39">
      <c r="A39" s="2"/>
      <c r="B39" s="10" t="s">
        <v>586</v>
      </c>
      <c r="C39" s="128" t="s">
        <v>587</v>
      </c>
      <c r="D39" s="10" t="s">
        <v>33</v>
      </c>
      <c r="E39" s="10" t="s">
        <v>588</v>
      </c>
      <c r="F39" s="10" t="s">
        <v>589</v>
      </c>
    </row>
    <row r="40" ht="26.25">
      <c r="A40" s="2"/>
      <c r="B40" s="10" t="s">
        <v>590</v>
      </c>
      <c r="C40" s="128" t="s">
        <v>587</v>
      </c>
      <c r="D40" s="10" t="s">
        <v>591</v>
      </c>
      <c r="E40" s="10" t="s">
        <v>592</v>
      </c>
      <c r="F40" s="10" t="s">
        <v>593</v>
      </c>
    </row>
    <row r="41" ht="60">
      <c r="A41" s="2"/>
      <c r="B41" s="10" t="s">
        <v>590</v>
      </c>
      <c r="C41" s="128" t="s">
        <v>587</v>
      </c>
      <c r="D41" s="10" t="s">
        <v>594</v>
      </c>
      <c r="E41" s="10" t="s">
        <v>595</v>
      </c>
      <c r="F41" s="10" t="s">
        <v>596</v>
      </c>
    </row>
    <row r="42" ht="37.5">
      <c r="A42" s="2"/>
      <c r="B42" s="113" t="s">
        <v>597</v>
      </c>
      <c r="C42" s="128" t="s">
        <v>587</v>
      </c>
      <c r="D42" s="113" t="s">
        <v>598</v>
      </c>
      <c r="E42" s="113" t="s">
        <v>599</v>
      </c>
      <c r="F42" s="113" t="s">
        <v>600</v>
      </c>
    </row>
    <row r="43">
      <c r="A43" s="2"/>
      <c r="B43" s="10"/>
      <c r="C43" s="10"/>
      <c r="D43" s="10"/>
      <c r="E43" s="10"/>
      <c r="F43" s="10"/>
    </row>
  </sheetData>
</worksheet>
</file>

<file path=xl/worksheets/sheet11.xml><?xml version="1.0" encoding="utf-8"?>
<worksheet xmlns="http://schemas.openxmlformats.org/spreadsheetml/2006/main" xmlns:r="http://schemas.openxmlformats.org/officeDocument/2006/relationships">
  <dimension ref="A1:J162"/>
  <sheetViews>
    <sheetView showGridLines="0" workbookViewId="0"/>
  </sheetViews>
  <sheetFormatPr defaultColWidth="8.42578125" defaultRowHeight="15"/>
  <cols>
    <col min="1" max="1" width="2" customWidth="1"/>
    <col min="2" max="2" width="42" customWidth="1"/>
    <col min="3" max="7" width="12" customWidth="1"/>
    <col min="8" max="9" width="2" customWidth="1"/>
    <col min="10" max="10" width="16" customWidth="1"/>
  </cols>
  <sheetData>
    <row r="1">
      <c r="A1" s="2"/>
      <c r="B1" s="2"/>
      <c r="C1" s="2"/>
      <c r="D1" s="2"/>
      <c r="E1" s="2"/>
      <c r="F1" s="2"/>
      <c r="G1" s="2"/>
      <c r="H1" s="2"/>
      <c r="I1" s="2"/>
      <c r="J1" s="2"/>
    </row>
    <row r="2">
      <c r="A2" s="2"/>
      <c r="B2" s="11" t="s">
        <v>1</v>
      </c>
      <c r="C2" s="2"/>
      <c r="D2" s="2"/>
      <c r="E2" s="2"/>
      <c r="F2" s="2"/>
      <c r="G2" s="2"/>
      <c r="H2" s="2"/>
      <c r="I2" s="2"/>
      <c r="J2" s="2"/>
    </row>
    <row r="3">
      <c r="A3" s="2"/>
      <c r="B3" s="21" t="s">
        <v>601</v>
      </c>
      <c r="C3" s="2"/>
      <c r="D3" s="2"/>
      <c r="E3" s="2"/>
      <c r="F3" s="2"/>
      <c r="G3" s="2"/>
      <c r="H3" s="2"/>
      <c r="I3" s="2"/>
      <c r="J3" s="2"/>
    </row>
    <row r="4">
      <c r="A4" s="2"/>
      <c r="B4" s="19" t="s">
        <v>2</v>
      </c>
      <c r="C4" s="2"/>
      <c r="D4" s="2"/>
      <c r="E4" s="2"/>
      <c r="F4" s="2"/>
      <c r="G4" s="2"/>
      <c r="H4" s="2"/>
      <c r="I4" s="2"/>
      <c r="J4" s="2"/>
    </row>
    <row r="5">
      <c r="A5" s="2"/>
      <c r="B5" s="17" t="s">
        <v>3</v>
      </c>
      <c r="C5" s="4" t="s">
        <v>602</v>
      </c>
      <c r="D5" s="4" t="s">
        <v>603</v>
      </c>
      <c r="E5" s="4" t="s">
        <v>604</v>
      </c>
      <c r="F5" s="69" t="s">
        <v>605</v>
      </c>
      <c r="G5" s="69" t="s">
        <v>4</v>
      </c>
      <c r="H5" s="4"/>
      <c r="I5" s="4"/>
      <c r="J5" s="114" t="s">
        <v>58</v>
      </c>
    </row>
    <row r="6">
      <c r="A6" s="2"/>
      <c r="B6" s="15" t="s">
        <v>10</v>
      </c>
      <c r="C6" s="14">
        <f>DATE(2025,9,30)</f>
        <v>45930</v>
      </c>
      <c r="D6" s="14">
        <f>DATE(2026,7,31)</f>
        <v>46234</v>
      </c>
      <c r="E6" s="14">
        <f>DATE(2026,8,31)</f>
        <v>46265</v>
      </c>
      <c r="F6" s="40">
        <f>DATE(2026,9,30)</f>
        <v>46295</v>
      </c>
      <c r="G6" s="40">
        <f>DATE(2026,9,30)</f>
        <v>46295</v>
      </c>
      <c r="H6" s="14"/>
      <c r="I6" s="14"/>
      <c r="J6" s="14"/>
    </row>
    <row r="7">
      <c r="A7" s="2"/>
      <c r="B7" s="7" t="s">
        <v>11</v>
      </c>
      <c r="C7" s="28">
        <v>30</v>
      </c>
      <c r="D7" s="28">
        <v>31</v>
      </c>
      <c r="E7" s="28">
        <v>31</v>
      </c>
      <c r="F7" s="62">
        <v>30</v>
      </c>
      <c r="G7" s="62">
        <v>92</v>
      </c>
      <c r="H7" s="9"/>
      <c r="I7" s="9"/>
      <c r="J7" s="9"/>
    </row>
    <row r="8">
      <c r="A8" s="2"/>
      <c r="B8" s="2"/>
      <c r="C8" s="2"/>
      <c r="D8" s="2"/>
      <c r="E8" s="2"/>
      <c r="F8" s="60"/>
      <c r="G8" s="60"/>
      <c r="H8" s="2"/>
      <c r="I8" s="2"/>
      <c r="J8" s="2"/>
    </row>
    <row r="9">
      <c r="A9" s="2"/>
      <c r="B9" s="21" t="s">
        <v>606</v>
      </c>
      <c r="C9" s="26"/>
      <c r="D9" s="26"/>
      <c r="E9" s="26"/>
      <c r="F9" s="56"/>
      <c r="G9" s="56"/>
      <c r="H9" s="2"/>
      <c r="I9" s="2"/>
      <c r="J9" s="45"/>
    </row>
    <row r="10">
      <c r="A10" s="2"/>
      <c r="B10" s="66" t="s">
        <v>607</v>
      </c>
      <c r="C10" s="97">
        <v>10575</v>
      </c>
      <c r="D10" s="77">
        <f>'Segment - Personal Lines'!F14</f>
        <v>11211</v>
      </c>
      <c r="E10" s="83">
        <f>D12</f>
        <v>11282</v>
      </c>
      <c r="F10" s="76">
        <f>E12</f>
        <v>11343</v>
      </c>
      <c r="G10" s="76">
        <f>D10</f>
        <v>11211</v>
      </c>
      <c r="H10" s="2"/>
      <c r="I10" s="2"/>
      <c r="J10" s="45" t="s">
        <v>608</v>
      </c>
    </row>
    <row r="11">
      <c r="A11" s="2"/>
      <c r="B11" s="92" t="s">
        <v>101</v>
      </c>
      <c r="C11" s="83">
        <f>C12-C10</f>
        <v>55</v>
      </c>
      <c r="D11" s="83">
        <f>D12-D10</f>
        <v>71</v>
      </c>
      <c r="E11" s="83">
        <f>E12-E10</f>
        <v>61</v>
      </c>
      <c r="F11" s="98">
        <v>55</v>
      </c>
      <c r="G11" s="76">
        <f>SUM(D11:F11)</f>
        <v>187</v>
      </c>
      <c r="H11" s="2"/>
      <c r="I11" s="2"/>
      <c r="J11" s="45"/>
    </row>
    <row r="12">
      <c r="A12" s="2"/>
      <c r="B12" s="66" t="s">
        <v>609</v>
      </c>
      <c r="C12" s="77">
        <f>'Segment - Personal Lines'!C14</f>
        <v>10630</v>
      </c>
      <c r="D12" s="97">
        <v>11282</v>
      </c>
      <c r="E12" s="97">
        <v>11343</v>
      </c>
      <c r="F12" s="76">
        <f>F10+F11</f>
        <v>11398</v>
      </c>
      <c r="G12" s="76">
        <f>F12</f>
        <v>11398</v>
      </c>
      <c r="H12" s="2"/>
      <c r="I12" s="2"/>
      <c r="J12" s="45" t="s">
        <v>610</v>
      </c>
    </row>
    <row r="13">
      <c r="A13" s="2"/>
      <c r="B13" s="66" t="s">
        <v>611</v>
      </c>
      <c r="C13" s="97">
        <v>15524</v>
      </c>
      <c r="D13" s="77">
        <f>'Segment - Personal Lines'!F25</f>
        <v>16721</v>
      </c>
      <c r="E13" s="83">
        <f>D15</f>
        <v>16800</v>
      </c>
      <c r="F13" s="76">
        <f>E15</f>
        <v>16879</v>
      </c>
      <c r="G13" s="76">
        <f>D13</f>
        <v>16721</v>
      </c>
      <c r="H13" s="2"/>
      <c r="I13" s="2"/>
      <c r="J13" s="45" t="s">
        <v>608</v>
      </c>
    </row>
    <row r="14">
      <c r="A14" s="2"/>
      <c r="B14" s="92" t="s">
        <v>111</v>
      </c>
      <c r="C14" s="83">
        <f>C15-C13</f>
        <v>95</v>
      </c>
      <c r="D14" s="83">
        <f>D15-D13</f>
        <v>79</v>
      </c>
      <c r="E14" s="83">
        <f>E15-E13</f>
        <v>79</v>
      </c>
      <c r="F14" s="98">
        <v>80</v>
      </c>
      <c r="G14" s="76">
        <f>SUM(D14:F14)</f>
        <v>238</v>
      </c>
      <c r="H14" s="2"/>
      <c r="I14" s="2"/>
      <c r="J14" s="45"/>
    </row>
    <row r="15">
      <c r="A15" s="2"/>
      <c r="B15" s="66" t="s">
        <v>612</v>
      </c>
      <c r="C15" s="77">
        <f>'Segment - Personal Lines'!C25</f>
        <v>15619</v>
      </c>
      <c r="D15" s="97">
        <v>16800</v>
      </c>
      <c r="E15" s="97">
        <v>16879</v>
      </c>
      <c r="F15" s="76">
        <f>F13+F14</f>
        <v>16959</v>
      </c>
      <c r="G15" s="76">
        <f>F15</f>
        <v>16959</v>
      </c>
      <c r="H15" s="2"/>
      <c r="I15" s="2"/>
      <c r="J15" s="45" t="s">
        <v>610</v>
      </c>
    </row>
    <row r="16">
      <c r="A16" s="2"/>
      <c r="B16" s="66" t="s">
        <v>613</v>
      </c>
      <c r="C16" s="97">
        <v>6955</v>
      </c>
      <c r="D16" s="77">
        <f>'Segment - Personal Lines'!F36</f>
        <v>7297</v>
      </c>
      <c r="E16" s="83">
        <f>D18</f>
        <v>7351</v>
      </c>
      <c r="F16" s="76">
        <f>E18</f>
        <v>7378</v>
      </c>
      <c r="G16" s="76">
        <f>D16</f>
        <v>7297</v>
      </c>
      <c r="H16" s="2"/>
      <c r="I16" s="2"/>
      <c r="J16" s="45" t="s">
        <v>608</v>
      </c>
    </row>
    <row r="17">
      <c r="A17" s="2"/>
      <c r="B17" s="92" t="s">
        <v>117</v>
      </c>
      <c r="C17" s="83">
        <f>C18-C16</f>
        <v>25</v>
      </c>
      <c r="D17" s="83">
        <f>D18-D16</f>
        <v>54</v>
      </c>
      <c r="E17" s="83">
        <f>E18-E16</f>
        <v>27</v>
      </c>
      <c r="F17" s="98">
        <v>20</v>
      </c>
      <c r="G17" s="76">
        <f>SUM(D17:F17)</f>
        <v>101</v>
      </c>
      <c r="H17" s="2"/>
      <c r="I17" s="2"/>
      <c r="J17" s="45"/>
    </row>
    <row r="18">
      <c r="A18" s="2"/>
      <c r="B18" s="66" t="s">
        <v>614</v>
      </c>
      <c r="C18" s="77">
        <f>'Segment - Personal Lines'!C36</f>
        <v>6980</v>
      </c>
      <c r="D18" s="97">
        <v>7351</v>
      </c>
      <c r="E18" s="97">
        <v>7378</v>
      </c>
      <c r="F18" s="76">
        <f>F16+F17</f>
        <v>7398</v>
      </c>
      <c r="G18" s="76">
        <f>F18</f>
        <v>7398</v>
      </c>
      <c r="H18" s="2"/>
      <c r="I18" s="2"/>
      <c r="J18" s="45" t="s">
        <v>610</v>
      </c>
    </row>
    <row r="19">
      <c r="A19" s="2"/>
      <c r="B19" s="66" t="s">
        <v>615</v>
      </c>
      <c r="C19" s="97">
        <v>3639</v>
      </c>
      <c r="D19" s="77">
        <f>'Segment - Personal Lines'!F47</f>
        <v>3631</v>
      </c>
      <c r="E19" s="83">
        <f>D21</f>
        <v>3635</v>
      </c>
      <c r="F19" s="76">
        <f>E21</f>
        <v>3647</v>
      </c>
      <c r="G19" s="76">
        <f>D19</f>
        <v>3631</v>
      </c>
      <c r="H19" s="2"/>
      <c r="I19" s="2"/>
      <c r="J19" s="45" t="s">
        <v>608</v>
      </c>
    </row>
    <row r="20">
      <c r="A20" s="2"/>
      <c r="B20" s="92" t="s">
        <v>123</v>
      </c>
      <c r="C20" s="83">
        <f>C21-C19</f>
        <v>12</v>
      </c>
      <c r="D20" s="83">
        <f>D21-D19</f>
        <v>4</v>
      </c>
      <c r="E20" s="83">
        <f>E21-E19</f>
        <v>12</v>
      </c>
      <c r="F20" s="98">
        <v>5</v>
      </c>
      <c r="G20" s="76">
        <f>SUM(D20:F20)</f>
        <v>21</v>
      </c>
      <c r="H20" s="2"/>
      <c r="I20" s="2"/>
      <c r="J20" s="45"/>
    </row>
    <row r="21">
      <c r="A21" s="2"/>
      <c r="B21" s="66" t="s">
        <v>616</v>
      </c>
      <c r="C21" s="77">
        <f>'Segment - Personal Lines'!C47</f>
        <v>3651</v>
      </c>
      <c r="D21" s="97">
        <v>3635</v>
      </c>
      <c r="E21" s="97">
        <v>3647</v>
      </c>
      <c r="F21" s="76">
        <f>F19+F20</f>
        <v>3652</v>
      </c>
      <c r="G21" s="76">
        <f>F21</f>
        <v>3652</v>
      </c>
      <c r="H21" s="2"/>
      <c r="I21" s="2"/>
      <c r="J21" s="45" t="s">
        <v>610</v>
      </c>
    </row>
    <row r="22">
      <c r="A22" s="2"/>
      <c r="B22" s="66" t="s">
        <v>617</v>
      </c>
      <c r="C22" s="97">
        <v>1197</v>
      </c>
      <c r="D22" s="77">
        <f>'Segment - Commercial Lines'!F14</f>
        <v>1226</v>
      </c>
      <c r="E22" s="83">
        <f>D24</f>
        <v>1236</v>
      </c>
      <c r="F22" s="76">
        <f>E24</f>
        <v>1245</v>
      </c>
      <c r="G22" s="76">
        <f>D22</f>
        <v>1226</v>
      </c>
      <c r="H22" s="2"/>
      <c r="I22" s="2"/>
      <c r="J22" s="45" t="s">
        <v>608</v>
      </c>
    </row>
    <row r="23">
      <c r="A23" s="2"/>
      <c r="B23" s="92" t="s">
        <v>211</v>
      </c>
      <c r="C23" s="83">
        <f>C24-C22</f>
        <v>1</v>
      </c>
      <c r="D23" s="83">
        <f>D24-D22</f>
        <v>10</v>
      </c>
      <c r="E23" s="83">
        <f>E24-E22</f>
        <v>9</v>
      </c>
      <c r="F23" s="98">
        <v>3</v>
      </c>
      <c r="G23" s="76">
        <f>SUM(D23:F23)</f>
        <v>22</v>
      </c>
      <c r="H23" s="2"/>
      <c r="I23" s="2"/>
      <c r="J23" s="45"/>
    </row>
    <row r="24">
      <c r="A24" s="2"/>
      <c r="B24" s="66" t="s">
        <v>618</v>
      </c>
      <c r="C24" s="77">
        <f>'Segment - Commercial Lines'!C14</f>
        <v>1198</v>
      </c>
      <c r="D24" s="97">
        <v>1236</v>
      </c>
      <c r="E24" s="97">
        <v>1245</v>
      </c>
      <c r="F24" s="76">
        <f>F22+F23</f>
        <v>1248</v>
      </c>
      <c r="G24" s="76">
        <f>F24</f>
        <v>1248</v>
      </c>
      <c r="H24" s="2"/>
      <c r="I24" s="2"/>
      <c r="J24" s="45" t="s">
        <v>610</v>
      </c>
    </row>
    <row r="25">
      <c r="A25" s="2"/>
      <c r="B25" s="21" t="s">
        <v>619</v>
      </c>
      <c r="C25" s="93">
        <f>SUM(C12,C15,C18,C21,C24)</f>
        <v>38078</v>
      </c>
      <c r="D25" s="93">
        <f>SUM(D12,D15,D18,D21,D24)</f>
        <v>40304</v>
      </c>
      <c r="E25" s="93">
        <f>SUM(E12,E15,E18,E21,E24)</f>
        <v>40492</v>
      </c>
      <c r="F25" s="101">
        <f>SUM(F12,F15,F18,F21,F24)</f>
        <v>40655</v>
      </c>
      <c r="G25" s="101">
        <f>SUM(G12,G15,G18,G21,G24)</f>
        <v>40655</v>
      </c>
      <c r="H25" s="2"/>
      <c r="I25" s="2"/>
      <c r="J25" s="45"/>
    </row>
    <row r="26">
      <c r="A26" s="2"/>
      <c r="B26" s="2"/>
      <c r="C26" s="5"/>
      <c r="D26" s="5"/>
      <c r="E26" s="5"/>
      <c r="F26" s="20"/>
      <c r="G26" s="20"/>
      <c r="H26" s="2"/>
      <c r="I26" s="2"/>
      <c r="J26" s="45"/>
    </row>
    <row r="27">
      <c r="A27" s="2"/>
      <c r="B27" s="21" t="s">
        <v>620</v>
      </c>
      <c r="C27" s="26"/>
      <c r="D27" s="26"/>
      <c r="E27" s="26"/>
      <c r="F27" s="56"/>
      <c r="G27" s="56"/>
      <c r="H27" s="2"/>
      <c r="I27" s="2"/>
      <c r="J27" s="45"/>
    </row>
    <row r="28">
      <c r="A28" s="2"/>
      <c r="B28" s="19" t="s">
        <v>621</v>
      </c>
      <c r="C28" s="3">
        <v>0.55</v>
      </c>
      <c r="D28" s="1"/>
      <c r="E28" s="1"/>
      <c r="F28" s="49"/>
      <c r="G28" s="49"/>
      <c r="H28" s="2"/>
      <c r="I28" s="2"/>
      <c r="J28" s="45" t="s">
        <v>622</v>
      </c>
    </row>
    <row r="29">
      <c r="A29" s="2"/>
      <c r="B29" s="66" t="s">
        <v>623</v>
      </c>
      <c r="C29" s="83">
        <f>(C10+C12)/2+$C$28*(C16+C18)/2</f>
        <v>14434.625</v>
      </c>
      <c r="D29" s="83">
        <f>(D10+D12)/2+$C$28*(D16+D18)/2</f>
        <v>15274.7</v>
      </c>
      <c r="E29" s="83">
        <f>(E10+E12)/2+$C$28*(E16+E18)/2</f>
        <v>15362.975</v>
      </c>
      <c r="F29" s="76">
        <f>(F10+F12)/2+$C$28*(F16+F18)/2</f>
        <v>15433.900000000001</v>
      </c>
      <c r="G29" s="76">
        <f>AVERAGE(D29:F29)</f>
        <v>15357.191666666668</v>
      </c>
      <c r="H29" s="2"/>
      <c r="I29" s="2"/>
      <c r="J29" s="45"/>
    </row>
    <row r="30">
      <c r="A30" s="2"/>
      <c r="B30" s="66" t="s">
        <v>624</v>
      </c>
      <c r="C30" s="83">
        <f>(C13+C15)/2+(1-$C$28)*(C16+C18)/2</f>
        <v>18706.875</v>
      </c>
      <c r="D30" s="83">
        <f>(D13+D15)/2+(1-$C$28)*(D16+D18)/2</f>
        <v>20056.3</v>
      </c>
      <c r="E30" s="83">
        <f>(E13+E15)/2+(1-$C$28)*(E16+E18)/2</f>
        <v>20153.525</v>
      </c>
      <c r="F30" s="76">
        <f>(F13+F15)/2+(1-$C$28)*(F16+F18)/2</f>
        <v>20243.6</v>
      </c>
      <c r="G30" s="76">
        <f>AVERAGE(D30:F30)</f>
        <v>20151.141666666666</v>
      </c>
      <c r="H30" s="2"/>
      <c r="I30" s="2"/>
      <c r="J30" s="45"/>
    </row>
    <row r="31">
      <c r="A31" s="2"/>
      <c r="B31" s="66" t="s">
        <v>625</v>
      </c>
      <c r="C31" s="83">
        <f>(C19+C21)/2</f>
        <v>3645</v>
      </c>
      <c r="D31" s="83">
        <f>(D19+D21)/2</f>
        <v>3633</v>
      </c>
      <c r="E31" s="83">
        <f>(E19+E21)/2</f>
        <v>3641</v>
      </c>
      <c r="F31" s="76">
        <f>(F19+F21)/2</f>
        <v>3649.5</v>
      </c>
      <c r="G31" s="76">
        <f>AVERAGE(D31:F31)</f>
        <v>3641.1666666666665</v>
      </c>
      <c r="H31" s="2"/>
      <c r="I31" s="2"/>
      <c r="J31" s="45"/>
    </row>
    <row r="32">
      <c r="A32" s="2"/>
      <c r="B32" s="66" t="s">
        <v>626</v>
      </c>
      <c r="C32" s="83">
        <f>(C22+C24)/2</f>
        <v>1197.5</v>
      </c>
      <c r="D32" s="83">
        <f>(D22+D24)/2</f>
        <v>1231</v>
      </c>
      <c r="E32" s="83">
        <f>(E22+E24)/2</f>
        <v>1240.5</v>
      </c>
      <c r="F32" s="76">
        <f>(F22+F24)/2</f>
        <v>1246.5</v>
      </c>
      <c r="G32" s="76">
        <f>AVERAGE(D32:F32)</f>
        <v>1239.3333333333333</v>
      </c>
      <c r="H32" s="2"/>
      <c r="I32" s="2"/>
      <c r="J32" s="45"/>
    </row>
    <row r="33">
      <c r="A33" s="2"/>
      <c r="B33" s="66" t="s">
        <v>627</v>
      </c>
      <c r="C33" s="24">
        <f>C51*1000/C29</f>
        <v>178.1826684101596</v>
      </c>
      <c r="D33" s="24">
        <f>D51*1000/D29</f>
        <v>172.57294742286263</v>
      </c>
      <c r="E33" s="24">
        <f>E51*1000/E29</f>
        <v>174.1199214344878</v>
      </c>
      <c r="F33" s="65">
        <f>C33*(1+F34)</f>
        <v>171.94627501580402</v>
      </c>
      <c r="G33" s="65">
        <f>G51*1000/G29/3</f>
        <v>172.87886541683062</v>
      </c>
      <c r="H33" s="2"/>
      <c r="I33" s="2"/>
      <c r="J33" s="45"/>
    </row>
    <row r="34">
      <c r="A34" s="2"/>
      <c r="B34" s="55" t="s">
        <v>628</v>
      </c>
      <c r="C34" s="1"/>
      <c r="D34" s="1"/>
      <c r="E34" s="1"/>
      <c r="F34" s="100">
        <v>-0.035</v>
      </c>
      <c r="G34" s="49"/>
      <c r="H34" s="2"/>
      <c r="I34" s="2"/>
      <c r="J34" s="45"/>
    </row>
    <row r="35">
      <c r="A35" s="2"/>
      <c r="B35" s="66" t="s">
        <v>629</v>
      </c>
      <c r="C35" s="24">
        <f>C66*1000/C29</f>
        <v>169.59221316799017</v>
      </c>
      <c r="D35" s="24">
        <f>D66*1000/D29</f>
        <v>170.54344766181987</v>
      </c>
      <c r="E35" s="24">
        <f>E66*1000/E29</f>
        <v>168.84750512189208</v>
      </c>
      <c r="F35" s="65">
        <f>C35*(1+F36)</f>
        <v>163.48689349394252</v>
      </c>
      <c r="G35" s="65">
        <f>G66*1000/G29/3</f>
        <v>167.6139868345321</v>
      </c>
      <c r="H35" s="2"/>
      <c r="I35" s="2"/>
      <c r="J35" s="45"/>
    </row>
    <row r="36">
      <c r="A36" s="2"/>
      <c r="B36" s="55" t="s">
        <v>630</v>
      </c>
      <c r="C36" s="1"/>
      <c r="D36" s="1"/>
      <c r="E36" s="1"/>
      <c r="F36" s="100">
        <v>-0.036</v>
      </c>
      <c r="G36" s="49"/>
      <c r="H36" s="2"/>
      <c r="I36" s="2"/>
      <c r="J36" s="45"/>
    </row>
    <row r="37">
      <c r="A37" s="2"/>
      <c r="B37" s="66" t="s">
        <v>631</v>
      </c>
      <c r="C37" s="24">
        <f>C53*1000/C30</f>
        <v>189.07487220607396</v>
      </c>
      <c r="D37" s="24">
        <f>D53*1000/D30</f>
        <v>187.5221252175127</v>
      </c>
      <c r="E37" s="24">
        <f>E53*1000/E30</f>
        <v>185.77395269562024</v>
      </c>
      <c r="F37" s="65">
        <f>C37*(1+F38)</f>
        <v>186.23874912298285</v>
      </c>
      <c r="G37" s="65">
        <f>G53*1000/G30/3</f>
        <v>186.5095772778137</v>
      </c>
      <c r="H37" s="2"/>
      <c r="I37" s="2"/>
      <c r="J37" s="45"/>
    </row>
    <row r="38">
      <c r="A38" s="2"/>
      <c r="B38" s="55" t="s">
        <v>628</v>
      </c>
      <c r="C38" s="1"/>
      <c r="D38" s="1"/>
      <c r="E38" s="1"/>
      <c r="F38" s="100">
        <v>-0.015</v>
      </c>
      <c r="G38" s="49"/>
      <c r="H38" s="2"/>
      <c r="I38" s="2"/>
      <c r="J38" s="45"/>
    </row>
    <row r="39">
      <c r="A39" s="2"/>
      <c r="B39" s="66" t="s">
        <v>632</v>
      </c>
      <c r="C39" s="24">
        <f>C68*1000/C30</f>
        <v>172.6103371086833</v>
      </c>
      <c r="D39" s="24">
        <f>D68*1000/D30</f>
        <v>177.6997751330006</v>
      </c>
      <c r="E39" s="24">
        <f>E68*1000/E30</f>
        <v>176.74327443958313</v>
      </c>
      <c r="F39" s="65">
        <f>C39*(1+F40)</f>
        <v>172.26511643446594</v>
      </c>
      <c r="G39" s="65">
        <f>G68*1000/G30/3</f>
        <v>175.5610391148683</v>
      </c>
      <c r="H39" s="2"/>
      <c r="I39" s="2"/>
      <c r="J39" s="45"/>
    </row>
    <row r="40">
      <c r="A40" s="2"/>
      <c r="B40" s="55" t="s">
        <v>630</v>
      </c>
      <c r="C40" s="1"/>
      <c r="D40" s="1"/>
      <c r="E40" s="1"/>
      <c r="F40" s="100">
        <v>-0.002</v>
      </c>
      <c r="G40" s="49"/>
      <c r="H40" s="2"/>
      <c r="I40" s="2"/>
      <c r="J40" s="45"/>
    </row>
    <row r="41">
      <c r="A41" s="2"/>
      <c r="B41" s="66" t="s">
        <v>633</v>
      </c>
      <c r="C41" s="24">
        <f>C55*1000/C31</f>
        <v>72.70233196159123</v>
      </c>
      <c r="D41" s="24">
        <f>D55*1000/D31</f>
        <v>78.9980732177264</v>
      </c>
      <c r="E41" s="24">
        <f>E55*1000/E31</f>
        <v>83.49354572919528</v>
      </c>
      <c r="F41" s="65">
        <f>C41*(1+F42)</f>
        <v>76.70096021947874</v>
      </c>
      <c r="G41" s="65">
        <f>G55*1000/G31/3</f>
        <v>79.72903870746443</v>
      </c>
      <c r="H41" s="2"/>
      <c r="I41" s="2"/>
      <c r="J41" s="45"/>
    </row>
    <row r="42">
      <c r="A42" s="2"/>
      <c r="B42" s="55" t="s">
        <v>628</v>
      </c>
      <c r="C42" s="1"/>
      <c r="D42" s="1"/>
      <c r="E42" s="1"/>
      <c r="F42" s="100">
        <v>0.055</v>
      </c>
      <c r="G42" s="49"/>
      <c r="H42" s="2"/>
      <c r="I42" s="2"/>
      <c r="J42" s="45"/>
    </row>
    <row r="43">
      <c r="A43" s="2"/>
      <c r="B43" s="66" t="s">
        <v>634</v>
      </c>
      <c r="C43" s="24">
        <f>C70*1000/C31</f>
        <v>71.87928669410151</v>
      </c>
      <c r="D43" s="24">
        <f>D70*1000/D31</f>
        <v>73.21772639691714</v>
      </c>
      <c r="E43" s="24">
        <f>E70*1000/E31</f>
        <v>73.6061521560011</v>
      </c>
      <c r="F43" s="65">
        <f>C43*(1+F44)</f>
        <v>71.0167352537723</v>
      </c>
      <c r="G43" s="65">
        <f>G70*1000/G31/3</f>
        <v>72.61185291423463</v>
      </c>
      <c r="H43" s="2"/>
      <c r="I43" s="2"/>
      <c r="J43" s="45"/>
    </row>
    <row r="44">
      <c r="A44" s="2"/>
      <c r="B44" s="55" t="s">
        <v>630</v>
      </c>
      <c r="C44" s="1"/>
      <c r="D44" s="1"/>
      <c r="E44" s="1"/>
      <c r="F44" s="100">
        <v>-0.012</v>
      </c>
      <c r="G44" s="49"/>
      <c r="H44" s="2"/>
      <c r="I44" s="2"/>
      <c r="J44" s="45"/>
    </row>
    <row r="45">
      <c r="A45" s="2"/>
      <c r="B45" s="66" t="s">
        <v>635</v>
      </c>
      <c r="C45" s="24">
        <f>C58*1000/C32</f>
        <v>628.8100208768267</v>
      </c>
      <c r="D45" s="24">
        <f>D58*1000/D32</f>
        <v>614.1348497156783</v>
      </c>
      <c r="E45" s="24">
        <f>E58*1000/E32</f>
        <v>709.391374445788</v>
      </c>
      <c r="F45" s="65">
        <f>C45*(1+F46)</f>
        <v>653.9624217118998</v>
      </c>
      <c r="G45" s="65">
        <f>G58*1000/G32/3</f>
        <v>659.2695424055629</v>
      </c>
      <c r="H45" s="2"/>
      <c r="I45" s="2"/>
      <c r="J45" s="45"/>
    </row>
    <row r="46">
      <c r="A46" s="2"/>
      <c r="B46" s="55" t="s">
        <v>628</v>
      </c>
      <c r="C46" s="1"/>
      <c r="D46" s="1"/>
      <c r="E46" s="1"/>
      <c r="F46" s="100">
        <v>0.04</v>
      </c>
      <c r="G46" s="49"/>
      <c r="H46" s="2"/>
      <c r="I46" s="2"/>
      <c r="J46" s="45"/>
    </row>
    <row r="47">
      <c r="A47" s="2"/>
      <c r="B47" s="66" t="s">
        <v>636</v>
      </c>
      <c r="C47" s="24">
        <f>C73*1000/C32</f>
        <v>741.544885177453</v>
      </c>
      <c r="D47" s="24">
        <f>D73*1000/D32</f>
        <v>745.7351746547522</v>
      </c>
      <c r="E47" s="24">
        <f>E73*1000/E32</f>
        <v>749.6977025392987</v>
      </c>
      <c r="F47" s="65">
        <f>C47*(1+F48)</f>
        <v>705.9507306889352</v>
      </c>
      <c r="G47" s="65">
        <f>G73*1000/G32/3</f>
        <v>733.71909247008</v>
      </c>
      <c r="H47" s="2"/>
      <c r="I47" s="2"/>
      <c r="J47" s="45"/>
    </row>
    <row r="48">
      <c r="A48" s="2"/>
      <c r="B48" s="55" t="s">
        <v>630</v>
      </c>
      <c r="C48" s="1"/>
      <c r="D48" s="1"/>
      <c r="E48" s="1"/>
      <c r="F48" s="100">
        <v>-0.048</v>
      </c>
      <c r="G48" s="49"/>
      <c r="H48" s="2"/>
      <c r="I48" s="2"/>
      <c r="J48" s="45"/>
    </row>
    <row r="49">
      <c r="A49" s="2"/>
      <c r="B49" s="2"/>
      <c r="C49" s="5"/>
      <c r="D49" s="5"/>
      <c r="E49" s="5"/>
      <c r="F49" s="20"/>
      <c r="G49" s="20"/>
      <c r="H49" s="2"/>
      <c r="I49" s="2"/>
      <c r="J49" s="45"/>
    </row>
    <row r="50">
      <c r="A50" s="2"/>
      <c r="B50" s="21" t="s">
        <v>134</v>
      </c>
      <c r="C50" s="26"/>
      <c r="D50" s="26"/>
      <c r="E50" s="26"/>
      <c r="F50" s="56"/>
      <c r="G50" s="56"/>
      <c r="H50" s="2"/>
      <c r="I50" s="2"/>
      <c r="J50" s="45"/>
    </row>
    <row r="51">
      <c r="A51" s="2"/>
      <c r="B51" s="66" t="s">
        <v>135</v>
      </c>
      <c r="C51" s="39">
        <v>2572</v>
      </c>
      <c r="D51" s="39">
        <v>2636</v>
      </c>
      <c r="E51" s="39">
        <v>2675</v>
      </c>
      <c r="F51" s="65">
        <f>F29*F33/1000</f>
        <v>2653.801613966418</v>
      </c>
      <c r="G51" s="65">
        <f>SUM(D51:F51)</f>
        <v>7964.801613966418</v>
      </c>
      <c r="H51" s="2"/>
      <c r="I51" s="2"/>
      <c r="J51" s="45" t="s">
        <v>637</v>
      </c>
    </row>
    <row r="52">
      <c r="A52" s="2"/>
      <c r="B52" s="55" t="s">
        <v>638</v>
      </c>
      <c r="C52" s="1" t="s">
        <v>38</v>
      </c>
      <c r="D52" s="3">
        <v>0.03</v>
      </c>
      <c r="E52" s="3">
        <v>0.03</v>
      </c>
      <c r="F52" s="49">
        <f>F51/C51-1</f>
        <v>0.031804671060037926</v>
      </c>
      <c r="G52" s="27">
        <f>G51/'Segment - Personal Lines'!C72-1</f>
        <v>0.031175765661110466</v>
      </c>
      <c r="H52" s="2"/>
      <c r="I52" s="2"/>
      <c r="J52" s="45"/>
    </row>
    <row r="53">
      <c r="A53" s="2"/>
      <c r="B53" s="66" t="s">
        <v>136</v>
      </c>
      <c r="C53" s="39">
        <v>3537</v>
      </c>
      <c r="D53" s="39">
        <v>3761</v>
      </c>
      <c r="E53" s="39">
        <v>3744</v>
      </c>
      <c r="F53" s="65">
        <f>F30*F37/1000</f>
        <v>3770.1427417460154</v>
      </c>
      <c r="G53" s="65">
        <f>SUM(D53:F53)</f>
        <v>11275.142741746015</v>
      </c>
      <c r="H53" s="2"/>
      <c r="I53" s="2"/>
      <c r="J53" s="45" t="s">
        <v>637</v>
      </c>
    </row>
    <row r="54">
      <c r="A54" s="2"/>
      <c r="B54" s="55" t="s">
        <v>638</v>
      </c>
      <c r="C54" s="1" t="s">
        <v>38</v>
      </c>
      <c r="D54" s="3">
        <v>0.07</v>
      </c>
      <c r="E54" s="3">
        <v>0.06</v>
      </c>
      <c r="F54" s="49">
        <f>F53/C53-1</f>
        <v>0.0659153920684239</v>
      </c>
      <c r="G54" s="27">
        <f>G53/'Segment - Personal Lines'!C79-1</f>
        <v>0.06369271148547306</v>
      </c>
      <c r="H54" s="2"/>
      <c r="I54" s="2"/>
      <c r="J54" s="45"/>
    </row>
    <row r="55">
      <c r="A55" s="2"/>
      <c r="B55" s="66" t="s">
        <v>137</v>
      </c>
      <c r="C55" s="39">
        <v>265</v>
      </c>
      <c r="D55" s="39">
        <v>287</v>
      </c>
      <c r="E55" s="39">
        <v>304</v>
      </c>
      <c r="F55" s="65">
        <f>F31*F41/1000</f>
        <v>279.9201543209877</v>
      </c>
      <c r="G55" s="65">
        <f>SUM(D55:F55)</f>
        <v>870.9201543209876</v>
      </c>
      <c r="H55" s="2"/>
      <c r="I55" s="2"/>
      <c r="J55" s="45" t="s">
        <v>637</v>
      </c>
    </row>
    <row r="56">
      <c r="A56" s="2"/>
      <c r="B56" s="55" t="s">
        <v>638</v>
      </c>
      <c r="C56" s="1" t="s">
        <v>38</v>
      </c>
      <c r="D56" s="3">
        <v>0.06</v>
      </c>
      <c r="E56" s="3">
        <v>0.06</v>
      </c>
      <c r="F56" s="49">
        <f>F55/C55-1</f>
        <v>0.056302469135802724</v>
      </c>
      <c r="G56" s="27">
        <f>G55/'Segment - Personal Lines'!C86-1</f>
        <v>0.05694193485556753</v>
      </c>
      <c r="H56" s="2"/>
      <c r="I56" s="2"/>
      <c r="J56" s="45"/>
    </row>
    <row r="57">
      <c r="A57" s="2"/>
      <c r="B57" s="21" t="s">
        <v>60</v>
      </c>
      <c r="C57" s="37">
        <f>SUM(C51,C53,C55)</f>
        <v>6374</v>
      </c>
      <c r="D57" s="37">
        <f>SUM(D51,D53,D55)</f>
        <v>6684</v>
      </c>
      <c r="E57" s="37">
        <f>SUM(E51,E53,E55)</f>
        <v>6723</v>
      </c>
      <c r="F57" s="50">
        <f>SUM(F51,F53,F55)</f>
        <v>6703.864510033421</v>
      </c>
      <c r="G57" s="50">
        <f>SUM(G51,G53,G55)</f>
        <v>20110.86451003342</v>
      </c>
      <c r="H57" s="2"/>
      <c r="I57" s="2"/>
      <c r="J57" s="45"/>
    </row>
    <row r="58">
      <c r="A58" s="2"/>
      <c r="B58" s="2" t="s">
        <v>69</v>
      </c>
      <c r="C58" s="39">
        <v>753</v>
      </c>
      <c r="D58" s="39">
        <v>756</v>
      </c>
      <c r="E58" s="39">
        <v>880</v>
      </c>
      <c r="F58" s="65">
        <f>F32*F45/1000</f>
        <v>815.1641586638831</v>
      </c>
      <c r="G58" s="65">
        <f>SUM(D58:F58)</f>
        <v>2451.164158663883</v>
      </c>
      <c r="H58" s="2"/>
      <c r="I58" s="2"/>
      <c r="J58" s="45" t="s">
        <v>637</v>
      </c>
    </row>
    <row r="59">
      <c r="A59" s="2"/>
      <c r="B59" s="55" t="s">
        <v>638</v>
      </c>
      <c r="C59" s="1" t="s">
        <v>38</v>
      </c>
      <c r="D59" s="3">
        <v>0.07</v>
      </c>
      <c r="E59" s="3">
        <v>0.13</v>
      </c>
      <c r="F59" s="49">
        <f>F58/C58-1</f>
        <v>0.0825553235908143</v>
      </c>
      <c r="G59" s="27">
        <f>G58/'Segment - Commercial Lines'!C24-1</f>
        <v>0.097208665471747</v>
      </c>
      <c r="H59" s="2"/>
      <c r="I59" s="2"/>
      <c r="J59" s="45"/>
    </row>
    <row r="60">
      <c r="A60" s="2"/>
      <c r="B60" s="2" t="s">
        <v>70</v>
      </c>
      <c r="C60" s="24">
        <f>C61-C57-C58</f>
        <v>1</v>
      </c>
      <c r="D60" s="24">
        <f>D61-D57-D58</f>
        <v>1</v>
      </c>
      <c r="E60" s="24">
        <f>E61-E57-E58</f>
        <v>2</v>
      </c>
      <c r="F60" s="64">
        <v>1</v>
      </c>
      <c r="G60" s="65">
        <f>SUM(D60:F60)</f>
        <v>4</v>
      </c>
      <c r="H60" s="2"/>
      <c r="I60" s="2"/>
      <c r="J60" s="45"/>
    </row>
    <row r="61">
      <c r="A61" s="2"/>
      <c r="B61" s="21" t="s">
        <v>74</v>
      </c>
      <c r="C61" s="84">
        <v>7128</v>
      </c>
      <c r="D61" s="84">
        <v>7441</v>
      </c>
      <c r="E61" s="84">
        <v>7605</v>
      </c>
      <c r="F61" s="50">
        <f>F57+F58+F60</f>
        <v>7520.028668697304</v>
      </c>
      <c r="G61" s="50">
        <f>SUM(D61:F61)</f>
        <v>22566.028668697305</v>
      </c>
      <c r="H61" s="2"/>
      <c r="I61" s="2"/>
      <c r="J61" s="45" t="s">
        <v>637</v>
      </c>
    </row>
    <row r="62">
      <c r="A62" s="2"/>
      <c r="B62" s="66" t="s">
        <v>639</v>
      </c>
      <c r="C62" s="24"/>
      <c r="D62" s="39">
        <v>7057</v>
      </c>
      <c r="E62" s="39">
        <v>7199</v>
      </c>
      <c r="F62" s="65"/>
      <c r="G62" s="65"/>
      <c r="H62" s="2"/>
      <c r="I62" s="2"/>
      <c r="J62" s="45" t="s">
        <v>640</v>
      </c>
    </row>
    <row r="63">
      <c r="A63" s="2"/>
      <c r="B63" s="55" t="s">
        <v>638</v>
      </c>
      <c r="C63" s="1" t="s">
        <v>38</v>
      </c>
      <c r="D63" s="1">
        <f>D61/D62-1</f>
        <v>0.054414056964715796</v>
      </c>
      <c r="E63" s="1">
        <f>E61/E62-1</f>
        <v>0.05639672176691213</v>
      </c>
      <c r="F63" s="49">
        <f>F61/C61-1</f>
        <v>0.05499841031106967</v>
      </c>
      <c r="G63" s="27">
        <f>G61/'Income Statement'!C9-1</f>
        <v>0.055276312602754674</v>
      </c>
      <c r="H63" s="2"/>
      <c r="I63" s="2"/>
      <c r="J63" s="45"/>
    </row>
    <row r="64">
      <c r="A64" s="2"/>
      <c r="B64" s="2"/>
      <c r="C64" s="5"/>
      <c r="D64" s="5"/>
      <c r="E64" s="5"/>
      <c r="F64" s="20"/>
      <c r="G64" s="20"/>
      <c r="H64" s="2"/>
      <c r="I64" s="2"/>
      <c r="J64" s="45"/>
    </row>
    <row r="65">
      <c r="A65" s="2"/>
      <c r="B65" s="21" t="s">
        <v>159</v>
      </c>
      <c r="C65" s="26"/>
      <c r="D65" s="26"/>
      <c r="E65" s="26"/>
      <c r="F65" s="56"/>
      <c r="G65" s="56"/>
      <c r="H65" s="2"/>
      <c r="I65" s="2"/>
      <c r="J65" s="45"/>
    </row>
    <row r="66">
      <c r="A66" s="2"/>
      <c r="B66" s="66" t="s">
        <v>135</v>
      </c>
      <c r="C66" s="39">
        <v>2448</v>
      </c>
      <c r="D66" s="39">
        <v>2605</v>
      </c>
      <c r="E66" s="39">
        <v>2594</v>
      </c>
      <c r="F66" s="65">
        <f>F29*F35/1000</f>
        <v>2523.2403654961595</v>
      </c>
      <c r="G66" s="65">
        <f>SUM(D66:F66)</f>
        <v>7722.24036549616</v>
      </c>
      <c r="H66" s="2"/>
      <c r="I66" s="2"/>
      <c r="J66" s="45" t="s">
        <v>637</v>
      </c>
    </row>
    <row r="67">
      <c r="A67" s="2"/>
      <c r="B67" s="55" t="s">
        <v>638</v>
      </c>
      <c r="C67" s="1" t="s">
        <v>38</v>
      </c>
      <c r="D67" s="3">
        <v>0.04</v>
      </c>
      <c r="E67" s="3">
        <v>0.03</v>
      </c>
      <c r="F67" s="49">
        <f>F66/C66-1</f>
        <v>0.030735443421633812</v>
      </c>
      <c r="G67" s="27">
        <f>G66/'Segment - Personal Lines'!C131-1</f>
        <v>0.03238507560109083</v>
      </c>
      <c r="H67" s="2"/>
      <c r="I67" s="2"/>
      <c r="J67" s="45"/>
    </row>
    <row r="68">
      <c r="A68" s="2"/>
      <c r="B68" s="66" t="s">
        <v>136</v>
      </c>
      <c r="C68" s="39">
        <v>3229</v>
      </c>
      <c r="D68" s="39">
        <v>3564</v>
      </c>
      <c r="E68" s="39">
        <v>3562</v>
      </c>
      <c r="F68" s="65">
        <f>F30*F39/1000</f>
        <v>3487.2661110527542</v>
      </c>
      <c r="G68" s="65">
        <f>SUM(D68:F68)</f>
        <v>10613.266111052755</v>
      </c>
      <c r="H68" s="2"/>
      <c r="I68" s="2"/>
      <c r="J68" s="45" t="s">
        <v>637</v>
      </c>
    </row>
    <row r="69">
      <c r="A69" s="2"/>
      <c r="B69" s="55" t="s">
        <v>638</v>
      </c>
      <c r="C69" s="1" t="s">
        <v>38</v>
      </c>
      <c r="D69" s="3">
        <v>0.09</v>
      </c>
      <c r="E69" s="3">
        <v>0.08</v>
      </c>
      <c r="F69" s="49">
        <f>F68/C68-1</f>
        <v>0.07998331094851485</v>
      </c>
      <c r="G69" s="27">
        <f>G68/'Segment - Personal Lines'!C138-1</f>
        <v>0.08089073337944352</v>
      </c>
      <c r="H69" s="2"/>
      <c r="I69" s="2"/>
      <c r="J69" s="45"/>
    </row>
    <row r="70">
      <c r="A70" s="2"/>
      <c r="B70" s="66" t="s">
        <v>137</v>
      </c>
      <c r="C70" s="39">
        <v>262</v>
      </c>
      <c r="D70" s="39">
        <v>266</v>
      </c>
      <c r="E70" s="39">
        <v>268</v>
      </c>
      <c r="F70" s="65">
        <f>F31*F43/1000</f>
        <v>259.175575308642</v>
      </c>
      <c r="G70" s="65">
        <f>SUM(D70:F70)</f>
        <v>793.175575308642</v>
      </c>
      <c r="H70" s="2"/>
      <c r="I70" s="2"/>
      <c r="J70" s="45" t="s">
        <v>637</v>
      </c>
    </row>
    <row r="71">
      <c r="A71" s="2"/>
      <c r="B71" s="55" t="s">
        <v>638</v>
      </c>
      <c r="C71" s="1" t="s">
        <v>38</v>
      </c>
      <c r="D71" s="3">
        <v>0.03</v>
      </c>
      <c r="E71" s="3">
        <v>-0.01</v>
      </c>
      <c r="F71" s="49">
        <f>F70/C70-1</f>
        <v>-0.01078024691358015</v>
      </c>
      <c r="G71" s="27">
        <f>G70/'Segment - Personal Lines'!C145-1</f>
        <v>0.004019715580559469</v>
      </c>
      <c r="H71" s="2"/>
      <c r="I71" s="2"/>
      <c r="J71" s="45"/>
    </row>
    <row r="72">
      <c r="A72" s="2"/>
      <c r="B72" s="21" t="s">
        <v>60</v>
      </c>
      <c r="C72" s="37">
        <f>SUM(C66,C68,C70)</f>
        <v>5939</v>
      </c>
      <c r="D72" s="37">
        <f>SUM(D66,D68,D70)</f>
        <v>6435</v>
      </c>
      <c r="E72" s="37">
        <f>SUM(E66,E68,E70)</f>
        <v>6424</v>
      </c>
      <c r="F72" s="50">
        <f>SUM(F66,F68,F70)</f>
        <v>6269.682051857556</v>
      </c>
      <c r="G72" s="50">
        <f>SUM(G66,G68,G70)</f>
        <v>19128.68205185756</v>
      </c>
      <c r="H72" s="2"/>
      <c r="I72" s="2"/>
      <c r="J72" s="45"/>
    </row>
    <row r="73">
      <c r="A73" s="2"/>
      <c r="B73" s="2" t="s">
        <v>69</v>
      </c>
      <c r="C73" s="39">
        <v>888</v>
      </c>
      <c r="D73" s="39">
        <v>918</v>
      </c>
      <c r="E73" s="39">
        <v>930</v>
      </c>
      <c r="F73" s="65">
        <f>F32*F47/1000</f>
        <v>879.9675858037577</v>
      </c>
      <c r="G73" s="65">
        <f>SUM(D73:F73)</f>
        <v>2727.9675858037576</v>
      </c>
      <c r="H73" s="2"/>
      <c r="I73" s="2"/>
      <c r="J73" s="45" t="s">
        <v>637</v>
      </c>
    </row>
    <row r="74">
      <c r="A74" s="2"/>
      <c r="B74" s="55" t="s">
        <v>638</v>
      </c>
      <c r="C74" s="1" t="s">
        <v>38</v>
      </c>
      <c r="D74" s="3">
        <v>-0.01</v>
      </c>
      <c r="E74" s="3">
        <v>-0.01</v>
      </c>
      <c r="F74" s="49">
        <f>F73/C73-1</f>
        <v>-0.009045511482254742</v>
      </c>
      <c r="G74" s="27">
        <f>G73/'Segment - Commercial Lines'!C42-1</f>
        <v>-0.01160594717255159</v>
      </c>
      <c r="H74" s="2"/>
      <c r="I74" s="2"/>
      <c r="J74" s="45"/>
    </row>
    <row r="75">
      <c r="A75" s="2"/>
      <c r="B75" s="2" t="s">
        <v>70</v>
      </c>
      <c r="C75" s="24">
        <f>C76-C72-C73</f>
        <v>0</v>
      </c>
      <c r="D75" s="24">
        <f>D76-D72-D73</f>
        <v>2</v>
      </c>
      <c r="E75" s="24">
        <f>E76-E72-E73</f>
        <v>0</v>
      </c>
      <c r="F75" s="64">
        <v>1</v>
      </c>
      <c r="G75" s="65">
        <f>SUM(D75:F75)</f>
        <v>3</v>
      </c>
      <c r="H75" s="2"/>
      <c r="I75" s="2"/>
      <c r="J75" s="45"/>
    </row>
    <row r="76">
      <c r="A76" s="2"/>
      <c r="B76" s="21" t="s">
        <v>88</v>
      </c>
      <c r="C76" s="84">
        <v>6827</v>
      </c>
      <c r="D76" s="84">
        <v>7355</v>
      </c>
      <c r="E76" s="84">
        <v>7354</v>
      </c>
      <c r="F76" s="50">
        <f>F72+F73+F75</f>
        <v>7150.649637661314</v>
      </c>
      <c r="G76" s="50">
        <f>SUM(D76:F76)</f>
        <v>21859.649637661314</v>
      </c>
      <c r="H76" s="2"/>
      <c r="I76" s="2"/>
      <c r="J76" s="45" t="s">
        <v>637</v>
      </c>
    </row>
    <row r="77">
      <c r="A77" s="2"/>
      <c r="B77" s="66" t="s">
        <v>641</v>
      </c>
      <c r="C77" s="24"/>
      <c r="D77" s="39">
        <v>6986</v>
      </c>
      <c r="E77" s="39">
        <v>7036</v>
      </c>
      <c r="F77" s="65"/>
      <c r="G77" s="65"/>
      <c r="H77" s="2"/>
      <c r="I77" s="2"/>
      <c r="J77" s="45" t="s">
        <v>640</v>
      </c>
    </row>
    <row r="78">
      <c r="A78" s="2"/>
      <c r="B78" s="55" t="s">
        <v>638</v>
      </c>
      <c r="C78" s="1" t="s">
        <v>38</v>
      </c>
      <c r="D78" s="1">
        <f>D76/D77-1</f>
        <v>0.05281992556541648</v>
      </c>
      <c r="E78" s="1">
        <f>E76/E77-1</f>
        <v>0.04519613416714052</v>
      </c>
      <c r="F78" s="49">
        <f>F76/C76-1</f>
        <v>0.04740730008221972</v>
      </c>
      <c r="G78" s="27">
        <f>G76/'Revenue summary'!C72-1</f>
        <v>0.04847472961107546</v>
      </c>
      <c r="H78" s="2"/>
      <c r="I78" s="2"/>
      <c r="J78" s="45"/>
    </row>
    <row r="79">
      <c r="A79" s="2"/>
      <c r="B79" s="2"/>
      <c r="C79" s="5"/>
      <c r="D79" s="5"/>
      <c r="E79" s="5"/>
      <c r="F79" s="20"/>
      <c r="G79" s="20"/>
      <c r="H79" s="2"/>
      <c r="I79" s="2"/>
      <c r="J79" s="45"/>
    </row>
    <row r="80">
      <c r="A80" s="2"/>
      <c r="B80" s="21" t="s">
        <v>162</v>
      </c>
      <c r="C80" s="26"/>
      <c r="D80" s="26"/>
      <c r="E80" s="26"/>
      <c r="F80" s="56"/>
      <c r="G80" s="56"/>
      <c r="H80" s="2"/>
      <c r="I80" s="2"/>
      <c r="J80" s="45"/>
    </row>
    <row r="81">
      <c r="A81" s="2"/>
      <c r="B81" s="19" t="s">
        <v>166</v>
      </c>
      <c r="C81" s="3">
        <v>1.025</v>
      </c>
      <c r="D81" s="3">
        <v>0.836</v>
      </c>
      <c r="E81" s="3">
        <v>0.859</v>
      </c>
      <c r="F81" s="100">
        <v>0.873</v>
      </c>
      <c r="G81" s="49">
        <f>1-G115/G66</f>
        <v>0.8558157382159557</v>
      </c>
      <c r="H81" s="2"/>
      <c r="I81" s="2"/>
      <c r="J81" s="45" t="s">
        <v>637</v>
      </c>
    </row>
    <row r="82">
      <c r="A82" s="2"/>
      <c r="B82" s="55" t="s">
        <v>642</v>
      </c>
      <c r="C82" s="67"/>
      <c r="D82" s="67"/>
      <c r="E82" s="67"/>
      <c r="F82" s="85">
        <f>(F81-AVERAGE(D81:E81))*10000</f>
        <v>255.0000000000008</v>
      </c>
      <c r="G82" s="85"/>
      <c r="H82" s="2"/>
      <c r="I82" s="2"/>
      <c r="J82" s="45"/>
    </row>
    <row r="83">
      <c r="A83" s="2"/>
      <c r="B83" s="72" t="s">
        <v>165</v>
      </c>
      <c r="C83" s="3">
        <v>0.365</v>
      </c>
      <c r="D83" s="3">
        <v>0.181</v>
      </c>
      <c r="E83" s="3">
        <v>0.186</v>
      </c>
      <c r="F83" s="49">
        <f>AVERAGE(D83:E83)</f>
        <v>0.1835</v>
      </c>
      <c r="G83" s="49">
        <f>SUMPRODUCT(D83:F83,D66:F66)/G66</f>
        <v>0.18349643885728772</v>
      </c>
      <c r="H83" s="2"/>
      <c r="I83" s="2"/>
      <c r="J83" s="45" t="s">
        <v>637</v>
      </c>
    </row>
    <row r="84">
      <c r="A84" s="2"/>
      <c r="B84" s="72" t="s">
        <v>163</v>
      </c>
      <c r="C84" s="1">
        <f>C81-C83</f>
        <v>0.6599999999999999</v>
      </c>
      <c r="D84" s="1">
        <f>D81-D83</f>
        <v>0.655</v>
      </c>
      <c r="E84" s="1">
        <f>E81-E83</f>
        <v>0.673</v>
      </c>
      <c r="F84" s="49">
        <f>F81-F83</f>
        <v>0.6895</v>
      </c>
      <c r="G84" s="49">
        <f>G81-G83</f>
        <v>0.672319299358668</v>
      </c>
      <c r="H84" s="2"/>
      <c r="I84" s="2"/>
      <c r="J84" s="45"/>
    </row>
    <row r="85">
      <c r="A85" s="2"/>
      <c r="B85" s="19" t="s">
        <v>169</v>
      </c>
      <c r="C85" s="3">
        <v>1.051</v>
      </c>
      <c r="D85" s="3">
        <v>0.889</v>
      </c>
      <c r="E85" s="3">
        <v>0.905</v>
      </c>
      <c r="F85" s="100">
        <v>0.918</v>
      </c>
      <c r="G85" s="49">
        <f>1-G116/G68</f>
        <v>0.90389859158962</v>
      </c>
      <c r="H85" s="2"/>
      <c r="I85" s="2"/>
      <c r="J85" s="45" t="s">
        <v>637</v>
      </c>
    </row>
    <row r="86">
      <c r="A86" s="2"/>
      <c r="B86" s="55" t="s">
        <v>642</v>
      </c>
      <c r="C86" s="67"/>
      <c r="D86" s="67"/>
      <c r="E86" s="67"/>
      <c r="F86" s="85">
        <f>(F85-AVERAGE(D85:E85))*10000</f>
        <v>210.0000000000002</v>
      </c>
      <c r="G86" s="85"/>
      <c r="H86" s="2"/>
      <c r="I86" s="2"/>
      <c r="J86" s="45"/>
    </row>
    <row r="87">
      <c r="A87" s="2"/>
      <c r="B87" s="72" t="s">
        <v>168</v>
      </c>
      <c r="C87" s="3">
        <v>0.37</v>
      </c>
      <c r="D87" s="3">
        <v>0.211</v>
      </c>
      <c r="E87" s="3">
        <v>0.209</v>
      </c>
      <c r="F87" s="49">
        <f>AVERAGE(D87:E87)</f>
        <v>0.21</v>
      </c>
      <c r="G87" s="49">
        <f>SUMPRODUCT(D87:F87,D68:F68)/G68</f>
        <v>0.2100001884434046</v>
      </c>
      <c r="H87" s="2"/>
      <c r="I87" s="2"/>
      <c r="J87" s="45" t="s">
        <v>637</v>
      </c>
    </row>
    <row r="88">
      <c r="A88" s="2"/>
      <c r="B88" s="72" t="s">
        <v>167</v>
      </c>
      <c r="C88" s="1">
        <f>C85-C87</f>
        <v>0.6809999999999999</v>
      </c>
      <c r="D88" s="1">
        <f>D85-D87</f>
        <v>0.678</v>
      </c>
      <c r="E88" s="1">
        <f>E85-E87</f>
        <v>0.6960000000000001</v>
      </c>
      <c r="F88" s="49">
        <f>F85-F87</f>
        <v>0.7080000000000001</v>
      </c>
      <c r="G88" s="49">
        <f>G85-G87</f>
        <v>0.6938984031462154</v>
      </c>
      <c r="H88" s="2"/>
      <c r="I88" s="2"/>
      <c r="J88" s="45"/>
    </row>
    <row r="89">
      <c r="A89" s="2"/>
      <c r="B89" s="19" t="s">
        <v>172</v>
      </c>
      <c r="C89" s="3">
        <v>0.695</v>
      </c>
      <c r="D89" s="3">
        <v>0.796</v>
      </c>
      <c r="E89" s="3">
        <v>0.753</v>
      </c>
      <c r="F89" s="100">
        <v>0.8</v>
      </c>
      <c r="G89" s="49">
        <f>1-G117/G70</f>
        <v>0.7827780879476973</v>
      </c>
      <c r="H89" s="2"/>
      <c r="I89" s="2"/>
      <c r="J89" s="45" t="s">
        <v>637</v>
      </c>
    </row>
    <row r="90">
      <c r="A90" s="2"/>
      <c r="B90" s="55" t="s">
        <v>642</v>
      </c>
      <c r="C90" s="67"/>
      <c r="D90" s="67"/>
      <c r="E90" s="67"/>
      <c r="F90" s="85">
        <f>(F89-AVERAGE(D89:E89))*10000</f>
        <v>255.0000000000008</v>
      </c>
      <c r="G90" s="85"/>
      <c r="H90" s="2"/>
      <c r="I90" s="2"/>
      <c r="J90" s="45"/>
    </row>
    <row r="91">
      <c r="A91" s="2"/>
      <c r="B91" s="72" t="s">
        <v>643</v>
      </c>
      <c r="C91" s="3">
        <v>0.287</v>
      </c>
      <c r="D91" s="3">
        <v>0.286</v>
      </c>
      <c r="E91" s="3">
        <v>0.285</v>
      </c>
      <c r="F91" s="49">
        <f>AVERAGE(D91:E91)</f>
        <v>0.2855</v>
      </c>
      <c r="G91" s="49">
        <f>SUMPRODUCT(D91:F91,D70:F70)/G70</f>
        <v>0.28549873924509134</v>
      </c>
      <c r="H91" s="2"/>
      <c r="I91" s="2"/>
      <c r="J91" s="45" t="s">
        <v>637</v>
      </c>
    </row>
    <row r="92">
      <c r="A92" s="2"/>
      <c r="B92" s="72" t="s">
        <v>170</v>
      </c>
      <c r="C92" s="1">
        <f>C89-C91</f>
        <v>0.408</v>
      </c>
      <c r="D92" s="1">
        <f>D89-D91</f>
        <v>0.51</v>
      </c>
      <c r="E92" s="1">
        <f>E89-E91</f>
        <v>0.468</v>
      </c>
      <c r="F92" s="49">
        <f>F89-F91</f>
        <v>0.5145000000000001</v>
      </c>
      <c r="G92" s="49">
        <f>G89-G91</f>
        <v>0.497279348702606</v>
      </c>
      <c r="H92" s="2"/>
      <c r="I92" s="2"/>
      <c r="J92" s="45"/>
    </row>
    <row r="93">
      <c r="A93" s="2"/>
      <c r="B93" s="19" t="s">
        <v>221</v>
      </c>
      <c r="C93" s="3">
        <v>0.866</v>
      </c>
      <c r="D93" s="3">
        <v>0.896</v>
      </c>
      <c r="E93" s="3">
        <v>0.975</v>
      </c>
      <c r="F93" s="100">
        <v>0.935</v>
      </c>
      <c r="G93" s="49">
        <f>1-G118/G73</f>
        <v>0.9355124694322892</v>
      </c>
      <c r="H93" s="2"/>
      <c r="I93" s="2"/>
      <c r="J93" s="45" t="s">
        <v>637</v>
      </c>
    </row>
    <row r="94">
      <c r="A94" s="2"/>
      <c r="B94" s="55" t="s">
        <v>642</v>
      </c>
      <c r="C94" s="67"/>
      <c r="D94" s="67"/>
      <c r="E94" s="67"/>
      <c r="F94" s="85">
        <f>(F93-AVERAGE(D93:E93))*10000</f>
        <v>-4.999999999999449</v>
      </c>
      <c r="G94" s="85"/>
      <c r="H94" s="2"/>
      <c r="I94" s="2"/>
      <c r="J94" s="45"/>
    </row>
    <row r="95">
      <c r="A95" s="2"/>
      <c r="B95" s="72" t="s">
        <v>644</v>
      </c>
      <c r="C95" s="3">
        <v>0.23</v>
      </c>
      <c r="D95" s="3">
        <v>0.22</v>
      </c>
      <c r="E95" s="3">
        <v>0.218</v>
      </c>
      <c r="F95" s="49">
        <f>AVERAGE(D95:E95)</f>
        <v>0.219</v>
      </c>
      <c r="G95" s="49">
        <f>SUMPRODUCT(D95:F95,D73:F73)/G73</f>
        <v>0.21899560112075292</v>
      </c>
      <c r="H95" s="2"/>
      <c r="I95" s="2"/>
      <c r="J95" s="45" t="s">
        <v>637</v>
      </c>
    </row>
    <row r="96">
      <c r="A96" s="2"/>
      <c r="B96" s="72" t="s">
        <v>219</v>
      </c>
      <c r="C96" s="1">
        <f>C93-C95</f>
        <v>0.636</v>
      </c>
      <c r="D96" s="1">
        <f>D93-D95</f>
        <v>0.676</v>
      </c>
      <c r="E96" s="1">
        <f>E93-E95</f>
        <v>0.757</v>
      </c>
      <c r="F96" s="49">
        <f>F93-F95</f>
        <v>0.7160000000000001</v>
      </c>
      <c r="G96" s="49">
        <f>G93-G95</f>
        <v>0.7165168683115363</v>
      </c>
      <c r="H96" s="2"/>
      <c r="I96" s="2"/>
      <c r="J96" s="45"/>
    </row>
    <row r="97">
      <c r="A97" s="2"/>
      <c r="B97" s="61" t="s">
        <v>645</v>
      </c>
      <c r="C97" s="96">
        <v>1.025</v>
      </c>
      <c r="D97" s="96">
        <v>0.863</v>
      </c>
      <c r="E97" s="96">
        <v>0.88</v>
      </c>
      <c r="F97" s="87">
        <f>1-F119/F72</f>
        <v>0.8950118272120282</v>
      </c>
      <c r="G97" s="87">
        <f>1-G119/G72</f>
        <v>0.8792014287068107</v>
      </c>
      <c r="H97" s="2"/>
      <c r="I97" s="2"/>
      <c r="J97" s="45" t="s">
        <v>646</v>
      </c>
    </row>
    <row r="98">
      <c r="A98" s="2"/>
      <c r="B98" s="61" t="s">
        <v>647</v>
      </c>
      <c r="C98" s="96">
        <v>1.004</v>
      </c>
      <c r="D98" s="96">
        <v>0.868</v>
      </c>
      <c r="E98" s="96">
        <v>0.893</v>
      </c>
      <c r="F98" s="87">
        <f>1-F121/F76</f>
        <v>0.9003670447072386</v>
      </c>
      <c r="G98" s="87">
        <f>1-G121/G76</f>
        <v>0.8869982640797903</v>
      </c>
      <c r="H98" s="2"/>
      <c r="I98" s="2"/>
      <c r="J98" s="45" t="s">
        <v>648</v>
      </c>
    </row>
    <row r="99">
      <c r="A99" s="2"/>
      <c r="B99" s="72" t="s">
        <v>649</v>
      </c>
      <c r="C99" s="1"/>
      <c r="D99" s="3">
        <v>0.853</v>
      </c>
      <c r="E99" s="3">
        <v>0.831</v>
      </c>
      <c r="F99" s="49"/>
      <c r="G99" s="49"/>
      <c r="H99" s="2"/>
      <c r="I99" s="2"/>
      <c r="J99" s="45" t="s">
        <v>640</v>
      </c>
    </row>
    <row r="100">
      <c r="A100" s="2"/>
      <c r="B100" s="55" t="s">
        <v>107</v>
      </c>
      <c r="C100" s="67"/>
      <c r="D100" s="67">
        <f>(D98-D99)*10000</f>
        <v>150.00000000000014</v>
      </c>
      <c r="E100" s="67">
        <f>(E98-E99)*10000</f>
        <v>620.0000000000006</v>
      </c>
      <c r="F100" s="85">
        <f>(F98-C98)*10000</f>
        <v>-1036.329552927614</v>
      </c>
      <c r="G100" s="99">
        <f>(G98-'Income Statement'!C54)*10000</f>
        <v>-79.60726759098758</v>
      </c>
      <c r="H100" s="2"/>
      <c r="I100" s="2"/>
      <c r="J100" s="45" t="s">
        <v>650</v>
      </c>
    </row>
    <row r="101">
      <c r="A101" s="2"/>
      <c r="B101" s="72" t="s">
        <v>651</v>
      </c>
      <c r="C101" s="3">
        <v>0.347</v>
      </c>
      <c r="D101" s="3">
        <v>0.205</v>
      </c>
      <c r="E101" s="3">
        <v>0.205</v>
      </c>
      <c r="F101" s="49">
        <f>(F83*F66+F87*F68+F91*F70+F95*F73)/F76</f>
        <v>0.20446366309585265</v>
      </c>
      <c r="G101" s="49">
        <f>SUMPRODUCT(D101:F101,D76:F76)/G76</f>
        <v>0.20482455540903552</v>
      </c>
      <c r="H101" s="2"/>
      <c r="I101" s="2"/>
      <c r="J101" s="45" t="s">
        <v>637</v>
      </c>
    </row>
    <row r="102">
      <c r="A102" s="2"/>
      <c r="B102" s="72" t="s">
        <v>652</v>
      </c>
      <c r="C102" s="1">
        <f>C98-C101</f>
        <v>0.657</v>
      </c>
      <c r="D102" s="1">
        <f>D98-D101</f>
        <v>0.663</v>
      </c>
      <c r="E102" s="1">
        <f>E98-E101</f>
        <v>0.6880000000000001</v>
      </c>
      <c r="F102" s="49">
        <f>F98-F101</f>
        <v>0.695903381611386</v>
      </c>
      <c r="G102" s="49">
        <f>G98-G101</f>
        <v>0.6821737086707548</v>
      </c>
      <c r="H102" s="2"/>
      <c r="I102" s="2"/>
      <c r="J102" s="45"/>
    </row>
    <row r="103">
      <c r="A103" s="2"/>
      <c r="B103" s="2"/>
      <c r="C103" s="5"/>
      <c r="D103" s="5"/>
      <c r="E103" s="5"/>
      <c r="F103" s="20"/>
      <c r="G103" s="20"/>
      <c r="H103" s="2"/>
      <c r="I103" s="2"/>
      <c r="J103" s="45"/>
    </row>
    <row r="104">
      <c r="A104" s="2"/>
      <c r="B104" s="21" t="s">
        <v>176</v>
      </c>
      <c r="C104" s="26"/>
      <c r="D104" s="26"/>
      <c r="E104" s="26"/>
      <c r="F104" s="56"/>
      <c r="G104" s="56"/>
      <c r="H104" s="2"/>
      <c r="I104" s="2"/>
      <c r="J104" s="45"/>
    </row>
    <row r="105">
      <c r="A105" s="2"/>
      <c r="B105" s="19" t="s">
        <v>181</v>
      </c>
      <c r="C105" s="3">
        <v>0.006</v>
      </c>
      <c r="D105" s="3">
        <v>0.019</v>
      </c>
      <c r="E105" s="3">
        <v>0.018</v>
      </c>
      <c r="F105" s="100">
        <v>0.008</v>
      </c>
      <c r="G105" s="49">
        <f>G109/(G66+G68)</f>
        <v>0.015058381515968848</v>
      </c>
      <c r="H105" s="2"/>
      <c r="I105" s="2"/>
      <c r="J105" s="45" t="s">
        <v>637</v>
      </c>
    </row>
    <row r="106">
      <c r="A106" s="2"/>
      <c r="B106" s="19" t="s">
        <v>188</v>
      </c>
      <c r="C106" s="3">
        <v>0.088</v>
      </c>
      <c r="D106" s="3">
        <v>0.109</v>
      </c>
      <c r="E106" s="3">
        <v>0.078</v>
      </c>
      <c r="F106" s="100">
        <v>0.08</v>
      </c>
      <c r="G106" s="49">
        <f>G110/G70</f>
        <v>0.08904969873436519</v>
      </c>
      <c r="H106" s="2"/>
      <c r="I106" s="2"/>
      <c r="J106" s="45" t="s">
        <v>637</v>
      </c>
    </row>
    <row r="107">
      <c r="A107" s="2"/>
      <c r="B107" s="19" t="s">
        <v>224</v>
      </c>
      <c r="C107" s="3">
        <v>0.002</v>
      </c>
      <c r="D107" s="3">
        <v>0.007</v>
      </c>
      <c r="E107" s="3">
        <v>0.005</v>
      </c>
      <c r="F107" s="100">
        <v>0.003</v>
      </c>
      <c r="G107" s="49">
        <f>G111/G73</f>
        <v>0.005027883332920935</v>
      </c>
      <c r="H107" s="2"/>
      <c r="I107" s="2"/>
      <c r="J107" s="45" t="s">
        <v>637</v>
      </c>
    </row>
    <row r="108">
      <c r="A108" s="2"/>
      <c r="B108" s="61" t="s">
        <v>653</v>
      </c>
      <c r="C108" s="96">
        <v>0.009</v>
      </c>
      <c r="D108" s="96">
        <v>0.021</v>
      </c>
      <c r="E108" s="96">
        <v>0.019</v>
      </c>
      <c r="F108" s="87">
        <f>F112/F76</f>
        <v>0.009993217989332916</v>
      </c>
      <c r="G108" s="87">
        <f>G112/G76</f>
        <v>0.016726663357153986</v>
      </c>
      <c r="H108" s="2"/>
      <c r="I108" s="2"/>
      <c r="J108" s="45" t="s">
        <v>654</v>
      </c>
    </row>
    <row r="109">
      <c r="A109" s="2"/>
      <c r="B109" s="66" t="s">
        <v>179</v>
      </c>
      <c r="C109" s="24">
        <f>C105*(C66+C68)</f>
        <v>34.062</v>
      </c>
      <c r="D109" s="24">
        <f>D105*(D66+D68)</f>
        <v>117.211</v>
      </c>
      <c r="E109" s="24">
        <f>E105*(E66+E68)</f>
        <v>110.80799999999999</v>
      </c>
      <c r="F109" s="65">
        <f>F105*(F66+F68)</f>
        <v>48.08405181239131</v>
      </c>
      <c r="G109" s="65">
        <f>SUM(D109:F109)</f>
        <v>276.1030518123913</v>
      </c>
      <c r="H109" s="2"/>
      <c r="I109" s="2"/>
      <c r="J109" s="45"/>
    </row>
    <row r="110">
      <c r="A110" s="2"/>
      <c r="B110" s="66" t="s">
        <v>186</v>
      </c>
      <c r="C110" s="24">
        <f>C106*C70</f>
        <v>23.055999999999997</v>
      </c>
      <c r="D110" s="24">
        <f>D106*D70</f>
        <v>28.994</v>
      </c>
      <c r="E110" s="24">
        <f>E106*E70</f>
        <v>20.904</v>
      </c>
      <c r="F110" s="65">
        <f>F106*F70</f>
        <v>20.734046024691363</v>
      </c>
      <c r="G110" s="65">
        <f>SUM(D110:F110)</f>
        <v>70.63204602469136</v>
      </c>
      <c r="H110" s="2"/>
      <c r="I110" s="2"/>
      <c r="J110" s="45"/>
    </row>
    <row r="111">
      <c r="A111" s="2"/>
      <c r="B111" s="66" t="s">
        <v>222</v>
      </c>
      <c r="C111" s="24">
        <f>C107*C73</f>
        <v>1.776</v>
      </c>
      <c r="D111" s="24">
        <f>D107*D73</f>
        <v>6.426</v>
      </c>
      <c r="E111" s="24">
        <f>E107*E73</f>
        <v>4.65</v>
      </c>
      <c r="F111" s="65">
        <f>F107*F73</f>
        <v>2.6399027574112734</v>
      </c>
      <c r="G111" s="65">
        <f>SUM(D111:F111)</f>
        <v>13.715902757411275</v>
      </c>
      <c r="H111" s="2"/>
      <c r="I111" s="2"/>
      <c r="J111" s="45"/>
    </row>
    <row r="112">
      <c r="A112" s="2"/>
      <c r="B112" s="21" t="s">
        <v>655</v>
      </c>
      <c r="C112" s="37">
        <f>C108*C76</f>
        <v>61.443</v>
      </c>
      <c r="D112" s="37">
        <f>D108*D76</f>
        <v>154.455</v>
      </c>
      <c r="E112" s="37">
        <f>E108*E76</f>
        <v>139.726</v>
      </c>
      <c r="F112" s="50">
        <f>SUM(F109:F111)</f>
        <v>71.45800059449394</v>
      </c>
      <c r="G112" s="50">
        <f>SUM(D112:F112)</f>
        <v>365.63900059449395</v>
      </c>
      <c r="H112" s="2"/>
      <c r="I112" s="2"/>
      <c r="J112" s="45" t="s">
        <v>656</v>
      </c>
    </row>
    <row r="113">
      <c r="A113" s="2"/>
      <c r="B113" s="126" t="s">
        <v>657</v>
      </c>
      <c r="C113" s="123">
        <f>SUM(C109:C111)</f>
        <v>58.894</v>
      </c>
      <c r="D113" s="123">
        <f>SUM(D109:D111)</f>
        <v>152.631</v>
      </c>
      <c r="E113" s="123">
        <f>SUM(E109:E111)</f>
        <v>136.362</v>
      </c>
      <c r="F113" s="124">
        <f>SUM(F109:F111)</f>
        <v>71.45800059449394</v>
      </c>
      <c r="G113" s="124">
        <f>SUM(G109:G111)</f>
        <v>360.45100059449396</v>
      </c>
      <c r="H113" s="122"/>
      <c r="I113" s="122"/>
      <c r="J113" s="125" t="s">
        <v>658</v>
      </c>
    </row>
    <row r="114">
      <c r="A114" s="2"/>
      <c r="B114" s="21" t="s">
        <v>659</v>
      </c>
      <c r="C114" s="26"/>
      <c r="D114" s="26"/>
      <c r="E114" s="26"/>
      <c r="F114" s="56"/>
      <c r="G114" s="56"/>
      <c r="H114" s="2"/>
      <c r="I114" s="2"/>
      <c r="J114" s="45" t="s">
        <v>660</v>
      </c>
    </row>
    <row r="115">
      <c r="A115" s="2"/>
      <c r="B115" s="66" t="s">
        <v>135</v>
      </c>
      <c r="C115" s="24">
        <f>C66*(1-C81)</f>
        <v>-61.19999999999978</v>
      </c>
      <c r="D115" s="24">
        <f>D66*(1-D81)</f>
        <v>427.2200000000001</v>
      </c>
      <c r="E115" s="24">
        <f>E66*(1-E81)</f>
        <v>365.754</v>
      </c>
      <c r="F115" s="65">
        <f>F66*(1-F81)</f>
        <v>320.45152641801224</v>
      </c>
      <c r="G115" s="65">
        <f>SUM(D115:F115)</f>
        <v>1113.4255264180124</v>
      </c>
      <c r="H115" s="2"/>
      <c r="I115" s="2"/>
      <c r="J115" s="45"/>
    </row>
    <row r="116">
      <c r="A116" s="2"/>
      <c r="B116" s="66" t="s">
        <v>136</v>
      </c>
      <c r="C116" s="24">
        <f>C68*(1-C85)</f>
        <v>-164.67899999999977</v>
      </c>
      <c r="D116" s="24">
        <f>D68*(1-D85)</f>
        <v>395.6039999999999</v>
      </c>
      <c r="E116" s="24">
        <f>E68*(1-E85)</f>
        <v>338.38999999999993</v>
      </c>
      <c r="F116" s="65">
        <f>F68*(1-F85)</f>
        <v>285.9558211063257</v>
      </c>
      <c r="G116" s="65">
        <f>SUM(D116:F116)</f>
        <v>1019.9498211063255</v>
      </c>
      <c r="H116" s="2"/>
      <c r="I116" s="2"/>
      <c r="J116" s="45"/>
    </row>
    <row r="117">
      <c r="A117" s="2"/>
      <c r="B117" s="66" t="s">
        <v>137</v>
      </c>
      <c r="C117" s="24">
        <f>C70*(1-C89)</f>
        <v>79.91000000000001</v>
      </c>
      <c r="D117" s="24">
        <f>D70*(1-D89)</f>
        <v>54.26399999999999</v>
      </c>
      <c r="E117" s="24">
        <f>E70*(1-E89)</f>
        <v>66.196</v>
      </c>
      <c r="F117" s="65">
        <f>F70*(1-F89)</f>
        <v>51.83511506172839</v>
      </c>
      <c r="G117" s="65">
        <f>SUM(D117:F117)</f>
        <v>172.29511506172838</v>
      </c>
      <c r="H117" s="2"/>
      <c r="I117" s="2"/>
      <c r="J117" s="45"/>
    </row>
    <row r="118">
      <c r="A118" s="2"/>
      <c r="B118" s="66" t="s">
        <v>69</v>
      </c>
      <c r="C118" s="24">
        <f>C73*(1-C93)</f>
        <v>118.992</v>
      </c>
      <c r="D118" s="24">
        <f>D73*(1-D93)</f>
        <v>95.47199999999998</v>
      </c>
      <c r="E118" s="24">
        <f>E73*(1-E93)</f>
        <v>23.25000000000002</v>
      </c>
      <c r="F118" s="65">
        <f>F73*(1-F93)</f>
        <v>57.19789307724421</v>
      </c>
      <c r="G118" s="65">
        <f>SUM(D118:F118)</f>
        <v>175.9198930772442</v>
      </c>
      <c r="H118" s="2"/>
      <c r="I118" s="2"/>
      <c r="J118" s="45"/>
    </row>
    <row r="119">
      <c r="A119" s="2"/>
      <c r="B119" s="21" t="s">
        <v>60</v>
      </c>
      <c r="C119" s="37">
        <f>C72*(1-C97)</f>
        <v>-148.47499999999948</v>
      </c>
      <c r="D119" s="37">
        <f>D72*(1-D97)</f>
        <v>881.595</v>
      </c>
      <c r="E119" s="37">
        <f>E72*(1-E97)</f>
        <v>770.88</v>
      </c>
      <c r="F119" s="50">
        <f>F115+F116+F117</f>
        <v>658.2424625860663</v>
      </c>
      <c r="G119" s="50">
        <f>SUM(D119:F119)</f>
        <v>2310.717462586066</v>
      </c>
      <c r="H119" s="2"/>
      <c r="I119" s="2"/>
      <c r="J119" s="45"/>
    </row>
    <row r="120">
      <c r="A120" s="2"/>
      <c r="B120" s="2" t="s">
        <v>661</v>
      </c>
      <c r="C120" s="24">
        <f>C121-C119-C118</f>
        <v>2.174999999999457</v>
      </c>
      <c r="D120" s="24">
        <f>D121-D119-D118</f>
        <v>-6.206999999999994</v>
      </c>
      <c r="E120" s="24">
        <f>E121-E119-E118</f>
        <v>-7.252000000000088</v>
      </c>
      <c r="F120" s="64">
        <v>-3</v>
      </c>
      <c r="G120" s="65">
        <f>SUM(D120:F120)</f>
        <v>-16.45900000000008</v>
      </c>
      <c r="H120" s="2"/>
      <c r="I120" s="2"/>
      <c r="J120" s="45" t="s">
        <v>359</v>
      </c>
    </row>
    <row r="121">
      <c r="A121" s="2"/>
      <c r="B121" s="21" t="s">
        <v>662</v>
      </c>
      <c r="C121" s="37">
        <f>C76*(1-C98)</f>
        <v>-27.308000000000025</v>
      </c>
      <c r="D121" s="37">
        <f>D76*(1-D98)</f>
        <v>970.86</v>
      </c>
      <c r="E121" s="37">
        <f>E76*(1-E98)</f>
        <v>786.8779999999999</v>
      </c>
      <c r="F121" s="50">
        <f>F119+F118+F120</f>
        <v>712.4403556633105</v>
      </c>
      <c r="G121" s="50">
        <f>SUM(D121:F121)</f>
        <v>2470.1783556633104</v>
      </c>
      <c r="H121" s="2"/>
      <c r="I121" s="2"/>
      <c r="J121" s="45"/>
    </row>
    <row r="122">
      <c r="A122" s="2"/>
      <c r="B122" s="2"/>
      <c r="C122" s="5"/>
      <c r="D122" s="5"/>
      <c r="E122" s="5"/>
      <c r="F122" s="20"/>
      <c r="G122" s="20"/>
      <c r="H122" s="2"/>
      <c r="I122" s="2"/>
      <c r="J122" s="45"/>
    </row>
    <row r="123">
      <c r="A123" s="2"/>
      <c r="B123" s="21" t="s">
        <v>663</v>
      </c>
      <c r="C123" s="26"/>
      <c r="D123" s="26"/>
      <c r="E123" s="26"/>
      <c r="F123" s="56"/>
      <c r="G123" s="56"/>
      <c r="H123" s="2"/>
      <c r="I123" s="2"/>
      <c r="J123" s="45"/>
    </row>
    <row r="124">
      <c r="A124" s="2"/>
      <c r="B124" s="2" t="s">
        <v>230</v>
      </c>
      <c r="C124" s="24">
        <f>C76</f>
        <v>6827</v>
      </c>
      <c r="D124" s="24">
        <f>D76</f>
        <v>7355</v>
      </c>
      <c r="E124" s="24">
        <f>E76</f>
        <v>7354</v>
      </c>
      <c r="F124" s="65">
        <f>F76</f>
        <v>7150.649637661314</v>
      </c>
      <c r="G124" s="65">
        <f>G76</f>
        <v>21859.649637661314</v>
      </c>
      <c r="H124" s="2"/>
      <c r="I124" s="2"/>
      <c r="J124" s="45"/>
    </row>
    <row r="125">
      <c r="A125" s="2"/>
      <c r="B125" s="2" t="s">
        <v>91</v>
      </c>
      <c r="C125" s="39">
        <v>311</v>
      </c>
      <c r="D125" s="39">
        <v>337</v>
      </c>
      <c r="E125" s="39">
        <v>346</v>
      </c>
      <c r="F125" s="64">
        <v>338</v>
      </c>
      <c r="G125" s="65">
        <f>SUM(D125:F125)</f>
        <v>1021</v>
      </c>
      <c r="H125" s="2"/>
      <c r="I125" s="2"/>
      <c r="J125" s="45" t="s">
        <v>637</v>
      </c>
    </row>
    <row r="126">
      <c r="A126" s="2"/>
      <c r="B126" s="2" t="s">
        <v>231</v>
      </c>
      <c r="C126" s="39">
        <v>2</v>
      </c>
      <c r="D126" s="39">
        <v>5</v>
      </c>
      <c r="E126" s="39">
        <v>-11</v>
      </c>
      <c r="F126" s="64">
        <v>0</v>
      </c>
      <c r="G126" s="65">
        <f>SUM(D126:F126)</f>
        <v>-6</v>
      </c>
      <c r="H126" s="2"/>
      <c r="I126" s="2"/>
      <c r="J126" s="45" t="s">
        <v>637</v>
      </c>
    </row>
    <row r="127">
      <c r="A127" s="2"/>
      <c r="B127" s="2" t="s">
        <v>232</v>
      </c>
      <c r="C127" s="39">
        <v>136</v>
      </c>
      <c r="D127" s="39">
        <v>-52</v>
      </c>
      <c r="E127" s="39">
        <v>119</v>
      </c>
      <c r="F127" s="64">
        <v>-25</v>
      </c>
      <c r="G127" s="65">
        <f>SUM(D127:F127)</f>
        <v>42</v>
      </c>
      <c r="H127" s="2"/>
      <c r="I127" s="2"/>
      <c r="J127" s="45" t="s">
        <v>637</v>
      </c>
    </row>
    <row r="128">
      <c r="A128" s="2"/>
      <c r="B128" s="21" t="s">
        <v>92</v>
      </c>
      <c r="C128" s="37">
        <f>C126+C127</f>
        <v>138</v>
      </c>
      <c r="D128" s="37">
        <f>D126+D127</f>
        <v>-47</v>
      </c>
      <c r="E128" s="37">
        <f>E126+E127</f>
        <v>108</v>
      </c>
      <c r="F128" s="50">
        <f>F126+F127</f>
        <v>-25</v>
      </c>
      <c r="G128" s="50">
        <f>G126+G127</f>
        <v>36</v>
      </c>
      <c r="H128" s="2"/>
      <c r="I128" s="2"/>
      <c r="J128" s="45"/>
    </row>
    <row r="129">
      <c r="A129" s="2"/>
      <c r="B129" s="2" t="s">
        <v>89</v>
      </c>
      <c r="C129" s="39">
        <v>100</v>
      </c>
      <c r="D129" s="39">
        <v>104</v>
      </c>
      <c r="E129" s="39">
        <v>102</v>
      </c>
      <c r="F129" s="64">
        <v>100</v>
      </c>
      <c r="G129" s="65">
        <f>SUM(D129:F129)</f>
        <v>306</v>
      </c>
      <c r="H129" s="2"/>
      <c r="I129" s="2"/>
      <c r="J129" s="45" t="s">
        <v>637</v>
      </c>
    </row>
    <row r="130">
      <c r="A130" s="2"/>
      <c r="B130" s="2" t="s">
        <v>90</v>
      </c>
      <c r="C130" s="39">
        <v>45</v>
      </c>
      <c r="D130" s="39">
        <v>49</v>
      </c>
      <c r="E130" s="39">
        <v>50</v>
      </c>
      <c r="F130" s="64">
        <v>48</v>
      </c>
      <c r="G130" s="65">
        <f>SUM(D130:F130)</f>
        <v>147</v>
      </c>
      <c r="H130" s="2"/>
      <c r="I130" s="2"/>
      <c r="J130" s="45" t="s">
        <v>637</v>
      </c>
    </row>
    <row r="131">
      <c r="A131" s="2"/>
      <c r="B131" s="21" t="s">
        <v>235</v>
      </c>
      <c r="C131" s="37">
        <f>C124+C125+C128+C129+C130</f>
        <v>7421</v>
      </c>
      <c r="D131" s="37">
        <f>D124+D125+D128+D129+D130</f>
        <v>7798</v>
      </c>
      <c r="E131" s="37">
        <f>E124+E125+E128+E129+E130</f>
        <v>7960</v>
      </c>
      <c r="F131" s="50">
        <f>F124+F125+F128+F129+F130</f>
        <v>7611.649637661314</v>
      </c>
      <c r="G131" s="50">
        <f>G124+G125+G128+G129+G130</f>
        <v>23369.649637661314</v>
      </c>
      <c r="H131" s="2"/>
      <c r="I131" s="2"/>
      <c r="J131" s="45"/>
    </row>
    <row r="132">
      <c r="A132" s="2"/>
      <c r="B132" s="2" t="s">
        <v>237</v>
      </c>
      <c r="C132" s="39">
        <v>4492</v>
      </c>
      <c r="D132" s="39">
        <v>4880</v>
      </c>
      <c r="E132" s="39">
        <v>5065</v>
      </c>
      <c r="F132" s="65">
        <f>F102*F124</f>
        <v>4976.161263566741</v>
      </c>
      <c r="G132" s="65">
        <f>SUM(D132:F132)</f>
        <v>14921.16126356674</v>
      </c>
      <c r="H132" s="2"/>
      <c r="I132" s="2"/>
      <c r="J132" s="45" t="s">
        <v>637</v>
      </c>
    </row>
    <row r="133">
      <c r="A133" s="2"/>
      <c r="B133" s="2" t="s">
        <v>238</v>
      </c>
      <c r="C133" s="39">
        <v>509</v>
      </c>
      <c r="D133" s="39">
        <v>538</v>
      </c>
      <c r="E133" s="39">
        <v>541</v>
      </c>
      <c r="F133" s="65">
        <f>F134*F124</f>
        <v>524.1426184405743</v>
      </c>
      <c r="G133" s="65">
        <f>SUM(D133:F133)</f>
        <v>1603.1426184405743</v>
      </c>
      <c r="H133" s="2"/>
      <c r="I133" s="2"/>
      <c r="J133" s="45" t="s">
        <v>637</v>
      </c>
    </row>
    <row r="134">
      <c r="A134" s="2"/>
      <c r="B134" s="55" t="s">
        <v>664</v>
      </c>
      <c r="C134" s="1">
        <f>C133/C124</f>
        <v>0.07455690640105464</v>
      </c>
      <c r="D134" s="1">
        <f>D133/D124</f>
        <v>0.07314751869476546</v>
      </c>
      <c r="E134" s="1">
        <f>E133/E124</f>
        <v>0.07356540658145228</v>
      </c>
      <c r="F134" s="100">
        <v>0.0733</v>
      </c>
      <c r="G134" s="49">
        <f>G133/G124</f>
        <v>0.07333798322542963</v>
      </c>
      <c r="H134" s="2"/>
      <c r="I134" s="2"/>
      <c r="J134" s="45"/>
    </row>
    <row r="135">
      <c r="A135" s="2"/>
      <c r="B135" s="2" t="s">
        <v>239</v>
      </c>
      <c r="C135" s="39">
        <v>1005</v>
      </c>
      <c r="D135" s="39">
        <v>1069</v>
      </c>
      <c r="E135" s="39">
        <v>1061</v>
      </c>
      <c r="F135" s="65">
        <f>F101*F124+F129-F133</f>
        <v>1037.9053999906894</v>
      </c>
      <c r="G135" s="65">
        <f>SUM(D135:F135)</f>
        <v>3167.905399990689</v>
      </c>
      <c r="H135" s="2"/>
      <c r="I135" s="2"/>
      <c r="J135" s="45" t="s">
        <v>637</v>
      </c>
    </row>
    <row r="136">
      <c r="A136" s="2"/>
      <c r="B136" s="2" t="s">
        <v>665</v>
      </c>
      <c r="C136" s="39">
        <v>950</v>
      </c>
      <c r="D136" s="39">
        <v>0</v>
      </c>
      <c r="E136" s="39">
        <v>0</v>
      </c>
      <c r="F136" s="64">
        <v>0</v>
      </c>
      <c r="G136" s="65">
        <f>SUM(D136:F136)</f>
        <v>0</v>
      </c>
      <c r="H136" s="2"/>
      <c r="I136" s="2"/>
      <c r="J136" s="45" t="s">
        <v>637</v>
      </c>
    </row>
    <row r="137">
      <c r="A137" s="2"/>
      <c r="B137" s="2" t="s">
        <v>241</v>
      </c>
      <c r="C137" s="39">
        <v>3</v>
      </c>
      <c r="D137" s="39">
        <v>4</v>
      </c>
      <c r="E137" s="39">
        <v>3</v>
      </c>
      <c r="F137" s="64">
        <v>3</v>
      </c>
      <c r="G137" s="65">
        <f>SUM(D137:F137)</f>
        <v>10</v>
      </c>
      <c r="H137" s="2"/>
      <c r="I137" s="2"/>
      <c r="J137" s="45" t="s">
        <v>637</v>
      </c>
    </row>
    <row r="138">
      <c r="A138" s="2"/>
      <c r="B138" s="2" t="s">
        <v>242</v>
      </c>
      <c r="C138" s="39">
        <v>47</v>
      </c>
      <c r="D138" s="39">
        <v>51</v>
      </c>
      <c r="E138" s="39">
        <v>52</v>
      </c>
      <c r="F138" s="64">
        <v>50</v>
      </c>
      <c r="G138" s="65">
        <f>SUM(D138:F138)</f>
        <v>153</v>
      </c>
      <c r="H138" s="2"/>
      <c r="I138" s="2"/>
      <c r="J138" s="45" t="s">
        <v>637</v>
      </c>
    </row>
    <row r="139">
      <c r="A139" s="2"/>
      <c r="B139" s="2" t="s">
        <v>243</v>
      </c>
      <c r="C139" s="39">
        <v>23</v>
      </c>
      <c r="D139" s="39">
        <v>29</v>
      </c>
      <c r="E139" s="39">
        <v>29</v>
      </c>
      <c r="F139" s="64">
        <v>29</v>
      </c>
      <c r="G139" s="65">
        <f>SUM(D139:F139)</f>
        <v>87</v>
      </c>
      <c r="H139" s="2"/>
      <c r="I139" s="2"/>
      <c r="J139" s="45" t="s">
        <v>637</v>
      </c>
    </row>
    <row r="140">
      <c r="A140" s="2"/>
      <c r="B140" s="21" t="s">
        <v>244</v>
      </c>
      <c r="C140" s="37">
        <f>SUM(C132,C133,C135:C139)</f>
        <v>7029</v>
      </c>
      <c r="D140" s="37">
        <f>SUM(D132,D133,D135:D139)</f>
        <v>6571</v>
      </c>
      <c r="E140" s="37">
        <f>SUM(E132,E133,E135:E139)</f>
        <v>6751</v>
      </c>
      <c r="F140" s="50">
        <f>SUM(F132,F133,F135:F139)</f>
        <v>6620.209281998004</v>
      </c>
      <c r="G140" s="50">
        <f>SUM(G132,G133,G135:G139)</f>
        <v>19942.209281998003</v>
      </c>
      <c r="H140" s="2"/>
      <c r="I140" s="2"/>
      <c r="J140" s="45"/>
    </row>
    <row r="141">
      <c r="A141" s="2"/>
      <c r="B141" s="21" t="s">
        <v>245</v>
      </c>
      <c r="C141" s="37">
        <f>C131-C140</f>
        <v>392</v>
      </c>
      <c r="D141" s="37">
        <f>D131-D140</f>
        <v>1227</v>
      </c>
      <c r="E141" s="37">
        <f>E131-E140</f>
        <v>1209</v>
      </c>
      <c r="F141" s="50">
        <f>F131-F140</f>
        <v>991.4403556633097</v>
      </c>
      <c r="G141" s="50">
        <f>G131-G140</f>
        <v>3427.4403556633115</v>
      </c>
      <c r="H141" s="2"/>
      <c r="I141" s="2"/>
      <c r="J141" s="45"/>
    </row>
    <row r="142">
      <c r="A142" s="2"/>
      <c r="B142" s="2" t="s">
        <v>246</v>
      </c>
      <c r="C142" s="39">
        <v>87</v>
      </c>
      <c r="D142" s="39">
        <v>266</v>
      </c>
      <c r="E142" s="39">
        <v>258</v>
      </c>
      <c r="F142" s="65">
        <f>F143*F141</f>
        <v>212.16823611194826</v>
      </c>
      <c r="G142" s="65">
        <f>SUM(D142:F142)</f>
        <v>736.1682361119483</v>
      </c>
      <c r="H142" s="2"/>
      <c r="I142" s="2"/>
      <c r="J142" s="45" t="s">
        <v>637</v>
      </c>
    </row>
    <row r="143">
      <c r="A143" s="2"/>
      <c r="B143" s="55" t="s">
        <v>666</v>
      </c>
      <c r="C143" s="1">
        <f>C142/C141</f>
        <v>0.22193877551020408</v>
      </c>
      <c r="D143" s="1">
        <f>D142/D141</f>
        <v>0.21678891605541972</v>
      </c>
      <c r="E143" s="1">
        <f>E142/E141</f>
        <v>0.21339950372208435</v>
      </c>
      <c r="F143" s="100">
        <v>0.214</v>
      </c>
      <c r="G143" s="49">
        <f>G142/G141</f>
        <v>0.21478659282736895</v>
      </c>
      <c r="H143" s="2"/>
      <c r="I143" s="2"/>
      <c r="J143" s="45"/>
    </row>
    <row r="144">
      <c r="A144" s="2"/>
      <c r="B144" s="21" t="s">
        <v>247</v>
      </c>
      <c r="C144" s="37">
        <f>C141-C142</f>
        <v>305</v>
      </c>
      <c r="D144" s="37">
        <f>D141-D142</f>
        <v>961</v>
      </c>
      <c r="E144" s="37">
        <f>E141-E142</f>
        <v>951</v>
      </c>
      <c r="F144" s="50">
        <f>F141-F142</f>
        <v>779.2721195513614</v>
      </c>
      <c r="G144" s="50">
        <f>G141-G142</f>
        <v>2691.272119551363</v>
      </c>
      <c r="H144" s="2"/>
      <c r="I144" s="2"/>
      <c r="J144" s="45"/>
    </row>
    <row r="145">
      <c r="A145" s="2"/>
      <c r="B145" s="66" t="s">
        <v>667</v>
      </c>
      <c r="C145" s="39">
        <v>305</v>
      </c>
      <c r="D145" s="39">
        <v>961</v>
      </c>
      <c r="E145" s="39">
        <v>951</v>
      </c>
      <c r="F145" s="65"/>
      <c r="G145" s="65"/>
      <c r="H145" s="2"/>
      <c r="I145" s="2"/>
      <c r="J145" s="45" t="s">
        <v>637</v>
      </c>
    </row>
    <row r="146">
      <c r="A146" s="2"/>
      <c r="B146" s="55" t="s">
        <v>252</v>
      </c>
      <c r="C146" s="42">
        <f>C144-C145</f>
        <v>0</v>
      </c>
      <c r="D146" s="42">
        <f>D144-D145</f>
        <v>0</v>
      </c>
      <c r="E146" s="42">
        <f>E144-E145</f>
        <v>0</v>
      </c>
      <c r="F146" s="57"/>
      <c r="G146" s="57"/>
      <c r="H146" s="2"/>
      <c r="I146" s="2"/>
      <c r="J146" s="45"/>
    </row>
    <row r="147">
      <c r="A147" s="2"/>
      <c r="B147" s="66" t="s">
        <v>668</v>
      </c>
      <c r="C147" s="24"/>
      <c r="D147" s="39">
        <v>1090</v>
      </c>
      <c r="E147" s="39">
        <v>1220</v>
      </c>
      <c r="F147" s="65"/>
      <c r="G147" s="65"/>
      <c r="H147" s="2"/>
      <c r="I147" s="2"/>
      <c r="J147" s="45" t="s">
        <v>640</v>
      </c>
    </row>
    <row r="148">
      <c r="A148" s="2"/>
      <c r="B148" s="55" t="s">
        <v>638</v>
      </c>
      <c r="C148" s="1"/>
      <c r="D148" s="1">
        <f>D144/D147-1</f>
        <v>-0.11834862385321099</v>
      </c>
      <c r="E148" s="1">
        <f>E144/E147-1</f>
        <v>-0.22049180327868856</v>
      </c>
      <c r="F148" s="49">
        <f>F144/C144-1</f>
        <v>1.554990555906103</v>
      </c>
      <c r="G148" s="27">
        <f>G144/'Income Statement'!C37-1</f>
        <v>0.02916715852824603</v>
      </c>
      <c r="H148" s="2"/>
      <c r="I148" s="2"/>
      <c r="J148" s="45"/>
    </row>
    <row r="149">
      <c r="A149" s="2"/>
      <c r="B149" s="2"/>
      <c r="C149" s="5"/>
      <c r="D149" s="5"/>
      <c r="E149" s="5"/>
      <c r="F149" s="20"/>
      <c r="G149" s="20"/>
      <c r="H149" s="2"/>
      <c r="I149" s="2"/>
      <c r="J149" s="45"/>
    </row>
    <row r="150">
      <c r="A150" s="2"/>
      <c r="B150" s="21" t="s">
        <v>272</v>
      </c>
      <c r="C150" s="26"/>
      <c r="D150" s="26"/>
      <c r="E150" s="26"/>
      <c r="F150" s="56"/>
      <c r="G150" s="56"/>
      <c r="H150" s="2"/>
      <c r="I150" s="2"/>
      <c r="J150" s="45"/>
    </row>
    <row r="151">
      <c r="A151" s="2"/>
      <c r="B151" s="2" t="s">
        <v>669</v>
      </c>
      <c r="C151" s="39">
        <v>586.6</v>
      </c>
      <c r="D151" s="39">
        <v>581.4</v>
      </c>
      <c r="E151" s="39">
        <v>580.8</v>
      </c>
      <c r="F151" s="64">
        <v>580.1</v>
      </c>
      <c r="G151" s="65">
        <f>SUMPRODUCT(D151:F151,D7:F7)/SUM(D7:F7)</f>
        <v>580.7739130434783</v>
      </c>
      <c r="H151" s="2"/>
      <c r="I151" s="2"/>
      <c r="J151" s="45" t="s">
        <v>670</v>
      </c>
    </row>
    <row r="152">
      <c r="A152" s="2"/>
      <c r="B152" s="2" t="s">
        <v>274</v>
      </c>
      <c r="C152" s="39">
        <v>1.6</v>
      </c>
      <c r="D152" s="39">
        <v>1.5</v>
      </c>
      <c r="E152" s="39">
        <v>1.3</v>
      </c>
      <c r="F152" s="64">
        <v>1.3</v>
      </c>
      <c r="G152" s="65">
        <f>SUMPRODUCT(D152:F152,D7:F7)/SUM(D7:F7)</f>
        <v>1.3673913043478263</v>
      </c>
      <c r="H152" s="2"/>
      <c r="I152" s="2"/>
      <c r="J152" s="45" t="s">
        <v>637</v>
      </c>
    </row>
    <row r="153">
      <c r="A153" s="2"/>
      <c r="B153" s="21" t="s">
        <v>671</v>
      </c>
      <c r="C153" s="37">
        <f>C151+C152</f>
        <v>588.2</v>
      </c>
      <c r="D153" s="37">
        <f>D151+D152</f>
        <v>582.9</v>
      </c>
      <c r="E153" s="37">
        <f>E151+E152</f>
        <v>582.0999999999999</v>
      </c>
      <c r="F153" s="50">
        <f>F151+F152</f>
        <v>581.4</v>
      </c>
      <c r="G153" s="50">
        <f>G151+G152</f>
        <v>582.1413043478261</v>
      </c>
      <c r="H153" s="2"/>
      <c r="I153" s="2"/>
      <c r="J153" s="45"/>
    </row>
    <row r="154">
      <c r="A154" s="2"/>
      <c r="B154" s="21" t="s">
        <v>277</v>
      </c>
      <c r="C154" s="86">
        <f>C144/C153</f>
        <v>0.518531111866712</v>
      </c>
      <c r="D154" s="86">
        <f>D144/D153</f>
        <v>1.6486532852976497</v>
      </c>
      <c r="E154" s="86">
        <f>E144/E153</f>
        <v>1.6337399072324346</v>
      </c>
      <c r="F154" s="95">
        <f>F144/F153</f>
        <v>1.3403373229297582</v>
      </c>
      <c r="G154" s="95">
        <f>G144/G153</f>
        <v>4.623056463183625</v>
      </c>
      <c r="H154" s="2"/>
      <c r="I154" s="2"/>
      <c r="J154" s="45"/>
    </row>
    <row r="155">
      <c r="A155" s="2"/>
      <c r="B155" s="66" t="s">
        <v>672</v>
      </c>
      <c r="C155" s="35">
        <v>0.52</v>
      </c>
      <c r="D155" s="35">
        <v>1.65</v>
      </c>
      <c r="E155" s="35">
        <v>1.63</v>
      </c>
      <c r="F155" s="89"/>
      <c r="G155" s="89"/>
      <c r="H155" s="2"/>
      <c r="I155" s="2"/>
      <c r="J155" s="45" t="s">
        <v>637</v>
      </c>
    </row>
    <row r="156">
      <c r="A156" s="2"/>
      <c r="B156" s="66" t="s">
        <v>673</v>
      </c>
      <c r="C156" s="46"/>
      <c r="D156" s="35">
        <v>1.85</v>
      </c>
      <c r="E156" s="35">
        <v>2.07</v>
      </c>
      <c r="F156" s="89"/>
      <c r="G156" s="89"/>
      <c r="H156" s="2"/>
      <c r="I156" s="2"/>
      <c r="J156" s="45" t="s">
        <v>640</v>
      </c>
    </row>
    <row r="157">
      <c r="A157" s="2"/>
      <c r="B157" s="66" t="s">
        <v>674</v>
      </c>
      <c r="C157" s="30">
        <f>C128*(1-Inputs!C278)</f>
        <v>109.02000000000001</v>
      </c>
      <c r="D157" s="30">
        <f>D128*(1-Inputs!C278)</f>
        <v>-37.13</v>
      </c>
      <c r="E157" s="30">
        <f>E128*(1-Inputs!C278)</f>
        <v>85.32000000000001</v>
      </c>
      <c r="F157" s="31">
        <f>F128*(1-Inputs!C278)</f>
        <v>-19.75</v>
      </c>
      <c r="G157" s="31">
        <f>G128*(1-Inputs!C278)</f>
        <v>28.44</v>
      </c>
      <c r="H157" s="2"/>
      <c r="I157" s="2"/>
      <c r="J157" s="45"/>
    </row>
    <row r="158">
      <c r="A158" s="2"/>
      <c r="B158" s="21" t="s">
        <v>287</v>
      </c>
      <c r="C158" s="37">
        <f>C144-C157</f>
        <v>195.98</v>
      </c>
      <c r="D158" s="37">
        <f>D144-D157</f>
        <v>998.13</v>
      </c>
      <c r="E158" s="37">
        <f>E144-E157</f>
        <v>865.68</v>
      </c>
      <c r="F158" s="50">
        <f>F144-F157</f>
        <v>799.0221195513614</v>
      </c>
      <c r="G158" s="50">
        <f>G144-G157</f>
        <v>2662.832119551363</v>
      </c>
      <c r="H158" s="2"/>
      <c r="I158" s="2"/>
      <c r="J158" s="45"/>
    </row>
    <row r="159">
      <c r="A159" s="2"/>
      <c r="B159" s="21" t="s">
        <v>675</v>
      </c>
      <c r="C159" s="86">
        <f>C158/C153</f>
        <v>0.3331859911594695</v>
      </c>
      <c r="D159" s="86">
        <f>D158/D153</f>
        <v>1.7123520329387545</v>
      </c>
      <c r="E159" s="86">
        <f>E158/E153</f>
        <v>1.4871671534100672</v>
      </c>
      <c r="F159" s="95">
        <f>F158/F153</f>
        <v>1.3743070511719322</v>
      </c>
      <c r="G159" s="95">
        <f>G158/G153</f>
        <v>4.574202345141165</v>
      </c>
      <c r="H159" s="2"/>
      <c r="I159" s="2"/>
      <c r="J159" s="45"/>
    </row>
    <row r="160">
      <c r="A160" s="2"/>
      <c r="B160" s="2"/>
      <c r="C160" s="5"/>
      <c r="D160" s="5"/>
      <c r="E160" s="5"/>
      <c r="F160" s="20"/>
      <c r="G160" s="20"/>
      <c r="H160" s="2"/>
      <c r="I160" s="2"/>
      <c r="J160" s="45"/>
    </row>
    <row r="161">
      <c r="A161" s="2"/>
      <c r="B161" s="2"/>
      <c r="C161" s="5"/>
      <c r="D161" s="5"/>
      <c r="E161" s="5"/>
      <c r="F161" s="20"/>
      <c r="G161" s="20"/>
      <c r="H161" s="2"/>
      <c r="I161" s="2"/>
      <c r="J161" s="45"/>
    </row>
    <row r="162">
      <c r="A162" s="2"/>
      <c r="B162" s="2"/>
      <c r="C162" s="5"/>
      <c r="D162" s="5"/>
      <c r="E162" s="5"/>
      <c r="F162" s="20"/>
      <c r="G162" s="20"/>
      <c r="H162" s="2"/>
      <c r="I162" s="2"/>
      <c r="J162" s="45"/>
    </row>
  </sheetData>
  <legacyDrawing r:id="rId2"/>
</worksheet>
</file>

<file path=xl/worksheets/sheet12.xml><?xml version="1.0" encoding="utf-8"?>
<worksheet xmlns="http://schemas.openxmlformats.org/spreadsheetml/2006/main" xmlns:r="http://schemas.openxmlformats.org/officeDocument/2006/relationships">
  <dimension ref="A1:N280"/>
  <sheetViews>
    <sheetView showGridLines="0" workbookViewId="0"/>
  </sheetViews>
  <sheetFormatPr defaultColWidth="8.42578125" defaultRowHeight="15"/>
  <cols>
    <col min="1" max="1" width="2" customWidth="1"/>
    <col min="2" max="2" width="42" customWidth="1"/>
    <col min="3" max="13" width="12" customWidth="1"/>
    <col min="14" max="14" width="30" customWidth="1"/>
  </cols>
  <sheetData>
    <row r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>
      <c r="A2" s="2"/>
      <c r="B2" s="11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>
      <c r="A3" s="2"/>
      <c r="B3" s="21" t="s">
        <v>676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>
      <c r="A4" s="2"/>
      <c r="B4" s="19" t="s">
        <v>2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>
      <c r="A5" s="2"/>
      <c r="B5" s="17" t="s">
        <v>3</v>
      </c>
      <c r="C5" s="4" t="s">
        <v>677</v>
      </c>
      <c r="D5" s="4" t="s">
        <v>678</v>
      </c>
      <c r="E5" s="4" t="s">
        <v>679</v>
      </c>
      <c r="F5" s="4" t="s">
        <v>680</v>
      </c>
      <c r="G5" s="4" t="s">
        <v>681</v>
      </c>
      <c r="H5" s="4"/>
      <c r="I5" s="4"/>
      <c r="J5" s="4" t="s">
        <v>682</v>
      </c>
      <c r="K5" s="4" t="s">
        <v>683</v>
      </c>
      <c r="L5" s="4" t="s">
        <v>684</v>
      </c>
      <c r="M5" s="4" t="s">
        <v>685</v>
      </c>
      <c r="N5" s="114" t="s">
        <v>58</v>
      </c>
    </row>
    <row r="6">
      <c r="A6" s="2"/>
      <c r="B6" s="15" t="s">
        <v>10</v>
      </c>
      <c r="C6" s="14">
        <f>DATE(2024,9,30)</f>
        <v>45565</v>
      </c>
      <c r="D6" s="14">
        <f>DATE(2024,12,31)</f>
        <v>45657</v>
      </c>
      <c r="E6" s="14">
        <f>DATE(2025,3,31)</f>
        <v>45747</v>
      </c>
      <c r="F6" s="14">
        <f>DATE(2025,6,30)</f>
        <v>45838</v>
      </c>
      <c r="G6" s="14">
        <f>DATE(2024,12,31)</f>
        <v>45657</v>
      </c>
      <c r="H6" s="14"/>
      <c r="I6" s="14"/>
      <c r="J6" s="14">
        <f>DATE(2024,9,30)</f>
        <v>45565</v>
      </c>
      <c r="K6" s="14">
        <f>DATE(2025,6,30)</f>
        <v>45838</v>
      </c>
      <c r="L6" s="14">
        <f>DATE(2025,9,30)</f>
        <v>45930</v>
      </c>
      <c r="M6" s="14">
        <f>DATE(2026,6,30)</f>
        <v>46203</v>
      </c>
      <c r="N6" s="14"/>
    </row>
    <row r="7">
      <c r="A7" s="2"/>
      <c r="B7" s="7" t="s">
        <v>11</v>
      </c>
      <c r="C7" s="28">
        <v>92</v>
      </c>
      <c r="D7" s="28">
        <v>92</v>
      </c>
      <c r="E7" s="28">
        <v>90</v>
      </c>
      <c r="F7" s="28">
        <v>91</v>
      </c>
      <c r="G7" s="28">
        <v>366</v>
      </c>
      <c r="H7" s="9"/>
      <c r="I7" s="9"/>
      <c r="J7" s="28">
        <v>274</v>
      </c>
      <c r="K7" s="28">
        <v>181</v>
      </c>
      <c r="L7" s="28">
        <v>273</v>
      </c>
      <c r="M7" s="28">
        <v>181</v>
      </c>
      <c r="N7" s="9"/>
    </row>
    <row r="8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</row>
    <row r="9">
      <c r="A9" s="2"/>
      <c r="B9" s="21" t="s">
        <v>686</v>
      </c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45"/>
    </row>
    <row r="10">
      <c r="A10" s="2"/>
      <c r="B10" s="2" t="s">
        <v>687</v>
      </c>
      <c r="C10" s="39">
        <v>7104</v>
      </c>
      <c r="D10" s="24">
        <f>G10-J10</f>
        <v>6730</v>
      </c>
      <c r="E10" s="39">
        <v>7473</v>
      </c>
      <c r="F10" s="39">
        <v>7481</v>
      </c>
      <c r="G10" s="39">
        <v>26967</v>
      </c>
      <c r="H10" s="24"/>
      <c r="I10" s="24"/>
      <c r="J10" s="39">
        <v>20237</v>
      </c>
      <c r="K10" s="24"/>
      <c r="L10" s="24"/>
      <c r="M10" s="24"/>
      <c r="N10" s="45" t="s">
        <v>688</v>
      </c>
    </row>
    <row r="11">
      <c r="A11" s="2"/>
      <c r="B11" s="2" t="s">
        <v>689</v>
      </c>
      <c r="C11" s="39">
        <v>9185</v>
      </c>
      <c r="D11" s="24">
        <f>G11-J11</f>
        <v>8337</v>
      </c>
      <c r="E11" s="39">
        <v>10067</v>
      </c>
      <c r="F11" s="39">
        <v>9387</v>
      </c>
      <c r="G11" s="39">
        <v>33432</v>
      </c>
      <c r="H11" s="24"/>
      <c r="I11" s="24"/>
      <c r="J11" s="39">
        <v>25095</v>
      </c>
      <c r="K11" s="24"/>
      <c r="L11" s="24"/>
      <c r="M11" s="24"/>
      <c r="N11" s="45" t="s">
        <v>688</v>
      </c>
    </row>
    <row r="12">
      <c r="A12" s="2"/>
      <c r="B12" s="2" t="s">
        <v>690</v>
      </c>
      <c r="C12" s="39">
        <v>788</v>
      </c>
      <c r="D12" s="24">
        <f>G12-J12</f>
        <v>719</v>
      </c>
      <c r="E12" s="39">
        <v>733</v>
      </c>
      <c r="F12" s="39">
        <v>845</v>
      </c>
      <c r="G12" s="39">
        <v>3071</v>
      </c>
      <c r="H12" s="24"/>
      <c r="I12" s="24"/>
      <c r="J12" s="39">
        <v>2352</v>
      </c>
      <c r="K12" s="24"/>
      <c r="L12" s="24"/>
      <c r="M12" s="24"/>
      <c r="N12" s="45" t="s">
        <v>688</v>
      </c>
    </row>
    <row r="13">
      <c r="A13" s="2"/>
      <c r="B13" s="2" t="s">
        <v>691</v>
      </c>
      <c r="C13" s="39">
        <v>2378</v>
      </c>
      <c r="D13" s="24">
        <f>G13-J13</f>
        <v>2319</v>
      </c>
      <c r="E13" s="39">
        <v>3933</v>
      </c>
      <c r="F13" s="39">
        <v>2363</v>
      </c>
      <c r="G13" s="39">
        <v>10953</v>
      </c>
      <c r="H13" s="24"/>
      <c r="I13" s="24"/>
      <c r="J13" s="39">
        <v>8634</v>
      </c>
      <c r="K13" s="24"/>
      <c r="L13" s="24"/>
      <c r="M13" s="24"/>
      <c r="N13" s="45" t="s">
        <v>688</v>
      </c>
    </row>
    <row r="14">
      <c r="A14" s="2"/>
      <c r="B14" s="2" t="s">
        <v>692</v>
      </c>
      <c r="C14" s="39">
        <v>0</v>
      </c>
      <c r="D14" s="24">
        <f>G14-J14</f>
        <v>0</v>
      </c>
      <c r="E14" s="39">
        <v>0</v>
      </c>
      <c r="F14" s="39">
        <v>0</v>
      </c>
      <c r="G14" s="39">
        <v>1</v>
      </c>
      <c r="H14" s="24"/>
      <c r="I14" s="24"/>
      <c r="J14" s="39">
        <v>1</v>
      </c>
      <c r="K14" s="24"/>
      <c r="L14" s="24"/>
      <c r="M14" s="24"/>
      <c r="N14" s="45" t="s">
        <v>688</v>
      </c>
    </row>
    <row r="15">
      <c r="A15" s="2"/>
      <c r="B15" s="21" t="s">
        <v>693</v>
      </c>
      <c r="C15" s="37">
        <f>SUM(C10:C12)</f>
        <v>17077</v>
      </c>
      <c r="D15" s="37">
        <f>SUM(D10:D12)</f>
        <v>15786</v>
      </c>
      <c r="E15" s="37">
        <f>SUM(E10:E12)</f>
        <v>18273</v>
      </c>
      <c r="F15" s="37">
        <f>SUM(F10:F12)</f>
        <v>17713</v>
      </c>
      <c r="G15" s="37">
        <f>SUM(G10:G12)</f>
        <v>63470</v>
      </c>
      <c r="H15" s="37"/>
      <c r="I15" s="37"/>
      <c r="J15" s="37">
        <f>SUM(J10:J12)</f>
        <v>47684</v>
      </c>
      <c r="K15" s="37"/>
      <c r="L15" s="37"/>
      <c r="M15" s="37"/>
      <c r="N15" s="45" t="s">
        <v>688</v>
      </c>
    </row>
    <row r="16">
      <c r="A16" s="2"/>
      <c r="B16" s="21" t="s">
        <v>694</v>
      </c>
      <c r="C16" s="37">
        <f>C15+C13+C14</f>
        <v>19455</v>
      </c>
      <c r="D16" s="37">
        <f>D15+D13+D14</f>
        <v>18105</v>
      </c>
      <c r="E16" s="37">
        <f>E15+E13+E14</f>
        <v>22206</v>
      </c>
      <c r="F16" s="37">
        <f>F15+F13+F14</f>
        <v>20076</v>
      </c>
      <c r="G16" s="37">
        <f>G15+G13+G14</f>
        <v>74424</v>
      </c>
      <c r="H16" s="37"/>
      <c r="I16" s="37"/>
      <c r="J16" s="37">
        <f>J15+J13+J14</f>
        <v>56319</v>
      </c>
      <c r="K16" s="37"/>
      <c r="L16" s="37"/>
      <c r="M16" s="37"/>
      <c r="N16" s="45" t="s">
        <v>688</v>
      </c>
    </row>
    <row r="17">
      <c r="A17" s="2"/>
      <c r="B17" s="2" t="s">
        <v>695</v>
      </c>
      <c r="C17" s="39">
        <v>6628</v>
      </c>
      <c r="D17" s="24">
        <f>G17-J17</f>
        <v>6941</v>
      </c>
      <c r="E17" s="39">
        <v>7026</v>
      </c>
      <c r="F17" s="39">
        <v>7302</v>
      </c>
      <c r="G17" s="39">
        <v>25640</v>
      </c>
      <c r="H17" s="24"/>
      <c r="I17" s="24"/>
      <c r="J17" s="39">
        <v>18699</v>
      </c>
      <c r="K17" s="24"/>
      <c r="L17" s="24"/>
      <c r="M17" s="24"/>
      <c r="N17" s="45" t="s">
        <v>688</v>
      </c>
    </row>
    <row r="18">
      <c r="A18" s="2"/>
      <c r="B18" s="2" t="s">
        <v>696</v>
      </c>
      <c r="C18" s="39">
        <v>8180</v>
      </c>
      <c r="D18" s="24">
        <f>G18-J18</f>
        <v>8662</v>
      </c>
      <c r="E18" s="39">
        <v>8908</v>
      </c>
      <c r="F18" s="39">
        <v>9466</v>
      </c>
      <c r="G18" s="39">
        <v>31458</v>
      </c>
      <c r="H18" s="24"/>
      <c r="I18" s="24"/>
      <c r="J18" s="39">
        <v>22796</v>
      </c>
      <c r="K18" s="24"/>
      <c r="L18" s="24"/>
      <c r="M18" s="24"/>
      <c r="N18" s="45" t="s">
        <v>688</v>
      </c>
    </row>
    <row r="19">
      <c r="A19" s="2"/>
      <c r="B19" s="2" t="s">
        <v>697</v>
      </c>
      <c r="C19" s="39">
        <v>762</v>
      </c>
      <c r="D19" s="24">
        <f>G19-J19</f>
        <v>782</v>
      </c>
      <c r="E19" s="39">
        <v>776</v>
      </c>
      <c r="F19" s="39">
        <v>776</v>
      </c>
      <c r="G19" s="39">
        <v>2993</v>
      </c>
      <c r="H19" s="24"/>
      <c r="I19" s="24"/>
      <c r="J19" s="39">
        <v>2211</v>
      </c>
      <c r="K19" s="24"/>
      <c r="L19" s="24"/>
      <c r="M19" s="24"/>
      <c r="N19" s="45" t="s">
        <v>688</v>
      </c>
    </row>
    <row r="20">
      <c r="A20" s="2"/>
      <c r="B20" s="2" t="s">
        <v>698</v>
      </c>
      <c r="C20" s="39">
        <v>2727</v>
      </c>
      <c r="D20" s="24">
        <f>G20-J20</f>
        <v>2758</v>
      </c>
      <c r="E20" s="39">
        <v>2699</v>
      </c>
      <c r="F20" s="39">
        <v>2765</v>
      </c>
      <c r="G20" s="39">
        <v>10707</v>
      </c>
      <c r="H20" s="24"/>
      <c r="I20" s="24"/>
      <c r="J20" s="39">
        <v>7949</v>
      </c>
      <c r="K20" s="24"/>
      <c r="L20" s="24"/>
      <c r="M20" s="24"/>
      <c r="N20" s="45" t="s">
        <v>688</v>
      </c>
    </row>
    <row r="21">
      <c r="A21" s="2"/>
      <c r="B21" s="2" t="s">
        <v>699</v>
      </c>
      <c r="C21" s="39">
        <v>0</v>
      </c>
      <c r="D21" s="24">
        <f>G21-J21</f>
        <v>1</v>
      </c>
      <c r="E21" s="39">
        <v>0</v>
      </c>
      <c r="F21" s="39">
        <v>1</v>
      </c>
      <c r="G21" s="39">
        <v>1</v>
      </c>
      <c r="H21" s="24"/>
      <c r="I21" s="24"/>
      <c r="J21" s="39">
        <v>0</v>
      </c>
      <c r="K21" s="24"/>
      <c r="L21" s="24"/>
      <c r="M21" s="24"/>
      <c r="N21" s="45" t="s">
        <v>688</v>
      </c>
    </row>
    <row r="22">
      <c r="A22" s="2"/>
      <c r="B22" s="21" t="s">
        <v>700</v>
      </c>
      <c r="C22" s="37">
        <f>SUM(C17:C19)</f>
        <v>15570</v>
      </c>
      <c r="D22" s="37">
        <f>SUM(D17:D19)</f>
        <v>16385</v>
      </c>
      <c r="E22" s="37">
        <f>SUM(E17:E19)</f>
        <v>16710</v>
      </c>
      <c r="F22" s="37">
        <f>SUM(F17:F19)</f>
        <v>17544</v>
      </c>
      <c r="G22" s="37">
        <f>SUM(G17:G19)</f>
        <v>60091</v>
      </c>
      <c r="H22" s="37"/>
      <c r="I22" s="37"/>
      <c r="J22" s="37">
        <f>SUM(J17:J19)</f>
        <v>43706</v>
      </c>
      <c r="K22" s="37"/>
      <c r="L22" s="37"/>
      <c r="M22" s="37"/>
      <c r="N22" s="45" t="s">
        <v>688</v>
      </c>
    </row>
    <row r="23">
      <c r="A23" s="2"/>
      <c r="B23" s="21" t="s">
        <v>701</v>
      </c>
      <c r="C23" s="37">
        <f>C22+C20+C21</f>
        <v>18297</v>
      </c>
      <c r="D23" s="37">
        <f>D22+D20+D21</f>
        <v>19144</v>
      </c>
      <c r="E23" s="37">
        <f>E22+E20+E21</f>
        <v>19409</v>
      </c>
      <c r="F23" s="37">
        <f>F22+F20+F21</f>
        <v>20310</v>
      </c>
      <c r="G23" s="37">
        <f>G22+G20+G21</f>
        <v>70799</v>
      </c>
      <c r="H23" s="37"/>
      <c r="I23" s="37"/>
      <c r="J23" s="37">
        <f>J22+J20+J21</f>
        <v>51655</v>
      </c>
      <c r="K23" s="37"/>
      <c r="L23" s="37"/>
      <c r="M23" s="37"/>
      <c r="N23" s="45" t="s">
        <v>688</v>
      </c>
    </row>
    <row r="24">
      <c r="A24" s="2"/>
      <c r="B24" s="2" t="s">
        <v>93</v>
      </c>
      <c r="C24" s="39">
        <v>19719</v>
      </c>
      <c r="D24" s="24">
        <f>G24-J24</f>
        <v>20276</v>
      </c>
      <c r="E24" s="39">
        <v>20409</v>
      </c>
      <c r="F24" s="39">
        <v>22004</v>
      </c>
      <c r="G24" s="39">
        <v>75372</v>
      </c>
      <c r="H24" s="24"/>
      <c r="I24" s="24"/>
      <c r="J24" s="39">
        <v>55096</v>
      </c>
      <c r="K24" s="24"/>
      <c r="L24" s="24"/>
      <c r="M24" s="24"/>
      <c r="N24" s="45" t="s">
        <v>688</v>
      </c>
    </row>
    <row r="25">
      <c r="A25" s="2"/>
      <c r="B25" s="2" t="s">
        <v>91</v>
      </c>
      <c r="C25" s="39">
        <v>739</v>
      </c>
      <c r="D25" s="24">
        <f>G25-J25</f>
        <v>790</v>
      </c>
      <c r="E25" s="39">
        <v>814</v>
      </c>
      <c r="F25" s="39">
        <v>871</v>
      </c>
      <c r="G25" s="39">
        <v>2832</v>
      </c>
      <c r="H25" s="24"/>
      <c r="I25" s="24"/>
      <c r="J25" s="39">
        <v>2042</v>
      </c>
      <c r="K25" s="24"/>
      <c r="L25" s="24"/>
      <c r="M25" s="24"/>
      <c r="N25" s="45" t="s">
        <v>688</v>
      </c>
    </row>
    <row r="26">
      <c r="A26" s="2"/>
      <c r="B26" s="2" t="s">
        <v>89</v>
      </c>
      <c r="C26" s="39">
        <v>278</v>
      </c>
      <c r="D26" s="24">
        <f>G26-J26</f>
        <v>290</v>
      </c>
      <c r="E26" s="39">
        <v>287</v>
      </c>
      <c r="F26" s="39">
        <v>303</v>
      </c>
      <c r="G26" s="39">
        <v>1064</v>
      </c>
      <c r="H26" s="24"/>
      <c r="I26" s="24"/>
      <c r="J26" s="39">
        <v>774</v>
      </c>
      <c r="K26" s="24"/>
      <c r="L26" s="24"/>
      <c r="M26" s="24"/>
      <c r="N26" s="45" t="s">
        <v>688</v>
      </c>
    </row>
    <row r="27">
      <c r="A27" s="2"/>
      <c r="B27" s="2" t="s">
        <v>90</v>
      </c>
      <c r="C27" s="39">
        <v>117</v>
      </c>
      <c r="D27" s="24">
        <f>G27-J27</f>
        <v>105</v>
      </c>
      <c r="E27" s="39">
        <v>111</v>
      </c>
      <c r="F27" s="39">
        <v>133</v>
      </c>
      <c r="G27" s="39">
        <v>413</v>
      </c>
      <c r="H27" s="24"/>
      <c r="I27" s="24"/>
      <c r="J27" s="39">
        <v>308</v>
      </c>
      <c r="K27" s="24"/>
      <c r="L27" s="24"/>
      <c r="M27" s="24"/>
      <c r="N27" s="45" t="s">
        <v>688</v>
      </c>
    </row>
    <row r="28">
      <c r="A28" s="2"/>
      <c r="B28" s="2" t="s">
        <v>92</v>
      </c>
      <c r="C28" s="39">
        <v>288</v>
      </c>
      <c r="D28" s="24">
        <f>G28-J28</f>
        <v>-53</v>
      </c>
      <c r="E28" s="39">
        <v>-212</v>
      </c>
      <c r="F28" s="39">
        <v>387</v>
      </c>
      <c r="G28" s="39">
        <v>264</v>
      </c>
      <c r="H28" s="24"/>
      <c r="I28" s="24"/>
      <c r="J28" s="39">
        <v>317</v>
      </c>
      <c r="K28" s="24"/>
      <c r="L28" s="24"/>
      <c r="M28" s="24"/>
      <c r="N28" s="45" t="s">
        <v>688</v>
      </c>
    </row>
    <row r="29">
      <c r="A29" s="2"/>
      <c r="B29" s="2" t="s">
        <v>247</v>
      </c>
      <c r="C29" s="39">
        <v>2334</v>
      </c>
      <c r="D29" s="24">
        <f>G29-J29</f>
        <v>2356</v>
      </c>
      <c r="E29" s="39">
        <v>2567</v>
      </c>
      <c r="F29" s="39">
        <v>3175</v>
      </c>
      <c r="G29" s="39">
        <v>8480</v>
      </c>
      <c r="H29" s="24"/>
      <c r="I29" s="24"/>
      <c r="J29" s="39">
        <v>6124</v>
      </c>
      <c r="K29" s="24"/>
      <c r="L29" s="24"/>
      <c r="M29" s="24"/>
      <c r="N29" s="45" t="s">
        <v>688</v>
      </c>
    </row>
    <row r="30">
      <c r="A30" s="2"/>
      <c r="B30" s="2" t="s">
        <v>702</v>
      </c>
      <c r="C30" s="35">
        <v>3.97</v>
      </c>
      <c r="D30" s="35">
        <v>4.01</v>
      </c>
      <c r="E30" s="35">
        <v>4.37</v>
      </c>
      <c r="F30" s="35">
        <v>5.4</v>
      </c>
      <c r="G30" s="35">
        <v>14.4</v>
      </c>
      <c r="H30" s="46"/>
      <c r="I30" s="46"/>
      <c r="J30" s="46"/>
      <c r="K30" s="46"/>
      <c r="L30" s="46"/>
      <c r="M30" s="46"/>
      <c r="N30" s="45" t="s">
        <v>688</v>
      </c>
    </row>
    <row r="31">
      <c r="A31" s="2"/>
      <c r="B31" s="2" t="s">
        <v>703</v>
      </c>
      <c r="C31" s="39">
        <v>587.6</v>
      </c>
      <c r="D31" s="39">
        <v>587.7</v>
      </c>
      <c r="E31" s="39">
        <v>587.7</v>
      </c>
      <c r="F31" s="39">
        <v>587.8</v>
      </c>
      <c r="G31" s="39">
        <v>587.7</v>
      </c>
      <c r="H31" s="24"/>
      <c r="I31" s="24"/>
      <c r="J31" s="24"/>
      <c r="K31" s="24"/>
      <c r="L31" s="24"/>
      <c r="M31" s="24"/>
      <c r="N31" s="45" t="s">
        <v>688</v>
      </c>
    </row>
    <row r="32">
      <c r="A32" s="2"/>
      <c r="B32" s="2" t="s">
        <v>704</v>
      </c>
      <c r="C32" s="39">
        <v>0</v>
      </c>
      <c r="D32" s="24">
        <f>G32-J32</f>
        <v>0</v>
      </c>
      <c r="E32" s="39">
        <v>0</v>
      </c>
      <c r="F32" s="39">
        <v>0</v>
      </c>
      <c r="G32" s="39">
        <v>17</v>
      </c>
      <c r="H32" s="24"/>
      <c r="I32" s="24"/>
      <c r="J32" s="39">
        <v>17</v>
      </c>
      <c r="K32" s="24"/>
      <c r="L32" s="24"/>
      <c r="M32" s="24"/>
      <c r="N32" s="45" t="s">
        <v>688</v>
      </c>
    </row>
    <row r="33">
      <c r="A33" s="2"/>
      <c r="B33" s="19" t="s">
        <v>166</v>
      </c>
      <c r="C33" s="3">
        <v>0.869</v>
      </c>
      <c r="D33" s="1">
        <f>(G33*G17-J33*J17)/D17</f>
        <v>0.8636939922201414</v>
      </c>
      <c r="E33" s="3">
        <v>0.819</v>
      </c>
      <c r="F33" s="3">
        <v>0.844</v>
      </c>
      <c r="G33" s="3">
        <v>0.861</v>
      </c>
      <c r="H33" s="1"/>
      <c r="I33" s="1"/>
      <c r="J33" s="3">
        <v>0.86</v>
      </c>
      <c r="K33" s="1"/>
      <c r="L33" s="1"/>
      <c r="M33" s="1"/>
      <c r="N33" s="45" t="s">
        <v>688</v>
      </c>
    </row>
    <row r="34">
      <c r="A34" s="2"/>
      <c r="B34" s="19" t="s">
        <v>169</v>
      </c>
      <c r="C34" s="3">
        <v>0.919</v>
      </c>
      <c r="D34" s="1">
        <f>(G34*G18-J34*J18)/D18</f>
        <v>0.9127903486492727</v>
      </c>
      <c r="E34" s="3">
        <v>0.886</v>
      </c>
      <c r="F34" s="3">
        <v>0.875</v>
      </c>
      <c r="G34" s="3">
        <v>0.897</v>
      </c>
      <c r="H34" s="1"/>
      <c r="I34" s="1"/>
      <c r="J34" s="3">
        <v>0.891</v>
      </c>
      <c r="K34" s="1"/>
      <c r="L34" s="1"/>
      <c r="M34" s="1"/>
      <c r="N34" s="45" t="s">
        <v>688</v>
      </c>
    </row>
    <row r="35">
      <c r="A35" s="2"/>
      <c r="B35" s="19" t="s">
        <v>172</v>
      </c>
      <c r="C35" s="3">
        <v>0.785</v>
      </c>
      <c r="D35" s="1">
        <f>(G35*G19-J35*J19)/D19</f>
        <v>0.5815140664961639</v>
      </c>
      <c r="E35" s="3">
        <v>0.872</v>
      </c>
      <c r="F35" s="3">
        <v>0.836</v>
      </c>
      <c r="G35" s="3">
        <v>0.983</v>
      </c>
      <c r="H35" s="1"/>
      <c r="I35" s="1"/>
      <c r="J35" s="3">
        <v>1.125</v>
      </c>
      <c r="K35" s="1"/>
      <c r="L35" s="1"/>
      <c r="M35" s="1"/>
      <c r="N35" s="45" t="s">
        <v>688</v>
      </c>
    </row>
    <row r="36">
      <c r="A36" s="2"/>
      <c r="B36" s="19" t="s">
        <v>645</v>
      </c>
      <c r="C36" s="3">
        <v>0.891</v>
      </c>
      <c r="D36" s="1">
        <f>(G36*G22-J36*J22)/D22</f>
        <v>0.8753302410741531</v>
      </c>
      <c r="E36" s="3">
        <v>0.857</v>
      </c>
      <c r="F36" s="3">
        <v>0.86</v>
      </c>
      <c r="G36" s="3">
        <v>0.886</v>
      </c>
      <c r="H36" s="1"/>
      <c r="I36" s="1"/>
      <c r="J36" s="3">
        <v>0.89</v>
      </c>
      <c r="K36" s="1"/>
      <c r="L36" s="1"/>
      <c r="M36" s="1"/>
      <c r="N36" s="45" t="s">
        <v>688</v>
      </c>
    </row>
    <row r="37">
      <c r="A37" s="2"/>
      <c r="B37" s="19" t="s">
        <v>221</v>
      </c>
      <c r="C37" s="3">
        <v>0.887</v>
      </c>
      <c r="D37" s="1">
        <f>(G37*G20-J37*J20)/D20</f>
        <v>0.8853535170413347</v>
      </c>
      <c r="E37" s="3">
        <v>0.875</v>
      </c>
      <c r="F37" s="3">
        <v>0.868</v>
      </c>
      <c r="G37" s="3">
        <v>0.894</v>
      </c>
      <c r="H37" s="1"/>
      <c r="I37" s="1"/>
      <c r="J37" s="3">
        <v>0.897</v>
      </c>
      <c r="K37" s="1"/>
      <c r="L37" s="1"/>
      <c r="M37" s="1"/>
      <c r="N37" s="45" t="s">
        <v>688</v>
      </c>
    </row>
    <row r="38">
      <c r="A38" s="2"/>
      <c r="B38" s="19" t="s">
        <v>647</v>
      </c>
      <c r="C38" s="3">
        <v>0.89</v>
      </c>
      <c r="D38" s="1">
        <f>(G38*G23-J38*J23)/D23</f>
        <v>0.8799052966987045</v>
      </c>
      <c r="E38" s="3">
        <v>0.86</v>
      </c>
      <c r="F38" s="3">
        <v>0.862</v>
      </c>
      <c r="G38" s="3">
        <v>0.888</v>
      </c>
      <c r="H38" s="1"/>
      <c r="I38" s="1"/>
      <c r="J38" s="3">
        <v>0.891</v>
      </c>
      <c r="K38" s="1"/>
      <c r="L38" s="1"/>
      <c r="M38" s="1"/>
      <c r="N38" s="45" t="s">
        <v>688</v>
      </c>
    </row>
    <row r="39">
      <c r="A39" s="2"/>
      <c r="B39" s="19" t="s">
        <v>652</v>
      </c>
      <c r="C39" s="3">
        <v>0.681</v>
      </c>
      <c r="D39" s="1">
        <f>(G39*G23-J39*J23)/D23</f>
        <v>0.6748105933974091</v>
      </c>
      <c r="E39" s="3">
        <v>0.658</v>
      </c>
      <c r="F39" s="3">
        <v>0.668</v>
      </c>
      <c r="G39" s="3">
        <v>0.691</v>
      </c>
      <c r="H39" s="1"/>
      <c r="I39" s="1"/>
      <c r="J39" s="3">
        <v>0.697</v>
      </c>
      <c r="K39" s="1"/>
      <c r="L39" s="1"/>
      <c r="M39" s="1"/>
      <c r="N39" s="45" t="s">
        <v>688</v>
      </c>
    </row>
    <row r="40">
      <c r="A40" s="2"/>
      <c r="B40" s="19" t="s">
        <v>705</v>
      </c>
      <c r="C40" s="3">
        <v>0.209</v>
      </c>
      <c r="D40" s="1">
        <f>(G40*G23-J40*J23)/D23</f>
        <v>0.20509470330129548</v>
      </c>
      <c r="E40" s="3">
        <v>0.202</v>
      </c>
      <c r="F40" s="3">
        <v>0.194</v>
      </c>
      <c r="G40" s="3">
        <v>0.197</v>
      </c>
      <c r="H40" s="1"/>
      <c r="I40" s="1"/>
      <c r="J40" s="3">
        <v>0.194</v>
      </c>
      <c r="K40" s="1"/>
      <c r="L40" s="1"/>
      <c r="M40" s="1"/>
      <c r="N40" s="45" t="s">
        <v>688</v>
      </c>
    </row>
    <row r="41">
      <c r="A41" s="2"/>
      <c r="B41" s="19" t="s">
        <v>163</v>
      </c>
      <c r="C41" s="3">
        <v>0.679</v>
      </c>
      <c r="D41" s="1">
        <f>(G41*G17-J41*J17)/D17</f>
        <v>0.6796939922201414</v>
      </c>
      <c r="E41" s="3">
        <v>0.639</v>
      </c>
      <c r="F41" s="3">
        <v>0.662</v>
      </c>
      <c r="G41" s="3">
        <v>0.677</v>
      </c>
      <c r="H41" s="1"/>
      <c r="I41" s="1"/>
      <c r="J41" s="3">
        <v>0.676</v>
      </c>
      <c r="K41" s="1"/>
      <c r="L41" s="1"/>
      <c r="M41" s="1"/>
      <c r="N41" s="45" t="s">
        <v>688</v>
      </c>
    </row>
    <row r="42">
      <c r="A42" s="2"/>
      <c r="B42" s="19" t="s">
        <v>165</v>
      </c>
      <c r="C42" s="3">
        <v>0.19</v>
      </c>
      <c r="D42" s="1">
        <f>(G42*G17-J42*J17)/D17</f>
        <v>0.18400000000000002</v>
      </c>
      <c r="E42" s="3">
        <v>0.18</v>
      </c>
      <c r="F42" s="3">
        <v>0.182</v>
      </c>
      <c r="G42" s="3">
        <v>0.184</v>
      </c>
      <c r="H42" s="1"/>
      <c r="I42" s="1"/>
      <c r="J42" s="3">
        <v>0.184</v>
      </c>
      <c r="K42" s="1"/>
      <c r="L42" s="1"/>
      <c r="M42" s="1"/>
      <c r="N42" s="45" t="s">
        <v>688</v>
      </c>
    </row>
    <row r="43">
      <c r="A43" s="2"/>
      <c r="B43" s="19" t="s">
        <v>167</v>
      </c>
      <c r="C43" s="3">
        <v>0.699</v>
      </c>
      <c r="D43" s="1">
        <f>(G43*G18-J43*J18)/D18</f>
        <v>0.7006317247748787</v>
      </c>
      <c r="E43" s="3">
        <v>0.673</v>
      </c>
      <c r="F43" s="3">
        <v>0.683</v>
      </c>
      <c r="G43" s="3">
        <v>0.698</v>
      </c>
      <c r="H43" s="1"/>
      <c r="I43" s="1"/>
      <c r="J43" s="3">
        <v>0.697</v>
      </c>
      <c r="K43" s="1"/>
      <c r="L43" s="1"/>
      <c r="M43" s="1"/>
      <c r="N43" s="45" t="s">
        <v>688</v>
      </c>
    </row>
    <row r="44">
      <c r="A44" s="2"/>
      <c r="B44" s="19" t="s">
        <v>168</v>
      </c>
      <c r="C44" s="3">
        <v>0.22</v>
      </c>
      <c r="D44" s="1">
        <f>(G44*G18-J44*J18)/D18</f>
        <v>0.212158623874394</v>
      </c>
      <c r="E44" s="3">
        <v>0.213</v>
      </c>
      <c r="F44" s="3">
        <v>0.192</v>
      </c>
      <c r="G44" s="3">
        <v>0.199</v>
      </c>
      <c r="H44" s="1"/>
      <c r="I44" s="1"/>
      <c r="J44" s="3">
        <v>0.194</v>
      </c>
      <c r="K44" s="1"/>
      <c r="L44" s="1"/>
      <c r="M44" s="1"/>
      <c r="N44" s="45" t="s">
        <v>688</v>
      </c>
    </row>
    <row r="45">
      <c r="A45" s="2"/>
      <c r="B45" s="19" t="s">
        <v>170</v>
      </c>
      <c r="C45" s="3">
        <v>0.486</v>
      </c>
      <c r="D45" s="1">
        <f>(G45*G19-J45*J19)/D19</f>
        <v>0.29716879795396417</v>
      </c>
      <c r="E45" s="3">
        <v>0.584</v>
      </c>
      <c r="F45" s="3">
        <v>0.544</v>
      </c>
      <c r="G45" s="3">
        <v>0.693</v>
      </c>
      <c r="H45" s="1"/>
      <c r="I45" s="1"/>
      <c r="J45" s="3">
        <v>0.833</v>
      </c>
      <c r="K45" s="1"/>
      <c r="L45" s="1"/>
      <c r="M45" s="1"/>
      <c r="N45" s="45" t="s">
        <v>688</v>
      </c>
    </row>
    <row r="46">
      <c r="A46" s="2"/>
      <c r="B46" s="19" t="s">
        <v>643</v>
      </c>
      <c r="C46" s="3">
        <v>0.299</v>
      </c>
      <c r="D46" s="1">
        <f>(G46*G19-J46*J19)/D19</f>
        <v>0.28434526854219944</v>
      </c>
      <c r="E46" s="3">
        <v>0.288</v>
      </c>
      <c r="F46" s="3">
        <v>0.292</v>
      </c>
      <c r="G46" s="3">
        <v>0.29</v>
      </c>
      <c r="H46" s="1"/>
      <c r="I46" s="1"/>
      <c r="J46" s="3">
        <v>0.292</v>
      </c>
      <c r="K46" s="1"/>
      <c r="L46" s="1"/>
      <c r="M46" s="1"/>
      <c r="N46" s="45" t="s">
        <v>688</v>
      </c>
    </row>
    <row r="47">
      <c r="A47" s="2"/>
      <c r="B47" s="19" t="s">
        <v>706</v>
      </c>
      <c r="C47" s="3">
        <v>0.68</v>
      </c>
      <c r="D47" s="1">
        <f>(G47*G22-J47*J22)/D22</f>
        <v>0.6729953616112295</v>
      </c>
      <c r="E47" s="3">
        <v>0.654</v>
      </c>
      <c r="F47" s="3">
        <v>0.668</v>
      </c>
      <c r="G47" s="3">
        <v>0.689</v>
      </c>
      <c r="H47" s="1"/>
      <c r="I47" s="1"/>
      <c r="J47" s="3">
        <v>0.695</v>
      </c>
      <c r="K47" s="1"/>
      <c r="L47" s="1"/>
      <c r="M47" s="1"/>
      <c r="N47" s="45" t="s">
        <v>688</v>
      </c>
    </row>
    <row r="48">
      <c r="A48" s="2"/>
      <c r="B48" s="19" t="s">
        <v>707</v>
      </c>
      <c r="C48" s="3">
        <v>0.211</v>
      </c>
      <c r="D48" s="1">
        <f>(G48*G22-J48*J22)/D22</f>
        <v>0.2023348794629234</v>
      </c>
      <c r="E48" s="3">
        <v>0.203</v>
      </c>
      <c r="F48" s="3">
        <v>0.192</v>
      </c>
      <c r="G48" s="3">
        <v>0.197</v>
      </c>
      <c r="H48" s="1"/>
      <c r="I48" s="1"/>
      <c r="J48" s="3">
        <v>0.195</v>
      </c>
      <c r="K48" s="1"/>
      <c r="L48" s="1"/>
      <c r="M48" s="1"/>
      <c r="N48" s="45" t="s">
        <v>688</v>
      </c>
    </row>
    <row r="49">
      <c r="A49" s="2"/>
      <c r="B49" s="19" t="s">
        <v>219</v>
      </c>
      <c r="C49" s="3">
        <v>0.693</v>
      </c>
      <c r="D49" s="1">
        <f>(G49*G20-J49*J20)/D20</f>
        <v>0.6923535170413344</v>
      </c>
      <c r="E49" s="3">
        <v>0.678</v>
      </c>
      <c r="F49" s="3">
        <v>0.668</v>
      </c>
      <c r="G49" s="3">
        <v>0.701</v>
      </c>
      <c r="H49" s="1"/>
      <c r="I49" s="1"/>
      <c r="J49" s="3">
        <v>0.704</v>
      </c>
      <c r="K49" s="1"/>
      <c r="L49" s="1"/>
      <c r="M49" s="1"/>
      <c r="N49" s="45" t="s">
        <v>688</v>
      </c>
    </row>
    <row r="50">
      <c r="A50" s="2"/>
      <c r="B50" s="19" t="s">
        <v>644</v>
      </c>
      <c r="C50" s="3">
        <v>0.194</v>
      </c>
      <c r="D50" s="1">
        <f>(G50*G20-J50*J20)/D20</f>
        <v>0.19300000000000003</v>
      </c>
      <c r="E50" s="3">
        <v>0.197</v>
      </c>
      <c r="F50" s="3">
        <v>0.2</v>
      </c>
      <c r="G50" s="3">
        <v>0.193</v>
      </c>
      <c r="H50" s="1"/>
      <c r="I50" s="1"/>
      <c r="J50" s="3">
        <v>0.193</v>
      </c>
      <c r="K50" s="1"/>
      <c r="L50" s="1"/>
      <c r="M50" s="1"/>
      <c r="N50" s="45" t="s">
        <v>688</v>
      </c>
    </row>
    <row r="51">
      <c r="A51" s="2"/>
      <c r="B51" s="19" t="s">
        <v>708</v>
      </c>
      <c r="C51" s="1"/>
      <c r="D51" s="1"/>
      <c r="E51" s="1"/>
      <c r="F51" s="1"/>
      <c r="G51" s="3">
        <v>0.248</v>
      </c>
      <c r="H51" s="1"/>
      <c r="I51" s="1"/>
      <c r="J51" s="1"/>
      <c r="K51" s="1"/>
      <c r="L51" s="1"/>
      <c r="M51" s="1"/>
      <c r="N51" s="45" t="s">
        <v>688</v>
      </c>
    </row>
    <row r="52">
      <c r="A52" s="2"/>
      <c r="B52" s="2" t="s">
        <v>709</v>
      </c>
      <c r="C52" s="24"/>
      <c r="D52" s="24"/>
      <c r="E52" s="24"/>
      <c r="F52" s="24"/>
      <c r="G52" s="39">
        <v>2434</v>
      </c>
      <c r="H52" s="24"/>
      <c r="I52" s="24"/>
      <c r="J52" s="24"/>
      <c r="K52" s="24"/>
      <c r="L52" s="24"/>
      <c r="M52" s="24"/>
      <c r="N52" s="45" t="s">
        <v>688</v>
      </c>
    </row>
    <row r="53">
      <c r="A53" s="2"/>
      <c r="B53" s="2" t="s">
        <v>179</v>
      </c>
      <c r="C53" s="39">
        <v>641</v>
      </c>
      <c r="D53" s="24" t="s">
        <v>72</v>
      </c>
      <c r="E53" s="39">
        <v>300</v>
      </c>
      <c r="F53" s="39">
        <v>531</v>
      </c>
      <c r="G53" s="24">
        <f>G52-G54</f>
        <v>1691.7359999999999</v>
      </c>
      <c r="H53" s="24"/>
      <c r="I53" s="24"/>
      <c r="J53" s="39">
        <v>1528</v>
      </c>
      <c r="K53" s="24"/>
      <c r="L53" s="24"/>
      <c r="M53" s="24"/>
      <c r="N53" s="45" t="s">
        <v>710</v>
      </c>
    </row>
    <row r="54">
      <c r="A54" s="2"/>
      <c r="B54" s="2" t="s">
        <v>186</v>
      </c>
      <c r="C54" s="39">
        <v>57</v>
      </c>
      <c r="D54" s="24" t="s">
        <v>72</v>
      </c>
      <c r="E54" s="39">
        <v>154</v>
      </c>
      <c r="F54" s="39">
        <v>157</v>
      </c>
      <c r="G54" s="24">
        <f>G51*G19</f>
        <v>742.264</v>
      </c>
      <c r="H54" s="24"/>
      <c r="I54" s="24"/>
      <c r="J54" s="39">
        <v>751</v>
      </c>
      <c r="K54" s="24"/>
      <c r="L54" s="24"/>
      <c r="M54" s="24"/>
      <c r="N54" s="45" t="s">
        <v>711</v>
      </c>
    </row>
    <row r="55">
      <c r="A55" s="2"/>
      <c r="B55" s="2" t="s">
        <v>222</v>
      </c>
      <c r="C55" s="39">
        <v>34</v>
      </c>
      <c r="D55" s="24">
        <f>G55-J55</f>
        <v>11</v>
      </c>
      <c r="E55" s="39">
        <v>5</v>
      </c>
      <c r="F55" s="39">
        <v>19</v>
      </c>
      <c r="G55" s="39">
        <v>80</v>
      </c>
      <c r="H55" s="24"/>
      <c r="I55" s="24"/>
      <c r="J55" s="39">
        <v>69</v>
      </c>
      <c r="K55" s="24"/>
      <c r="L55" s="24"/>
      <c r="M55" s="24"/>
      <c r="N55" s="45" t="s">
        <v>688</v>
      </c>
    </row>
    <row r="56">
      <c r="A56" s="2"/>
      <c r="B56" s="21" t="s">
        <v>712</v>
      </c>
      <c r="C56" s="37">
        <f>C53+C54+C55</f>
        <v>732</v>
      </c>
      <c r="D56" s="37">
        <f>G56-J56</f>
        <v>166</v>
      </c>
      <c r="E56" s="37">
        <f>E53+E54+E55</f>
        <v>459</v>
      </c>
      <c r="F56" s="37">
        <f>F53+F54+F55</f>
        <v>707</v>
      </c>
      <c r="G56" s="37">
        <f>G53+G54+G55</f>
        <v>2514</v>
      </c>
      <c r="H56" s="37"/>
      <c r="I56" s="37"/>
      <c r="J56" s="37">
        <f>J53+J54+J55</f>
        <v>2348</v>
      </c>
      <c r="K56" s="37"/>
      <c r="L56" s="37"/>
      <c r="M56" s="37"/>
      <c r="N56" s="45" t="s">
        <v>688</v>
      </c>
    </row>
    <row r="57">
      <c r="A57" s="2"/>
      <c r="B57" s="19" t="s">
        <v>713</v>
      </c>
      <c r="C57" s="1">
        <f>C53/(C17+C18)</f>
        <v>0.043287412209616426</v>
      </c>
      <c r="D57" s="1" t="s">
        <v>72</v>
      </c>
      <c r="E57" s="1">
        <f>E53/(E17+E18)</f>
        <v>0.018827664114472197</v>
      </c>
      <c r="F57" s="1">
        <f>F53/(F17+F18)</f>
        <v>0.03166746183206107</v>
      </c>
      <c r="G57" s="1">
        <f>G53/(G17+G18)</f>
        <v>0.029628638481207746</v>
      </c>
      <c r="H57" s="1"/>
      <c r="I57" s="1"/>
      <c r="J57" s="1"/>
      <c r="K57" s="1"/>
      <c r="L57" s="1"/>
      <c r="M57" s="1"/>
      <c r="N57" s="45" t="s">
        <v>688</v>
      </c>
    </row>
    <row r="58">
      <c r="A58" s="2"/>
      <c r="B58" s="19" t="s">
        <v>708</v>
      </c>
      <c r="C58" s="1">
        <f>C54/C19</f>
        <v>0.07480314960629922</v>
      </c>
      <c r="D58" s="1" t="s">
        <v>72</v>
      </c>
      <c r="E58" s="1">
        <f>E54/E19</f>
        <v>0.19845360824742267</v>
      </c>
      <c r="F58" s="1">
        <f>F54/F19</f>
        <v>0.20231958762886598</v>
      </c>
      <c r="G58" s="1">
        <f>G54/G19</f>
        <v>0.248</v>
      </c>
      <c r="H58" s="1"/>
      <c r="I58" s="1"/>
      <c r="J58" s="1"/>
      <c r="K58" s="1"/>
      <c r="L58" s="1"/>
      <c r="M58" s="1"/>
      <c r="N58" s="45" t="s">
        <v>688</v>
      </c>
    </row>
    <row r="59">
      <c r="A59" s="2"/>
      <c r="B59" s="19" t="s">
        <v>714</v>
      </c>
      <c r="C59" s="1">
        <f>C55/C20</f>
        <v>0.012467913458012467</v>
      </c>
      <c r="D59" s="1">
        <f>D55/D20</f>
        <v>0.003988397389412618</v>
      </c>
      <c r="E59" s="1">
        <f>E55/E20</f>
        <v>0.001852537977028529</v>
      </c>
      <c r="F59" s="1">
        <f>F55/F20</f>
        <v>0.006871609403254973</v>
      </c>
      <c r="G59" s="1">
        <f>G55/G20</f>
        <v>0.007471747454936023</v>
      </c>
      <c r="H59" s="1"/>
      <c r="I59" s="1"/>
      <c r="J59" s="1"/>
      <c r="K59" s="1"/>
      <c r="L59" s="1"/>
      <c r="M59" s="1"/>
      <c r="N59" s="45" t="s">
        <v>688</v>
      </c>
    </row>
    <row r="60">
      <c r="A60" s="2"/>
      <c r="B60" s="2" t="s">
        <v>245</v>
      </c>
      <c r="C60" s="39">
        <v>2946</v>
      </c>
      <c r="D60" s="24">
        <f>G60-J60</f>
        <v>2967</v>
      </c>
      <c r="E60" s="39">
        <v>3236</v>
      </c>
      <c r="F60" s="39">
        <v>3982</v>
      </c>
      <c r="G60" s="39">
        <v>10713</v>
      </c>
      <c r="H60" s="24"/>
      <c r="I60" s="24"/>
      <c r="J60" s="39">
        <v>7746</v>
      </c>
      <c r="K60" s="24"/>
      <c r="L60" s="24"/>
      <c r="M60" s="24"/>
      <c r="N60" s="45" t="s">
        <v>688</v>
      </c>
    </row>
    <row r="61">
      <c r="A61" s="2"/>
      <c r="B61" s="2" t="s">
        <v>246</v>
      </c>
      <c r="C61" s="39">
        <v>612</v>
      </c>
      <c r="D61" s="24">
        <f>G61-J61</f>
        <v>611</v>
      </c>
      <c r="E61" s="39">
        <v>669</v>
      </c>
      <c r="F61" s="39">
        <v>807</v>
      </c>
      <c r="G61" s="39">
        <v>2233</v>
      </c>
      <c r="H61" s="24"/>
      <c r="I61" s="24"/>
      <c r="J61" s="39">
        <v>1622</v>
      </c>
      <c r="K61" s="24"/>
      <c r="L61" s="24"/>
      <c r="M61" s="24"/>
      <c r="N61" s="45" t="s">
        <v>688</v>
      </c>
    </row>
    <row r="62">
      <c r="A62" s="2"/>
      <c r="B62" s="19" t="s">
        <v>266</v>
      </c>
      <c r="C62" s="1">
        <f>C60/C24</f>
        <v>0.14939905674729956</v>
      </c>
      <c r="D62" s="1">
        <f>D60/D24</f>
        <v>0.14633063720654962</v>
      </c>
      <c r="E62" s="1">
        <f>E60/E24</f>
        <v>0.15855749914253517</v>
      </c>
      <c r="F62" s="1">
        <f>F60/F24</f>
        <v>0.18096709689147428</v>
      </c>
      <c r="G62" s="1">
        <f>G60/G24</f>
        <v>0.1421350103486706</v>
      </c>
      <c r="H62" s="1"/>
      <c r="I62" s="1"/>
      <c r="J62" s="1"/>
      <c r="K62" s="1"/>
      <c r="L62" s="1"/>
      <c r="M62" s="1"/>
      <c r="N62" s="45" t="s">
        <v>688</v>
      </c>
    </row>
    <row r="63">
      <c r="A63" s="2"/>
      <c r="B63" s="19" t="s">
        <v>715</v>
      </c>
      <c r="C63" s="1">
        <f>C29/C24</f>
        <v>0.11836300015213753</v>
      </c>
      <c r="D63" s="1">
        <f>D29/D24</f>
        <v>0.11619648845926218</v>
      </c>
      <c r="E63" s="1">
        <f>E29/E24</f>
        <v>0.12577784310843254</v>
      </c>
      <c r="F63" s="1">
        <f>F29/F24</f>
        <v>0.14429194691874206</v>
      </c>
      <c r="G63" s="1">
        <f>G29/G24</f>
        <v>0.11250862389216154</v>
      </c>
      <c r="H63" s="1"/>
      <c r="I63" s="1"/>
      <c r="J63" s="1"/>
      <c r="K63" s="1"/>
      <c r="L63" s="1"/>
      <c r="M63" s="1"/>
      <c r="N63" s="45" t="s">
        <v>688</v>
      </c>
    </row>
    <row r="64">
      <c r="A64" s="2"/>
      <c r="B64" s="19" t="s">
        <v>268</v>
      </c>
      <c r="C64" s="1">
        <f>C61/C60</f>
        <v>0.20773930753564154</v>
      </c>
      <c r="D64" s="1">
        <f>D61/D60</f>
        <v>0.20593191776204922</v>
      </c>
      <c r="E64" s="1">
        <f>E61/E60</f>
        <v>0.20673671199011126</v>
      </c>
      <c r="F64" s="1">
        <f>F61/F60</f>
        <v>0.20266197890507281</v>
      </c>
      <c r="G64" s="1">
        <f>G61/G60</f>
        <v>0.2084383459348455</v>
      </c>
      <c r="H64" s="1"/>
      <c r="I64" s="1"/>
      <c r="J64" s="1"/>
      <c r="K64" s="1"/>
      <c r="L64" s="1"/>
      <c r="M64" s="1"/>
      <c r="N64" s="45" t="s">
        <v>688</v>
      </c>
    </row>
    <row r="65">
      <c r="A65" s="2"/>
      <c r="B65" s="2" t="s">
        <v>716</v>
      </c>
      <c r="C65" s="97">
        <v>9415</v>
      </c>
      <c r="D65" s="97">
        <v>9778</v>
      </c>
      <c r="E65" s="97">
        <v>10146</v>
      </c>
      <c r="F65" s="97">
        <v>10423</v>
      </c>
      <c r="G65" s="97">
        <v>9778</v>
      </c>
      <c r="H65" s="83"/>
      <c r="I65" s="83"/>
      <c r="J65" s="83"/>
      <c r="K65" s="83"/>
      <c r="L65" s="83"/>
      <c r="M65" s="83"/>
      <c r="N65" s="45" t="s">
        <v>688</v>
      </c>
    </row>
    <row r="66">
      <c r="A66" s="2"/>
      <c r="B66" s="2" t="s">
        <v>717</v>
      </c>
      <c r="C66" s="97">
        <v>13388</v>
      </c>
      <c r="D66" s="97">
        <v>13996</v>
      </c>
      <c r="E66" s="97">
        <v>14771</v>
      </c>
      <c r="F66" s="97">
        <v>15245</v>
      </c>
      <c r="G66" s="97">
        <v>13996</v>
      </c>
      <c r="H66" s="83"/>
      <c r="I66" s="83"/>
      <c r="J66" s="83"/>
      <c r="K66" s="83"/>
      <c r="L66" s="83"/>
      <c r="M66" s="83"/>
      <c r="N66" s="45" t="s">
        <v>688</v>
      </c>
    </row>
    <row r="67">
      <c r="A67" s="2"/>
      <c r="B67" s="2" t="s">
        <v>718</v>
      </c>
      <c r="C67" s="97">
        <v>6475</v>
      </c>
      <c r="D67" s="97">
        <v>6520</v>
      </c>
      <c r="E67" s="97">
        <v>6637</v>
      </c>
      <c r="F67" s="97">
        <v>6850</v>
      </c>
      <c r="G67" s="97">
        <v>6520</v>
      </c>
      <c r="H67" s="83"/>
      <c r="I67" s="83"/>
      <c r="J67" s="83"/>
      <c r="K67" s="83"/>
      <c r="L67" s="83"/>
      <c r="M67" s="83"/>
      <c r="N67" s="45" t="s">
        <v>688</v>
      </c>
    </row>
    <row r="68">
      <c r="A68" s="2"/>
      <c r="B68" s="2" t="s">
        <v>719</v>
      </c>
      <c r="C68" s="97">
        <v>3460</v>
      </c>
      <c r="D68" s="97">
        <v>3517</v>
      </c>
      <c r="E68" s="97">
        <v>3576</v>
      </c>
      <c r="F68" s="97">
        <v>3608</v>
      </c>
      <c r="G68" s="97">
        <v>3517</v>
      </c>
      <c r="H68" s="83"/>
      <c r="I68" s="83"/>
      <c r="J68" s="83"/>
      <c r="K68" s="83"/>
      <c r="L68" s="83"/>
      <c r="M68" s="83"/>
      <c r="N68" s="45" t="s">
        <v>688</v>
      </c>
    </row>
    <row r="69">
      <c r="A69" s="2"/>
      <c r="B69" s="2" t="s">
        <v>720</v>
      </c>
      <c r="C69" s="97">
        <v>1131</v>
      </c>
      <c r="D69" s="97">
        <v>1141</v>
      </c>
      <c r="E69" s="97">
        <v>1162</v>
      </c>
      <c r="F69" s="97">
        <v>1189</v>
      </c>
      <c r="G69" s="97">
        <v>1141</v>
      </c>
      <c r="H69" s="83"/>
      <c r="I69" s="83"/>
      <c r="J69" s="83"/>
      <c r="K69" s="83"/>
      <c r="L69" s="83"/>
      <c r="M69" s="83"/>
      <c r="N69" s="45" t="s">
        <v>688</v>
      </c>
    </row>
    <row r="70">
      <c r="A70" s="2"/>
      <c r="B70" s="2" t="s">
        <v>721</v>
      </c>
      <c r="C70" s="24"/>
      <c r="D70" s="24"/>
      <c r="E70" s="24"/>
      <c r="F70" s="39">
        <v>135</v>
      </c>
      <c r="G70" s="39">
        <v>154</v>
      </c>
      <c r="H70" s="24"/>
      <c r="I70" s="24"/>
      <c r="J70" s="24"/>
      <c r="K70" s="24"/>
      <c r="L70" s="24"/>
      <c r="M70" s="24"/>
      <c r="N70" s="45" t="s">
        <v>688</v>
      </c>
    </row>
    <row r="71">
      <c r="A71" s="2"/>
      <c r="B71" s="2" t="s">
        <v>722</v>
      </c>
      <c r="C71" s="39">
        <v>6892</v>
      </c>
      <c r="D71" s="39">
        <v>6893</v>
      </c>
      <c r="E71" s="39">
        <v>6894</v>
      </c>
      <c r="F71" s="39">
        <v>6895</v>
      </c>
      <c r="G71" s="39">
        <v>6893</v>
      </c>
      <c r="H71" s="24"/>
      <c r="I71" s="24"/>
      <c r="J71" s="24"/>
      <c r="K71" s="24"/>
      <c r="L71" s="24"/>
      <c r="M71" s="24"/>
      <c r="N71" s="45" t="s">
        <v>688</v>
      </c>
    </row>
    <row r="72">
      <c r="A72" s="2"/>
      <c r="B72" s="2" t="s">
        <v>723</v>
      </c>
      <c r="C72" s="39">
        <v>27159</v>
      </c>
      <c r="D72" s="39">
        <v>25591</v>
      </c>
      <c r="E72" s="39">
        <v>28954</v>
      </c>
      <c r="F72" s="39">
        <v>32604</v>
      </c>
      <c r="G72" s="39">
        <v>25591</v>
      </c>
      <c r="H72" s="24"/>
      <c r="I72" s="24"/>
      <c r="J72" s="24"/>
      <c r="K72" s="24"/>
      <c r="L72" s="24"/>
      <c r="M72" s="24"/>
      <c r="N72" s="45" t="s">
        <v>688</v>
      </c>
    </row>
    <row r="73">
      <c r="A73" s="2"/>
      <c r="B73" s="2" t="s">
        <v>724</v>
      </c>
      <c r="C73" s="39">
        <v>586</v>
      </c>
      <c r="D73" s="39">
        <v>586</v>
      </c>
      <c r="E73" s="39">
        <v>586</v>
      </c>
      <c r="F73" s="39">
        <v>586</v>
      </c>
      <c r="G73" s="39">
        <v>586</v>
      </c>
      <c r="H73" s="24"/>
      <c r="I73" s="24"/>
      <c r="J73" s="24"/>
      <c r="K73" s="24"/>
      <c r="L73" s="24"/>
      <c r="M73" s="24"/>
      <c r="N73" s="45" t="s">
        <v>688</v>
      </c>
    </row>
    <row r="74">
      <c r="A74" s="2"/>
      <c r="B74" s="19" t="s">
        <v>344</v>
      </c>
      <c r="C74" s="1">
        <f>C71/(C71+C72)</f>
        <v>0.20240227893453935</v>
      </c>
      <c r="D74" s="1">
        <f>D71/(D71+D72)</f>
        <v>0.2121967737963305</v>
      </c>
      <c r="E74" s="1">
        <f>E71/(E71+E72)</f>
        <v>0.192311983932158</v>
      </c>
      <c r="F74" s="1">
        <f>F71/(F71+F72)</f>
        <v>0.17456138130079243</v>
      </c>
      <c r="G74" s="1">
        <f>G71/(G71+G72)</f>
        <v>0.2121967737963305</v>
      </c>
      <c r="H74" s="1"/>
      <c r="I74" s="1"/>
      <c r="J74" s="1"/>
      <c r="K74" s="1"/>
      <c r="L74" s="1"/>
      <c r="M74" s="1"/>
      <c r="N74" s="45" t="s">
        <v>688</v>
      </c>
    </row>
    <row r="75">
      <c r="A75" s="2"/>
      <c r="B75" s="2" t="s">
        <v>345</v>
      </c>
      <c r="C75" s="46">
        <f>C72/C73</f>
        <v>46.346416382252556</v>
      </c>
      <c r="D75" s="46">
        <f>D72/D73</f>
        <v>43.670648464163826</v>
      </c>
      <c r="E75" s="46">
        <f>E72/E73</f>
        <v>49.40955631399317</v>
      </c>
      <c r="F75" s="46">
        <f>F72/F73</f>
        <v>55.6382252559727</v>
      </c>
      <c r="G75" s="46">
        <f>G72/G73</f>
        <v>43.670648464163826</v>
      </c>
      <c r="H75" s="46"/>
      <c r="I75" s="46"/>
      <c r="J75" s="46"/>
      <c r="K75" s="46"/>
      <c r="L75" s="46"/>
      <c r="M75" s="46"/>
      <c r="N75" s="45" t="s">
        <v>688</v>
      </c>
    </row>
    <row r="76">
      <c r="A76" s="2"/>
      <c r="B76" s="19" t="s">
        <v>725</v>
      </c>
      <c r="C76" s="1">
        <f>(C53+C54)/C22</f>
        <v>0.04482980089916506</v>
      </c>
      <c r="D76" s="1">
        <f>(G52-J53-J54)/D22</f>
        <v>0.009459871833994507</v>
      </c>
      <c r="E76" s="1">
        <f>(E53+E54)/E22</f>
        <v>0.027169359664871336</v>
      </c>
      <c r="F76" s="1">
        <f>(F53+F54)/F22</f>
        <v>0.0392156862745098</v>
      </c>
      <c r="G76" s="1">
        <f>(G53+G54)/G22</f>
        <v>0.040505233728844584</v>
      </c>
      <c r="H76" s="1"/>
      <c r="I76" s="1"/>
      <c r="J76" s="1"/>
      <c r="K76" s="1"/>
      <c r="L76" s="1"/>
      <c r="M76" s="1"/>
      <c r="N76" s="45" t="s">
        <v>688</v>
      </c>
    </row>
    <row r="77">
      <c r="A77" s="2"/>
      <c r="B77" s="19" t="s">
        <v>726</v>
      </c>
      <c r="C77" s="1">
        <f>C22/C15</f>
        <v>0.9117526497628389</v>
      </c>
      <c r="D77" s="1">
        <f>D22/D15</f>
        <v>1.037945014569872</v>
      </c>
      <c r="E77" s="1">
        <f>E22/E15</f>
        <v>0.9144639632244295</v>
      </c>
      <c r="F77" s="1">
        <f>F22/F15</f>
        <v>0.9904589849263253</v>
      </c>
      <c r="G77" s="1">
        <f>G22/G15</f>
        <v>0.9467622498818339</v>
      </c>
      <c r="H77" s="1"/>
      <c r="I77" s="1"/>
      <c r="J77" s="1"/>
      <c r="K77" s="1"/>
      <c r="L77" s="1"/>
      <c r="M77" s="1"/>
      <c r="N77" s="45" t="s">
        <v>688</v>
      </c>
    </row>
    <row r="78">
      <c r="A78" s="2"/>
      <c r="B78" s="19" t="s">
        <v>727</v>
      </c>
      <c r="C78" s="1">
        <f>C20/C13</f>
        <v>1.1467619848612278</v>
      </c>
      <c r="D78" s="1">
        <f>D20/D13</f>
        <v>1.1893057352307028</v>
      </c>
      <c r="E78" s="1">
        <f>E20/E13</f>
        <v>0.6862445969997457</v>
      </c>
      <c r="F78" s="1">
        <f>F20/F13</f>
        <v>1.1701227253491324</v>
      </c>
      <c r="G78" s="1">
        <f>G20/G13</f>
        <v>0.977540399890441</v>
      </c>
      <c r="H78" s="1"/>
      <c r="I78" s="1"/>
      <c r="J78" s="1"/>
      <c r="K78" s="1"/>
      <c r="L78" s="1"/>
      <c r="M78" s="1"/>
      <c r="N78" s="45" t="s">
        <v>688</v>
      </c>
    </row>
    <row r="79">
      <c r="A79" s="2"/>
      <c r="B79" s="2" t="s">
        <v>287</v>
      </c>
      <c r="C79" s="24">
        <f>C29-C32-C28*(1-$C$278)</f>
        <v>2106.48</v>
      </c>
      <c r="D79" s="24">
        <f>D29-D32-D28*(1-$C$278)</f>
        <v>2397.87</v>
      </c>
      <c r="E79" s="24">
        <f>E29-E32-E28*(1-$C$278)</f>
        <v>2734.48</v>
      </c>
      <c r="F79" s="24">
        <f>F29-F32-F28*(1-$C$278)</f>
        <v>2869.27</v>
      </c>
      <c r="G79" s="24">
        <f>G29-G32-G28*(1-$C$278)</f>
        <v>8254.44</v>
      </c>
      <c r="H79" s="24"/>
      <c r="I79" s="24"/>
      <c r="J79" s="24"/>
      <c r="K79" s="24"/>
      <c r="L79" s="24"/>
      <c r="M79" s="24"/>
      <c r="N79" s="45" t="s">
        <v>688</v>
      </c>
    </row>
    <row r="80">
      <c r="A80" s="2"/>
      <c r="B80" s="2" t="s">
        <v>675</v>
      </c>
      <c r="C80" s="46">
        <f>C79/C31</f>
        <v>3.584887678692988</v>
      </c>
      <c r="D80" s="46">
        <f>D79/D31</f>
        <v>4.080091883614088</v>
      </c>
      <c r="E80" s="46">
        <f>E79/E31</f>
        <v>4.652850093585162</v>
      </c>
      <c r="F80" s="46">
        <f>F79/F31</f>
        <v>4.881371214698878</v>
      </c>
      <c r="G80" s="46">
        <f>G79/G31</f>
        <v>14.04532924961715</v>
      </c>
      <c r="H80" s="46"/>
      <c r="I80" s="46"/>
      <c r="J80" s="46"/>
      <c r="K80" s="46"/>
      <c r="L80" s="46"/>
      <c r="M80" s="46"/>
      <c r="N80" s="45" t="s">
        <v>688</v>
      </c>
    </row>
    <row r="81">
      <c r="A81" s="2"/>
      <c r="B81" s="2" t="s">
        <v>728</v>
      </c>
      <c r="C81" s="24">
        <f>C17*(1-C33)</f>
        <v>868.268</v>
      </c>
      <c r="D81" s="24">
        <f>D17*(1-D33)</f>
        <v>946.0999999999983</v>
      </c>
      <c r="E81" s="24">
        <f>E17*(1-E33)</f>
        <v>1271.7060000000004</v>
      </c>
      <c r="F81" s="24">
        <f>F17*(1-F33)</f>
        <v>1139.1120000000003</v>
      </c>
      <c r="G81" s="24">
        <f>G17*(1-G33)</f>
        <v>3563.9600000000005</v>
      </c>
      <c r="H81" s="24"/>
      <c r="I81" s="24"/>
      <c r="J81" s="24"/>
      <c r="K81" s="24"/>
      <c r="L81" s="24"/>
      <c r="M81" s="24"/>
      <c r="N81" s="45" t="s">
        <v>688</v>
      </c>
    </row>
    <row r="82">
      <c r="A82" s="2"/>
      <c r="B82" s="2" t="s">
        <v>729</v>
      </c>
      <c r="C82" s="24">
        <f>C18*(1-C34)</f>
        <v>662.5799999999997</v>
      </c>
      <c r="D82" s="24">
        <f>D18*(1-D34)</f>
        <v>755.4100000000002</v>
      </c>
      <c r="E82" s="24">
        <f>E18*(1-E34)</f>
        <v>1015.512</v>
      </c>
      <c r="F82" s="24">
        <f>F18*(1-F34)</f>
        <v>1183.25</v>
      </c>
      <c r="G82" s="24">
        <f>G18*(1-G34)</f>
        <v>3240.1739999999995</v>
      </c>
      <c r="H82" s="24"/>
      <c r="I82" s="24"/>
      <c r="J82" s="24"/>
      <c r="K82" s="24"/>
      <c r="L82" s="24"/>
      <c r="M82" s="24"/>
      <c r="N82" s="45" t="s">
        <v>688</v>
      </c>
    </row>
    <row r="83">
      <c r="A83" s="2"/>
      <c r="B83" s="2" t="s">
        <v>730</v>
      </c>
      <c r="C83" s="24">
        <f>C19*(1-C35)</f>
        <v>163.82999999999998</v>
      </c>
      <c r="D83" s="24">
        <f>D19*(1-D35)</f>
        <v>327.25599999999986</v>
      </c>
      <c r="E83" s="24">
        <f>E19*(1-E35)</f>
        <v>99.328</v>
      </c>
      <c r="F83" s="24">
        <f>F19*(1-F35)</f>
        <v>127.26400000000002</v>
      </c>
      <c r="G83" s="24">
        <f>G19*(1-G35)</f>
        <v>50.88100000000004</v>
      </c>
      <c r="H83" s="24"/>
      <c r="I83" s="24"/>
      <c r="J83" s="24"/>
      <c r="K83" s="24"/>
      <c r="L83" s="24"/>
      <c r="M83" s="24"/>
      <c r="N83" s="45" t="s">
        <v>688</v>
      </c>
    </row>
    <row r="84">
      <c r="A84" s="2"/>
      <c r="B84" s="2" t="s">
        <v>731</v>
      </c>
      <c r="C84" s="24">
        <f>C20*(1-C37)</f>
        <v>308.15099999999995</v>
      </c>
      <c r="D84" s="24">
        <f>D20*(1-D37)</f>
        <v>316.1949999999989</v>
      </c>
      <c r="E84" s="24">
        <f>E20*(1-E37)</f>
        <v>337.375</v>
      </c>
      <c r="F84" s="24">
        <f>F20*(1-F37)</f>
        <v>364.98</v>
      </c>
      <c r="G84" s="24">
        <f>G20*(1-G37)</f>
        <v>1134.9419999999998</v>
      </c>
      <c r="H84" s="24"/>
      <c r="I84" s="24"/>
      <c r="J84" s="24"/>
      <c r="K84" s="24"/>
      <c r="L84" s="24"/>
      <c r="M84" s="24"/>
      <c r="N84" s="45" t="s">
        <v>688</v>
      </c>
    </row>
    <row r="85">
      <c r="A85" s="2"/>
      <c r="B85" s="2" t="s">
        <v>732</v>
      </c>
      <c r="C85" s="24">
        <f>C22*(1-C36)</f>
        <v>1697.1299999999999</v>
      </c>
      <c r="D85" s="24">
        <f>D22*(1-D36)</f>
        <v>2042.7140000000009</v>
      </c>
      <c r="E85" s="24">
        <f>E22*(1-E36)</f>
        <v>2389.53</v>
      </c>
      <c r="F85" s="24">
        <f>F22*(1-F36)</f>
        <v>2456.1600000000003</v>
      </c>
      <c r="G85" s="24">
        <f>G22*(1-G36)</f>
        <v>6850.374</v>
      </c>
      <c r="H85" s="24"/>
      <c r="I85" s="24"/>
      <c r="J85" s="24"/>
      <c r="K85" s="24"/>
      <c r="L85" s="24"/>
      <c r="M85" s="24"/>
      <c r="N85" s="45" t="s">
        <v>688</v>
      </c>
    </row>
    <row r="86">
      <c r="A86" s="2"/>
      <c r="B86" s="2" t="s">
        <v>733</v>
      </c>
      <c r="C86" s="24">
        <f>C23*(1-C38)</f>
        <v>2012.6699999999998</v>
      </c>
      <c r="D86" s="24">
        <f>D23*(1-D38)</f>
        <v>2299.0930000000003</v>
      </c>
      <c r="E86" s="24">
        <f>E23*(1-E38)</f>
        <v>2717.26</v>
      </c>
      <c r="F86" s="24">
        <f>F23*(1-F38)</f>
        <v>2802.78</v>
      </c>
      <c r="G86" s="24">
        <f>G23*(1-G38)</f>
        <v>7929.487999999999</v>
      </c>
      <c r="H86" s="24"/>
      <c r="I86" s="24"/>
      <c r="J86" s="24"/>
      <c r="K86" s="24"/>
      <c r="L86" s="24"/>
      <c r="M86" s="24"/>
      <c r="N86" s="45" t="s">
        <v>688</v>
      </c>
    </row>
    <row r="87">
      <c r="A87" s="2"/>
      <c r="B87" s="2" t="s">
        <v>734</v>
      </c>
      <c r="C87" s="83">
        <f>C65+C66+C67+C68</f>
        <v>32738</v>
      </c>
      <c r="D87" s="83">
        <f>D65+D66+D67+D68</f>
        <v>33811</v>
      </c>
      <c r="E87" s="83">
        <f>E65+E66+E67+E68</f>
        <v>35130</v>
      </c>
      <c r="F87" s="83">
        <f>F65+F66+F67+F68</f>
        <v>36126</v>
      </c>
      <c r="G87" s="83">
        <f>G65+G66+G67+G68</f>
        <v>33811</v>
      </c>
      <c r="H87" s="83"/>
      <c r="I87" s="83"/>
      <c r="J87" s="83"/>
      <c r="K87" s="83"/>
      <c r="L87" s="83"/>
      <c r="M87" s="83"/>
      <c r="N87" s="45" t="s">
        <v>688</v>
      </c>
    </row>
    <row r="88">
      <c r="A88" s="2"/>
      <c r="B88" s="19" t="s">
        <v>735</v>
      </c>
      <c r="C88" s="1">
        <f>C65/C87</f>
        <v>0.28758629116011974</v>
      </c>
      <c r="D88" s="1">
        <f>D65/D87</f>
        <v>0.28919582384431103</v>
      </c>
      <c r="E88" s="1">
        <f>E65/E87</f>
        <v>0.2888129803586678</v>
      </c>
      <c r="F88" s="1">
        <f>F65/F87</f>
        <v>0.2885179649006256</v>
      </c>
      <c r="G88" s="1">
        <f>G65/G87</f>
        <v>0.28919582384431103</v>
      </c>
      <c r="H88" s="1"/>
      <c r="I88" s="1"/>
      <c r="J88" s="1"/>
      <c r="K88" s="1"/>
      <c r="L88" s="1"/>
      <c r="M88" s="1"/>
      <c r="N88" s="45" t="s">
        <v>688</v>
      </c>
    </row>
    <row r="89">
      <c r="A89" s="2"/>
      <c r="B89" s="19" t="s">
        <v>736</v>
      </c>
      <c r="C89" s="1">
        <f>C66/C87</f>
        <v>0.4089437351090476</v>
      </c>
      <c r="D89" s="1">
        <f>D66/D87</f>
        <v>0.4139481233917956</v>
      </c>
      <c r="E89" s="1">
        <f>E66/E87</f>
        <v>0.42046683746085967</v>
      </c>
      <c r="F89" s="1">
        <f>F66/F87</f>
        <v>0.4219952388861208</v>
      </c>
      <c r="G89" s="1">
        <f>G66/G87</f>
        <v>0.4139481233917956</v>
      </c>
      <c r="H89" s="1"/>
      <c r="I89" s="1"/>
      <c r="J89" s="1"/>
      <c r="K89" s="1"/>
      <c r="L89" s="1"/>
      <c r="M89" s="1"/>
      <c r="N89" s="45" t="s">
        <v>688</v>
      </c>
    </row>
    <row r="90">
      <c r="A90" s="2"/>
      <c r="B90" s="19" t="s">
        <v>737</v>
      </c>
      <c r="C90" s="1">
        <f>C67/C87</f>
        <v>0.19778239354878124</v>
      </c>
      <c r="D90" s="1">
        <f>D67/D87</f>
        <v>0.19283665079412027</v>
      </c>
      <c r="E90" s="1">
        <f>E67/E87</f>
        <v>0.18892684315399944</v>
      </c>
      <c r="F90" s="1">
        <f>F67/F87</f>
        <v>0.1896141283286276</v>
      </c>
      <c r="G90" s="1">
        <f>G67/G87</f>
        <v>0.19283665079412027</v>
      </c>
      <c r="H90" s="1"/>
      <c r="I90" s="1"/>
      <c r="J90" s="1"/>
      <c r="K90" s="1"/>
      <c r="L90" s="1"/>
      <c r="M90" s="1"/>
      <c r="N90" s="45" t="s">
        <v>688</v>
      </c>
    </row>
    <row r="91">
      <c r="A91" s="2"/>
      <c r="B91" s="19" t="s">
        <v>738</v>
      </c>
      <c r="C91" s="1">
        <f>C68/C87</f>
        <v>0.10568758018205143</v>
      </c>
      <c r="D91" s="1">
        <f>D68/D87</f>
        <v>0.10401940196977315</v>
      </c>
      <c r="E91" s="1">
        <f>E68/E87</f>
        <v>0.1017933390264731</v>
      </c>
      <c r="F91" s="1">
        <f>F68/F87</f>
        <v>0.09987266788462604</v>
      </c>
      <c r="G91" s="1">
        <f>G68/G87</f>
        <v>0.10401940196977315</v>
      </c>
      <c r="H91" s="1"/>
      <c r="I91" s="1"/>
      <c r="J91" s="1"/>
      <c r="K91" s="1"/>
      <c r="L91" s="1"/>
      <c r="M91" s="1"/>
      <c r="N91" s="45" t="s">
        <v>688</v>
      </c>
    </row>
    <row r="92">
      <c r="A92" s="2"/>
      <c r="B92" s="19" t="s">
        <v>739</v>
      </c>
      <c r="C92" s="1">
        <f>C10/C15</f>
        <v>0.41599812613456694</v>
      </c>
      <c r="D92" s="1">
        <f>D10/D15</f>
        <v>0.42632712530089956</v>
      </c>
      <c r="E92" s="1">
        <f>E10/E15</f>
        <v>0.40896404531275654</v>
      </c>
      <c r="F92" s="1">
        <f>F10/F15</f>
        <v>0.42234517021396717</v>
      </c>
      <c r="G92" s="1">
        <f>G10/G15</f>
        <v>0.4248778950685363</v>
      </c>
      <c r="H92" s="1"/>
      <c r="I92" s="1"/>
      <c r="J92" s="1"/>
      <c r="K92" s="1"/>
      <c r="L92" s="1"/>
      <c r="M92" s="1"/>
      <c r="N92" s="45" t="s">
        <v>688</v>
      </c>
    </row>
    <row r="93">
      <c r="A93" s="2"/>
      <c r="B93" s="19" t="s">
        <v>740</v>
      </c>
      <c r="C93" s="1">
        <f>C11/C15</f>
        <v>0.5378579375768577</v>
      </c>
      <c r="D93" s="1">
        <f>D11/D15</f>
        <v>0.5281261877613075</v>
      </c>
      <c r="E93" s="1">
        <f>E11/E15</f>
        <v>0.5509221255404149</v>
      </c>
      <c r="F93" s="1">
        <f>F11/F15</f>
        <v>0.5299497544176593</v>
      </c>
      <c r="G93" s="1">
        <f>G11/G15</f>
        <v>0.5267370411217899</v>
      </c>
      <c r="H93" s="1"/>
      <c r="I93" s="1"/>
      <c r="J93" s="1"/>
      <c r="K93" s="1"/>
      <c r="L93" s="1"/>
      <c r="M93" s="1"/>
      <c r="N93" s="45" t="s">
        <v>688</v>
      </c>
    </row>
    <row r="94">
      <c r="A94" s="2"/>
      <c r="B94" s="19" t="s">
        <v>741</v>
      </c>
      <c r="C94" s="1">
        <f>C12/C15</f>
        <v>0.04614393628857528</v>
      </c>
      <c r="D94" s="1">
        <f>D12/D15</f>
        <v>0.04554668693779298</v>
      </c>
      <c r="E94" s="1">
        <f>E12/E15</f>
        <v>0.04011382914682866</v>
      </c>
      <c r="F94" s="1">
        <f>F12/F15</f>
        <v>0.04770507536837351</v>
      </c>
      <c r="G94" s="1">
        <f>G12/G15</f>
        <v>0.04838506380967386</v>
      </c>
      <c r="H94" s="1"/>
      <c r="I94" s="1"/>
      <c r="J94" s="1"/>
      <c r="K94" s="1"/>
      <c r="L94" s="1"/>
      <c r="M94" s="1"/>
      <c r="N94" s="45" t="s">
        <v>688</v>
      </c>
    </row>
    <row r="95">
      <c r="A95" s="2"/>
      <c r="B95" s="19" t="s">
        <v>742</v>
      </c>
      <c r="C95" s="1"/>
      <c r="D95" s="1"/>
      <c r="E95" s="1"/>
      <c r="F95" s="1">
        <f>(F65-E65)/E65</f>
        <v>0.02730139956633156</v>
      </c>
      <c r="G95" s="1"/>
      <c r="H95" s="1"/>
      <c r="I95" s="1"/>
      <c r="J95" s="1"/>
      <c r="K95" s="1"/>
      <c r="L95" s="1"/>
      <c r="M95" s="1"/>
      <c r="N95" s="45" t="s">
        <v>688</v>
      </c>
    </row>
    <row r="96">
      <c r="A96" s="2"/>
      <c r="B96" s="19" t="s">
        <v>743</v>
      </c>
      <c r="C96" s="1"/>
      <c r="D96" s="1"/>
      <c r="E96" s="1"/>
      <c r="F96" s="1">
        <f>(F66-E66)/E66</f>
        <v>0.03208990589668946</v>
      </c>
      <c r="G96" s="1"/>
      <c r="H96" s="1"/>
      <c r="I96" s="1"/>
      <c r="J96" s="1"/>
      <c r="K96" s="1"/>
      <c r="L96" s="1"/>
      <c r="M96" s="1"/>
      <c r="N96" s="45" t="s">
        <v>688</v>
      </c>
    </row>
    <row r="97">
      <c r="A97" s="2"/>
      <c r="B97" s="19" t="s">
        <v>744</v>
      </c>
      <c r="C97" s="1"/>
      <c r="D97" s="1"/>
      <c r="E97" s="1"/>
      <c r="F97" s="1">
        <f>(F67-E67)/E67</f>
        <v>0.03209281301792979</v>
      </c>
      <c r="G97" s="1"/>
      <c r="H97" s="1"/>
      <c r="I97" s="1"/>
      <c r="J97" s="1"/>
      <c r="K97" s="1"/>
      <c r="L97" s="1"/>
      <c r="M97" s="1"/>
      <c r="N97" s="45" t="s">
        <v>688</v>
      </c>
    </row>
    <row r="98">
      <c r="A98" s="2"/>
      <c r="B98" s="19" t="s">
        <v>745</v>
      </c>
      <c r="C98" s="1"/>
      <c r="D98" s="1"/>
      <c r="E98" s="1"/>
      <c r="F98" s="1">
        <f>(F68-E68)/E68</f>
        <v>0.008948545861297539</v>
      </c>
      <c r="G98" s="1"/>
      <c r="H98" s="1"/>
      <c r="I98" s="1"/>
      <c r="J98" s="1"/>
      <c r="K98" s="1"/>
      <c r="L98" s="1"/>
      <c r="M98" s="1"/>
      <c r="N98" s="45" t="s">
        <v>688</v>
      </c>
    </row>
    <row r="99">
      <c r="A99" s="2"/>
      <c r="B99" s="19" t="s">
        <v>746</v>
      </c>
      <c r="C99" s="1"/>
      <c r="D99" s="1"/>
      <c r="E99" s="1"/>
      <c r="F99" s="1">
        <f>(F69-E69)/E69</f>
        <v>0.02323580034423408</v>
      </c>
      <c r="G99" s="1"/>
      <c r="H99" s="1"/>
      <c r="I99" s="1"/>
      <c r="J99" s="1"/>
      <c r="K99" s="1"/>
      <c r="L99" s="1"/>
      <c r="M99" s="1"/>
      <c r="N99" s="45" t="s">
        <v>688</v>
      </c>
    </row>
    <row r="100">
      <c r="A100" s="2"/>
      <c r="B100" s="2" t="s">
        <v>143</v>
      </c>
      <c r="C100" s="24">
        <f>(C10+C11)*1000/(C65+C66+C67)*365/C$7</f>
        <v>2207.283180426318</v>
      </c>
      <c r="D100" s="24">
        <f>(D10+D11)*1000/(D65+D66+D67)*365/D$7</f>
        <v>1973.218616973945</v>
      </c>
      <c r="E100" s="24">
        <f>(E10+E11)*1000/(E65+E66+E67)*365/E$7</f>
        <v>2254.3716943793006</v>
      </c>
      <c r="F100" s="24">
        <f>(F10+F11)*1000/(F65+F66+F67)*365/F$7</f>
        <v>2080.6126649044418</v>
      </c>
      <c r="G100" s="24">
        <f>(G10+G11)*1000/(G65+G66+G67)*365/G$7</f>
        <v>1988.3137060089807</v>
      </c>
      <c r="H100" s="24"/>
      <c r="I100" s="24"/>
      <c r="J100" s="24"/>
      <c r="K100" s="24"/>
      <c r="L100" s="24"/>
      <c r="M100" s="24"/>
      <c r="N100" s="45" t="s">
        <v>688</v>
      </c>
    </row>
    <row r="101">
      <c r="A101" s="2"/>
      <c r="B101" s="2" t="s">
        <v>747</v>
      </c>
      <c r="C101" s="24">
        <f>C12*1000/C68*365/C$7</f>
        <v>903.5561698919328</v>
      </c>
      <c r="D101" s="24">
        <f>D12*1000/D68*365/D$7</f>
        <v>811.0760158732122</v>
      </c>
      <c r="E101" s="24">
        <f>E12*1000/E68*365/E$7</f>
        <v>831.298160576684</v>
      </c>
      <c r="F101" s="24">
        <f>F12*1000/F68*365/F$7</f>
        <v>939.3807412100094</v>
      </c>
      <c r="G101" s="24">
        <f>G12*1000/G68*365/G$7</f>
        <v>870.801617747366</v>
      </c>
      <c r="H101" s="24"/>
      <c r="I101" s="24"/>
      <c r="J101" s="24"/>
      <c r="K101" s="24"/>
      <c r="L101" s="24"/>
      <c r="M101" s="24"/>
      <c r="N101" s="45" t="s">
        <v>688</v>
      </c>
    </row>
    <row r="102">
      <c r="A102" s="2"/>
      <c r="B102" s="2" t="s">
        <v>748</v>
      </c>
      <c r="C102" s="24">
        <f>C13*1000/C69*365/C$7</f>
        <v>8341.694537346712</v>
      </c>
      <c r="D102" s="24">
        <f>D13*1000/D69*365/D$7</f>
        <v>8063.435963876081</v>
      </c>
      <c r="E102" s="24">
        <f>E13*1000/E69*365/E$7</f>
        <v>13726.764199655765</v>
      </c>
      <c r="F102" s="24">
        <f>F13*1000/F69*365/F$7</f>
        <v>7971.376814942836</v>
      </c>
      <c r="G102" s="24">
        <f>G13*1000/G69*365/G$7</f>
        <v>9573.246074050661</v>
      </c>
      <c r="H102" s="24"/>
      <c r="I102" s="24"/>
      <c r="J102" s="24"/>
      <c r="K102" s="24"/>
      <c r="L102" s="24"/>
      <c r="M102" s="24"/>
      <c r="N102" s="45" t="s">
        <v>688</v>
      </c>
    </row>
    <row r="103">
      <c r="A103" s="2"/>
      <c r="B103" s="2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45"/>
    </row>
    <row r="104">
      <c r="A104" s="2"/>
      <c r="B104" s="21" t="s">
        <v>749</v>
      </c>
      <c r="C104" s="26"/>
      <c r="D104" s="26"/>
      <c r="E104" s="26"/>
      <c r="F104" s="26"/>
      <c r="G104" s="26"/>
      <c r="H104" s="26"/>
      <c r="I104" s="26"/>
      <c r="J104" s="26"/>
      <c r="K104" s="26"/>
      <c r="L104" s="26"/>
      <c r="M104" s="26"/>
      <c r="N104" s="45"/>
    </row>
    <row r="105">
      <c r="A105" s="2"/>
      <c r="B105" s="2" t="s">
        <v>694</v>
      </c>
      <c r="C105" s="24"/>
      <c r="D105" s="24"/>
      <c r="E105" s="24"/>
      <c r="F105" s="24"/>
      <c r="G105" s="24"/>
      <c r="H105" s="24"/>
      <c r="I105" s="24"/>
      <c r="J105" s="24"/>
      <c r="K105" s="24"/>
      <c r="L105" s="39">
        <v>63666</v>
      </c>
      <c r="M105" s="24"/>
      <c r="N105" s="45" t="s">
        <v>688</v>
      </c>
    </row>
    <row r="106">
      <c r="A106" s="2"/>
      <c r="B106" s="2" t="s">
        <v>91</v>
      </c>
      <c r="C106" s="24"/>
      <c r="D106" s="24"/>
      <c r="E106" s="24"/>
      <c r="F106" s="24"/>
      <c r="G106" s="24"/>
      <c r="H106" s="24"/>
      <c r="I106" s="24"/>
      <c r="J106" s="24"/>
      <c r="K106" s="24"/>
      <c r="L106" s="39">
        <v>2609</v>
      </c>
      <c r="M106" s="24"/>
      <c r="N106" s="45" t="s">
        <v>688</v>
      </c>
    </row>
    <row r="107">
      <c r="A107" s="2"/>
      <c r="B107" s="2" t="s">
        <v>750</v>
      </c>
      <c r="C107" s="24"/>
      <c r="D107" s="24"/>
      <c r="E107" s="24"/>
      <c r="F107" s="24"/>
      <c r="G107" s="24"/>
      <c r="H107" s="24"/>
      <c r="I107" s="24"/>
      <c r="J107" s="24"/>
      <c r="K107" s="24"/>
      <c r="L107" s="39">
        <v>32</v>
      </c>
      <c r="M107" s="24"/>
      <c r="N107" s="45" t="s">
        <v>688</v>
      </c>
    </row>
    <row r="108">
      <c r="A108" s="2"/>
      <c r="B108" s="2" t="s">
        <v>751</v>
      </c>
      <c r="C108" s="24"/>
      <c r="D108" s="24"/>
      <c r="E108" s="24"/>
      <c r="F108" s="24"/>
      <c r="G108" s="24"/>
      <c r="H108" s="24"/>
      <c r="I108" s="24"/>
      <c r="J108" s="24"/>
      <c r="K108" s="24"/>
      <c r="L108" s="39">
        <v>438</v>
      </c>
      <c r="M108" s="24"/>
      <c r="N108" s="45" t="s">
        <v>688</v>
      </c>
    </row>
    <row r="109">
      <c r="A109" s="2"/>
      <c r="B109" s="2" t="s">
        <v>233</v>
      </c>
      <c r="C109" s="24"/>
      <c r="D109" s="24"/>
      <c r="E109" s="24"/>
      <c r="F109" s="24"/>
      <c r="G109" s="24"/>
      <c r="H109" s="24"/>
      <c r="I109" s="24"/>
      <c r="J109" s="24"/>
      <c r="K109" s="24"/>
      <c r="L109" s="39">
        <v>0</v>
      </c>
      <c r="M109" s="24"/>
      <c r="N109" s="45" t="s">
        <v>688</v>
      </c>
    </row>
    <row r="110">
      <c r="A110" s="2"/>
      <c r="B110" s="2" t="s">
        <v>89</v>
      </c>
      <c r="C110" s="24"/>
      <c r="D110" s="24"/>
      <c r="E110" s="24"/>
      <c r="F110" s="24"/>
      <c r="G110" s="24"/>
      <c r="H110" s="24"/>
      <c r="I110" s="24"/>
      <c r="J110" s="24"/>
      <c r="K110" s="24"/>
      <c r="L110" s="39">
        <v>896</v>
      </c>
      <c r="M110" s="24"/>
      <c r="N110" s="45" t="s">
        <v>688</v>
      </c>
    </row>
    <row r="111">
      <c r="A111" s="2"/>
      <c r="B111" s="2" t="s">
        <v>90</v>
      </c>
      <c r="C111" s="24"/>
      <c r="D111" s="24"/>
      <c r="E111" s="24"/>
      <c r="F111" s="24"/>
      <c r="G111" s="24"/>
      <c r="H111" s="24"/>
      <c r="I111" s="24"/>
      <c r="J111" s="24"/>
      <c r="K111" s="24"/>
      <c r="L111" s="39">
        <v>382</v>
      </c>
      <c r="M111" s="24"/>
      <c r="N111" s="45" t="s">
        <v>688</v>
      </c>
    </row>
    <row r="112">
      <c r="A112" s="2"/>
      <c r="B112" s="2" t="s">
        <v>237</v>
      </c>
      <c r="C112" s="24"/>
      <c r="D112" s="24"/>
      <c r="E112" s="24"/>
      <c r="F112" s="24"/>
      <c r="G112" s="24"/>
      <c r="H112" s="24"/>
      <c r="I112" s="24"/>
      <c r="J112" s="24"/>
      <c r="K112" s="24"/>
      <c r="L112" s="39">
        <v>39854</v>
      </c>
      <c r="M112" s="24"/>
      <c r="N112" s="45" t="s">
        <v>688</v>
      </c>
    </row>
    <row r="113">
      <c r="A113" s="2"/>
      <c r="B113" s="2" t="s">
        <v>238</v>
      </c>
      <c r="C113" s="24"/>
      <c r="D113" s="24"/>
      <c r="E113" s="24"/>
      <c r="F113" s="24"/>
      <c r="G113" s="24"/>
      <c r="H113" s="24"/>
      <c r="I113" s="24"/>
      <c r="J113" s="24"/>
      <c r="K113" s="24"/>
      <c r="L113" s="39">
        <v>4522</v>
      </c>
      <c r="M113" s="24"/>
      <c r="N113" s="45" t="s">
        <v>688</v>
      </c>
    </row>
    <row r="114">
      <c r="A114" s="2"/>
      <c r="B114" s="2" t="s">
        <v>239</v>
      </c>
      <c r="C114" s="24"/>
      <c r="D114" s="24"/>
      <c r="E114" s="24"/>
      <c r="F114" s="24"/>
      <c r="G114" s="24"/>
      <c r="H114" s="24"/>
      <c r="I114" s="24"/>
      <c r="J114" s="24"/>
      <c r="K114" s="24"/>
      <c r="L114" s="39">
        <v>8423</v>
      </c>
      <c r="M114" s="24"/>
      <c r="N114" s="45" t="s">
        <v>688</v>
      </c>
    </row>
    <row r="115">
      <c r="A115" s="2"/>
      <c r="B115" s="2" t="s">
        <v>752</v>
      </c>
      <c r="C115" s="24"/>
      <c r="D115" s="24"/>
      <c r="E115" s="24"/>
      <c r="F115" s="24"/>
      <c r="G115" s="24"/>
      <c r="H115" s="24"/>
      <c r="I115" s="24"/>
      <c r="J115" s="24"/>
      <c r="K115" s="24"/>
      <c r="L115" s="39">
        <v>950</v>
      </c>
      <c r="M115" s="24"/>
      <c r="N115" s="45" t="s">
        <v>688</v>
      </c>
    </row>
    <row r="116">
      <c r="A116" s="2"/>
      <c r="B116" s="2" t="s">
        <v>241</v>
      </c>
      <c r="C116" s="24"/>
      <c r="D116" s="24"/>
      <c r="E116" s="24"/>
      <c r="F116" s="24"/>
      <c r="G116" s="24"/>
      <c r="H116" s="24"/>
      <c r="I116" s="24"/>
      <c r="J116" s="24"/>
      <c r="K116" s="24"/>
      <c r="L116" s="39">
        <v>26</v>
      </c>
      <c r="M116" s="24"/>
      <c r="N116" s="45" t="s">
        <v>688</v>
      </c>
    </row>
    <row r="117">
      <c r="A117" s="2"/>
      <c r="B117" s="2" t="s">
        <v>242</v>
      </c>
      <c r="C117" s="24"/>
      <c r="D117" s="24"/>
      <c r="E117" s="24"/>
      <c r="F117" s="24"/>
      <c r="G117" s="24"/>
      <c r="H117" s="24"/>
      <c r="I117" s="24"/>
      <c r="J117" s="24"/>
      <c r="K117" s="24"/>
      <c r="L117" s="39">
        <v>400</v>
      </c>
      <c r="M117" s="24"/>
      <c r="N117" s="45" t="s">
        <v>688</v>
      </c>
    </row>
    <row r="118">
      <c r="A118" s="2"/>
      <c r="B118" s="2" t="s">
        <v>243</v>
      </c>
      <c r="C118" s="24"/>
      <c r="D118" s="24"/>
      <c r="E118" s="24"/>
      <c r="F118" s="24"/>
      <c r="G118" s="24"/>
      <c r="H118" s="24"/>
      <c r="I118" s="24"/>
      <c r="J118" s="24"/>
      <c r="K118" s="24"/>
      <c r="L118" s="39">
        <v>209</v>
      </c>
      <c r="M118" s="24"/>
      <c r="N118" s="45" t="s">
        <v>688</v>
      </c>
    </row>
    <row r="119">
      <c r="A119" s="2"/>
      <c r="B119" s="2" t="s">
        <v>246</v>
      </c>
      <c r="C119" s="24"/>
      <c r="D119" s="24"/>
      <c r="E119" s="24"/>
      <c r="F119" s="24"/>
      <c r="G119" s="24"/>
      <c r="H119" s="24"/>
      <c r="I119" s="24"/>
      <c r="J119" s="24"/>
      <c r="K119" s="24"/>
      <c r="L119" s="39">
        <v>2184</v>
      </c>
      <c r="M119" s="24"/>
      <c r="N119" s="45" t="s">
        <v>688</v>
      </c>
    </row>
    <row r="120">
      <c r="A120" s="2"/>
      <c r="B120" s="2" t="s">
        <v>247</v>
      </c>
      <c r="C120" s="24"/>
      <c r="D120" s="24"/>
      <c r="E120" s="24"/>
      <c r="F120" s="24"/>
      <c r="G120" s="24"/>
      <c r="H120" s="24"/>
      <c r="I120" s="24"/>
      <c r="J120" s="24"/>
      <c r="K120" s="24"/>
      <c r="L120" s="39">
        <v>8357</v>
      </c>
      <c r="M120" s="24"/>
      <c r="N120" s="45" t="s">
        <v>688</v>
      </c>
    </row>
    <row r="121">
      <c r="A121" s="2"/>
      <c r="B121" s="2" t="s">
        <v>753</v>
      </c>
      <c r="C121" s="24"/>
      <c r="D121" s="24"/>
      <c r="E121" s="24"/>
      <c r="F121" s="24"/>
      <c r="G121" s="24"/>
      <c r="H121" s="24"/>
      <c r="I121" s="24"/>
      <c r="J121" s="24"/>
      <c r="K121" s="24"/>
      <c r="L121" s="39">
        <v>22678</v>
      </c>
      <c r="M121" s="24"/>
      <c r="N121" s="45" t="s">
        <v>688</v>
      </c>
    </row>
    <row r="122">
      <c r="A122" s="2"/>
      <c r="B122" s="2" t="s">
        <v>754</v>
      </c>
      <c r="C122" s="24"/>
      <c r="D122" s="24"/>
      <c r="E122" s="24"/>
      <c r="F122" s="24"/>
      <c r="G122" s="24"/>
      <c r="H122" s="24"/>
      <c r="I122" s="24"/>
      <c r="J122" s="24"/>
      <c r="K122" s="24"/>
      <c r="L122" s="39">
        <v>30054</v>
      </c>
      <c r="M122" s="24"/>
      <c r="N122" s="45" t="s">
        <v>688</v>
      </c>
    </row>
    <row r="123">
      <c r="A123" s="2"/>
      <c r="B123" s="2" t="s">
        <v>755</v>
      </c>
      <c r="C123" s="24"/>
      <c r="D123" s="24"/>
      <c r="E123" s="24"/>
      <c r="F123" s="24"/>
      <c r="G123" s="24"/>
      <c r="H123" s="24"/>
      <c r="I123" s="24"/>
      <c r="J123" s="24"/>
      <c r="K123" s="24"/>
      <c r="L123" s="39">
        <v>2402</v>
      </c>
      <c r="M123" s="24"/>
      <c r="N123" s="45" t="s">
        <v>688</v>
      </c>
    </row>
    <row r="124">
      <c r="A124" s="2"/>
      <c r="B124" s="2" t="s">
        <v>756</v>
      </c>
      <c r="C124" s="24"/>
      <c r="D124" s="24"/>
      <c r="E124" s="24"/>
      <c r="F124" s="24"/>
      <c r="G124" s="24"/>
      <c r="H124" s="24"/>
      <c r="I124" s="24"/>
      <c r="J124" s="24"/>
      <c r="K124" s="24"/>
      <c r="L124" s="39">
        <v>8530</v>
      </c>
      <c r="M124" s="24"/>
      <c r="N124" s="45" t="s">
        <v>688</v>
      </c>
    </row>
    <row r="125">
      <c r="A125" s="2"/>
      <c r="B125" s="2" t="s">
        <v>757</v>
      </c>
      <c r="C125" s="24"/>
      <c r="D125" s="24"/>
      <c r="E125" s="24"/>
      <c r="F125" s="24"/>
      <c r="G125" s="24"/>
      <c r="H125" s="24"/>
      <c r="I125" s="24"/>
      <c r="J125" s="24"/>
      <c r="K125" s="24"/>
      <c r="L125" s="39">
        <v>2</v>
      </c>
      <c r="M125" s="24"/>
      <c r="N125" s="45" t="s">
        <v>688</v>
      </c>
    </row>
    <row r="126">
      <c r="A126" s="2"/>
      <c r="B126" s="2" t="s">
        <v>758</v>
      </c>
      <c r="C126" s="24"/>
      <c r="D126" s="24"/>
      <c r="E126" s="24"/>
      <c r="F126" s="24"/>
      <c r="G126" s="24"/>
      <c r="H126" s="24"/>
      <c r="I126" s="24"/>
      <c r="J126" s="24"/>
      <c r="K126" s="24"/>
      <c r="L126" s="39">
        <v>21808</v>
      </c>
      <c r="M126" s="24"/>
      <c r="N126" s="45" t="s">
        <v>688</v>
      </c>
    </row>
    <row r="127">
      <c r="A127" s="2"/>
      <c r="B127" s="2" t="s">
        <v>759</v>
      </c>
      <c r="C127" s="24"/>
      <c r="D127" s="24"/>
      <c r="E127" s="24"/>
      <c r="F127" s="24"/>
      <c r="G127" s="24"/>
      <c r="H127" s="24"/>
      <c r="I127" s="24"/>
      <c r="J127" s="24"/>
      <c r="K127" s="24"/>
      <c r="L127" s="39">
        <v>28193</v>
      </c>
      <c r="M127" s="24"/>
      <c r="N127" s="45" t="s">
        <v>688</v>
      </c>
    </row>
    <row r="128">
      <c r="A128" s="2"/>
      <c r="B128" s="2" t="s">
        <v>760</v>
      </c>
      <c r="C128" s="24"/>
      <c r="D128" s="24"/>
      <c r="E128" s="24"/>
      <c r="F128" s="24"/>
      <c r="G128" s="24"/>
      <c r="H128" s="24"/>
      <c r="I128" s="24"/>
      <c r="J128" s="24"/>
      <c r="K128" s="24"/>
      <c r="L128" s="39">
        <v>2342</v>
      </c>
      <c r="M128" s="24"/>
      <c r="N128" s="45" t="s">
        <v>688</v>
      </c>
    </row>
    <row r="129">
      <c r="A129" s="2"/>
      <c r="B129" s="2" t="s">
        <v>761</v>
      </c>
      <c r="C129" s="24"/>
      <c r="D129" s="24"/>
      <c r="E129" s="24"/>
      <c r="F129" s="24"/>
      <c r="G129" s="24"/>
      <c r="H129" s="24"/>
      <c r="I129" s="24"/>
      <c r="J129" s="24"/>
      <c r="K129" s="24"/>
      <c r="L129" s="39">
        <v>8224</v>
      </c>
      <c r="M129" s="24"/>
      <c r="N129" s="45" t="s">
        <v>688</v>
      </c>
    </row>
    <row r="130">
      <c r="A130" s="2"/>
      <c r="B130" s="2" t="s">
        <v>762</v>
      </c>
      <c r="C130" s="24"/>
      <c r="D130" s="24"/>
      <c r="E130" s="24"/>
      <c r="F130" s="24"/>
      <c r="G130" s="24"/>
      <c r="H130" s="24"/>
      <c r="I130" s="24"/>
      <c r="J130" s="24"/>
      <c r="K130" s="24"/>
      <c r="L130" s="39">
        <v>1</v>
      </c>
      <c r="M130" s="24"/>
      <c r="N130" s="45" t="s">
        <v>688</v>
      </c>
    </row>
    <row r="131">
      <c r="A131" s="2"/>
      <c r="B131" s="2" t="s">
        <v>196</v>
      </c>
      <c r="C131" s="24"/>
      <c r="D131" s="24"/>
      <c r="E131" s="24"/>
      <c r="F131" s="24"/>
      <c r="G131" s="24"/>
      <c r="H131" s="24"/>
      <c r="I131" s="24"/>
      <c r="J131" s="24"/>
      <c r="K131" s="24"/>
      <c r="L131" s="39">
        <v>3279</v>
      </c>
      <c r="M131" s="24"/>
      <c r="N131" s="45" t="s">
        <v>688</v>
      </c>
    </row>
    <row r="132">
      <c r="A132" s="2"/>
      <c r="B132" s="2" t="s">
        <v>200</v>
      </c>
      <c r="C132" s="24"/>
      <c r="D132" s="24"/>
      <c r="E132" s="24"/>
      <c r="F132" s="24"/>
      <c r="G132" s="24"/>
      <c r="H132" s="24"/>
      <c r="I132" s="24"/>
      <c r="J132" s="24"/>
      <c r="K132" s="24"/>
      <c r="L132" s="39">
        <v>2935</v>
      </c>
      <c r="M132" s="24"/>
      <c r="N132" s="45" t="s">
        <v>688</v>
      </c>
    </row>
    <row r="133">
      <c r="A133" s="2"/>
      <c r="B133" s="2" t="s">
        <v>202</v>
      </c>
      <c r="C133" s="24"/>
      <c r="D133" s="24"/>
      <c r="E133" s="24"/>
      <c r="F133" s="24"/>
      <c r="G133" s="24"/>
      <c r="H133" s="24"/>
      <c r="I133" s="24"/>
      <c r="J133" s="24"/>
      <c r="K133" s="24"/>
      <c r="L133" s="39">
        <v>515</v>
      </c>
      <c r="M133" s="24"/>
      <c r="N133" s="45" t="s">
        <v>688</v>
      </c>
    </row>
    <row r="134">
      <c r="A134" s="2"/>
      <c r="B134" s="2" t="s">
        <v>225</v>
      </c>
      <c r="C134" s="24"/>
      <c r="D134" s="24"/>
      <c r="E134" s="24"/>
      <c r="F134" s="24"/>
      <c r="G134" s="24"/>
      <c r="H134" s="24"/>
      <c r="I134" s="24"/>
      <c r="J134" s="24"/>
      <c r="K134" s="24"/>
      <c r="L134" s="39">
        <v>1000</v>
      </c>
      <c r="M134" s="24"/>
      <c r="N134" s="45" t="s">
        <v>688</v>
      </c>
    </row>
    <row r="135">
      <c r="A135" s="2"/>
      <c r="B135" s="2" t="s">
        <v>763</v>
      </c>
      <c r="C135" s="24"/>
      <c r="D135" s="24"/>
      <c r="E135" s="24"/>
      <c r="F135" s="24"/>
      <c r="G135" s="24"/>
      <c r="H135" s="24"/>
      <c r="I135" s="24"/>
      <c r="J135" s="24"/>
      <c r="K135" s="24"/>
      <c r="L135" s="39">
        <v>1029</v>
      </c>
      <c r="M135" s="24"/>
      <c r="N135" s="45" t="s">
        <v>688</v>
      </c>
    </row>
    <row r="136">
      <c r="A136" s="2"/>
      <c r="B136" s="2" t="s">
        <v>764</v>
      </c>
      <c r="C136" s="24"/>
      <c r="D136" s="24"/>
      <c r="E136" s="24"/>
      <c r="F136" s="24"/>
      <c r="G136" s="24"/>
      <c r="H136" s="24"/>
      <c r="I136" s="24"/>
      <c r="J136" s="24"/>
      <c r="K136" s="24"/>
      <c r="L136" s="39">
        <v>320</v>
      </c>
      <c r="M136" s="24"/>
      <c r="N136" s="45" t="s">
        <v>688</v>
      </c>
    </row>
    <row r="137">
      <c r="A137" s="2"/>
      <c r="B137" s="2" t="s">
        <v>765</v>
      </c>
      <c r="C137" s="24"/>
      <c r="D137" s="24"/>
      <c r="E137" s="24"/>
      <c r="F137" s="24"/>
      <c r="G137" s="24"/>
      <c r="H137" s="24"/>
      <c r="I137" s="24"/>
      <c r="J137" s="24"/>
      <c r="K137" s="24"/>
      <c r="L137" s="39">
        <v>36</v>
      </c>
      <c r="M137" s="24"/>
      <c r="N137" s="45" t="s">
        <v>688</v>
      </c>
    </row>
    <row r="138">
      <c r="A138" s="2"/>
      <c r="B138" s="19" t="s">
        <v>163</v>
      </c>
      <c r="C138" s="1"/>
      <c r="D138" s="1"/>
      <c r="E138" s="1"/>
      <c r="F138" s="1"/>
      <c r="G138" s="1"/>
      <c r="H138" s="1"/>
      <c r="I138" s="1"/>
      <c r="J138" s="1"/>
      <c r="K138" s="1"/>
      <c r="L138" s="3">
        <v>0.647</v>
      </c>
      <c r="M138" s="1"/>
      <c r="N138" s="45" t="s">
        <v>688</v>
      </c>
    </row>
    <row r="139">
      <c r="A139" s="2"/>
      <c r="B139" s="19" t="s">
        <v>165</v>
      </c>
      <c r="C139" s="1"/>
      <c r="D139" s="1"/>
      <c r="E139" s="1"/>
      <c r="F139" s="1"/>
      <c r="G139" s="1"/>
      <c r="H139" s="1"/>
      <c r="I139" s="1"/>
      <c r="J139" s="1"/>
      <c r="K139" s="1"/>
      <c r="L139" s="3">
        <v>0.203</v>
      </c>
      <c r="M139" s="1"/>
      <c r="N139" s="45" t="s">
        <v>688</v>
      </c>
    </row>
    <row r="140">
      <c r="A140" s="2"/>
      <c r="B140" s="19" t="s">
        <v>167</v>
      </c>
      <c r="C140" s="1"/>
      <c r="D140" s="1"/>
      <c r="E140" s="1"/>
      <c r="F140" s="1"/>
      <c r="G140" s="1"/>
      <c r="H140" s="1"/>
      <c r="I140" s="1"/>
      <c r="J140" s="1"/>
      <c r="K140" s="1"/>
      <c r="L140" s="3">
        <v>0.673</v>
      </c>
      <c r="M140" s="1"/>
      <c r="N140" s="45" t="s">
        <v>688</v>
      </c>
    </row>
    <row r="141">
      <c r="A141" s="2"/>
      <c r="B141" s="19" t="s">
        <v>168</v>
      </c>
      <c r="C141" s="1"/>
      <c r="D141" s="1"/>
      <c r="E141" s="1"/>
      <c r="F141" s="1"/>
      <c r="G141" s="1"/>
      <c r="H141" s="1"/>
      <c r="I141" s="1"/>
      <c r="J141" s="1"/>
      <c r="K141" s="1"/>
      <c r="L141" s="3">
        <v>0.223</v>
      </c>
      <c r="M141" s="1"/>
      <c r="N141" s="45" t="s">
        <v>688</v>
      </c>
    </row>
    <row r="142">
      <c r="A142" s="2"/>
      <c r="B142" s="19" t="s">
        <v>170</v>
      </c>
      <c r="C142" s="1"/>
      <c r="D142" s="1"/>
      <c r="E142" s="1"/>
      <c r="F142" s="1"/>
      <c r="G142" s="1"/>
      <c r="H142" s="1"/>
      <c r="I142" s="1"/>
      <c r="J142" s="1"/>
      <c r="K142" s="1"/>
      <c r="L142" s="3">
        <v>0.488</v>
      </c>
      <c r="M142" s="1"/>
      <c r="N142" s="45" t="s">
        <v>688</v>
      </c>
    </row>
    <row r="143">
      <c r="A143" s="2"/>
      <c r="B143" s="19" t="s">
        <v>643</v>
      </c>
      <c r="C143" s="1"/>
      <c r="D143" s="1"/>
      <c r="E143" s="1"/>
      <c r="F143" s="1"/>
      <c r="G143" s="1"/>
      <c r="H143" s="1"/>
      <c r="I143" s="1"/>
      <c r="J143" s="1"/>
      <c r="K143" s="1"/>
      <c r="L143" s="3">
        <v>0.292</v>
      </c>
      <c r="M143" s="1"/>
      <c r="N143" s="45" t="s">
        <v>688</v>
      </c>
    </row>
    <row r="144">
      <c r="A144" s="2"/>
      <c r="B144" s="19" t="s">
        <v>706</v>
      </c>
      <c r="C144" s="1"/>
      <c r="D144" s="1"/>
      <c r="E144" s="1"/>
      <c r="F144" s="1"/>
      <c r="G144" s="1"/>
      <c r="H144" s="1"/>
      <c r="I144" s="1"/>
      <c r="J144" s="1"/>
      <c r="K144" s="1"/>
      <c r="L144" s="3">
        <v>0.653</v>
      </c>
      <c r="M144" s="1"/>
      <c r="N144" s="45" t="s">
        <v>688</v>
      </c>
    </row>
    <row r="145">
      <c r="A145" s="2"/>
      <c r="B145" s="19" t="s">
        <v>707</v>
      </c>
      <c r="C145" s="1"/>
      <c r="D145" s="1"/>
      <c r="E145" s="1"/>
      <c r="F145" s="1"/>
      <c r="G145" s="1"/>
      <c r="H145" s="1"/>
      <c r="I145" s="1"/>
      <c r="J145" s="1"/>
      <c r="K145" s="1"/>
      <c r="L145" s="3">
        <v>0.218</v>
      </c>
      <c r="M145" s="1"/>
      <c r="N145" s="45" t="s">
        <v>688</v>
      </c>
    </row>
    <row r="146">
      <c r="A146" s="2"/>
      <c r="B146" s="19" t="s">
        <v>219</v>
      </c>
      <c r="C146" s="1"/>
      <c r="D146" s="1"/>
      <c r="E146" s="1"/>
      <c r="F146" s="1"/>
      <c r="G146" s="1"/>
      <c r="H146" s="1"/>
      <c r="I146" s="1"/>
      <c r="J146" s="1"/>
      <c r="K146" s="1"/>
      <c r="L146" s="3">
        <v>0.673</v>
      </c>
      <c r="M146" s="1"/>
      <c r="N146" s="45" t="s">
        <v>688</v>
      </c>
    </row>
    <row r="147">
      <c r="A147" s="2"/>
      <c r="B147" s="19" t="s">
        <v>644</v>
      </c>
      <c r="C147" s="1"/>
      <c r="D147" s="1"/>
      <c r="E147" s="1"/>
      <c r="F147" s="1"/>
      <c r="G147" s="1"/>
      <c r="H147" s="1"/>
      <c r="I147" s="1"/>
      <c r="J147" s="1"/>
      <c r="K147" s="1"/>
      <c r="L147" s="3">
        <v>0.205</v>
      </c>
      <c r="M147" s="1"/>
      <c r="N147" s="45" t="s">
        <v>688</v>
      </c>
    </row>
    <row r="148">
      <c r="A148" s="2"/>
      <c r="B148" s="2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45"/>
    </row>
    <row r="149">
      <c r="A149" s="2"/>
      <c r="B149" s="21" t="s">
        <v>766</v>
      </c>
      <c r="C149" s="26"/>
      <c r="D149" s="26"/>
      <c r="E149" s="26"/>
      <c r="F149" s="26"/>
      <c r="G149" s="26"/>
      <c r="H149" s="26"/>
      <c r="I149" s="26"/>
      <c r="J149" s="26"/>
      <c r="K149" s="26"/>
      <c r="L149" s="26"/>
      <c r="M149" s="26"/>
      <c r="N149" s="45"/>
    </row>
    <row r="150">
      <c r="A150" s="2"/>
      <c r="B150" s="2" t="s">
        <v>247</v>
      </c>
      <c r="C150" s="24"/>
      <c r="D150" s="24"/>
      <c r="E150" s="24"/>
      <c r="F150" s="24"/>
      <c r="G150" s="24"/>
      <c r="H150" s="24"/>
      <c r="I150" s="24"/>
      <c r="J150" s="24"/>
      <c r="K150" s="39">
        <v>5742</v>
      </c>
      <c r="L150" s="39">
        <v>8357</v>
      </c>
      <c r="M150" s="39">
        <v>6129</v>
      </c>
      <c r="N150" s="45" t="s">
        <v>688</v>
      </c>
    </row>
    <row r="151">
      <c r="A151" s="2"/>
      <c r="B151" s="2" t="s">
        <v>371</v>
      </c>
      <c r="C151" s="24"/>
      <c r="D151" s="24"/>
      <c r="E151" s="24"/>
      <c r="F151" s="24"/>
      <c r="G151" s="24"/>
      <c r="H151" s="24"/>
      <c r="I151" s="24"/>
      <c r="J151" s="24"/>
      <c r="K151" s="39">
        <v>149</v>
      </c>
      <c r="L151" s="39">
        <v>230</v>
      </c>
      <c r="M151" s="39">
        <v>157</v>
      </c>
      <c r="N151" s="45" t="s">
        <v>688</v>
      </c>
    </row>
    <row r="152">
      <c r="A152" s="2"/>
      <c r="B152" s="2" t="s">
        <v>767</v>
      </c>
      <c r="C152" s="24"/>
      <c r="D152" s="24"/>
      <c r="E152" s="24"/>
      <c r="F152" s="24"/>
      <c r="G152" s="24"/>
      <c r="H152" s="24"/>
      <c r="I152" s="24"/>
      <c r="J152" s="24"/>
      <c r="K152" s="39">
        <v>-55</v>
      </c>
      <c r="L152" s="39">
        <v>-81</v>
      </c>
      <c r="M152" s="39">
        <v>-79</v>
      </c>
      <c r="N152" s="45" t="s">
        <v>688</v>
      </c>
    </row>
    <row r="153">
      <c r="A153" s="2"/>
      <c r="B153" s="2" t="s">
        <v>768</v>
      </c>
      <c r="C153" s="24"/>
      <c r="D153" s="24"/>
      <c r="E153" s="24"/>
      <c r="F153" s="24"/>
      <c r="G153" s="24"/>
      <c r="H153" s="24"/>
      <c r="I153" s="24"/>
      <c r="J153" s="24"/>
      <c r="K153" s="39">
        <v>48</v>
      </c>
      <c r="L153" s="39">
        <v>90</v>
      </c>
      <c r="M153" s="39">
        <v>52</v>
      </c>
      <c r="N153" s="45" t="s">
        <v>688</v>
      </c>
    </row>
    <row r="154">
      <c r="A154" s="2"/>
      <c r="B154" s="2" t="s">
        <v>769</v>
      </c>
      <c r="C154" s="24"/>
      <c r="D154" s="24"/>
      <c r="E154" s="24"/>
      <c r="F154" s="24"/>
      <c r="G154" s="24"/>
      <c r="H154" s="24"/>
      <c r="I154" s="24"/>
      <c r="J154" s="24"/>
      <c r="K154" s="39">
        <v>-175</v>
      </c>
      <c r="L154" s="39">
        <v>-470</v>
      </c>
      <c r="M154" s="39">
        <v>-484</v>
      </c>
      <c r="N154" s="45" t="s">
        <v>688</v>
      </c>
    </row>
    <row r="155">
      <c r="A155" s="2"/>
      <c r="B155" s="2" t="s">
        <v>770</v>
      </c>
      <c r="C155" s="24"/>
      <c r="D155" s="24"/>
      <c r="E155" s="24"/>
      <c r="F155" s="24"/>
      <c r="G155" s="24"/>
      <c r="H155" s="24"/>
      <c r="I155" s="24"/>
      <c r="J155" s="24"/>
      <c r="K155" s="39">
        <v>1</v>
      </c>
      <c r="L155" s="39">
        <v>2</v>
      </c>
      <c r="M155" s="39">
        <v>2</v>
      </c>
      <c r="N155" s="45" t="s">
        <v>688</v>
      </c>
    </row>
    <row r="156">
      <c r="A156" s="2"/>
      <c r="B156" s="2" t="s">
        <v>379</v>
      </c>
      <c r="C156" s="24"/>
      <c r="D156" s="24"/>
      <c r="E156" s="24"/>
      <c r="F156" s="24"/>
      <c r="G156" s="24"/>
      <c r="H156" s="24"/>
      <c r="I156" s="24"/>
      <c r="J156" s="24"/>
      <c r="K156" s="39">
        <v>-2037</v>
      </c>
      <c r="L156" s="39">
        <v>-2150</v>
      </c>
      <c r="M156" s="39">
        <v>-1744</v>
      </c>
      <c r="N156" s="45" t="s">
        <v>688</v>
      </c>
    </row>
    <row r="157">
      <c r="A157" s="2"/>
      <c r="B157" s="2" t="s">
        <v>381</v>
      </c>
      <c r="C157" s="24"/>
      <c r="D157" s="24"/>
      <c r="E157" s="24"/>
      <c r="F157" s="24"/>
      <c r="G157" s="24"/>
      <c r="H157" s="24"/>
      <c r="I157" s="24"/>
      <c r="J157" s="24"/>
      <c r="K157" s="39">
        <v>568</v>
      </c>
      <c r="L157" s="39">
        <v>658</v>
      </c>
      <c r="M157" s="39">
        <v>164</v>
      </c>
      <c r="N157" s="45" t="s">
        <v>688</v>
      </c>
    </row>
    <row r="158">
      <c r="A158" s="2"/>
      <c r="B158" s="2" t="s">
        <v>383</v>
      </c>
      <c r="C158" s="24"/>
      <c r="D158" s="24"/>
      <c r="E158" s="24"/>
      <c r="F158" s="24"/>
      <c r="G158" s="24"/>
      <c r="H158" s="24"/>
      <c r="I158" s="24"/>
      <c r="J158" s="24"/>
      <c r="K158" s="39">
        <v>86</v>
      </c>
      <c r="L158" s="39">
        <v>134</v>
      </c>
      <c r="M158" s="39">
        <v>-5</v>
      </c>
      <c r="N158" s="45" t="s">
        <v>688</v>
      </c>
    </row>
    <row r="159">
      <c r="A159" s="2"/>
      <c r="B159" s="2" t="s">
        <v>385</v>
      </c>
      <c r="C159" s="24"/>
      <c r="D159" s="24"/>
      <c r="E159" s="24"/>
      <c r="F159" s="24"/>
      <c r="G159" s="24"/>
      <c r="H159" s="24"/>
      <c r="I159" s="24"/>
      <c r="J159" s="24"/>
      <c r="K159" s="39">
        <v>-149</v>
      </c>
      <c r="L159" s="39">
        <v>-203</v>
      </c>
      <c r="M159" s="39">
        <v>-167</v>
      </c>
      <c r="N159" s="45" t="s">
        <v>688</v>
      </c>
    </row>
    <row r="160">
      <c r="A160" s="2"/>
      <c r="B160" s="2" t="s">
        <v>387</v>
      </c>
      <c r="C160" s="24"/>
      <c r="D160" s="24"/>
      <c r="E160" s="24"/>
      <c r="F160" s="24"/>
      <c r="G160" s="24"/>
      <c r="H160" s="24"/>
      <c r="I160" s="24"/>
      <c r="J160" s="24"/>
      <c r="K160" s="39">
        <v>-173</v>
      </c>
      <c r="L160" s="39">
        <v>-138</v>
      </c>
      <c r="M160" s="39">
        <v>241</v>
      </c>
      <c r="N160" s="45" t="s">
        <v>688</v>
      </c>
    </row>
    <row r="161">
      <c r="A161" s="2"/>
      <c r="B161" s="2" t="s">
        <v>389</v>
      </c>
      <c r="C161" s="24"/>
      <c r="D161" s="24"/>
      <c r="E161" s="24"/>
      <c r="F161" s="24"/>
      <c r="G161" s="24"/>
      <c r="H161" s="24"/>
      <c r="I161" s="24"/>
      <c r="J161" s="24"/>
      <c r="K161" s="39">
        <v>2477</v>
      </c>
      <c r="L161" s="39">
        <v>2964</v>
      </c>
      <c r="M161" s="39">
        <v>2182</v>
      </c>
      <c r="N161" s="45" t="s">
        <v>688</v>
      </c>
    </row>
    <row r="162">
      <c r="A162" s="2"/>
      <c r="B162" s="2" t="s">
        <v>391</v>
      </c>
      <c r="C162" s="24"/>
      <c r="D162" s="24"/>
      <c r="E162" s="24"/>
      <c r="F162" s="24"/>
      <c r="G162" s="24"/>
      <c r="H162" s="24"/>
      <c r="I162" s="24"/>
      <c r="J162" s="24"/>
      <c r="K162" s="39">
        <v>2097</v>
      </c>
      <c r="L162" s="39">
        <v>3048</v>
      </c>
      <c r="M162" s="39">
        <v>2257</v>
      </c>
      <c r="N162" s="45" t="s">
        <v>688</v>
      </c>
    </row>
    <row r="163">
      <c r="A163" s="2"/>
      <c r="B163" s="2" t="s">
        <v>771</v>
      </c>
      <c r="C163" s="24"/>
      <c r="D163" s="24"/>
      <c r="E163" s="24"/>
      <c r="F163" s="24"/>
      <c r="G163" s="24"/>
      <c r="H163" s="24"/>
      <c r="I163" s="24"/>
      <c r="J163" s="24"/>
      <c r="K163" s="39">
        <v>550</v>
      </c>
      <c r="L163" s="39">
        <v>2079</v>
      </c>
      <c r="M163" s="39">
        <v>-572</v>
      </c>
      <c r="N163" s="45" t="s">
        <v>688</v>
      </c>
    </row>
    <row r="164">
      <c r="A164" s="2"/>
      <c r="B164" s="2" t="s">
        <v>395</v>
      </c>
      <c r="C164" s="24"/>
      <c r="D164" s="24"/>
      <c r="E164" s="24"/>
      <c r="F164" s="24"/>
      <c r="G164" s="24"/>
      <c r="H164" s="24"/>
      <c r="I164" s="24"/>
      <c r="J164" s="24"/>
      <c r="K164" s="39">
        <v>54</v>
      </c>
      <c r="L164" s="39">
        <v>-142</v>
      </c>
      <c r="M164" s="39">
        <v>-159</v>
      </c>
      <c r="N164" s="45" t="s">
        <v>688</v>
      </c>
    </row>
    <row r="165">
      <c r="A165" s="2"/>
      <c r="B165" s="2" t="s">
        <v>401</v>
      </c>
      <c r="C165" s="24"/>
      <c r="D165" s="24"/>
      <c r="E165" s="24"/>
      <c r="F165" s="24"/>
      <c r="G165" s="24"/>
      <c r="H165" s="24"/>
      <c r="I165" s="24"/>
      <c r="J165" s="24"/>
      <c r="K165" s="39">
        <v>-26354</v>
      </c>
      <c r="L165" s="39">
        <v>-34912</v>
      </c>
      <c r="M165" s="39">
        <v>-32153</v>
      </c>
      <c r="N165" s="45" t="s">
        <v>688</v>
      </c>
    </row>
    <row r="166">
      <c r="A166" s="2"/>
      <c r="B166" s="2" t="s">
        <v>403</v>
      </c>
      <c r="C166" s="24"/>
      <c r="D166" s="24"/>
      <c r="E166" s="24"/>
      <c r="F166" s="24"/>
      <c r="G166" s="24"/>
      <c r="H166" s="24"/>
      <c r="I166" s="24"/>
      <c r="J166" s="24"/>
      <c r="K166" s="39">
        <v>-87</v>
      </c>
      <c r="L166" s="39">
        <v>-143</v>
      </c>
      <c r="M166" s="39">
        <v>-178</v>
      </c>
      <c r="N166" s="45" t="s">
        <v>688</v>
      </c>
    </row>
    <row r="167">
      <c r="A167" s="2"/>
      <c r="B167" s="2" t="s">
        <v>404</v>
      </c>
      <c r="C167" s="24"/>
      <c r="D167" s="24"/>
      <c r="E167" s="24"/>
      <c r="F167" s="24"/>
      <c r="G167" s="24"/>
      <c r="H167" s="24"/>
      <c r="I167" s="24"/>
      <c r="J167" s="24"/>
      <c r="K167" s="39">
        <v>17086</v>
      </c>
      <c r="L167" s="39">
        <v>17520</v>
      </c>
      <c r="M167" s="39">
        <v>18454</v>
      </c>
      <c r="N167" s="45" t="s">
        <v>688</v>
      </c>
    </row>
    <row r="168">
      <c r="A168" s="2"/>
      <c r="B168" s="2" t="s">
        <v>405</v>
      </c>
      <c r="C168" s="24"/>
      <c r="D168" s="24"/>
      <c r="E168" s="24"/>
      <c r="F168" s="24"/>
      <c r="G168" s="24"/>
      <c r="H168" s="24"/>
      <c r="I168" s="24"/>
      <c r="J168" s="24"/>
      <c r="K168" s="39">
        <v>151</v>
      </c>
      <c r="L168" s="39">
        <v>182</v>
      </c>
      <c r="M168" s="39">
        <v>115</v>
      </c>
      <c r="N168" s="45" t="s">
        <v>688</v>
      </c>
    </row>
    <row r="169">
      <c r="A169" s="2"/>
      <c r="B169" s="2" t="s">
        <v>772</v>
      </c>
      <c r="C169" s="24"/>
      <c r="D169" s="24"/>
      <c r="E169" s="24"/>
      <c r="F169" s="24"/>
      <c r="G169" s="24"/>
      <c r="H169" s="24"/>
      <c r="I169" s="24"/>
      <c r="J169" s="24"/>
      <c r="K169" s="39">
        <v>4006</v>
      </c>
      <c r="L169" s="39">
        <v>6269</v>
      </c>
      <c r="M169" s="39">
        <v>5032</v>
      </c>
      <c r="N169" s="45" t="s">
        <v>688</v>
      </c>
    </row>
    <row r="170">
      <c r="A170" s="2"/>
      <c r="B170" s="2" t="s">
        <v>773</v>
      </c>
      <c r="C170" s="24"/>
      <c r="D170" s="24"/>
      <c r="E170" s="24"/>
      <c r="F170" s="24"/>
      <c r="G170" s="24"/>
      <c r="H170" s="24"/>
      <c r="I170" s="24"/>
      <c r="J170" s="24"/>
      <c r="K170" s="39">
        <v>177</v>
      </c>
      <c r="L170" s="39">
        <v>240</v>
      </c>
      <c r="M170" s="39">
        <v>164</v>
      </c>
      <c r="N170" s="45" t="s">
        <v>688</v>
      </c>
    </row>
    <row r="171">
      <c r="A171" s="2"/>
      <c r="B171" s="2" t="s">
        <v>774</v>
      </c>
      <c r="C171" s="24"/>
      <c r="D171" s="24"/>
      <c r="E171" s="24"/>
      <c r="F171" s="24"/>
      <c r="G171" s="24"/>
      <c r="H171" s="24"/>
      <c r="I171" s="24"/>
      <c r="J171" s="24"/>
      <c r="K171" s="39">
        <v>-1429</v>
      </c>
      <c r="L171" s="39">
        <v>-825</v>
      </c>
      <c r="M171" s="39">
        <v>8080</v>
      </c>
      <c r="N171" s="45" t="s">
        <v>688</v>
      </c>
    </row>
    <row r="172">
      <c r="A172" s="2"/>
      <c r="B172" s="2" t="s">
        <v>775</v>
      </c>
      <c r="C172" s="24"/>
      <c r="D172" s="24"/>
      <c r="E172" s="24"/>
      <c r="F172" s="24"/>
      <c r="G172" s="24"/>
      <c r="H172" s="24"/>
      <c r="I172" s="24"/>
      <c r="J172" s="24"/>
      <c r="K172" s="39">
        <v>178</v>
      </c>
      <c r="L172" s="39">
        <v>398</v>
      </c>
      <c r="M172" s="39">
        <v>368</v>
      </c>
      <c r="N172" s="45" t="s">
        <v>688</v>
      </c>
    </row>
    <row r="173">
      <c r="A173" s="2"/>
      <c r="B173" s="2" t="s">
        <v>410</v>
      </c>
      <c r="C173" s="24"/>
      <c r="D173" s="24"/>
      <c r="E173" s="24"/>
      <c r="F173" s="24"/>
      <c r="G173" s="24"/>
      <c r="H173" s="24"/>
      <c r="I173" s="24"/>
      <c r="J173" s="24"/>
      <c r="K173" s="39">
        <v>-161</v>
      </c>
      <c r="L173" s="39">
        <v>-227</v>
      </c>
      <c r="M173" s="39">
        <v>-201</v>
      </c>
      <c r="N173" s="45" t="s">
        <v>688</v>
      </c>
    </row>
    <row r="174">
      <c r="A174" s="2"/>
      <c r="B174" s="2" t="s">
        <v>412</v>
      </c>
      <c r="C174" s="24"/>
      <c r="D174" s="24"/>
      <c r="E174" s="24"/>
      <c r="F174" s="24"/>
      <c r="G174" s="24"/>
      <c r="H174" s="24"/>
      <c r="I174" s="24"/>
      <c r="J174" s="24"/>
      <c r="K174" s="39">
        <v>52</v>
      </c>
      <c r="L174" s="39">
        <v>70</v>
      </c>
      <c r="M174" s="39">
        <v>35</v>
      </c>
      <c r="N174" s="45" t="s">
        <v>688</v>
      </c>
    </row>
    <row r="175">
      <c r="A175" s="2"/>
      <c r="B175" s="2" t="s">
        <v>419</v>
      </c>
      <c r="C175" s="24"/>
      <c r="D175" s="24"/>
      <c r="E175" s="24"/>
      <c r="F175" s="24"/>
      <c r="G175" s="24"/>
      <c r="H175" s="24"/>
      <c r="I175" s="24"/>
      <c r="J175" s="24"/>
      <c r="K175" s="39">
        <v>-2754</v>
      </c>
      <c r="L175" s="39">
        <v>-2812</v>
      </c>
      <c r="M175" s="39">
        <v>-8030</v>
      </c>
      <c r="N175" s="45" t="s">
        <v>688</v>
      </c>
    </row>
    <row r="176">
      <c r="A176" s="2"/>
      <c r="B176" s="2" t="s">
        <v>776</v>
      </c>
      <c r="C176" s="24"/>
      <c r="D176" s="24"/>
      <c r="E176" s="24"/>
      <c r="F176" s="24"/>
      <c r="G176" s="24"/>
      <c r="H176" s="24"/>
      <c r="I176" s="24"/>
      <c r="J176" s="24"/>
      <c r="K176" s="39">
        <v>-55</v>
      </c>
      <c r="L176" s="39">
        <v>-92</v>
      </c>
      <c r="M176" s="39">
        <v>-44</v>
      </c>
      <c r="N176" s="45" t="s">
        <v>688</v>
      </c>
    </row>
    <row r="177">
      <c r="A177" s="2"/>
      <c r="B177" s="2" t="s">
        <v>422</v>
      </c>
      <c r="C177" s="24"/>
      <c r="D177" s="24"/>
      <c r="E177" s="24"/>
      <c r="F177" s="24"/>
      <c r="G177" s="24"/>
      <c r="H177" s="24"/>
      <c r="I177" s="24"/>
      <c r="J177" s="24"/>
      <c r="K177" s="39">
        <v>-12</v>
      </c>
      <c r="L177" s="39">
        <v>-15</v>
      </c>
      <c r="M177" s="39">
        <v>-1048</v>
      </c>
      <c r="N177" s="45" t="s">
        <v>688</v>
      </c>
    </row>
    <row r="178">
      <c r="A178" s="2"/>
      <c r="B178" s="2" t="s">
        <v>423</v>
      </c>
      <c r="C178" s="24"/>
      <c r="D178" s="24"/>
      <c r="E178" s="24"/>
      <c r="F178" s="24"/>
      <c r="G178" s="24"/>
      <c r="H178" s="24"/>
      <c r="I178" s="24"/>
      <c r="J178" s="24"/>
      <c r="K178" s="39">
        <v>0</v>
      </c>
      <c r="L178" s="39">
        <v>0</v>
      </c>
      <c r="M178" s="39">
        <v>1487</v>
      </c>
      <c r="N178" s="45" t="s">
        <v>688</v>
      </c>
    </row>
    <row r="179">
      <c r="A179" s="2"/>
      <c r="B179" s="2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45"/>
    </row>
    <row r="180">
      <c r="A180" s="2"/>
      <c r="B180" s="21" t="s">
        <v>777</v>
      </c>
      <c r="C180" s="26"/>
      <c r="D180" s="26"/>
      <c r="E180" s="26"/>
      <c r="F180" s="26"/>
      <c r="G180" s="26"/>
      <c r="H180" s="26"/>
      <c r="I180" s="26"/>
      <c r="J180" s="26"/>
      <c r="K180" s="26"/>
      <c r="L180" s="26"/>
      <c r="M180" s="26"/>
      <c r="N180" s="45"/>
    </row>
    <row r="181" ht="39">
      <c r="A181" s="2"/>
      <c r="B181" s="13" t="s">
        <v>778</v>
      </c>
      <c r="C181" s="102" t="s">
        <v>779</v>
      </c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106"/>
    </row>
    <row r="182">
      <c r="A182" s="2"/>
      <c r="B182" s="2" t="s">
        <v>780</v>
      </c>
      <c r="C182" s="104" t="s">
        <v>781</v>
      </c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45" t="s">
        <v>476</v>
      </c>
    </row>
    <row r="183">
      <c r="A183" s="2"/>
      <c r="B183" s="2" t="s">
        <v>782</v>
      </c>
      <c r="C183" s="104" t="s">
        <v>13</v>
      </c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45" t="s">
        <v>476</v>
      </c>
    </row>
    <row r="184">
      <c r="A184" s="2"/>
      <c r="B184" s="2" t="s">
        <v>783</v>
      </c>
      <c r="C184" s="104" t="s">
        <v>784</v>
      </c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45" t="s">
        <v>476</v>
      </c>
    </row>
    <row r="185">
      <c r="A185" s="2"/>
      <c r="B185" s="2" t="s">
        <v>785</v>
      </c>
      <c r="C185" s="118">
        <v>33352</v>
      </c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45" t="s">
        <v>476</v>
      </c>
    </row>
    <row r="186">
      <c r="A186" s="2"/>
      <c r="B186" s="2" t="s">
        <v>786</v>
      </c>
      <c r="C186" s="104" t="s">
        <v>787</v>
      </c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45" t="s">
        <v>476</v>
      </c>
    </row>
    <row r="187">
      <c r="A187" s="2"/>
      <c r="B187" s="2" t="s">
        <v>788</v>
      </c>
      <c r="C187" s="12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45" t="s">
        <v>476</v>
      </c>
    </row>
    <row r="188">
      <c r="A188" s="2"/>
      <c r="B188" s="2" t="s">
        <v>789</v>
      </c>
      <c r="C188" s="104" t="s">
        <v>790</v>
      </c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45" t="s">
        <v>476</v>
      </c>
    </row>
    <row r="189">
      <c r="A189" s="2"/>
      <c r="B189" s="2" t="s">
        <v>791</v>
      </c>
      <c r="C189" s="116">
        <v>46295</v>
      </c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45" t="s">
        <v>476</v>
      </c>
    </row>
    <row r="190">
      <c r="A190" s="2"/>
      <c r="B190" s="2" t="s">
        <v>792</v>
      </c>
      <c r="C190" s="116">
        <v>46329</v>
      </c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45" t="s">
        <v>476</v>
      </c>
    </row>
    <row r="191">
      <c r="A191" s="2"/>
      <c r="B191" s="2" t="s">
        <v>793</v>
      </c>
      <c r="C191" s="104" t="s">
        <v>794</v>
      </c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45" t="s">
        <v>476</v>
      </c>
    </row>
    <row r="192">
      <c r="A192" s="2"/>
      <c r="B192" s="2" t="s">
        <v>795</v>
      </c>
      <c r="C192" s="107">
        <v>25</v>
      </c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45" t="s">
        <v>476</v>
      </c>
    </row>
    <row r="193">
      <c r="A193" s="2"/>
      <c r="B193" s="2" t="s">
        <v>796</v>
      </c>
      <c r="C193" s="35">
        <v>4.35</v>
      </c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45" t="s">
        <v>476</v>
      </c>
    </row>
    <row r="194">
      <c r="A194" s="2"/>
      <c r="B194" s="2" t="s">
        <v>797</v>
      </c>
      <c r="C194" s="35">
        <v>4.4</v>
      </c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45" t="s">
        <v>476</v>
      </c>
    </row>
    <row r="195">
      <c r="A195" s="2"/>
      <c r="B195" s="2" t="s">
        <v>798</v>
      </c>
      <c r="C195" s="35">
        <v>4.72</v>
      </c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45" t="s">
        <v>476</v>
      </c>
    </row>
    <row r="196">
      <c r="A196" s="2"/>
      <c r="B196" s="2" t="s">
        <v>799</v>
      </c>
      <c r="C196" s="35">
        <v>3.95</v>
      </c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45" t="s">
        <v>476</v>
      </c>
    </row>
    <row r="197">
      <c r="A197" s="2"/>
      <c r="B197" s="2" t="s">
        <v>800</v>
      </c>
      <c r="C197" s="35">
        <v>0.23</v>
      </c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45" t="s">
        <v>476</v>
      </c>
    </row>
    <row r="198">
      <c r="A198" s="2"/>
      <c r="B198" s="2" t="s">
        <v>801</v>
      </c>
      <c r="C198" s="107">
        <v>19</v>
      </c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45" t="s">
        <v>476</v>
      </c>
    </row>
    <row r="199">
      <c r="A199" s="2"/>
      <c r="B199" s="2" t="s">
        <v>802</v>
      </c>
      <c r="C199" s="12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45" t="s">
        <v>476</v>
      </c>
    </row>
    <row r="200">
      <c r="A200" s="2"/>
      <c r="B200" s="2" t="s">
        <v>803</v>
      </c>
      <c r="C200" s="12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45" t="s">
        <v>476</v>
      </c>
    </row>
    <row r="201">
      <c r="A201" s="2"/>
      <c r="B201" s="2" t="s">
        <v>804</v>
      </c>
      <c r="C201" s="12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45" t="s">
        <v>476</v>
      </c>
    </row>
    <row r="202">
      <c r="A202" s="2"/>
      <c r="B202" s="2" t="s">
        <v>805</v>
      </c>
      <c r="C202" s="35">
        <v>4.41</v>
      </c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45" t="s">
        <v>476</v>
      </c>
    </row>
    <row r="203">
      <c r="A203" s="2"/>
      <c r="B203" s="2" t="s">
        <v>806</v>
      </c>
      <c r="C203" s="35">
        <v>4.45</v>
      </c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45" t="s">
        <v>476</v>
      </c>
    </row>
    <row r="204">
      <c r="A204" s="2"/>
      <c r="B204" s="2" t="s">
        <v>807</v>
      </c>
      <c r="C204" s="35">
        <v>4.75</v>
      </c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45" t="s">
        <v>476</v>
      </c>
    </row>
    <row r="205">
      <c r="A205" s="2"/>
      <c r="B205" s="2" t="s">
        <v>808</v>
      </c>
      <c r="C205" s="35">
        <v>3.94</v>
      </c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45" t="s">
        <v>476</v>
      </c>
    </row>
    <row r="206">
      <c r="A206" s="2"/>
      <c r="B206" s="2" t="s">
        <v>809</v>
      </c>
      <c r="C206" s="35">
        <v>0.23</v>
      </c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45" t="s">
        <v>476</v>
      </c>
    </row>
    <row r="207">
      <c r="A207" s="2"/>
      <c r="B207" s="2" t="s">
        <v>810</v>
      </c>
      <c r="C207" s="107">
        <v>11</v>
      </c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45" t="s">
        <v>476</v>
      </c>
    </row>
    <row r="208">
      <c r="A208" s="2"/>
      <c r="B208" s="2" t="s">
        <v>811</v>
      </c>
      <c r="C208" s="12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45" t="s">
        <v>476</v>
      </c>
    </row>
    <row r="209">
      <c r="A209" s="2"/>
      <c r="B209" s="2" t="s">
        <v>812</v>
      </c>
      <c r="C209" s="39">
        <v>22510.41</v>
      </c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45" t="s">
        <v>476</v>
      </c>
    </row>
    <row r="210">
      <c r="A210" s="2"/>
      <c r="B210" s="2" t="s">
        <v>813</v>
      </c>
      <c r="C210" s="39">
        <v>22501</v>
      </c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45" t="s">
        <v>476</v>
      </c>
    </row>
    <row r="211">
      <c r="A211" s="2"/>
      <c r="B211" s="2" t="s">
        <v>814</v>
      </c>
      <c r="C211" s="39">
        <v>22554</v>
      </c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45" t="s">
        <v>476</v>
      </c>
    </row>
    <row r="212">
      <c r="A212" s="2"/>
      <c r="B212" s="2" t="s">
        <v>815</v>
      </c>
      <c r="C212" s="39">
        <v>22467.3</v>
      </c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45" t="s">
        <v>476</v>
      </c>
    </row>
    <row r="213">
      <c r="A213" s="2"/>
      <c r="B213" s="2" t="s">
        <v>816</v>
      </c>
      <c r="C213" s="39">
        <v>31.32</v>
      </c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45" t="s">
        <v>476</v>
      </c>
    </row>
    <row r="214">
      <c r="A214" s="2"/>
      <c r="B214" s="2" t="s">
        <v>817</v>
      </c>
      <c r="C214" s="39">
        <v>7</v>
      </c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45" t="s">
        <v>476</v>
      </c>
    </row>
    <row r="215">
      <c r="A215" s="2"/>
      <c r="B215" s="2" t="s">
        <v>818</v>
      </c>
      <c r="C215" s="12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45" t="s">
        <v>476</v>
      </c>
    </row>
    <row r="216">
      <c r="A216" s="2"/>
      <c r="B216" s="2" t="s">
        <v>819</v>
      </c>
      <c r="C216" s="12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45" t="s">
        <v>476</v>
      </c>
    </row>
    <row r="217">
      <c r="A217" s="2"/>
      <c r="B217" s="2" t="s">
        <v>820</v>
      </c>
      <c r="C217" s="12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45" t="s">
        <v>476</v>
      </c>
    </row>
    <row r="218">
      <c r="A218" s="2"/>
      <c r="B218" s="2" t="s">
        <v>821</v>
      </c>
      <c r="C218" s="12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45" t="s">
        <v>476</v>
      </c>
    </row>
    <row r="219">
      <c r="A219" s="2"/>
      <c r="B219" s="2" t="s">
        <v>822</v>
      </c>
      <c r="C219" s="12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45" t="s">
        <v>476</v>
      </c>
    </row>
    <row r="220">
      <c r="A220" s="2"/>
      <c r="B220" s="2" t="s">
        <v>823</v>
      </c>
      <c r="C220" s="39">
        <v>3195.58</v>
      </c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45" t="s">
        <v>476</v>
      </c>
    </row>
    <row r="221">
      <c r="A221" s="2"/>
      <c r="B221" s="2" t="s">
        <v>824</v>
      </c>
      <c r="C221" s="39">
        <v>3311.44</v>
      </c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45" t="s">
        <v>476</v>
      </c>
    </row>
    <row r="222">
      <c r="A222" s="2"/>
      <c r="B222" s="2" t="s">
        <v>825</v>
      </c>
      <c r="C222" s="39">
        <v>2570.58</v>
      </c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45" t="s">
        <v>476</v>
      </c>
    </row>
    <row r="223">
      <c r="A223" s="2"/>
      <c r="B223" s="2" t="s">
        <v>826</v>
      </c>
      <c r="C223" s="39">
        <v>2623</v>
      </c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45" t="s">
        <v>476</v>
      </c>
    </row>
    <row r="224">
      <c r="A224" s="2"/>
      <c r="B224" s="2" t="s">
        <v>827</v>
      </c>
      <c r="C224" s="12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45" t="s">
        <v>476</v>
      </c>
    </row>
    <row r="225">
      <c r="A225" s="2"/>
      <c r="B225" s="2" t="s">
        <v>828</v>
      </c>
      <c r="C225" s="103">
        <v>21.23</v>
      </c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45" t="s">
        <v>476</v>
      </c>
    </row>
    <row r="226">
      <c r="A226" s="2"/>
      <c r="B226" s="2" t="s">
        <v>829</v>
      </c>
      <c r="C226" s="12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45" t="s">
        <v>476</v>
      </c>
    </row>
    <row r="227">
      <c r="A227" s="2"/>
      <c r="B227" s="2" t="s">
        <v>830</v>
      </c>
      <c r="C227" s="12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45" t="s">
        <v>476</v>
      </c>
    </row>
    <row r="228">
      <c r="A228" s="2"/>
      <c r="B228" s="2" t="s">
        <v>831</v>
      </c>
      <c r="C228" s="39">
        <v>4075</v>
      </c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45" t="s">
        <v>476</v>
      </c>
    </row>
    <row r="229">
      <c r="A229" s="2"/>
      <c r="B229" s="2" t="s">
        <v>832</v>
      </c>
      <c r="C229" s="12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45" t="s">
        <v>476</v>
      </c>
    </row>
    <row r="230">
      <c r="A230" s="2"/>
      <c r="B230" s="2" t="s">
        <v>833</v>
      </c>
      <c r="C230" s="39">
        <v>-87.44</v>
      </c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45" t="s">
        <v>476</v>
      </c>
    </row>
    <row r="231">
      <c r="A231" s="2"/>
      <c r="B231" s="2" t="s">
        <v>834</v>
      </c>
      <c r="C231" s="12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45" t="s">
        <v>476</v>
      </c>
    </row>
    <row r="232">
      <c r="A232" s="2"/>
      <c r="B232" s="2" t="s">
        <v>835</v>
      </c>
      <c r="C232" s="12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45" t="s">
        <v>476</v>
      </c>
    </row>
    <row r="233">
      <c r="A233" s="2"/>
      <c r="B233" s="2" t="s">
        <v>836</v>
      </c>
      <c r="C233" s="12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45" t="s">
        <v>476</v>
      </c>
    </row>
    <row r="234">
      <c r="A234" s="2"/>
      <c r="B234" s="2" t="s">
        <v>837</v>
      </c>
      <c r="C234" s="12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45" t="s">
        <v>476</v>
      </c>
    </row>
    <row r="235">
      <c r="A235" s="2"/>
      <c r="B235" s="2" t="s">
        <v>838</v>
      </c>
      <c r="C235" s="12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45" t="s">
        <v>476</v>
      </c>
    </row>
    <row r="236">
      <c r="A236" s="2"/>
      <c r="B236" s="2" t="s">
        <v>839</v>
      </c>
      <c r="C236" s="12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45" t="s">
        <v>476</v>
      </c>
    </row>
    <row r="237">
      <c r="A237" s="2"/>
      <c r="B237" s="2" t="s">
        <v>840</v>
      </c>
      <c r="C237" s="103">
        <v>28.82</v>
      </c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45" t="s">
        <v>476</v>
      </c>
    </row>
    <row r="238">
      <c r="A238" s="2"/>
      <c r="B238" s="2" t="s">
        <v>841</v>
      </c>
      <c r="C238" s="35">
        <v>232.81</v>
      </c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45" t="s">
        <v>476</v>
      </c>
    </row>
    <row r="239">
      <c r="A239" s="2"/>
      <c r="B239" s="2" t="s">
        <v>842</v>
      </c>
      <c r="C239" s="35">
        <v>232</v>
      </c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45" t="s">
        <v>476</v>
      </c>
    </row>
    <row r="240">
      <c r="A240" s="2"/>
      <c r="B240" s="2" t="s">
        <v>843</v>
      </c>
      <c r="C240" s="35">
        <v>314</v>
      </c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45" t="s">
        <v>476</v>
      </c>
    </row>
    <row r="241">
      <c r="A241" s="2"/>
      <c r="B241" s="2" t="s">
        <v>844</v>
      </c>
      <c r="C241" s="35">
        <v>198</v>
      </c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45" t="s">
        <v>476</v>
      </c>
    </row>
    <row r="242">
      <c r="A242" s="2"/>
      <c r="B242" s="2" t="s">
        <v>845</v>
      </c>
      <c r="C242" s="35">
        <v>25.51</v>
      </c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45" t="s">
        <v>476</v>
      </c>
    </row>
    <row r="243">
      <c r="A243" s="2"/>
      <c r="B243" s="2" t="s">
        <v>846</v>
      </c>
      <c r="C243" s="107">
        <v>21</v>
      </c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45" t="s">
        <v>476</v>
      </c>
    </row>
    <row r="244">
      <c r="A244" s="2"/>
      <c r="B244" s="2" t="s">
        <v>847</v>
      </c>
      <c r="C244" s="104" t="s">
        <v>848</v>
      </c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45" t="s">
        <v>476</v>
      </c>
    </row>
    <row r="245">
      <c r="A245" s="2"/>
      <c r="B245" s="2" t="s">
        <v>849</v>
      </c>
      <c r="C245" s="103">
        <v>2.6</v>
      </c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45" t="s">
        <v>476</v>
      </c>
    </row>
    <row r="246">
      <c r="A246" s="2"/>
      <c r="B246" s="2" t="s">
        <v>850</v>
      </c>
      <c r="C246" s="35">
        <v>217.43</v>
      </c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45" t="s">
        <v>476</v>
      </c>
    </row>
    <row r="247">
      <c r="A247" s="2"/>
      <c r="B247" s="2" t="s">
        <v>851</v>
      </c>
      <c r="C247" s="104" t="s">
        <v>852</v>
      </c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45" t="s">
        <v>476</v>
      </c>
    </row>
    <row r="248">
      <c r="A248" s="2"/>
      <c r="B248" s="2" t="s">
        <v>853</v>
      </c>
      <c r="C248" s="104" t="s">
        <v>19</v>
      </c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45" t="s">
        <v>476</v>
      </c>
    </row>
    <row r="249">
      <c r="A249" s="2"/>
      <c r="B249" s="2" t="s">
        <v>854</v>
      </c>
      <c r="C249" s="104" t="s">
        <v>855</v>
      </c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45" t="s">
        <v>476</v>
      </c>
    </row>
    <row r="250">
      <c r="A250" s="2"/>
      <c r="B250" s="2" t="s">
        <v>856</v>
      </c>
      <c r="C250" s="116">
        <v>46306</v>
      </c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45" t="s">
        <v>476</v>
      </c>
    </row>
    <row r="251">
      <c r="A251" s="2"/>
      <c r="B251" s="2" t="s">
        <v>857</v>
      </c>
      <c r="C251" s="104" t="s">
        <v>858</v>
      </c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45" t="s">
        <v>476</v>
      </c>
    </row>
    <row r="252">
      <c r="A252" s="2"/>
      <c r="B252" s="2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45"/>
    </row>
    <row r="253">
      <c r="A253" s="2"/>
      <c r="B253" s="21" t="s">
        <v>859</v>
      </c>
      <c r="C253" s="26"/>
      <c r="D253" s="26"/>
      <c r="E253" s="26"/>
      <c r="F253" s="26"/>
      <c r="G253" s="26"/>
      <c r="H253" s="26"/>
      <c r="I253" s="26"/>
      <c r="J253" s="26"/>
      <c r="K253" s="26"/>
      <c r="L253" s="26"/>
      <c r="M253" s="26"/>
      <c r="N253" s="45"/>
    </row>
    <row r="254" ht="39">
      <c r="A254" s="2"/>
      <c r="B254" s="112" t="s">
        <v>860</v>
      </c>
      <c r="C254" s="102" t="s">
        <v>861</v>
      </c>
      <c r="D254" s="102" t="s">
        <v>862</v>
      </c>
      <c r="E254" s="102" t="s">
        <v>863</v>
      </c>
      <c r="F254" s="102" t="s">
        <v>864</v>
      </c>
      <c r="G254" s="102" t="s">
        <v>865</v>
      </c>
      <c r="H254" s="102" t="s">
        <v>866</v>
      </c>
      <c r="I254" s="102" t="s">
        <v>867</v>
      </c>
      <c r="J254" s="22"/>
      <c r="K254" s="102" t="s">
        <v>868</v>
      </c>
      <c r="L254" s="102" t="s">
        <v>869</v>
      </c>
      <c r="M254" s="22"/>
      <c r="N254" s="106"/>
    </row>
    <row r="255">
      <c r="A255" s="2"/>
      <c r="B255" s="6">
        <v>45747</v>
      </c>
      <c r="C255" s="116">
        <v>45763</v>
      </c>
      <c r="D255" s="35">
        <v>4.78</v>
      </c>
      <c r="E255" s="35">
        <v>4.65</v>
      </c>
      <c r="F255" s="35">
        <v>4.72</v>
      </c>
      <c r="G255" s="35">
        <v>4.37</v>
      </c>
      <c r="H255" s="39">
        <v>21729.77</v>
      </c>
      <c r="I255" s="39">
        <v>22206</v>
      </c>
      <c r="J255" s="5"/>
      <c r="K255" s="46">
        <f>E255-D255</f>
        <v>-0.1299999999999999</v>
      </c>
      <c r="L255" s="36">
        <f>IF(E255&gt;D255,1,0)</f>
        <v>0</v>
      </c>
      <c r="M255" s="5"/>
      <c r="N255" s="45" t="s">
        <v>486</v>
      </c>
    </row>
    <row r="256">
      <c r="A256" s="2"/>
      <c r="B256" s="6">
        <v>45838</v>
      </c>
      <c r="C256" s="116">
        <v>45854</v>
      </c>
      <c r="D256" s="35">
        <v>4.43</v>
      </c>
      <c r="E256" s="35">
        <v>4.88</v>
      </c>
      <c r="F256" s="35">
        <v>4.7</v>
      </c>
      <c r="G256" s="35">
        <v>5.4</v>
      </c>
      <c r="H256" s="39">
        <v>20333.13</v>
      </c>
      <c r="I256" s="39">
        <v>20076</v>
      </c>
      <c r="J256" s="5"/>
      <c r="K256" s="46">
        <f>E256-D256</f>
        <v>0.4500000000000002</v>
      </c>
      <c r="L256" s="36">
        <f>IF(E256&gt;D256,1,0)</f>
        <v>1</v>
      </c>
      <c r="M256" s="5"/>
      <c r="N256" s="45" t="s">
        <v>486</v>
      </c>
    </row>
    <row r="257">
      <c r="A257" s="2"/>
      <c r="B257" s="6">
        <v>45930</v>
      </c>
      <c r="C257" s="116">
        <v>45945</v>
      </c>
      <c r="D257" s="35">
        <v>5.05</v>
      </c>
      <c r="E257" s="35">
        <v>4.05</v>
      </c>
      <c r="F257" s="35">
        <v>5.27</v>
      </c>
      <c r="G257" s="35">
        <v>4.44</v>
      </c>
      <c r="H257" s="39">
        <v>21643.75</v>
      </c>
      <c r="I257" s="39">
        <v>21384</v>
      </c>
      <c r="J257" s="5"/>
      <c r="K257" s="46">
        <f>E257-D257</f>
        <v>-1</v>
      </c>
      <c r="L257" s="36">
        <f>IF(E257&gt;D257,1,0)</f>
        <v>0</v>
      </c>
      <c r="M257" s="5"/>
      <c r="N257" s="45" t="s">
        <v>486</v>
      </c>
    </row>
    <row r="258">
      <c r="A258" s="2"/>
      <c r="B258" s="6">
        <v>46022</v>
      </c>
      <c r="C258" s="116">
        <v>46050</v>
      </c>
      <c r="D258" s="35">
        <v>4.43</v>
      </c>
      <c r="E258" s="35">
        <v>4.67</v>
      </c>
      <c r="F258" s="35">
        <v>4.58</v>
      </c>
      <c r="G258" s="35">
        <v>5.02</v>
      </c>
      <c r="H258" s="39">
        <v>19752.72</v>
      </c>
      <c r="I258" s="39">
        <v>19508</v>
      </c>
      <c r="J258" s="5"/>
      <c r="K258" s="46">
        <f>E258-D258</f>
        <v>0.2400000000000002</v>
      </c>
      <c r="L258" s="36">
        <f>IF(E258&gt;D258,1,0)</f>
        <v>1</v>
      </c>
      <c r="M258" s="5"/>
      <c r="N258" s="45" t="s">
        <v>486</v>
      </c>
    </row>
    <row r="259">
      <c r="A259" s="2"/>
      <c r="B259" s="6">
        <v>46112</v>
      </c>
      <c r="C259" s="116">
        <v>46127</v>
      </c>
      <c r="D259" s="35">
        <v>4.88</v>
      </c>
      <c r="E259" s="35">
        <v>4.96</v>
      </c>
      <c r="F259" s="35">
        <v>4.85</v>
      </c>
      <c r="G259" s="35">
        <v>4.8</v>
      </c>
      <c r="H259" s="39">
        <v>23203.8</v>
      </c>
      <c r="I259" s="39">
        <v>23641</v>
      </c>
      <c r="J259" s="5"/>
      <c r="K259" s="46">
        <f>E259-D259</f>
        <v>0.08000000000000007</v>
      </c>
      <c r="L259" s="36">
        <f>IF(E259&gt;D259,1,0)</f>
        <v>1</v>
      </c>
      <c r="M259" s="5"/>
      <c r="N259" s="45" t="s">
        <v>486</v>
      </c>
    </row>
    <row r="260">
      <c r="A260" s="2"/>
      <c r="B260" s="6">
        <v>46203</v>
      </c>
      <c r="C260" s="116">
        <v>46218</v>
      </c>
      <c r="D260" s="35">
        <v>4.84</v>
      </c>
      <c r="E260" s="35">
        <v>4.85</v>
      </c>
      <c r="F260" s="35">
        <v>5.3</v>
      </c>
      <c r="G260" s="35">
        <v>5.67</v>
      </c>
      <c r="H260" s="39">
        <v>21262.95</v>
      </c>
      <c r="I260" s="39">
        <v>21077</v>
      </c>
      <c r="J260" s="5"/>
      <c r="K260" s="46">
        <f>E260-D260</f>
        <v>0.009999999999999787</v>
      </c>
      <c r="L260" s="36">
        <f>IF(E260&gt;D260,1,0)</f>
        <v>1</v>
      </c>
      <c r="M260" s="5"/>
      <c r="N260" s="45" t="s">
        <v>486</v>
      </c>
    </row>
    <row r="261">
      <c r="A261" s="2"/>
      <c r="B261" s="2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45"/>
    </row>
    <row r="262">
      <c r="A262" s="2"/>
      <c r="B262" s="21" t="s">
        <v>870</v>
      </c>
      <c r="C262" s="26"/>
      <c r="D262" s="26"/>
      <c r="E262" s="26"/>
      <c r="F262" s="26"/>
      <c r="G262" s="26"/>
      <c r="H262" s="26"/>
      <c r="I262" s="26"/>
      <c r="J262" s="26"/>
      <c r="K262" s="26"/>
      <c r="L262" s="26"/>
      <c r="M262" s="26"/>
      <c r="N262" s="45"/>
    </row>
    <row r="263" ht="22.5">
      <c r="A263" s="2"/>
      <c r="B263" s="2" t="s">
        <v>871</v>
      </c>
      <c r="C263" s="39">
        <v>126.41</v>
      </c>
      <c r="D263" s="131" t="s">
        <v>872</v>
      </c>
      <c r="E263" s="130"/>
      <c r="F263" s="130"/>
      <c r="G263" s="130"/>
      <c r="H263" s="130"/>
      <c r="I263" s="130"/>
      <c r="J263" s="130"/>
      <c r="K263" s="130"/>
      <c r="L263" s="130"/>
      <c r="M263" s="130"/>
      <c r="N263" s="45" t="s">
        <v>536</v>
      </c>
    </row>
    <row r="264">
      <c r="A264" s="2"/>
      <c r="B264" s="2" t="s">
        <v>873</v>
      </c>
      <c r="C264" s="5" t="str">
        <f>IF(C263&gt;10,"Large",IF(C263&gt;2,"Mid","Small"))</f>
        <v>Large</v>
      </c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45" t="s">
        <v>874</v>
      </c>
    </row>
    <row r="265">
      <c r="A265" s="2"/>
      <c r="B265" s="2" t="s">
        <v>875</v>
      </c>
      <c r="C265" s="5" t="str">
        <f>C186</f>
        <v>Y</v>
      </c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45" t="s">
        <v>476</v>
      </c>
    </row>
    <row r="266">
      <c r="A266" s="2"/>
      <c r="B266" s="19" t="s">
        <v>876</v>
      </c>
      <c r="C266" s="3">
        <v>0.6</v>
      </c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45" t="s">
        <v>874</v>
      </c>
    </row>
    <row r="267">
      <c r="A267" s="2"/>
      <c r="B267" s="19" t="s">
        <v>877</v>
      </c>
      <c r="C267" s="3">
        <v>0.7</v>
      </c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45" t="s">
        <v>874</v>
      </c>
    </row>
    <row r="268">
      <c r="A268" s="2"/>
      <c r="B268" s="19" t="s">
        <v>878</v>
      </c>
      <c r="C268" s="3">
        <v>0.78</v>
      </c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45" t="s">
        <v>874</v>
      </c>
    </row>
    <row r="269">
      <c r="A269" s="2"/>
      <c r="B269" s="19" t="s">
        <v>879</v>
      </c>
      <c r="C269" s="1">
        <f>IF(OR(C264="Large",C265="Y"),C268,IF(C264="Mid",C267,C266))</f>
        <v>0.78</v>
      </c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45" t="s">
        <v>874</v>
      </c>
    </row>
    <row r="270">
      <c r="A270" s="2"/>
      <c r="B270" s="2" t="s">
        <v>880</v>
      </c>
      <c r="C270" s="97">
        <v>8</v>
      </c>
      <c r="D270" s="83"/>
      <c r="E270" s="83"/>
      <c r="F270" s="83"/>
      <c r="G270" s="83"/>
      <c r="H270" s="83"/>
      <c r="I270" s="83"/>
      <c r="J270" s="83"/>
      <c r="K270" s="83"/>
      <c r="L270" s="83"/>
      <c r="M270" s="83"/>
      <c r="N270" s="45" t="s">
        <v>874</v>
      </c>
    </row>
    <row r="271">
      <c r="A271" s="2"/>
      <c r="B271" s="2" t="s">
        <v>881</v>
      </c>
      <c r="C271" s="83">
        <f>SUM(L255:L260)</f>
        <v>4</v>
      </c>
      <c r="D271" s="83"/>
      <c r="E271" s="83"/>
      <c r="F271" s="83"/>
      <c r="G271" s="83"/>
      <c r="H271" s="83"/>
      <c r="I271" s="83"/>
      <c r="J271" s="83"/>
      <c r="K271" s="83"/>
      <c r="L271" s="83"/>
      <c r="M271" s="83"/>
      <c r="N271" s="45" t="s">
        <v>486</v>
      </c>
    </row>
    <row r="272">
      <c r="A272" s="2"/>
      <c r="B272" s="2" t="s">
        <v>882</v>
      </c>
      <c r="C272" s="83">
        <f>COUNT(E255:E260)</f>
        <v>6</v>
      </c>
      <c r="D272" s="83"/>
      <c r="E272" s="83"/>
      <c r="F272" s="83"/>
      <c r="G272" s="83"/>
      <c r="H272" s="83"/>
      <c r="I272" s="83"/>
      <c r="J272" s="83"/>
      <c r="K272" s="83"/>
      <c r="L272" s="83"/>
      <c r="M272" s="83"/>
      <c r="N272" s="45" t="s">
        <v>486</v>
      </c>
    </row>
    <row r="273">
      <c r="A273" s="2"/>
      <c r="B273" s="19" t="s">
        <v>883</v>
      </c>
      <c r="C273" s="1">
        <f>(C270*C269+C271)/(C270+C272)</f>
        <v>0.7314285714285714</v>
      </c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45" t="s">
        <v>874</v>
      </c>
    </row>
    <row r="274" ht="33.75">
      <c r="A274" s="2"/>
      <c r="B274" s="19" t="s">
        <v>884</v>
      </c>
      <c r="C274" s="3">
        <v>0.03</v>
      </c>
      <c r="D274" s="129" t="s">
        <v>885</v>
      </c>
      <c r="E274" s="129"/>
      <c r="F274" s="129"/>
      <c r="G274" s="129"/>
      <c r="H274" s="129"/>
      <c r="I274" s="129"/>
      <c r="J274" s="129"/>
      <c r="K274" s="129"/>
      <c r="L274" s="129"/>
      <c r="M274" s="129"/>
      <c r="N274" s="45" t="s">
        <v>874</v>
      </c>
    </row>
    <row r="275">
      <c r="A275" s="2"/>
      <c r="B275" s="19" t="s">
        <v>886</v>
      </c>
      <c r="C275" s="1">
        <f>ROUND(C273+C274,2)</f>
        <v>0.76</v>
      </c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45" t="s">
        <v>874</v>
      </c>
    </row>
    <row r="276">
      <c r="A276" s="2"/>
      <c r="B276" s="2" t="s">
        <v>48</v>
      </c>
      <c r="C276" s="109" t="s">
        <v>887</v>
      </c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45" t="s">
        <v>874</v>
      </c>
    </row>
    <row r="277">
      <c r="A277" s="2"/>
      <c r="B277" s="2" t="s">
        <v>888</v>
      </c>
      <c r="C277" s="46">
        <f>AVERAGE(K255:K260)</f>
        <v>-0.05833333333333327</v>
      </c>
      <c r="D277" s="46"/>
      <c r="E277" s="46"/>
      <c r="F277" s="46"/>
      <c r="G277" s="46"/>
      <c r="H277" s="46"/>
      <c r="I277" s="46"/>
      <c r="J277" s="46"/>
      <c r="K277" s="46"/>
      <c r="L277" s="46"/>
      <c r="M277" s="46"/>
      <c r="N277" s="45" t="s">
        <v>486</v>
      </c>
    </row>
    <row r="278">
      <c r="A278" s="2"/>
      <c r="B278" s="19" t="s">
        <v>889</v>
      </c>
      <c r="C278" s="3">
        <v>0.21</v>
      </c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45" t="s">
        <v>890</v>
      </c>
    </row>
    <row r="279">
      <c r="A279" s="2"/>
      <c r="B279" s="127" t="s">
        <v>891</v>
      </c>
      <c r="C279" s="132">
        <v>0.21</v>
      </c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133" t="s">
        <v>892</v>
      </c>
    </row>
    <row r="280">
      <c r="A280" s="2"/>
      <c r="B280" s="2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45"/>
    </row>
  </sheetData>
  <mergeCells count="2">
    <mergeCell ref="D263:M263"/>
    <mergeCell ref="D274:M274"/>
  </mergeCells>
  <legacyDrawing r:id="rId2"/>
</worksheet>
</file>