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Retail Banking" sheetId="3" r:id="rId3"/>
    <sheet name="Segment - Corp &amp; Inst Banking" sheetId="4" r:id="rId4"/>
    <sheet name="Segment - Asset Management" sheetId="5" r:id="rId5"/>
    <sheet name="Income Statement" sheetId="6" r:id="rId6"/>
    <sheet name="Balance Sheet" sheetId="7" r:id="rId7"/>
    <sheet name="Cash Flow Statement" sheetId="8" r:id="rId8"/>
    <sheet name="Share Count" sheetId="9" r:id="rId9"/>
    <sheet name="Guidance" sheetId="10" r:id="rId10"/>
    <sheet name="Sources" sheetId="11" r:id="rId11"/>
    <sheet name="Inputs" sheetId="12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G66" authorId="0">
      <text>
        <t>exa_web_search_087c551c.jsonl (PNC FY25 release, investor.pnc.com detail/677, 2026-01-16) | Headline | $16.59 Diluted EPS</t>
      </text>
    </comment>
  </commentList>
</comments>
</file>

<file path=xl/sharedStrings.xml><?xml version="1.0" encoding="utf-8"?>
<sst xmlns="http://schemas.openxmlformats.org/spreadsheetml/2006/main" count="2350" uniqueCount="996">
  <si>
    <t>The PNC Financial Services Group, Inc. (NYSE: PNC)</t>
  </si>
  <si>
    <t>Cover</t>
  </si>
  <si>
    <t>$ millions, except per share</t>
  </si>
  <si>
    <t>Period</t>
  </si>
  <si>
    <t>3Q26E</t>
  </si>
  <si>
    <t>Notes</t>
  </si>
  <si>
    <t>Period end</t>
  </si>
  <si>
    <t>Days in period</t>
  </si>
  <si>
    <t>Company Model — built by Shortcut</t>
  </si>
  <si>
    <t>Author: Shortcut</t>
  </si>
  <si>
    <t>Company</t>
  </si>
  <si>
    <t>The PNC Financial Services Group, Inc.</t>
  </si>
  <si>
    <t>Ticker</t>
  </si>
  <si>
    <t>PNC</t>
  </si>
  <si>
    <t>Exchange</t>
  </si>
  <si>
    <t>New York Stock Exchange (NYSE: PNC)</t>
  </si>
  <si>
    <t>Fiscal year end</t>
  </si>
  <si>
    <t>Calendar year (ends 31 Dec)</t>
  </si>
  <si>
    <t>Reporting currency</t>
  </si>
  <si>
    <t>USD; $ millions except per share</t>
  </si>
  <si>
    <t>EPS basis</t>
  </si>
  <si>
    <t>Normalized diluted EPS = PNC "diluted EPS - as adjusted" (excl. FirstBank integration costs and significant items)</t>
  </si>
  <si>
    <t>Forecast period</t>
  </si>
  <si>
    <t>3Q26E (FQ3 2026): quarter ended September 30, 2026 - calendar quarter-end; supplied label 2026-09-30 matches</t>
  </si>
  <si>
    <t>Information cutoff</t>
  </si>
  <si>
    <t>2026-10-11 22:24 UTC</t>
  </si>
  <si>
    <t>Expected report date</t>
  </si>
  <si>
    <t>2026-10-15, ~6:30am ET (confirmed by PNC press release 9/3/2026)</t>
  </si>
  <si>
    <t>Consensus snapshot</t>
  </si>
  <si>
    <t>S&amp;P Capital IQ, captured 2026-10-11 (date precision); 16 normalized EPS estimates; revenue from 4</t>
  </si>
  <si>
    <t>3Q26E headline</t>
  </si>
  <si>
    <t>Shortcut est.</t>
  </si>
  <si>
    <t>Consensus</t>
  </si>
  <si>
    <t>Variance</t>
  </si>
  <si>
    <t>Variance %</t>
  </si>
  <si>
    <t>Guide mid (impl.)</t>
  </si>
  <si>
    <t>Est. vs guide</t>
  </si>
  <si>
    <t># estimates</t>
  </si>
  <si>
    <t>Total revenue ($m)</t>
  </si>
  <si>
    <t>Adj. NI to diluted common ($m)</t>
  </si>
  <si>
    <t>n.a.</t>
  </si>
  <si>
    <t>Indicative only: CapIQ net_income_excl_excep_m basis (NI vs NI to common vs NI to diluted common) is not documented; implied shares 1,992.3/4.98 = 400.1m vs GAAP line 1,970.93/4.89 = 403.1m suggest different contributor sets/definitions. Not scored.</t>
  </si>
  <si>
    <t>Adj. diluted EPS (scored)</t>
  </si>
  <si>
    <t>Scored. Unresolved basis risk (F2): the ~$(45)m 3Q26 Visa escrow-related derivative charge is embedded in other income and NOT adjusted ('Income Statement'!K95). If PNC/CapIQ exclude it, adjusted EPS would be ~+$0.089 (45 x (1-21%) / 400.67m). Not applied; retained as original assumption. Basis conditional: comparison/scoring may need to be withheld pending a verified comparable adjusted-EPS definition. Also unresolved (F1): 3Q26E average borrowings/HTM ('Revenue summary'!J111/J123/J68) are not reconciled to modeled period-ends; sensitivity ~-$0.023 / +$0.018 EPS per +$1bn. Illustrative only, not applied: moving averages to endpoint means = ~-$0.15 (borrowed funds, -$6.5bn gap) + ~$0.03 (securities) = ~-$0.12 gross, before any offsetting earning-asset change - larger than the +$0.025 margin over consensus. Retained.</t>
  </si>
  <si>
    <t>GAAP NI to diluted common ($m)</t>
  </si>
  <si>
    <t>Not guided</t>
  </si>
  <si>
    <t>Indicative only: CapIQ net_income_gaap_m basis vs model NI to diluted common is unverified (see K25). Not scored.</t>
  </si>
  <si>
    <t>GAAP diluted EPS</t>
  </si>
  <si>
    <t>Checks: history ties + identities</t>
  </si>
  <si>
    <t>PASS when every inline check row is zero/TRUE (conditions unchanged). Genuine source ties (history columns): CF rows 23/37/60 vs filed totals, BS rows 29/45 vs reported totals, Revenue summary rows 45/286 vs reported segments and IS, CF row 66 vs BS cash, IS row 36/108 vs CapIQ, IS row 70 quarterly reported EPS and FY25 implied-share tie. Forecast identity/plug checks, true by construction and NOT independent validation of 3Q26E: BS J57 (J11 balancing item), CF J66:J67, Revenue summary J45 (J37 residual) and J286, C&amp;I J48 (J33 residual), Share Count row 20 (roll-forward built from same inputs), IS J70 and the Cover EPS tie (algebraic identity).</t>
  </si>
  <si>
    <t>P(beat consensus EPS)</t>
  </si>
  <si>
    <t>Beat direction is conditional (see K26): EPS exceeds consensus by only ~$0.025, while the unresolved F1 average-balance gap (~-$0.12 illustrative) and F2 Visa basis (~+$0.089 if excluded) each exceed that margin. P(beat) is not an EPS input; the -0.19 adjustment (C51) is qualitative judgment. Also: fees (+$35m, ~$0.069) and other income ex-Visa (+$15m, ~$0.030) sit above guided tops (Guidance P47/P48); retained judgments.</t>
  </si>
  <si>
    <t>Confidence</t>
  </si>
  <si>
    <t>medium</t>
  </si>
  <si>
    <t>Check tolerances used by the overall model check</t>
  </si>
  <si>
    <t>Check-row tolerance ($m, sum of abs.)</t>
  </si>
  <si>
    <t>Cover EPS tie tolerance ($/share)</t>
  </si>
  <si>
    <t>Beat-probability calibration (forecasting playbook v2: size and issuer history)</t>
  </si>
  <si>
    <t>Market capitalization ($m), 10/9/2026</t>
  </si>
  <si>
    <t>StockAnalysis: $87.45bn at the 10/9/2026 close ($219.21); CapIQ market_cap_usd_m field is blank.</t>
  </si>
  <si>
    <t>Large-cap threshold ($m)</t>
  </si>
  <si>
    <t>Mid-cap threshold ($m)</t>
  </si>
  <si>
    <t>Size bucket</t>
  </si>
  <si>
    <t>S&amp;P 500 member (CapIQ)</t>
  </si>
  <si>
    <t>Prior: large cap or S&amp;P 500</t>
  </si>
  <si>
    <t>Prior: mid cap</t>
  </si>
  <si>
    <t>Prior: small cap</t>
  </si>
  <si>
    <t>Cohort prior</t>
  </si>
  <si>
    <t>Strict beats in CapIQ history (b)</t>
  </si>
  <si>
    <t>Valid normalized EPS pairs (n)</t>
  </si>
  <si>
    <t>All six pairs use the normalized basis; none excluded.</t>
  </si>
  <si>
    <t>Pseudo-observation weight</t>
  </si>
  <si>
    <t>Starting p = (8 x prior + b) / (8 + n)</t>
  </si>
  <si>
    <t>Quarter-specific evidence adjustment</t>
  </si>
  <si>
    <t>Down-weights the mechanical start: consensus ($4.98) already sits at the guidance-midpoint-implied EPS; management said only "tracking to" guidance (9/14/26); Visa escrow charge; model EPS only ~$0.02 above consensus, below the smallest of six historical surprises ($0.12, C54; mean $0.30, C53; sample s.d. ~$0.19) - qualitative judgment. Offsets: four straight PPNR beats vs guidance, fee momentum.</t>
  </si>
  <si>
    <t>Final P(beat consensus EPS)</t>
  </si>
  <si>
    <t>Mean historical surprise ($/share)</t>
  </si>
  <si>
    <t>Smallest historical surprise ($/share)</t>
  </si>
  <si>
    <t>Estimate less consensus ($/sh)</t>
  </si>
  <si>
    <t>Other consensus references (memo only; mutable web pages retrieved 2026-10-12, as-of-cutoff state cannot be proven; never scored; scoring baseline remains CapIQ $4.98)</t>
  </si>
  <si>
    <t>MarketBeat consensus EPS</t>
  </si>
  <si>
    <t>MarketBeat earnings page: $4.91 EPS on $6.61bn revenue.</t>
  </si>
  <si>
    <t>Earnings Whispers EPS, 10/8/2026</t>
  </si>
  <si>
    <t>Zacks Earnings ESP, 10/8/2026</t>
  </si>
  <si>
    <t>Tracked financial metrics, 3Q26E (metric-targets.json; only normalized EPS is scored)</t>
  </si>
  <si>
    <t>Metric ID</t>
  </si>
  <si>
    <t>Basis / unit</t>
  </si>
  <si>
    <t>total_revenue</t>
  </si>
  <si>
    <t>GAAP total revenue (NII + noninterest income), $m</t>
  </si>
  <si>
    <t>net_income_to_common</t>
  </si>
  <si>
    <t>GAAP NI attributable to common shareholders, $m</t>
  </si>
  <si>
    <t>normalized_diluted_eps</t>
  </si>
  <si>
    <t>PNC adjusted diluted EPS, $/share (scored)</t>
  </si>
  <si>
    <t>gaap_diluted_eps</t>
  </si>
  <si>
    <t>GAAP diluted EPS, $/share</t>
  </si>
  <si>
    <t>diluted_shares</t>
  </si>
  <si>
    <t>Weighted average diluted shares, millions</t>
  </si>
  <si>
    <t>revenue_growth</t>
  </si>
  <si>
    <t>Total revenue % Y/Y (reported; organic n.d.)</t>
  </si>
  <si>
    <t>material_segment_revenue: Retail</t>
  </si>
  <si>
    <t>Retail Banking revenue (FTP basis), $m</t>
  </si>
  <si>
    <t>material_segment_revenue: C&amp;IB</t>
  </si>
  <si>
    <t>Corporate &amp; Institutional Banking revenue, $m</t>
  </si>
  <si>
    <t>material_segment_revenue: AMG</t>
  </si>
  <si>
    <t>Asset Management Group revenue, $m</t>
  </si>
  <si>
    <t>pretax_profit</t>
  </si>
  <si>
    <t>GAAP income before taxes and NCI, $m</t>
  </si>
  <si>
    <t>net_interest_income</t>
  </si>
  <si>
    <t>GAAP NII, $m</t>
  </si>
  <si>
    <t>fee_noninterest_income</t>
  </si>
  <si>
    <t>Total noninterest income (GAAP), $m</t>
  </si>
  <si>
    <t>fee_income_non_gaap (suppl.)</t>
  </si>
  <si>
    <t>PNC fee income (non-GAAP), $m</t>
  </si>
  <si>
    <t>operating_expenses</t>
  </si>
  <si>
    <t>GAAP noninterest expense, $m</t>
  </si>
  <si>
    <t>operating_expenses_adj. (suppl.)</t>
  </si>
  <si>
    <t>Noninterest expense as adjusted (non-GAAP), $m</t>
  </si>
  <si>
    <t>credit_loss_provisions</t>
  </si>
  <si>
    <t>Provision for credit losses, $m</t>
  </si>
  <si>
    <t>net_interest_margin</t>
  </si>
  <si>
    <t>Issuer TE-basis NIM est.: RS J207 = GAAP-basis J204 + 2Q26 TE gap; GAAP basis ran 0.2-2.2bp above reported.</t>
  </si>
  <si>
    <t>average_loans</t>
  </si>
  <si>
    <t>Average total loans, $m</t>
  </si>
  <si>
    <t>average_deposits</t>
  </si>
  <si>
    <t>Average total deposits, $m</t>
  </si>
  <si>
    <t>operating_cash_flow</t>
  </si>
  <si>
    <t>Unavailable</t>
  </si>
  <si>
    <t>Unavailable: partial BS-derived scenario only (CF J22, ~$2,270m) omits D&amp;A/non-cash lines J12:J17 and books the $109m MSR increase as cash (CF K19).</t>
  </si>
  <si>
    <t>capital_expenditures</t>
  </si>
  <si>
    <t>n.d.</t>
  </si>
  <si>
    <t>Unavailable: not separately disclosed (within other investing)</t>
  </si>
  <si>
    <t>issuer_defined_free_cash_flow</t>
  </si>
  <si>
    <t>Not applicable: PNC does not define FCF</t>
  </si>
  <si>
    <t>Revenue summary</t>
  </si>
  <si>
    <t>1Q25A</t>
  </si>
  <si>
    <t>2Q25A</t>
  </si>
  <si>
    <t>3Q25A</t>
  </si>
  <si>
    <t>4Q25A</t>
  </si>
  <si>
    <t>FY25A</t>
  </si>
  <si>
    <t>1Q26A</t>
  </si>
  <si>
    <t>2Q26A</t>
  </si>
  <si>
    <t>Revenue by reported business segment</t>
  </si>
  <si>
    <t>Total revenue</t>
  </si>
  <si>
    <t xml:space="preserve">    % Y/Y</t>
  </si>
  <si>
    <t xml:space="preserve">    % Q/Q</t>
  </si>
  <si>
    <t xml:space="preserve">    M&amp;A / scope impact (Y/Y)</t>
  </si>
  <si>
    <t>Not disclosed: PNC does not quantify the FirstBank (closed 1/5/2026) revenue contribution, so organic growth cannot be isolated for 2026 periods.</t>
  </si>
  <si>
    <t xml:space="preserve">    FX impact (Y/Y)</t>
  </si>
  <si>
    <t>Not disclosed: PNC reports in USD and does not disclose an FX impact on revenue.</t>
  </si>
  <si>
    <t xml:space="preserve">    Organic growth (Y/Y)</t>
  </si>
  <si>
    <t>Retail Banking</t>
  </si>
  <si>
    <t xml:space="preserve">    % of total revenue</t>
  </si>
  <si>
    <t>Corporate &amp; Institutional Banking</t>
  </si>
  <si>
    <t>Asset Management Group</t>
  </si>
  <si>
    <t>Other (corp., treasury, elims.)</t>
  </si>
  <si>
    <t>Reported "Other" segment revenue (2Q26 supplement, restated for 2Q26 FTP change). 1Q25 = 6M25 restated less 2Q25. 3Q26E derived as total less segments (reconciling item); 3Q26E compares with 2Q26 of -$1,249m excluding the $139m securities repositioning loss.</t>
  </si>
  <si>
    <t>Sum of segments and Other</t>
  </si>
  <si>
    <t xml:space="preserve">    Check: segments less total (= 0)</t>
  </si>
  <si>
    <t>History: genuine tie of reported segments to total. 3Q26E: identity by construction (J37 Other is the residual) - not an independent check.</t>
  </si>
  <si>
    <t>Geography: PNC does not disclose revenue by geography; effectively all revenue is U.S. (international offices in four countries are immaterial), so there is no Geo tab.</t>
  </si>
  <si>
    <t>Net interest income build - average balances ($ millions)</t>
  </si>
  <si>
    <t>Avg. commercial and industrial loans</t>
  </si>
  <si>
    <t xml:space="preserve">    Δ Q/Q (abs.)</t>
  </si>
  <si>
    <t>Avg. commercial real estate loans</t>
  </si>
  <si>
    <t>Avg. consumer loans</t>
  </si>
  <si>
    <t>Avg. residential real estate loans</t>
  </si>
  <si>
    <t>Average total loans</t>
  </si>
  <si>
    <t>3Q26E +1.5% Q/Q vs guidance of +1% to +2% (2Q26 baseline $363.2bn); period-end 6/30/26 loans $368.0bn already above the 2Q26 average.</t>
  </si>
  <si>
    <t>Avg. securities available-for-sale</t>
  </si>
  <si>
    <t>Avg. securities held-to-maturity</t>
  </si>
  <si>
    <t>Unresolved (r3 F1): avg HTM $74.0bn vs period-ends $78.4bn (BS I14) / $79.3bn (BS J14), mean $78.9bn (gap -$4.9bn); total securities gap -$1.5bn (J71 vs BS I13:J14). Not reconciled; retained. Sensitivity: +$1bn avg securities = ~+$0.018 EPS (illustrative endpoint mean ~+$0.03, not applied).</t>
  </si>
  <si>
    <t>Average investment securities</t>
  </si>
  <si>
    <t>Avg. deposits with banks (incl. Fed)</t>
  </si>
  <si>
    <t>Avg. other interest-earning assets</t>
  </si>
  <si>
    <t>Avg. other earning assets</t>
  </si>
  <si>
    <t>Average interest-earning assets</t>
  </si>
  <si>
    <t>Avg. money market deposits</t>
  </si>
  <si>
    <t>Avg. interest-bearing demand deposits</t>
  </si>
  <si>
    <t>Avg. savings deposits</t>
  </si>
  <si>
    <t>Avg. time deposits</t>
  </si>
  <si>
    <t>Average interest-bearing deposits</t>
  </si>
  <si>
    <t>Avg. noninterest-bearing deposits</t>
  </si>
  <si>
    <t>Management (9/14/26): spot deposits growing faster than loans in 3Q, led by commercial (seasonal).</t>
  </si>
  <si>
    <t>Average total deposits</t>
  </si>
  <si>
    <t>3Q26E segment average deposits (Retail 272,300 + C&amp;IB 162,500 + AMG 27,050 = 461,850) exceed consolidated 460,500 by $1.35bn (implied Other -1,350; 1Q26 +1,222, 2Q26 -227). Supporting line only: segment NII does not feed consolidated revenue or EPS. Not reconciled; segment assumptions retained (r6 F8).</t>
  </si>
  <si>
    <t xml:space="preserve">    NIB share of average deposits</t>
  </si>
  <si>
    <t xml:space="preserve">    Δ Q/Q (bp)</t>
  </si>
  <si>
    <t xml:space="preserve">    Δ Y/Y (bp)</t>
  </si>
  <si>
    <t>Avg. FHLB advances</t>
  </si>
  <si>
    <t>Unresolved assumption (r3 F1): 3Q26E avg FHLB $29.0bn sits below both period-ends (6/30/26 reported $40.4bn, BS I36; 9/30/26 model $38.0bn, BS J36; mean $39.2bn, gap -$10.2bn). Preserved sources/driver notes document no intra-quarter paydown path; averages are independent assumptions not reconciled to modeled period-ends. Retained. Sensitivity: +$1bn avg borrowings = ~-$0.023 EPS.</t>
  </si>
  <si>
    <t>Avg. senior debt</t>
  </si>
  <si>
    <t>Avg. subordinated debt</t>
  </si>
  <si>
    <t>Avg. other borrowed funds</t>
  </si>
  <si>
    <t>Average borrowed funds</t>
  </si>
  <si>
    <t>Unresolved (r3 F1): avg borrowed funds $78.0bn vs period-ends $85.7bn (BS I40) / $83.3bn (BS J40), mean $84.5bn (gap -$6.5bn; history +$0.6bn to +$4.9bn). Not reconciled; retained. Illustrative only, not applied: at the endpoint mean, EPS ~-$0.15 (6.5 x $0.023). Aggregate NII is anchored within $4.5m of the guidance midpoint (J211).</t>
  </si>
  <si>
    <t xml:space="preserve">    Average loan-to-deposit ratio</t>
  </si>
  <si>
    <t>Period-end balance ladders ($ millions; Balance Sheet)</t>
  </si>
  <si>
    <t>Period-end loans - opening</t>
  </si>
  <si>
    <t>1Q25 and FY25 opening balances (12/31/2024) are outside the model period set.</t>
  </si>
  <si>
    <t>Period-end loans - net change</t>
  </si>
  <si>
    <t>Period-end loans - closing</t>
  </si>
  <si>
    <t>Average loans (NII build above)</t>
  </si>
  <si>
    <t xml:space="preserve">    Average / closing loans</t>
  </si>
  <si>
    <t>Period-end deposits - opening</t>
  </si>
  <si>
    <t>Period-end deposits - net change</t>
  </si>
  <si>
    <t>Period-end deposits - closing</t>
  </si>
  <si>
    <t>Average deposits (NII build above)</t>
  </si>
  <si>
    <t xml:space="preserve">    Average / closing deposits</t>
  </si>
  <si>
    <t>Implied yields and rates (GAAP interest / average balance, annualized)</t>
  </si>
  <si>
    <t>Loan yield</t>
  </si>
  <si>
    <t>3Q26E +2.5bp: fixed-rate asset/swap repricing and two weeks of the 9/16/26 Fed hike, partly offset by lower-spread, high-grade C&amp;I mix.</t>
  </si>
  <si>
    <t>Investment securities yield</t>
  </si>
  <si>
    <t>3Q26E +8bp: full-quarter benefit of 2Q26 repositioning (~$4bn at ~120bp higher yields) and continued fixed-rate repricing (2Q26 +9bp TE).</t>
  </si>
  <si>
    <t>Yield on other interest-earning assets</t>
  </si>
  <si>
    <t>3Q26E +3bp: IORB +25bp from 9/17/26 for ~14 of 92 days.</t>
  </si>
  <si>
    <t>Rate paid on interest-bearing deposits</t>
  </si>
  <si>
    <t>Management guided rate paid up ~5bp in 3Q on commercial mix (2Q26 call; reiterated 9/14/26).</t>
  </si>
  <si>
    <t>Rate paid on borrowed funds</t>
  </si>
  <si>
    <t>3Q26E -3bp is a judgmental rate assumption. The original driver note cited a larger share of lower-cost FHLB advances, but the modeled avg FHLB share of borrowed funds is flat (29,362/78,933 = 37.2% in I; 29,000/78,000 = 37.2% in J), so that mix driver is not present in the model. Retained; sensitivity 3bp = ~$5.9m pretax = ~$0.012 EPS (r6 F5).</t>
  </si>
  <si>
    <t>Interest income and expense</t>
  </si>
  <si>
    <t>Interest income - Loans</t>
  </si>
  <si>
    <t>Interest income - Investment securities</t>
  </si>
  <si>
    <t>Interest income - Other</t>
  </si>
  <si>
    <t>Total interest income</t>
  </si>
  <si>
    <t>Interest expense - Deposits</t>
  </si>
  <si>
    <t>Interest expense - Borrowed funds</t>
  </si>
  <si>
    <t>Total interest expense</t>
  </si>
  <si>
    <t>Net interest income</t>
  </si>
  <si>
    <t>NIM (GAAP NII / avg. earning assets)</t>
  </si>
  <si>
    <t>NIM as reported (taxable-equivalent)</t>
  </si>
  <si>
    <t>Reported NIM uses taxable-equivalent NII (non-GAAP). 3Q26E carries forward the 2Q26 TE uplift. Management: NIM above 3% by year-end.</t>
  </si>
  <si>
    <t xml:space="preserve">    NII guidance midpoint (Guidance tab)</t>
  </si>
  <si>
    <t xml:space="preserve">    Estimate less guidance midpoint</t>
  </si>
  <si>
    <t>Noninterest income build</t>
  </si>
  <si>
    <t>Asset management and brokerage</t>
  </si>
  <si>
    <t>Driver: AMG discretionary AUM $247bn at 6/30/26 (+7% Q/Q) and record equity markets in 3Q26; 3Q26E +2.7% Q/Q.</t>
  </si>
  <si>
    <t>Capital markets and advisory</t>
  </si>
  <si>
    <t>2Q26 record $577m (M&amp;A advisory/Harris Williams); guidance implies pull-forward. 3Q26E $485m (+12% Y/Y): Harris Williams "another record year" (9/14/26); peers mixed (JPM IB fees +mid/high-teens Y/Y, BAC down &gt;10% Y/Y).</t>
  </si>
  <si>
    <t>Card and cash management</t>
  </si>
  <si>
    <t>"Steady eddy" (CFO, 9/14/26); 3Q26E +1.0% Q/Q.</t>
  </si>
  <si>
    <t>Lending and deposit services</t>
  </si>
  <si>
    <t>Residential and commercial mortgage</t>
  </si>
  <si>
    <t>Mortgage "flat" per CFO; 10-yr Treasury &gt;5% in Sept raises MSR hedge/valuation uncertainty. 3Q26E $133m.</t>
  </si>
  <si>
    <t>Fee income (non-GAAP)</t>
  </si>
  <si>
    <t xml:space="preserve">    Fee income guidance midpoint</t>
  </si>
  <si>
    <t>Estimate is above the TOP of the guided range, not only the midpoint: $2,200.1m vs guided $2,153.7-2,165.1m (Guidance H47:I47), +$35.0m (+1.6%) over the high end - a 'Beat' under the Guidance tab's 0.5% in-line rule. Judgmental: PNC beat its own fee guidance in 3 of the last 4 quarters. EPS contribution of the excess over the high end ~$0.069. Retained.</t>
  </si>
  <si>
    <t>Gain on Visa shares exchange program</t>
  </si>
  <si>
    <t>Securities gains (losses)</t>
  </si>
  <si>
    <t>n.m. where the base is &lt;= 0 or the current value is negative (sign change); presentation only (r3 F6).</t>
  </si>
  <si>
    <t>Other (PE, Visa derivative, other)</t>
  </si>
  <si>
    <t>3Q26E $170m GAAP other income (J271) includes an estimated ~$(45)m Visa derivative charge (J277) after Visa funded $405m of litigation escrow on 9/18/26. Guide basis (S3 Slide 13 (3Q26 Outlook) fn 2, p.25): the $150-200m 3Q26 range does not forecast net securities gains/losses or Visa Class B activity, so the comparable model figure is $215m, $15m above the guided top (Guidance M48; ~$0.030 EPS). Original run-rate assumption retained (r6 F4).</t>
  </si>
  <si>
    <t>Other noninterest income</t>
  </si>
  <si>
    <t xml:space="preserve">    Memo: Visa derivative adj. (in Other)</t>
  </si>
  <si>
    <t>Reported in supplement footnotes; 3Q26E is a Shortcut estimate (not disclosed).</t>
  </si>
  <si>
    <t>Total noninterest income</t>
  </si>
  <si>
    <t>Total revenue (build)</t>
  </si>
  <si>
    <t xml:space="preserve">    Check: build less IS revenue (= 0)</t>
  </si>
  <si>
    <t>3Q26E: identity by construction (IS 3Q26E revenue lines link to this build) - not an independent check.</t>
  </si>
  <si>
    <t>Segment - Retail Banking</t>
  </si>
  <si>
    <t>Average loans ($ millions)</t>
  </si>
  <si>
    <t>Residential real estate</t>
  </si>
  <si>
    <t>Home equity</t>
  </si>
  <si>
    <t>Automobile</t>
  </si>
  <si>
    <t>Auto not an emphasis (CFO, 9/14/26).</t>
  </si>
  <si>
    <t>Credit card</t>
  </si>
  <si>
    <t>Card is a growth priority (9/14/26).</t>
  </si>
  <si>
    <t>Other consumer</t>
  </si>
  <si>
    <t>Total consumer loans</t>
  </si>
  <si>
    <t>Commercial (business banking)</t>
  </si>
  <si>
    <t>Total average loans</t>
  </si>
  <si>
    <t>Average deposits ($ millions)</t>
  </si>
  <si>
    <t>Noninterest-bearing deposits</t>
  </si>
  <si>
    <t>Interest-bearing deposits</t>
  </si>
  <si>
    <t>Total average deposits</t>
  </si>
  <si>
    <t xml:space="preserve">    NIB share of deposits</t>
  </si>
  <si>
    <t>Avg. loans + deposits (NII base)</t>
  </si>
  <si>
    <t>NII spread on avg. loans + deposits</t>
  </si>
  <si>
    <t>Segment NII reflects PNC funds-transfer pricing (credits for deposits, charges for loans); spread is NII over loans + deposits.</t>
  </si>
  <si>
    <t>2Q25-2Q26 restated for the 2Q26 FTP methodology change (2Q26 supplement). 1Q25 = restated 6M25 less 2Q25.</t>
  </si>
  <si>
    <t>Noninterest income</t>
  </si>
  <si>
    <t xml:space="preserve">    Memo: nonint. income reported</t>
  </si>
  <si>
    <t>Other nonint. income (residual)</t>
  </si>
  <si>
    <t>Reported Retail noninterest income less disclosed components (includes Retail share of Visa derivative and other items). 3Q26E -$10m.</t>
  </si>
  <si>
    <t>Total segment revenue</t>
  </si>
  <si>
    <t xml:space="preserve">    % of consolidated revenue</t>
  </si>
  <si>
    <t>Residential mortgage drivers</t>
  </si>
  <si>
    <t>Serviced portfolio, period end ($bn)</t>
  </si>
  <si>
    <t>Residential MSR asset, EOP</t>
  </si>
  <si>
    <t>3Q26E higher on the rise in long rates during September 2026.</t>
  </si>
  <si>
    <t>Servicing fees, net</t>
  </si>
  <si>
    <t>MSR valuation, net of economic hedge</t>
  </si>
  <si>
    <t>Resi. originations ($bn)</t>
  </si>
  <si>
    <t>Loan sale margin</t>
  </si>
  <si>
    <t>Branch network, clients and staff</t>
  </si>
  <si>
    <t>Branches - opening</t>
  </si>
  <si>
    <t>Branches - gross openings</t>
  </si>
  <si>
    <t>PNC does not disclose gross branch openings and closures; only the period-end count.</t>
  </si>
  <si>
    <t>Branches - closures / consolidations</t>
  </si>
  <si>
    <t>Branches - net additions</t>
  </si>
  <si>
    <t>1Q26 includes ~95 FirstBank branches (net of consolidations). 3Q26E +11: ~55 de novo branches planned in 2026 (9/14/26). 1Q25/FY25 n.a.: the 12/31/2024 count is outside the model period set.</t>
  </si>
  <si>
    <t>Branches - closing</t>
  </si>
  <si>
    <t>Branches - average (opening/closing)</t>
  </si>
  <si>
    <t xml:space="preserve">    Avg. deposits per EOP branch ($m)</t>
  </si>
  <si>
    <t>Average deposits divided by period-end (closing) branches; original method retained. Average-branch basis would use row 138.</t>
  </si>
  <si>
    <t>Brokerage client assets, EOP ($bn)</t>
  </si>
  <si>
    <t>Retail full-time employees, period end</t>
  </si>
  <si>
    <t>1Q25 not shown in the 2Q26 supplement employee table.</t>
  </si>
  <si>
    <t>Retail part-time employees, period end</t>
  </si>
  <si>
    <t>Expenses and segment profit</t>
  </si>
  <si>
    <t>Provision for credit losses</t>
  </si>
  <si>
    <t>Personnel</t>
  </si>
  <si>
    <t>Segment allocations</t>
  </si>
  <si>
    <t>Depreciation and amortization</t>
  </si>
  <si>
    <t>Other direct expense</t>
  </si>
  <si>
    <t>Total noninterest expense</t>
  </si>
  <si>
    <t>Efficiency ratio</t>
  </si>
  <si>
    <t>Pre-tax earnings</t>
  </si>
  <si>
    <t>Income taxes</t>
  </si>
  <si>
    <t xml:space="preserve">    Segment tax rate</t>
  </si>
  <si>
    <t>Noncontrolling interests</t>
  </si>
  <si>
    <t>Segment earnings</t>
  </si>
  <si>
    <t>Pre-tax margin</t>
  </si>
  <si>
    <t>Credit</t>
  </si>
  <si>
    <t>Nonperforming assets, period end</t>
  </si>
  <si>
    <t>Net charge-offs</t>
  </si>
  <si>
    <t>Segment - Corporate &amp; Institutional Banking</t>
  </si>
  <si>
    <t>Average loans by business ($ millions)</t>
  </si>
  <si>
    <t>Corporate Banking</t>
  </si>
  <si>
    <t>1Q25 (and so FY25) not available on the restated basis (equipment finance reclassified in 2Q26).</t>
  </si>
  <si>
    <t>Real Estate</t>
  </si>
  <si>
    <t>Business Credit</t>
  </si>
  <si>
    <t>Equipment Finance</t>
  </si>
  <si>
    <t>Commercial Banking</t>
  </si>
  <si>
    <t>Other</t>
  </si>
  <si>
    <t>Total average loans (by business)</t>
  </si>
  <si>
    <t>Average loans by type ($ millions)</t>
  </si>
  <si>
    <t>Commercial and industrial</t>
  </si>
  <si>
    <t>Commercial real estate</t>
  </si>
  <si>
    <t>CRE has inflected to growth (CFO, 9/14/26).</t>
  </si>
  <si>
    <t>Total commercial loans</t>
  </si>
  <si>
    <t>Consumer</t>
  </si>
  <si>
    <t xml:space="preserve">    Check: type less business (= 0)</t>
  </si>
  <si>
    <t>History: genuine tie where both splits are disclosed. 3Q26E: identity by construction (J33 is derived as a residual) - not an independent check.</t>
  </si>
  <si>
    <t>Commercial deposits seasonally stronger in 3Q (9/14/26).</t>
  </si>
  <si>
    <t>C&amp;IB noninterest income is not split by category in the supplement; capital markets/advisory is the swing factor. 3Q26E -7.0% Q/Q after record 2Q26.</t>
  </si>
  <si>
    <t>Product revenue managed by C&amp;IB (consolidated; in NII and noninterest income)</t>
  </si>
  <si>
    <t>Treasury Management revenue</t>
  </si>
  <si>
    <t>Comm. mortgage loans HFS</t>
  </si>
  <si>
    <t>Comm. mortgage servicing income</t>
  </si>
  <si>
    <t>Comm. MSR valuation, net of hedge</t>
  </si>
  <si>
    <t>Total comm. mortgage banking</t>
  </si>
  <si>
    <t>Comm. serviced portfolio ($bn)</t>
  </si>
  <si>
    <t>Comm. MSR asset, EOP</t>
  </si>
  <si>
    <t>3Q26E 1,060 is a retained original judgmental assumption (2Q26 1,039, +2%); no separate source note in the original build.</t>
  </si>
  <si>
    <t>Segment - Asset Management Group</t>
  </si>
  <si>
    <t>Client assets under administration ($ billions, period end)</t>
  </si>
  <si>
    <t>Discretionary AUM - PNC Private Bank</t>
  </si>
  <si>
    <t>Discretionary AUM - Institutional AM</t>
  </si>
  <si>
    <t>Total discretionary AUM</t>
  </si>
  <si>
    <t>Nondiscretionary assets under admin.</t>
  </si>
  <si>
    <t>Total client assets</t>
  </si>
  <si>
    <t>Client assets - opening</t>
  </si>
  <si>
    <t>Client assets - net change</t>
  </si>
  <si>
    <t xml:space="preserve">    of which: net client flows</t>
  </si>
  <si>
    <t>PNC does not disclose AMG net flows vs. market appreciation.</t>
  </si>
  <si>
    <t>Client assets - closing</t>
  </si>
  <si>
    <t>Average discretionary AUM</t>
  </si>
  <si>
    <t>Fee yield on avg. discretionary AUM</t>
  </si>
  <si>
    <t>Average loans and deposits ($ millions)</t>
  </si>
  <si>
    <t>Commercial</t>
  </si>
  <si>
    <t>Revenue</t>
  </si>
  <si>
    <t>Noninterest income (AM fees)</t>
  </si>
  <si>
    <t>Net charge-offs (recoveries)</t>
  </si>
  <si>
    <t>Income Statement</t>
  </si>
  <si>
    <t>Income statement (GAAP, as reported)</t>
  </si>
  <si>
    <t>Fee income (non-GAAP subtotal)</t>
  </si>
  <si>
    <t>PNC non-GAAP "fee income" = the five fee categories; reconciles to noninterest income less other noninterest income.</t>
  </si>
  <si>
    <t>Other income - Visa exchange gain</t>
  </si>
  <si>
    <t>Other income - Securities gains</t>
  </si>
  <si>
    <t>1Q25-4Q25 values per 1Q26 supplement footnote (a): $(2)m, &lt;$1m, &lt;$1m, $(7)m; &lt;$1m shown as zero.</t>
  </si>
  <si>
    <t>Other income - Other</t>
  </si>
  <si>
    <t>Includes Visa derivative fair value adjustments (memo row on Revenue summary).</t>
  </si>
  <si>
    <t>Total other noninterest income</t>
  </si>
  <si>
    <t xml:space="preserve">    Check: CapIQ revenue less total</t>
  </si>
  <si>
    <t>3Q26E: NCO guide ~$225m plus a small reserve build for ~1% period-end loan growth; credit metrics improving (Barclays conf. 9/14/26).</t>
  </si>
  <si>
    <t>Occupancy</t>
  </si>
  <si>
    <t>Equipment</t>
  </si>
  <si>
    <t>Marketing</t>
  </si>
  <si>
    <t>Other noninterest expense</t>
  </si>
  <si>
    <t>2Q26 includes $140m PNC Foundation contribution. 3Q26E categories sum to adjusted expense ~$3,752m plus ~$50m integration.</t>
  </si>
  <si>
    <t>Pre-provision earnings (PPNR)</t>
  </si>
  <si>
    <t>Income before income taxes and NCI</t>
  </si>
  <si>
    <t>Net income</t>
  </si>
  <si>
    <t>Less: NI to noncontrolling interests</t>
  </si>
  <si>
    <t>Less: Preferred stock dividends</t>
  </si>
  <si>
    <t>Series S pays semiannually (2Q/4Q); 3Q run-rate ~$73m (1Q26). Series S ($525m) redemption announced 9/29/26 is effective 11/2/26 (4Q).</t>
  </si>
  <si>
    <t>Less: Preferred discount accretion</t>
  </si>
  <si>
    <t>Net income to common shareholders</t>
  </si>
  <si>
    <t>Less: Participating securities</t>
  </si>
  <si>
    <t>Derived from XBRL NetIncomeLossAvailableToCommonStockholdersDiluted (10-Q/10-K) vs NI to common.</t>
  </si>
  <si>
    <t xml:space="preserve">    Participating % of NI to common</t>
  </si>
  <si>
    <t>NI to diluted common shareholders</t>
  </si>
  <si>
    <t>Weighted average basic shares (m)</t>
  </si>
  <si>
    <t>Weighted average diluted shares (m)</t>
  </si>
  <si>
    <t>Basic EPS (GAAP)</t>
  </si>
  <si>
    <t>Quarterly EPS as reported. FY25A basic EPS is computed from FY totals and the rounded 396m reported basic shares. Computed, not a reported amount; FY25 reported basic EPS is not in the preserved sources (r3 F5).</t>
  </si>
  <si>
    <t>Diluted EPS (GAAP)</t>
  </si>
  <si>
    <t>Quarterly and FY25A diluted EPS as reported; FY25A $16.59 per PNC FY25 earnings release 1/16/2026 (Sources S30). Computed basis from rounded 396m FY diluted shares (16.61) shown separately in row 69; quarterly EPS are not summed.</t>
  </si>
  <si>
    <t xml:space="preserve">    EPS tolerance ($), all periods</t>
  </si>
  <si>
    <t>Reported weighted shares are rounded to whole millions, so history EPS ties within $0.015; 3Q26E is exact. C68 is a single tolerance parameter (used as $C$68 by rows 70 and 108 for all periods), not a 1Q25 per-share value.</t>
  </si>
  <si>
    <t xml:space="preserve">    NI to diluted common / diluted shares</t>
  </si>
  <si>
    <t>FY25A: computed from rounded 396m reported FY diluted shares (6,576/396 = 16.61), not the reported figure.</t>
  </si>
  <si>
    <t xml:space="preserve">    Check: EPS = NI / diluted shares</t>
  </si>
  <si>
    <t>Quarters: reported EPS vs computed (genuine tie within $0.015). FY25A: implied diluted shares from reported EPS (6,576/16.59) round to the reported 396m (genuine tie). 3Q26E: identity by construction (J66 and J69 are the same formula) - not an independent check.</t>
  </si>
  <si>
    <t>Dividends declared per common share</t>
  </si>
  <si>
    <t>3Q26: $2.00 declared 7/6/2026 (raised $0.30).</t>
  </si>
  <si>
    <t>Growth and margins</t>
  </si>
  <si>
    <t>Efficiency ratio (GAAP)</t>
  </si>
  <si>
    <t>Pretax margin (pretax / revenue)</t>
  </si>
  <si>
    <t>Effective tax rate (GAAP)</t>
  </si>
  <si>
    <t>Net margin (net income / revenue)</t>
  </si>
  <si>
    <t>NII share of revenue</t>
  </si>
  <si>
    <t>GAAP to non-GAAP bridge (PNC "as adjusted"; consensus basis)</t>
  </si>
  <si>
    <t>Add: integration costs (revenue)</t>
  </si>
  <si>
    <t>Add: integration costs (expense)</t>
  </si>
  <si>
    <t>3Q26E: ~$50m guided on 2Q26 call (7/15/26).</t>
  </si>
  <si>
    <t>Less: Visa exchange gain (sig. item)</t>
  </si>
  <si>
    <t>Add: Securities repositioning loss</t>
  </si>
  <si>
    <t>Add: Visa B-3 derivative (sig. item)</t>
  </si>
  <si>
    <t>Only the 2Q26 B-3 adjustment was treated as a significant item; routine Visa derivative charges (e.g., 3Q25 $(35)m) were not adjusted. 3Q26E assumes the 9/18/26 Visa escrow-funding charge is not adjusted. Unresolved basis risk: if PNC/CapIQ exclude the ~$(45)m charge, adjusted EPS would be ~+$0.089 (45 x (1-21%) / 400.67m); not applied absent pre-cutoff evidence. r6: S3 Slide 13 (3Q26 Outlook) fn 2, p.25 and S10 show PNC's other-income guidance does not forecast Visa Class B activity; that does not establish whether PNC as-adjusted EPS or CapIQ normalized actuals will exclude the 3Q26 charge, so F2 remains unresolved.</t>
  </si>
  <si>
    <t>Add: PNC Foundation contribution</t>
  </si>
  <si>
    <t>Total pretax adjustments</t>
  </si>
  <si>
    <t>Tax effect of adjustments</t>
  </si>
  <si>
    <t>1Q26: $98m pretax, $77m after tax; 2Q26: $(28)m tax effect ($(26)m integration, $(2)m significant items) per PNC 2Q26 slides.</t>
  </si>
  <si>
    <t xml:space="preserve">    Tax rate on adjustments</t>
  </si>
  <si>
    <t>Rows 100-101 show n.m. when either period's adjustments mix gains and charges (e.g., 2Q26: $(448)m Visa gain vs integration/securities/foundation charges), because the blended tax rate on adjustments (I99 65.1%) is not a rate movement.</t>
  </si>
  <si>
    <t>After-tax adjustments</t>
  </si>
  <si>
    <t>Adjusted NI to diluted common</t>
  </si>
  <si>
    <t>Adj. diluted EPS (consensus basis)</t>
  </si>
  <si>
    <t>History: computed as adjusted NI / reported diluted shares rounded to millions, so it can differ from PNC-reported adjusted EPS (row 106) by ~$0.01 (e.g., 1Q25 3.515 vs 3.51). FY25A computed 16.61 vs reported 16.59 (G66) with zero adjustments. Y/Y (row 105) uses this computed basis. 3Q26E exact.</t>
  </si>
  <si>
    <t xml:space="preserve">    Memo: PNC-reported adj. EPS</t>
  </si>
  <si>
    <t xml:space="preserve">    Memo: CapIQ normalized EPS</t>
  </si>
  <si>
    <t xml:space="preserve">    Check: adjusted EPS = CapIQ actual</t>
  </si>
  <si>
    <t>Adjusted revenue</t>
  </si>
  <si>
    <t>Adjusted noninterest expense</t>
  </si>
  <si>
    <t>Adjusted PPNR</t>
  </si>
  <si>
    <t>Adjusted pretax income</t>
  </si>
  <si>
    <t>Adjusted income taxes</t>
  </si>
  <si>
    <t xml:space="preserve">    Adjusted effective tax rate</t>
  </si>
  <si>
    <t>3Q26E 20.0%: FY26 guide ~19.5% ex-items; 1H26 adjusted ~20.2%; 3Q25 was 20.3% and 4Q is seasonally lowest (4Q25 12.7%).</t>
  </si>
  <si>
    <t>Adjusted efficiency ratio</t>
  </si>
  <si>
    <t>Net loan charge-offs</t>
  </si>
  <si>
    <t>1Q25 = 6M25 $403m less 2Q25 $198m. 1Q26 includes $45m acquired-loan NCOs. 3Q26E = guidance (~$225m).</t>
  </si>
  <si>
    <t xml:space="preserve">    NCO ratio (annualized)</t>
  </si>
  <si>
    <t>Reserve build / (release)</t>
  </si>
  <si>
    <t>Balance Sheet</t>
  </si>
  <si>
    <t>Assets (period end)</t>
  </si>
  <si>
    <t>Cash and due from banks</t>
  </si>
  <si>
    <t>Interest-earning deposits with banks</t>
  </si>
  <si>
    <t>3Q26E is the balancing item (excess liquidity at the Federal Reserve).</t>
  </si>
  <si>
    <t>Loans held for sale</t>
  </si>
  <si>
    <t>Securities available-for-sale</t>
  </si>
  <si>
    <t>Securities held-to-maturity</t>
  </si>
  <si>
    <t>Loans</t>
  </si>
  <si>
    <t xml:space="preserve">    % Q/Q (3Q26E assumption)</t>
  </si>
  <si>
    <t>Allowance for loan and lease losses</t>
  </si>
  <si>
    <t>3Q26E roll-forward: prior balance less provision plus net charge-offs (all provision assumed to loans).</t>
  </si>
  <si>
    <t>Net loans</t>
  </si>
  <si>
    <t xml:space="preserve">    Allowance / loans</t>
  </si>
  <si>
    <t>Equity investments</t>
  </si>
  <si>
    <t>Mortgage servicing rights</t>
  </si>
  <si>
    <t>3Q26E linked (r4 F3) to segment MSR assets: Retail J117 2,850 + C&amp;IB J124 1,060 = 3,910, matching the consolidated = residential + commercial tie that holds within $1m in every reported quarter (C24:I24). Replaces an unexplained 3,880 hard-code; segment inputs are retained original judgments (Retail K117 rationale; C&amp;IB K124). No EPS effect (NII uses average balances).</t>
  </si>
  <si>
    <t>Goodwill</t>
  </si>
  <si>
    <t>Other assets</t>
  </si>
  <si>
    <t>Total assets</t>
  </si>
  <si>
    <t xml:space="preserve">    Total assets - as reported</t>
  </si>
  <si>
    <t xml:space="preserve">    Check: assets less reported (= 0)</t>
  </si>
  <si>
    <t>Liabilities</t>
  </si>
  <si>
    <t>Total deposits</t>
  </si>
  <si>
    <t>Federal Home Loan Bank advances</t>
  </si>
  <si>
    <t>Senior debt</t>
  </si>
  <si>
    <t>Subordinated debt</t>
  </si>
  <si>
    <t>Other borrowed funds</t>
  </si>
  <si>
    <t>Total borrowed funds</t>
  </si>
  <si>
    <t>Allowance for unfunded commitments</t>
  </si>
  <si>
    <t>Accrued expenses and other liabilities</t>
  </si>
  <si>
    <t>Total liabilities</t>
  </si>
  <si>
    <t xml:space="preserve">    Total liabilities - as reported</t>
  </si>
  <si>
    <t xml:space="preserve">    Check: liabilities less reported (= 0)</t>
  </si>
  <si>
    <t>Equity</t>
  </si>
  <si>
    <t>Preferred stock (par value &lt; $0.5m)</t>
  </si>
  <si>
    <t>Common stock ($5 par)</t>
  </si>
  <si>
    <t>Capital surplus</t>
  </si>
  <si>
    <t>Includes preferred stock liquidation value. 3Q26E adds stock compensation and preferred discount accretion.</t>
  </si>
  <si>
    <t>Retained earnings</t>
  </si>
  <si>
    <t>Accumulated OCI (loss)</t>
  </si>
  <si>
    <t>3Q26E assumption: AFS marks worsen as the 10-year Treasury rose above 5% in September 2026 (directional estimate, not disclosed).</t>
  </si>
  <si>
    <t>Common stock held in treasury at cost</t>
  </si>
  <si>
    <t>Total shareholders' equity</t>
  </si>
  <si>
    <t>Total equity</t>
  </si>
  <si>
    <t>Total liabilities and equity</t>
  </si>
  <si>
    <t>Check: A - L - E (= 0)</t>
  </si>
  <si>
    <t>History: genuine balance check on reported lines. 3Q26E: identity by construction (J11 balancing item) - not an independent check.</t>
  </si>
  <si>
    <t>Memo</t>
  </si>
  <si>
    <t>Stock-based compensation (3Q26E)</t>
  </si>
  <si>
    <t>Cash and equivalents incl. restricted</t>
  </si>
  <si>
    <t>Cash Flow Statement</t>
  </si>
  <si>
    <t>Operating activities</t>
  </si>
  <si>
    <t>3Q26E J12:J17: not forecast - left blank and contribute zero to J22. No D&amp;A add-back or offsetting capex is assumed (history D&amp;A 66-108/qtr), so J22 is a partial scenario, not a full OCF forecast; tracked operating_cash_flow is reported as unavailable (Cover C83).</t>
  </si>
  <si>
    <t>Deferred income taxes (benefit)</t>
  </si>
  <si>
    <t>3Q26E: not forecast (blank; see K12).</t>
  </si>
  <si>
    <t>Net losses on sales of securities</t>
  </si>
  <si>
    <t>1Q25: the 3M25 cash flow statement (1Q26 10-Q, S10) does not present this line (Inputs C97 blank, not zero); any 1Q25 amount sits within other 3M25 operating lines, so in the derived quarterly split the 6M25 $2m is attributed to 2Q25 (IS C27 shows the loss in 1Q25). 1Q26: the 3M26 statement also does not present this line (Inputs G97 blank, not zero), so I14 shows the full 6M26 $111m; that YTD difference does not prove a 2Q26 amount of $111m (IS H27/I27 show a 1Q26 $28m gain and 2Q26 $139m loss) and any 1Q26 amount sits within other 3M26 operating lines. Not reallocated (no line detail). 3Q26E: not forecast (see K12).</t>
  </si>
  <si>
    <t>Change in fair value of MSRs</t>
  </si>
  <si>
    <t>1Q26: 3M26 line not presented (Inputs G99 blank, not zero); I16 shows the 6M26 YTD amount. 3Q26E: not forecast (blank; see K12).</t>
  </si>
  <si>
    <t>Trading securities and ST investments</t>
  </si>
  <si>
    <t>Loans held for sale (net change)</t>
  </si>
  <si>
    <t>Net change in other assets</t>
  </si>
  <si>
    <t>3Q26E: includes the $109m MSR asset increase (BS I24 3,801 to J24 3,910, segment-linked in r4) as a cash use; historically MSR fair-value changes are non-cash (row 15), so J22 may be understated by up to ~$109m from this classification. Not re-classified (no new assumption).</t>
  </si>
  <si>
    <t>Other operating activities, net</t>
  </si>
  <si>
    <t>3Q26E: stock-based compensation (Balance Sheet memo).</t>
  </si>
  <si>
    <t>Net cash from operating activities</t>
  </si>
  <si>
    <t>3Q26E PARTIAL TOTAL: balance-sheet-derived scenario only - NOT a reliable full operating cash flow forecast (omits D&amp;A and other non-cash lines J12:J17; MSR classification per K19). Tracked operating_cash_flow = unavailable (Cover C83).</t>
  </si>
  <si>
    <t xml:space="preserve">    Check: less reported total (= 0)</t>
  </si>
  <si>
    <t>Blank YTD inputs (line not presented in that 10-Q/10-K; Inputs C93:H137) are treated as zero only for subtotal integrity in derived quarters; quarterly attribution of those lines is unverifiable. Reported section totals tie (rows 23/37/60). No values invented.</t>
  </si>
  <si>
    <t>Investing activities</t>
  </si>
  <si>
    <t>Sales of securities available-for-sale</t>
  </si>
  <si>
    <t>Not comparable (r3 F10): 3Q25 -64 = 9M25 YTD 1,267 (3Q25 10-Q, S11) less 6M25 1,331 (comparative in 2Q26 10-Q, S9). Cross-vintage difference, not a gross sales amount; preserved sources do not determine the reclassification. YTD totals and the FY25 sum (3,151 = 10-K) retained; quarterly attribution unverified.</t>
  </si>
  <si>
    <t>Sales of loans</t>
  </si>
  <si>
    <t>Repayments of AFS securities</t>
  </si>
  <si>
    <t>Repayments of HTM securities</t>
  </si>
  <si>
    <t>Purchases of AFS securities</t>
  </si>
  <si>
    <t>3Q26E: net securities cash flow = -(change in AFS + HTM) + change in AOCI (non-cash mark), shown on this line. Approximation (r3 F9): the AOCI change is after tax and includes non-AFS components; it is used as the pre-tax AFS mark with no gross-up inferred. The deferred-tax effect and non-AFS AOCI are omitted (other assets held flat, BS J26), so the investing/other split is approximate; total cash still ties via BS J11.</t>
  </si>
  <si>
    <t>Purchases of HTM securities</t>
  </si>
  <si>
    <t>Purchases of loans</t>
  </si>
  <si>
    <t>Fed funds sold and resale agmts</t>
  </si>
  <si>
    <t>Other changes in loans, net</t>
  </si>
  <si>
    <t>3Q26E: -(change in period-end loans) - net charge-offs.</t>
  </si>
  <si>
    <t>Net cash paid for acquisition</t>
  </si>
  <si>
    <t>Other investing activities, net</t>
  </si>
  <si>
    <t>Net cash from investing activities</t>
  </si>
  <si>
    <t>Financing activities</t>
  </si>
  <si>
    <t>Change in NIB deposits</t>
  </si>
  <si>
    <t>Change in IB deposits</t>
  </si>
  <si>
    <t>Fed funds purchased and repos</t>
  </si>
  <si>
    <t>Change in short-term FHLB</t>
  </si>
  <si>
    <t>2Q26: 3M26 line not presented (Inputs G121 blank, not zero), so I42 shows the full 6M26 $4,000m; quarterly split unverifiable. 3Q25/4Q25: 9M25/FY25 lines not presented (blank), shown as zero for subtotal integrity only (see K23).</t>
  </si>
  <si>
    <t>Net change in other borrowed funds</t>
  </si>
  <si>
    <t>Issuances of FHLB advances</t>
  </si>
  <si>
    <t>3Q26E: net change in FHLB advances shown on this line.</t>
  </si>
  <si>
    <t>Issuances of senior debt</t>
  </si>
  <si>
    <t>3Q26E: net change in senior debt shown on this line.</t>
  </si>
  <si>
    <t>Issuances of subordinated debt</t>
  </si>
  <si>
    <t>3Q26E: net change in subordinated debt shown on this line.</t>
  </si>
  <si>
    <t>Issuances of other borrowed funds</t>
  </si>
  <si>
    <t>Issuance of preferred stock</t>
  </si>
  <si>
    <t>Issuance of common and treasury stock</t>
  </si>
  <si>
    <t>Repayments of FHLB advances</t>
  </si>
  <si>
    <t>Repayments of senior debt</t>
  </si>
  <si>
    <t>Repayments of subordinated debt</t>
  </si>
  <si>
    <t>Repayments of other borrowed funds</t>
  </si>
  <si>
    <t>Preferred stock redemption</t>
  </si>
  <si>
    <t>Acquisition of treasury stock</t>
  </si>
  <si>
    <t>Preferred stock cash dividends paid</t>
  </si>
  <si>
    <t>Common stock cash dividends paid</t>
  </si>
  <si>
    <t>Other financing activities, net</t>
  </si>
  <si>
    <t>3Q25/4Q25: 9M25/FY25 lines not presented (Inputs E137/F137 blank), shown as zero for subtotal integrity only (see K23). 3Q26E: distributions to noncontrolling interests (NCI equity held flat).</t>
  </si>
  <si>
    <t>Net cash from financing activities</t>
  </si>
  <si>
    <t>Net change in cash and equivalents</t>
  </si>
  <si>
    <t>Cash and equivalents - beginning</t>
  </si>
  <si>
    <t>Cash and equivalents - ending</t>
  </si>
  <si>
    <t xml:space="preserve">    Balance Sheet cash + IEDB</t>
  </si>
  <si>
    <t>Check: end cash less BS (= 0)</t>
  </si>
  <si>
    <t>History: genuine tie of derived cash to reported BS cash. 3Q26E: identity by construction (BS J11 balancing item) - not an independent check.</t>
  </si>
  <si>
    <t xml:space="preserve">    Check: BS cash change less CF</t>
  </si>
  <si>
    <t>3Q26E: identity by construction (CF built from BS changes with BS J11 plug) - not an independent check.</t>
  </si>
  <si>
    <t>Capital expenditures</t>
  </si>
  <si>
    <t>Not separately disclosed: PNC includes premises/equipment purchases within "Other investing activities, net".</t>
  </si>
  <si>
    <t>Free cash flow (issuer-defined)</t>
  </si>
  <si>
    <t>Not applicable: PNC does not define or report free cash flow.</t>
  </si>
  <si>
    <t>Share Count</t>
  </si>
  <si>
    <t>Shares in millions; $ millions except per share</t>
  </si>
  <si>
    <t>Period-end share count (millions)</t>
  </si>
  <si>
    <t>Common shares issued</t>
  </si>
  <si>
    <t>Common shares held in treasury</t>
  </si>
  <si>
    <t>Common shares outstanding</t>
  </si>
  <si>
    <t>Share roll-forward (millions)</t>
  </si>
  <si>
    <t>Shares outstanding - opening</t>
  </si>
  <si>
    <t>Shares issued</t>
  </si>
  <si>
    <t>1Q26 includes ~13.7m shares issued for FirstBank (closed 1/5/2026).</t>
  </si>
  <si>
    <t>Treasury shares acquired, net</t>
  </si>
  <si>
    <t>Shares outstanding - closing</t>
  </si>
  <si>
    <t xml:space="preserve">    Check: roll-forward less EOP (= 0)</t>
  </si>
  <si>
    <t>Identity by construction in all columns (issued/treasury changes are derived from the same period-end counts) - arithmetic check only.</t>
  </si>
  <si>
    <t>Buybacks</t>
  </si>
  <si>
    <t>Share repurchases ($m)</t>
  </si>
  <si>
    <t>3Q26E $610m = 2Q26 share repurchases cited on the 2Q26 call (CFO: $610m; 3Q expected to approximate this level; 10-Q: ~$0.6bn, 3Q to approximate 2Q). I22 $622m is CF 'Acquisition of treasury stock' (CF I55), a broader cash line; the $12m gap is not itemized in preserved sources (possibly shares withheld for taxes, see K25; unverified). $610m retained as original assumption; $622m would change EPS by ~$0.0003.</t>
  </si>
  <si>
    <t>Implied average repurchase price ($)</t>
  </si>
  <si>
    <t>3Q26E $245: PNC traded ~$250-259 in July-August and fell to ~$225 in late September 2026. History includes shares withheld for taxes; 1Q26 is distorted by treasury shares reissued for FirstBank.</t>
  </si>
  <si>
    <t>Weighted average shares behind EPS (millions)</t>
  </si>
  <si>
    <t>Average shares outstanding</t>
  </si>
  <si>
    <t>Weighted less average outstanding</t>
  </si>
  <si>
    <t>3Q26E = average of 4Q25 and 2Q26; 1Q26 excluded because the opening/closing average understates the FirstBank shares issued on 1/5/2026. Reported weighted shares are rounded to millions.</t>
  </si>
  <si>
    <t>Weighted average basic shares</t>
  </si>
  <si>
    <t>Reported (rounded to millions). FY25A per 10-K: 396m basic and diluted.</t>
  </si>
  <si>
    <t>Dilutive securities</t>
  </si>
  <si>
    <t>3Q26E 0.2m dilutive securities: basic J33 = diluted J37 - J34 (history dilution 0; J30 calibrated on diluted less average outstanding), so diluted EPS is unaffected. Alternative of adding 0.2m on top of diluted = ~-$0.0025 EPS. Retained (r6 F13).</t>
  </si>
  <si>
    <t>Weighted average diluted shares</t>
  </si>
  <si>
    <t>Dividends</t>
  </si>
  <si>
    <t>DPS declared ($)</t>
  </si>
  <si>
    <t>Common dividends declared ($m)</t>
  </si>
  <si>
    <t>History C44:I44 intentionally blank (not zero): declared common dividend amounts ($m) are not in the preserved inputs. CF row 57 shows cash dividends paid, a different measure. 3Q26E = DPS J41 x opening shares J14.</t>
  </si>
  <si>
    <t>Guidance</t>
  </si>
  <si>
    <t>In-line band around guided range</t>
  </si>
  <si>
    <t>Beat/miss rule: actual inside the guided low-high range widened by this band = In line; otherwise Beat or Miss by direction.</t>
  </si>
  <si>
    <t>Metric</t>
  </si>
  <si>
    <t>Date given</t>
  </si>
  <si>
    <t>Baseline</t>
  </si>
  <si>
    <t>Low %</t>
  </si>
  <si>
    <t>High %</t>
  </si>
  <si>
    <t>Low</t>
  </si>
  <si>
    <t>High</t>
  </si>
  <si>
    <t>Midpoint</t>
  </si>
  <si>
    <t>Actual</t>
  </si>
  <si>
    <t>Beat / miss</t>
  </si>
  <si>
    <t>Shortcut 3Q26E</t>
  </si>
  <si>
    <t>vs. midpoint</t>
  </si>
  <si>
    <t>Better if</t>
  </si>
  <si>
    <t>3Q25 guidance (given 7/16/2025, 2Q25 call)</t>
  </si>
  <si>
    <t>Average loans ($m)</t>
  </si>
  <si>
    <t>3Q25</t>
  </si>
  <si>
    <t>higher</t>
  </si>
  <si>
    <t>Actual = GAAP other income incl. securities gains and Visa marks. This vintage's guide-basis footnote is not in preserved sources; on the 2Q26/3Q26 guide basis (ex. securities and Visa) the actual would be $233m (198 less Visa $(35)m): Beat, not In line.</t>
  </si>
  <si>
    <t>Noninterest expense</t>
  </si>
  <si>
    <t>lower</t>
  </si>
  <si>
    <t>4Q25 guidance (given 10/15/2025, 3Q25 call)</t>
  </si>
  <si>
    <t>4Q25</t>
  </si>
  <si>
    <t>Actual = GAAP other income. Guide-basis footnote not in preserved sources; ex. securities $(7)m and Visa $(41)m the actual would be $265m: Beat on either basis.</t>
  </si>
  <si>
    <t>1Q26 guidance (given 1/16/2026, 4Q25 call; includes FirstBank)</t>
  </si>
  <si>
    <t>1Q26</t>
  </si>
  <si>
    <t>Actual = GAAP other income incl. +$28m securities gain and $(32)m Visa charge. Guide-basis footnote not in preserved sources; ex. securities and Visa the actual would be $129m: Miss on either basis.</t>
  </si>
  <si>
    <t>Noninterest expense ex. integration</t>
  </si>
  <si>
    <t>Average diluted shares (m)</t>
  </si>
  <si>
    <t>2Q26 guidance (given 4/15/2026, 1Q26 call)</t>
  </si>
  <si>
    <t>2Q26</t>
  </si>
  <si>
    <t>Other noninterest income (as adjusted)</t>
  </si>
  <si>
    <t>Actual excludes 2Q26 significant items and integration costs in revenue ($489m reported). Guide basis (S10, 1Q26 10-Q): excludes net securities gains/losses and Visa activity = $265m (489 - 448 + 139 + 85); Beat on either basis.</t>
  </si>
  <si>
    <t>Total revenue (as adjusted)</t>
  </si>
  <si>
    <t>Expense ex. integration (adjusted)</t>
  </si>
  <si>
    <t>3Q26 guidance (given 7/15/2026; reaffirmed 9/14/2026 at Barclays conference)</t>
  </si>
  <si>
    <t>3Q26</t>
  </si>
  <si>
    <t>Model fee estimate (M47 $2,200.1m) is above the guided high (I47 $2,165.1m) by ~$35.0m (+1.6%); retained judgmental assumption (see Revenue summary K252).</t>
  </si>
  <si>
    <t>Other noninterest income (guide basis)</t>
  </si>
  <si>
    <t>Guide basis per S3 Slide 13 (3Q26 Outlook) fn 2, p.25: excludes net securities gains/losses and Visa Class B activity. M48 = GAAP other income $170m less Visa exchange gain, securities gains and est. $(45)m Visa derivative (Revenue summary J253/J259/J277) = $215m, above the $200m top (excess ~$0.030 EPS). Retained judgment (r6 F4).</t>
  </si>
  <si>
    <t>Total revenue (implied)</t>
  </si>
  <si>
    <t>PNC did not guide total revenue for 3Q26; range = sum of NII, fee and other income guidance. M49 = M46+M47+M48 on the same guide basis (ex. Visa/securities); GAAP model revenue incl. est. $(45)m Visa = $6,615.1m (Income Statement J33).</t>
  </si>
  <si>
    <t>Noninterest expense, as adjusted</t>
  </si>
  <si>
    <t>FirstBank integration expense</t>
  </si>
  <si>
    <t>Full-year 2026 guidance (latest, given 7/15/2026; excludes integration costs and significant items)</t>
  </si>
  <si>
    <t>FY26</t>
  </si>
  <si>
    <t>Effective tax rate</t>
  </si>
  <si>
    <t>Full-year 2026 guidance - prior vintages (rows 61-65: given 4/15/2026; rows 66-71: given 1/16/2026)</t>
  </si>
  <si>
    <t>Average loans ($m) [4/15/2026 vintage]</t>
  </si>
  <si>
    <t>Net interest income [4/15/2026 vintage]</t>
  </si>
  <si>
    <t>Noninterest income [4/15/2026 vintage]</t>
  </si>
  <si>
    <t>Total revenue [4/15/2026 vintage]</t>
  </si>
  <si>
    <t>Expense ex-integ. [4/15/2026 vintage]</t>
  </si>
  <si>
    <t>Average loans ($m) [1/16/2026 vintage]</t>
  </si>
  <si>
    <t>Net interest income [1/16/2026 vintage]</t>
  </si>
  <si>
    <t>Noninterest income [1/16/2026 vintage]</t>
  </si>
  <si>
    <t>Total revenue [1/16/2026 vintage]</t>
  </si>
  <si>
    <t>Expense ex-integ. [1/16/2026 vintage]</t>
  </si>
  <si>
    <t>Effective tax rate [1/16/2026 vintage]</t>
  </si>
  <si>
    <t>Guidance track record: adjusted PPNR vs. implied guidance midpoint</t>
  </si>
  <si>
    <t>Quarter</t>
  </si>
  <si>
    <t>Revenue mid</t>
  </si>
  <si>
    <t>Expense mid</t>
  </si>
  <si>
    <t>PPNR mid</t>
  </si>
  <si>
    <t>Actual / est.</t>
  </si>
  <si>
    <t>vs. mid</t>
  </si>
  <si>
    <t>3Q26E (Shortcut)</t>
  </si>
  <si>
    <t>3Q26E PPNR (Income Statement J112) includes the est. $(45)m Visa charge, which the guide midpoints exclude (S3 Slide 13 fn 2); ex-Visa the estimate is +2.6% vs. midpoint.</t>
  </si>
  <si>
    <t>Average vs. midpoint, last 4 quarters</t>
  </si>
  <si>
    <t>3Q25-4Q25 expense guidance was on a GAAP basis (no adjustments then); 1Q26-2Q26 ex-integration/significant items.</t>
  </si>
  <si>
    <t>EPS implied by 3Q26 guidance midpoints (Shortcut calculation; PNC does not guide EPS)</t>
  </si>
  <si>
    <t>Revenue midpoint</t>
  </si>
  <si>
    <t>Adjusted expense midpoint</t>
  </si>
  <si>
    <t>Provision (= NCO guidance)</t>
  </si>
  <si>
    <t>Tax rate (FY26 guidance)</t>
  </si>
  <si>
    <t>Adjusted net income</t>
  </si>
  <si>
    <t>Less: NCI, preferred div. and accretion</t>
  </si>
  <si>
    <t>Less: participating securities</t>
  </si>
  <si>
    <t>Aligned with the Income Statement / PNC per-share add-back method: participating securities are allocated on GAAP-basis NI to common (adjusted NI less after-tax integration add-back, IS J102); the add-back itself receives no participating allocation (IS J58/J103).</t>
  </si>
  <si>
    <t>Diluted shares (Share Count 3Q26E)</t>
  </si>
  <si>
    <t>Implied adj. EPS at midpoints</t>
  </si>
  <si>
    <t>Guide midpoints exclude Visa activity and securities gains (S3 Slide 13 fn 2), so C94 is an ex-Visa figure; the model estimate C96 includes the est. $(45)m Visa charge (~-$0.089), which is unresolved basis risk F2 (Income Statement K95).</t>
  </si>
  <si>
    <t>Consensus adj. EPS (CapIQ)</t>
  </si>
  <si>
    <t>Shortcut adjusted EPS estimate</t>
  </si>
  <si>
    <t>Sources</t>
  </si>
  <si>
    <t>ID</t>
  </si>
  <si>
    <t>Published</t>
  </si>
  <si>
    <t>Publisher</t>
  </si>
  <si>
    <t>What it feeds</t>
  </si>
  <si>
    <t>URL or file</t>
  </si>
  <si>
    <t>S1</t>
  </si>
  <si>
    <t>PNC (SEC 8-K Ex. 99.1)</t>
  </si>
  <si>
    <t>2Q26 results, adjusted EPS, integration costs and significant items</t>
  </si>
  <si>
    <t>https://www.sec.gov/Archives/edgar/data/713676/000162828026048244/q22026financialhighlightsa.htm</t>
  </si>
  <si>
    <t>S2</t>
  </si>
  <si>
    <t>PNC (SEC 8-K Ex. 99.2)</t>
  </si>
  <si>
    <t>IS, BS, average BS, NIM, loans, NCOs, segments 2Q25-2Q26 and restated 6M25</t>
  </si>
  <si>
    <t>https://www.sec.gov/Archives/edgar/data/713676/000162828026048244/q22026financialsupplement.htm</t>
  </si>
  <si>
    <t>S3</t>
  </si>
  <si>
    <t>PNC (SEC 8-K Ex. 99.1 slides)</t>
  </si>
  <si>
    <t>3Q26 and FY26 guidance; 2Q26 non-GAAP bridge</t>
  </si>
  <si>
    <t>https://www.sec.gov/Archives/edgar/data/713676/000162828026048308/a2q26earningsslides_vf.htm</t>
  </si>
  <si>
    <t>S4</t>
  </si>
  <si>
    <t>1Q25 IS, BS, average BS, NIM; 1Q25 segment balances and statistics</t>
  </si>
  <si>
    <t>https://www.sec.gov/Archives/edgar/data/713676/000071367626000026/q12026financialsupplement.htm</t>
  </si>
  <si>
    <t>S5</t>
  </si>
  <si>
    <t>PNC 1Q26 slides / Motley Fool transcript</t>
  </si>
  <si>
    <t>2Q26 guidance; FY26 guidance (April); 1Q26 adjusted EPS</t>
  </si>
  <si>
    <t>https://www.sec.gov/Archives/edgar/data/713676/000071367626000029/a1q26earningsslidesvf.htm</t>
  </si>
  <si>
    <t>S6</t>
  </si>
  <si>
    <t>PNC 4Q25 slides (SEC)</t>
  </si>
  <si>
    <t>1Q26 guidance; FY26 guidance (January)</t>
  </si>
  <si>
    <t>https://www.sec.gov/Archives/edgar/data/713676/000071367626000008/a4q25earningsslidesvf.htm</t>
  </si>
  <si>
    <t>S7</t>
  </si>
  <si>
    <t>PNC 3Q25 slides</t>
  </si>
  <si>
    <t>4Q25 guidance</t>
  </si>
  <si>
    <t>https://investor.pnc.com/sec-filings/all-sec-filings/content/0000713676-25-000128/a3q25earningsslidesvf.htm</t>
  </si>
  <si>
    <t>S8</t>
  </si>
  <si>
    <t>Motley Fool (PNC 2Q25 call transcript)</t>
  </si>
  <si>
    <t>3Q25 guidance</t>
  </si>
  <si>
    <t>https://www.fool.com/earnings/call-transcripts/2025/07/16/pnc-pnc-q2-2025-earnings-call-transcript/</t>
  </si>
  <si>
    <t>S9</t>
  </si>
  <si>
    <t>PNC Form 10-Q 2Q26</t>
  </si>
  <si>
    <t>6M26/6M25 cash flows; 3Q26 buyback outlook</t>
  </si>
  <si>
    <t>https://investor.pnc.com/sec-filings/all-sec-filings/content/0001628280-26-053170/pnc-20260630.htm</t>
  </si>
  <si>
    <t>S10</t>
  </si>
  <si>
    <t>PNC Form 10-Q 1Q26 (SEC)</t>
  </si>
  <si>
    <t>3M26/3M25 cash flows; 2Q26 other-income guide basis (ex. securities gains and Visa activity)</t>
  </si>
  <si>
    <t>https://www.sec.gov/Archives/edgar/data/713676/000071367626000038/pnc-20260331.htm</t>
  </si>
  <si>
    <t>S11</t>
  </si>
  <si>
    <t>PNC Form 10-Q 3Q25 (SEC XBRL R6)</t>
  </si>
  <si>
    <t>9M25 cash flows</t>
  </si>
  <si>
    <t>https://www.sec.gov/Archives/edgar/data/713676/000071367625000132/R6.htm</t>
  </si>
  <si>
    <t>S12</t>
  </si>
  <si>
    <t>PNC Form 10-K 2025 (SEC XBRL R9)</t>
  </si>
  <si>
    <t>FY25 cash flows</t>
  </si>
  <si>
    <t>https://www.sec.gov/Archives/edgar/data/713676/000071367626000020/R9.htm</t>
  </si>
  <si>
    <t>S13</t>
  </si>
  <si>
    <t>SEC XBRL API (company concepts)</t>
  </si>
  <si>
    <t>NI to diluted common (participating allocation); FY25 weighted shares</t>
  </si>
  <si>
    <t>https://data.sec.gov/api/xbrl/companyconcept/CIK0000713676/us-gaap/NetIncomeLossAvailableToCommonStockholdersDiluted.json</t>
  </si>
  <si>
    <t>S14</t>
  </si>
  <si>
    <t>StockAnalysis (Barclays conference transcript)</t>
  </si>
  <si>
    <t>3Q26 guidance reaffirmed; deposit rate +5bp; NIM &gt;3%; capital markets record year</t>
  </si>
  <si>
    <t>https://stockanalysis.com/stocks/pnc/transcripts/742491-barclays-24th-annual-global-financial-services-conference/</t>
  </si>
  <si>
    <t>S15</t>
  </si>
  <si>
    <t>PNC press release</t>
  </si>
  <si>
    <t>Expected report date 10/15/2026, ~6:30am ET</t>
  </si>
  <si>
    <t>https://investor.pnc.com/news-events/financial-press-releases/detail/696/the-pnc-financial-services-group-announces-third-quarter-conference-call-details</t>
  </si>
  <si>
    <t>S16</t>
  </si>
  <si>
    <t>Series S preferred redemption effective 11/2/2026 (4Q26)</t>
  </si>
  <si>
    <t>https://investor.pnc.com/news-events/financial-press-releases/detail/697/pnc-announces-redemption-of-all-depositary-shares-representing-interests-in-series-s-preferred-stock</t>
  </si>
  <si>
    <t>S17</t>
  </si>
  <si>
    <t>Federal Reserve</t>
  </si>
  <si>
    <t>Fed funds +25bp to 3.75-4.00% (yield assumptions)</t>
  </si>
  <si>
    <t>https://www.federalreserve.gov/newsevents/pressreleases/monetary20260916a.htm</t>
  </si>
  <si>
    <t>S18</t>
  </si>
  <si>
    <t>Visa Inc. Form 8-K</t>
  </si>
  <si>
    <t>$405m litigation escrow deposit 9/18/2026 (Visa derivative estimate)</t>
  </si>
  <si>
    <t>https://www.sec.gov/Archives/edgar/data/1403161/000140316126000121/v-20260918.htm</t>
  </si>
  <si>
    <t>S19</t>
  </si>
  <si>
    <t>CNBC (Bank of America IB outlook)</t>
  </si>
  <si>
    <t>Peer capital markets read-through</t>
  </si>
  <si>
    <t>https://www.cnbc.com/2026/09/14/bank-of-america-bac-q3-investment-banking-fees.html</t>
  </si>
  <si>
    <t>S20</t>
  </si>
  <si>
    <t>American Banking News (JPMorgan IB outlook)</t>
  </si>
  <si>
    <t>https://www.americanbankingnews.com/2026/09/18/jpmorgan-chase-sees-mid-teens-growth-in-q3-banking-fees-and-markets-revenue.html</t>
  </si>
  <si>
    <t>S21</t>
  </si>
  <si>
    <t>StockAnalysis (market cap)</t>
  </si>
  <si>
    <t>Market cap $87.45bn at 10/9/2026 (size cohort)</t>
  </si>
  <si>
    <t>https://stockanalysis.com/stocks/pnc/market-cap/</t>
  </si>
  <si>
    <t>S22</t>
  </si>
  <si>
    <t>Earnings Whispers</t>
  </si>
  <si>
    <t>Newer consensus memo ($4.97; whisper $5.15) - not the scoring baseline</t>
  </si>
  <si>
    <t>https://secure.earningswhispers.com/article/PNC/20349</t>
  </si>
  <si>
    <t>S23</t>
  </si>
  <si>
    <t>Zacks via Yahoo Finance</t>
  </si>
  <si>
    <t>Earnings ESP +0.80% memo</t>
  </si>
  <si>
    <t>https://finance.yahoo.com/markets/stocks/articles/pnc-financial-services-group-inc-130006556.html</t>
  </si>
  <si>
    <t>S24</t>
  </si>
  <si>
    <t>MarketBeat</t>
  </si>
  <si>
    <t>Newer consensus memo ($4.91; $6.61bn revenue) - not the scoring baseline</t>
  </si>
  <si>
    <t>https://www.marketbeat.com/earnings/reports/2026-10-15-the-pnc-financial-services-group-inc-stock/</t>
  </si>
  <si>
    <t>S25</t>
  </si>
  <si>
    <t>S&amp;P Capital IQ (supplied file)</t>
  </si>
  <si>
    <t>Frozen consensus baseline (EPS $4.98, revenue $6,591.5m) and summary row (Inputs A)</t>
  </si>
  <si>
    <t>PNC_consensus.json</t>
  </si>
  <si>
    <t>S26</t>
  </si>
  <si>
    <t>Six historical consensus/actual pairs (Inputs B; calibration)</t>
  </si>
  <si>
    <t>PNC_history.csv</t>
  </si>
  <si>
    <t>S27</t>
  </si>
  <si>
    <t>FirstBank acquisition close (M&amp;A scope)</t>
  </si>
  <si>
    <t>https://investor.pnc.com/news-events/financial-press-releases/detail/674/pnc-completes-acquisition-of-firstbank</t>
  </si>
  <si>
    <t>S28</t>
  </si>
  <si>
    <t>CNBC</t>
  </si>
  <si>
    <t>Bank stock sell-off context (rates), not company-specific</t>
  </si>
  <si>
    <t>https://www.cnbc.com/2026/10/09/bank-stocks-selloff-q3-earnings.html</t>
  </si>
  <si>
    <t>S29</t>
  </si>
  <si>
    <t>Original 2026 earnings date schedule (3Q26: 10/15/2026)</t>
  </si>
  <si>
    <t>https://investor.pnc.com/news-events/financial-press-releases/detail/656/the-pnc-financial-services-group-provides-quarterly-2026-earnings-release-dates</t>
  </si>
  <si>
    <t>S30</t>
  </si>
  <si>
    <t>PNC press release (4Q25 / FY25 results)</t>
  </si>
  <si>
    <t>FY25 reported diluted EPS $16.59 (Income Statement G66 memo tie); preserved in original web_search cache</t>
  </si>
  <si>
    <t>https://investor.pnc.com/news-events/financial-press-releases/detail/677/pnc-reports-full-year-2025-net-income-of-7-0-billion-16-59-diluted-eps</t>
  </si>
  <si>
    <t>Note (geo)</t>
  </si>
  <si>
    <t>Geo tab omitted: PNC 2Q26 Form 10-Q (S9) and 2Q26 Financial Supplement (S2) checked - no revenue by geography is disclosed; operations are effectively all U.S.</t>
  </si>
  <si>
    <t>Note (retrieval)</t>
  </si>
  <si>
    <t>Retrieval: web sources were retrieved 2026-10-12 via web search/fetch, after the 2026-10-11 22:24 UTC cutoff; every source above was published on or before the cutoff. Mutable pages (S21-S24: market cap and memo consensus) may have changed between publication and retrieval, so their as-of-cutoff content cannot be proven; they feed only non-scoring memos and the size cohort (robust: 399.5m shares x $219.21 = ~$87.6bn vs $10bn threshold). No 3Q26 actual results were seen.</t>
  </si>
  <si>
    <t>Inputs (S&amp;P Capital IQ snapshot and filing YTD inputs)</t>
  </si>
  <si>
    <t>A. S&amp;P Capital IQ summary row (PNC_consensus.json; captured 2026-10-11; blanks preserved)</t>
  </si>
  <si>
    <t>Field</t>
  </si>
  <si>
    <t>Value</t>
  </si>
  <si>
    <t>ticker</t>
  </si>
  <si>
    <t>company_name</t>
  </si>
  <si>
    <t>exchange_ticker</t>
  </si>
  <si>
    <t>NYSE:PNC</t>
  </si>
  <si>
    <t>capiq_company_id</t>
  </si>
  <si>
    <t>sp500_member</t>
  </si>
  <si>
    <t>Y</t>
  </si>
  <si>
    <t>market_cap_usd_m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</si>
  <si>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</si>
  <si>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</si>
  <si>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</si>
  <si>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</si>
  <si>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</si>
  <si>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</si>
  <si>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</si>
  <si>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</si>
  <si>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</si>
  <si>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</si>
  <si>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</si>
  <si>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</si>
  <si>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</si>
  <si>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</si>
  <si>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</si>
  <si>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</si>
  <si>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</si>
  <si>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</si>
  <si>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</si>
  <si>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</si>
  <si>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</si>
  <si>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</si>
  <si>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</si>
  <si>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</si>
  <si>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</si>
  <si>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</si>
  <si>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</si>
  <si>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</si>
  <si>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</si>
  <si>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</si>
  <si>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</si>
  <si>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</si>
  <si>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</si>
  <si>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</si>
  <si>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</si>
  <si>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</si>
  <si>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</si>
  <si>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</si>
  <si>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</si>
  <si>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</si>
  <si>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</si>
  <si>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</si>
  <si>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</si>
  <si>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</si>
  <si>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</si>
  <si>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</si>
  <si>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</si>
  <si>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</si>
  <si>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</si>
  <si>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</si>
  <si>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</si>
  <si>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</si>
  <si>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</si>
  <si>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</si>
  <si>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</si>
  <si>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</si>
  <si>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</si>
  <si>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</si>
  <si>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</si>
  <si>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</si>
  <si>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</si>
  <si>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</si>
  <si>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</si>
  <si>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258.96/176.88</t>
  </si>
  <si>
    <t>currency</t>
  </si>
  <si>
    <t>USD</t>
  </si>
  <si>
    <t>units</t>
  </si>
  <si>
    <t>per-share in USD; revenue and income in USD millions</t>
  </si>
  <si>
    <t>estimates_captured_at</t>
  </si>
  <si>
    <t>notes</t>
  </si>
  <si>
    <t>Revenue consensus rests on only 4 of 16 contributors. A GAAP EPS "Guidance 2.00" value looked like a different line item and was excluded.</t>
  </si>
  <si>
    <t>B. S&amp;P Capital IQ history (PNC_history.csv; all six rows)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</si>
  <si>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</si>
  <si>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</si>
  <si>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</si>
  <si>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</si>
  <si>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</si>
  <si>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</si>
  <si>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</si>
  <si>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</si>
  <si>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C. Cash flow statement, year-to-date as reported (10-Q/10-K; blank = line not presented)</t>
  </si>
  <si>
    <t>Line (USD millions)</t>
  </si>
  <si>
    <t>3M25</t>
  </si>
  <si>
    <t>6M25</t>
  </si>
  <si>
    <t>9M25</t>
  </si>
  <si>
    <t>FY25</t>
  </si>
  <si>
    <t>3M26</t>
  </si>
  <si>
    <t>6M26</t>
  </si>
  <si>
    <t>Depreciation, amortization and accretion</t>
  </si>
  <si>
    <t>Changes in fair value of mortgage servicing rights</t>
  </si>
  <si>
    <t>Net change in trading securities and other short-term investments</t>
  </si>
  <si>
    <t>Net change in loans held for sale and related securitization activity</t>
  </si>
  <si>
    <t>Net change in accrued expenses and other liabilities</t>
  </si>
  <si>
    <t>Net cash provided (used) by operating activities (reported)</t>
  </si>
  <si>
    <t>Repayments/maturities of securities available-for-sale</t>
  </si>
  <si>
    <t>Repayments/maturities of securities held-to-maturity</t>
  </si>
  <si>
    <t>Purchases of securities available-for-sale</t>
  </si>
  <si>
    <t>Purchases of securities held-to-maturity</t>
  </si>
  <si>
    <t>Net change in federal funds sold and resale agreements</t>
  </si>
  <si>
    <t>Net cash provided (used) by investing activities (reported)</t>
  </si>
  <si>
    <t>Net change in noninterest-bearing deposits</t>
  </si>
  <si>
    <t>Net change in interest-bearing deposits</t>
  </si>
  <si>
    <t>Net change in federal funds purchased and repurchase agreements</t>
  </si>
  <si>
    <t>Net change in short-term FHLB advances</t>
  </si>
  <si>
    <t>Repayments/maturities of FHLB advances</t>
  </si>
  <si>
    <t>Repayments/maturities of senior debt</t>
  </si>
  <si>
    <t>Repayments/maturities of subordinated debt</t>
  </si>
  <si>
    <t>Repayments/maturities of other borrowed funds</t>
  </si>
  <si>
    <t>Net cash provided (used) by financing activities (reported)</t>
  </si>
  <si>
    <t>Cash, cash equivalents and restricted cash - beginning of period</t>
  </si>
  <si>
    <t>Cash, cash equivalents and restricted cash - end of period (reported)</t>
  </si>
  <si>
    <t>D. Segment results, six months ended 6/30/2025, restated (2Q26 supplement) - used to derive 1Q25</t>
  </si>
  <si>
    <t>Retail Banking - nii</t>
  </si>
  <si>
    <t>Retail Banking - nonii</t>
  </si>
  <si>
    <t>Retail Banking - prov</t>
  </si>
  <si>
    <t>Retail Banking - x_pers</t>
  </si>
  <si>
    <t>Retail Banking - x_alloc</t>
  </si>
  <si>
    <t>Retail Banking - x_da</t>
  </si>
  <si>
    <t>Retail Banking - x_oth</t>
  </si>
  <si>
    <t>Retail Banking - tax</t>
  </si>
  <si>
    <t>Retail Banking - nci</t>
  </si>
  <si>
    <t>Retail Banking - f_amb</t>
  </si>
  <si>
    <t>Retail Banking - f_ccm</t>
  </si>
  <si>
    <t>Retail Banking - f_lds</t>
  </si>
  <si>
    <t>Retail Banking - f_mtg</t>
  </si>
  <si>
    <t>Retail Banking - f_visa</t>
  </si>
  <si>
    <t>Retail Banking - svc_fees</t>
  </si>
  <si>
    <t>Retail Banking - msr_val</t>
  </si>
  <si>
    <t>Retail Banking - orig</t>
  </si>
  <si>
    <t>Retail Banking - nco</t>
  </si>
  <si>
    <t>Corp &amp; Inst Banking - nii</t>
  </si>
  <si>
    <t>Corp &amp; Inst Banking - nonii</t>
  </si>
  <si>
    <t>Corp &amp; Inst Banking - prov</t>
  </si>
  <si>
    <t>Corp &amp; Inst Banking - x_pers</t>
  </si>
  <si>
    <t>Corp &amp; Inst Banking - x_alloc</t>
  </si>
  <si>
    <t>Corp &amp; Inst Banking - x_da</t>
  </si>
  <si>
    <t>Corp &amp; Inst Banking - x_oth</t>
  </si>
  <si>
    <t>Corp &amp; Inst Banking - tax</t>
  </si>
  <si>
    <t>Corp &amp; Inst Banking - nci</t>
  </si>
  <si>
    <t>Corp &amp; Inst Banking - tm</t>
  </si>
  <si>
    <t>Corp &amp; Inst Banking - cm_hfs</t>
  </si>
  <si>
    <t>Corp &amp; Inst Banking - cm_svc</t>
  </si>
  <si>
    <t>Corp &amp; Inst Banking - cm_msr</t>
  </si>
  <si>
    <t>Corp &amp; Inst Banking - nco</t>
  </si>
  <si>
    <t>Asset Management Group - nii</t>
  </si>
  <si>
    <t>Asset Management Group - nonii</t>
  </si>
  <si>
    <t>Asset Management Group - prov</t>
  </si>
  <si>
    <t>Asset Management Group - x_pers</t>
  </si>
  <si>
    <t>Asset Management Group - x_alloc</t>
  </si>
  <si>
    <t>Asset Management Group - x_da</t>
  </si>
  <si>
    <t>Asset Management Group - x_oth</t>
  </si>
  <si>
    <t>Asset Management Group - tax</t>
  </si>
  <si>
    <t>Asset Management Group - nco</t>
  </si>
  <si>
    <t>Other - revenue</t>
  </si>
  <si>
    <t>E. Input file evidence</t>
  </si>
  <si>
    <t>File</t>
  </si>
  <si>
    <t>SHA256</t>
  </si>
  <si>
    <t>Rows x columns</t>
  </si>
  <si>
    <t>83aced37fe80ecc790eb5244cb1a6dffaf7eb8cc16e96336c4e8707108b1d56b</t>
  </si>
  <si>
    <t>6 x 8 (+header)</t>
  </si>
  <si>
    <t>a1f726b4c0738893a16399a77cf2370330809e976b9a8262b7f3d67635e136e9</t>
  </si>
  <si>
    <t>1 summary row x 78 fields</t>
  </si>
</sst>
</file>

<file path=xl/styles.xml><?xml version="1.0" encoding="utf-8"?>
<styleSheet xmlns="http://schemas.openxmlformats.org/spreadsheetml/2006/main">
  <numFmts count="13">
    <numFmt numFmtId="164" formatCode="yyyy-mm-dd"/>
    <numFmt numFmtId="165" formatCode="0_)"/>
    <numFmt numFmtId="166" formatCode="#,##0.0_);(#,##0.0);&quot;–&quot;_)"/>
    <numFmt numFmtId="167" formatCode="m/d/yyyy"/>
    <numFmt numFmtId="168" formatCode="#,##0_)&quot; bp&quot;;(#,##0)&quot; bp&quot;;&quot;–&quot;_)"/>
    <numFmt numFmtId="169" formatCode="0.0%_);(0.0%);&quot;–&quot;_)"/>
    <numFmt numFmtId="170" formatCode="0.00%_);(0.00%);&quot;–&quot;_)"/>
    <numFmt numFmtId="171" formatCode="$0.00_);($0.00);&quot;–&quot;_)"/>
    <numFmt numFmtId="172" formatCode="#,##0_);(#,##0);&quot;–&quot;_)"/>
    <numFmt numFmtId="173" formatCode="@"/>
    <numFmt numFmtId="174" formatCode="General"/>
    <numFmt numFmtId="175" formatCode="#,##0.00_);(#,##0.00);&quot;–&quot;_)"/>
    <numFmt numFmtId="176" formatCode="[&gt;=0.05]#,##0.0_);[&lt;=-0.05](#,##0.0);&quot;–&quot;_)"/>
  </numFmts>
  <fonts count="34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none"/>
    </font>
    <font>
      <b val="0"/>
      <i val="0"/>
      <strike val="0"/>
      <sz val="10"/>
      <color rgb="FF0000FF"/>
      <name val="Arial"/>
      <family val="2"/>
      <scheme val="none"/>
    </font>
    <font>
      <b/>
      <i val="0"/>
      <strike val="0"/>
      <sz val="10"/>
      <color rgb="FF000000"/>
      <name val="Arial"/>
      <family val="2"/>
      <scheme val="none"/>
    </font>
    <font>
      <b val="0"/>
      <i val="0"/>
      <strike val="0"/>
      <sz val="10"/>
      <color rgb="FF006100"/>
      <name val="Arial"/>
      <family val="2"/>
      <scheme val="none"/>
    </font>
    <font>
      <b/>
      <i val="0"/>
      <strike val="0"/>
      <sz val="10"/>
      <color rgb="FF006100"/>
      <name val="Arial"/>
      <family val="2"/>
      <scheme val="none"/>
    </font>
    <font>
      <b/>
      <i val="0"/>
      <strike val="0"/>
      <sz val="10"/>
      <color rgb="FF0000FF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E8F0FB"/>
      </patternFill>
    </fill>
    <fill>
      <patternFill patternType="solid">
        <fgColor rgb="FFF2F2F2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6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0" fontId="3" fillId="2" borderId="1" xfId="0" applyFont="1" applyFill="1" applyBorder="1" applyAlignment="1" applyProtection="1">
      <alignment horizontal="general" vertical="bottom"/>
      <protection locked="1" hidden="0"/>
    </xf>
    <xf numFmtId="165" fontId="1" fillId="3" borderId="1" xfId="0" applyNumberFormat="1" applyFont="1" applyFill="1" applyBorder="1" applyAlignment="1" applyProtection="1">
      <alignment horizontal="right" vertical="bottom"/>
      <protection locked="1" hidden="0"/>
    </xf>
    <xf numFmtId="0" fontId="3" fillId="3" borderId="2" xfId="0" applyFont="1" applyFill="1" applyBorder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0" fontId="1" fillId="4" borderId="1" xfId="0" applyFont="1" applyFill="1" applyBorder="1" applyAlignment="1" applyProtection="1">
      <alignment horizontal="general" vertical="bottom"/>
      <protection locked="1" hidden="0"/>
    </xf>
    <xf numFmtId="0" fontId="3" fillId="4" borderId="2" xfId="0" applyFont="1" applyFill="1" applyBorder="1" applyAlignment="1" applyProtection="1">
      <alignment horizontal="general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6" fontId="5" fillId="2" borderId="0" xfId="0" applyNumberFormat="1" applyFont="1" applyFill="1" applyAlignment="1" applyProtection="1">
      <alignment horizontal="right" vertical="bottom"/>
      <protection locked="1" hidden="0"/>
    </xf>
    <xf numFmtId="167" fontId="2" fillId="4" borderId="0" xfId="0" applyNumberFormat="1" applyFont="1" applyFill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166" fontId="2" fillId="2" borderId="0" xfId="0" applyNumberFormat="1" applyFont="1" applyFill="1" applyAlignment="1" applyProtection="1">
      <alignment horizontal="right" vertical="bottom"/>
      <protection locked="1" hidden="0"/>
    </xf>
    <xf numFmtId="0" fontId="3" fillId="4" borderId="2" xfId="0" applyFont="1" applyFill="1" applyBorder="1" applyAlignment="1" applyProtection="1">
      <alignment horizontal="right" vertical="bottom"/>
      <protection locked="1" hidden="0"/>
    </xf>
    <xf numFmtId="168" fontId="4" fillId="2" borderId="0" xfId="0" applyNumberFormat="1" applyFont="1" applyFill="1" applyAlignment="1" applyProtection="1">
      <alignment horizontal="right" vertical="bottom"/>
      <protection locked="1" hidden="0"/>
    </xf>
    <xf numFmtId="169" fontId="4" fillId="2" borderId="0" xfId="0" applyNumberFormat="1" applyFont="1" applyFill="1" applyAlignment="1" applyProtection="1">
      <alignment horizontal="right" vertical="bottom"/>
      <protection locked="1" hidden="0"/>
    </xf>
    <xf numFmtId="166" fontId="3" fillId="2" borderId="2" xfId="0" applyNumberFormat="1" applyFont="1" applyFill="1" applyBorder="1" applyAlignment="1" applyProtection="1">
      <alignment horizontal="right" vertical="bottom"/>
      <protection locked="1" hidden="0"/>
    </xf>
    <xf numFmtId="166" fontId="3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3" fillId="2" borderId="0" xfId="0" applyNumberFormat="1" applyFont="1" applyFill="1" applyAlignment="1" applyProtection="1">
      <alignment horizontal="right" vertical="bottom"/>
      <protection locked="1" hidden="0"/>
    </xf>
    <xf numFmtId="165" fontId="1" fillId="4" borderId="1" xfId="0" applyNumberFormat="1" applyFont="1" applyFill="1" applyBorder="1" applyAlignment="1" applyProtection="1">
      <alignment horizontal="right" vertical="bottom"/>
      <protection locked="1" hidden="0"/>
    </xf>
    <xf numFmtId="170" fontId="4" fillId="2" borderId="0" xfId="0" applyNumberFormat="1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9" fontId="7" fillId="3" borderId="0" xfId="0" applyNumberFormat="1" applyFont="1" applyFill="1" applyAlignment="1" applyProtection="1">
      <alignment horizontal="right" vertical="bottom"/>
      <protection locked="1" hidden="0"/>
    </xf>
    <xf numFmtId="169" fontId="4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6" fontId="8" fillId="2" borderId="0" xfId="0" applyNumberFormat="1" applyFont="1" applyFill="1" applyAlignment="1" applyProtection="1">
      <alignment horizontal="right" vertical="bottom"/>
      <protection locked="1" hidden="0"/>
    </xf>
    <xf numFmtId="0" fontId="9" fillId="2" borderId="0" xfId="0" applyFont="1" applyFill="1" applyAlignment="1" applyProtection="1">
      <alignment horizontal="general" vertical="bottom"/>
      <protection locked="1" hidden="0"/>
    </xf>
    <xf numFmtId="171" fontId="5" fillId="2" borderId="0" xfId="0" applyNumberFormat="1" applyFont="1" applyFill="1" applyAlignment="1" applyProtection="1">
      <alignment horizontal="right" vertical="bottom"/>
      <protection locked="1" hidden="0"/>
    </xf>
    <xf numFmtId="171" fontId="1" fillId="2" borderId="0" xfId="0" applyNumberFormat="1" applyFont="1" applyFill="1" applyAlignment="1" applyProtection="1">
      <alignment horizontal="right" vertical="bottom"/>
      <protection locked="1" hidden="0"/>
    </xf>
    <xf numFmtId="166" fontId="5" fillId="3" borderId="0" xfId="0" applyNumberFormat="1" applyFont="1" applyFill="1" applyAlignment="1" applyProtection="1">
      <alignment horizontal="right" vertical="bottom"/>
      <protection locked="1" hidden="0"/>
    </xf>
    <xf numFmtId="166" fontId="8" fillId="2" borderId="2" xfId="0" applyNumberFormat="1" applyFont="1" applyFill="1" applyBorder="1" applyAlignment="1" applyProtection="1">
      <alignment horizontal="right" vertical="bottom"/>
      <protection locked="1" hidden="0"/>
    </xf>
    <xf numFmtId="172" fontId="5" fillId="2" borderId="0" xfId="0" applyNumberFormat="1" applyFont="1" applyFill="1" applyAlignment="1" applyProtection="1">
      <alignment horizontal="right" vertical="bottom"/>
      <protection locked="1" hidden="0"/>
    </xf>
    <xf numFmtId="172" fontId="2" fillId="2" borderId="0" xfId="0" applyNumberFormat="1" applyFont="1" applyFill="1" applyAlignment="1" applyProtection="1">
      <alignment horizontal="right" vertical="bottom"/>
      <protection locked="1" hidden="0"/>
    </xf>
    <xf numFmtId="169" fontId="3" fillId="2" borderId="0" xfId="0" applyNumberFormat="1" applyFont="1" applyFill="1" applyAlignment="1" applyProtection="1">
      <alignment horizontal="right" vertical="bottom"/>
      <protection locked="1" hidden="0"/>
    </xf>
    <xf numFmtId="171" fontId="5" fillId="3" borderId="0" xfId="0" applyNumberFormat="1" applyFont="1" applyFill="1" applyAlignment="1" applyProtection="1">
      <alignment horizontal="right" vertical="bottom"/>
      <protection locked="1" hidden="0"/>
    </xf>
    <xf numFmtId="173" fontId="1" fillId="2" borderId="0" xfId="0" applyNumberFormat="1" applyFont="1" applyFill="1" applyAlignment="1" applyProtection="1">
      <alignment horizontal="general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0" fontId="3" fillId="2" borderId="1" xfId="0" applyFont="1" applyFill="1" applyBorder="1" applyAlignment="1" applyProtection="1">
      <alignment horizontal="right" vertical="bottom"/>
      <protection locked="1" hidden="0"/>
    </xf>
    <xf numFmtId="173" fontId="1" fillId="2" borderId="0" xfId="0" applyNumberFormat="1" applyFont="1" applyFill="1" applyAlignment="1" applyProtection="1">
      <alignment horizontal="right" vertical="bottom"/>
      <protection locked="1" hidden="0"/>
    </xf>
    <xf numFmtId="174" fontId="2" fillId="2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168" fontId="4" fillId="3" borderId="0" xfId="0" applyNumberFormat="1" applyFont="1" applyFill="1" applyAlignment="1" applyProtection="1">
      <alignment horizontal="right" vertical="bottom"/>
      <protection locked="1" hidden="0"/>
    </xf>
    <xf numFmtId="171" fontId="2" fillId="3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69" fontId="5" fillId="2" borderId="0" xfId="0" applyNumberFormat="1" applyFont="1" applyFill="1" applyAlignment="1" applyProtection="1">
      <alignment horizontal="right" vertical="bottom"/>
      <protection locked="1" hidden="0"/>
    </xf>
    <xf numFmtId="171" fontId="2" fillId="2" borderId="0" xfId="0" applyNumberFormat="1" applyFont="1" applyFill="1" applyAlignment="1" applyProtection="1">
      <alignment horizontal="right" vertical="bottom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73" fontId="10" fillId="2" borderId="0" xfId="0" applyNumberFormat="1" applyFont="1" applyFill="1" applyAlignment="1" applyProtection="1">
      <alignment horizontal="right" vertical="bottom"/>
      <protection locked="1" hidden="0"/>
    </xf>
    <xf numFmtId="173" fontId="5" fillId="2" borderId="0" xfId="0" applyNumberFormat="1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71" fontId="3" fillId="2" borderId="0" xfId="0" applyNumberFormat="1" applyFont="1" applyFill="1" applyAlignment="1" applyProtection="1">
      <alignment horizontal="right" vertical="bottom"/>
      <protection locked="1" hidden="0"/>
    </xf>
    <xf numFmtId="170" fontId="5" fillId="2" borderId="0" xfId="0" applyNumberFormat="1" applyFont="1" applyFill="1" applyAlignment="1" applyProtection="1">
      <alignment horizontal="right" vertical="bottom"/>
      <protection locked="1" hidden="0"/>
    </xf>
    <xf numFmtId="173" fontId="8" fillId="2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0" fontId="8" fillId="2" borderId="1" xfId="0" applyFont="1" applyFill="1" applyBorder="1" applyAlignment="1" applyProtection="1">
      <alignment horizontal="right" vertical="bottom"/>
      <protection locked="1" hidden="0"/>
    </xf>
    <xf numFmtId="0" fontId="11" fillId="2" borderId="0" xfId="0" applyFont="1" applyFill="1" applyAlignment="1" applyProtection="1">
      <alignment horizontal="general" vertical="bottom"/>
      <protection locked="1" hidden="0"/>
    </xf>
    <xf numFmtId="170" fontId="12" fillId="3" borderId="0" xfId="0" applyNumberFormat="1" applyFont="1" applyFill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169" fontId="7" fillId="2" borderId="0" xfId="0" applyNumberFormat="1" applyFont="1" applyFill="1" applyAlignment="1" applyProtection="1">
      <alignment horizontal="right" vertical="bottom"/>
      <protection locked="1" hidden="0"/>
    </xf>
    <xf numFmtId="170" fontId="12" fillId="2" borderId="0" xfId="0" applyNumberFormat="1" applyFont="1" applyFill="1" applyAlignment="1" applyProtection="1">
      <alignment horizontal="right" vertical="bottom"/>
      <protection locked="1" hidden="0"/>
    </xf>
    <xf numFmtId="169" fontId="12" fillId="2" borderId="0" xfId="0" applyNumberFormat="1" applyFont="1" applyFill="1" applyAlignment="1" applyProtection="1">
      <alignment horizontal="right" vertical="bottom"/>
      <protection locked="1" hidden="0"/>
    </xf>
    <xf numFmtId="171" fontId="3" fillId="2" borderId="2" xfId="0" applyNumberFormat="1" applyFont="1" applyFill="1" applyBorder="1" applyAlignment="1" applyProtection="1">
      <alignment horizontal="right" vertical="bottom"/>
      <protection locked="1" hidden="0"/>
    </xf>
    <xf numFmtId="171" fontId="8" fillId="2" borderId="2" xfId="0" applyNumberFormat="1" applyFont="1" applyFill="1" applyBorder="1" applyAlignment="1" applyProtection="1">
      <alignment horizontal="right" vertical="bottom"/>
      <protection locked="1" hidden="0"/>
    </xf>
    <xf numFmtId="168" fontId="7" fillId="3" borderId="0" xfId="0" applyNumberFormat="1" applyFont="1" applyFill="1" applyAlignment="1" applyProtection="1">
      <alignment horizontal="right" vertical="bottom"/>
      <protection locked="1" hidden="0"/>
    </xf>
    <xf numFmtId="171" fontId="3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10" fillId="2" borderId="0" xfId="0" applyNumberFormat="1" applyFont="1" applyFill="1" applyAlignment="1" applyProtection="1">
      <alignment horizontal="right" vertical="bottom"/>
      <protection locked="1" hidden="0"/>
    </xf>
    <xf numFmtId="166" fontId="2" fillId="2" borderId="0" xfId="0" applyNumberFormat="1" applyFont="1" applyFill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left" vertical="bottom"/>
      <protection locked="1" hidden="0"/>
    </xf>
    <xf numFmtId="174" fontId="1" fillId="3" borderId="0" xfId="0" applyNumberFormat="1" applyFont="1" applyFill="1" applyAlignment="1" applyProtection="1">
      <alignment horizontal="right" vertical="bottom"/>
      <protection locked="1" hidden="0"/>
    </xf>
    <xf numFmtId="175" fontId="2" fillId="2" borderId="0" xfId="0" applyNumberFormat="1" applyFont="1" applyFill="1" applyAlignment="1" applyProtection="1">
      <alignment horizontal="right" vertical="bottom"/>
      <protection locked="1" hidden="0"/>
    </xf>
    <xf numFmtId="170" fontId="7" fillId="3" borderId="0" xfId="0" applyNumberFormat="1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left" vertical="bottom"/>
      <protection locked="1" hidden="0"/>
    </xf>
    <xf numFmtId="0" fontId="1" fillId="2" borderId="0" xfId="0" applyFont="1" applyFill="1" applyAlignment="1" applyProtection="1">
      <alignment horizontal="lef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9" fontId="12" fillId="3" borderId="0" xfId="0" applyNumberFormat="1" applyFont="1" applyFill="1" applyAlignment="1" applyProtection="1">
      <alignment horizontal="right" vertical="bottom"/>
      <protection locked="1" hidden="0"/>
    </xf>
    <xf numFmtId="170" fontId="7" fillId="2" borderId="0" xfId="0" applyNumberFormat="1" applyFont="1" applyFill="1" applyAlignment="1" applyProtection="1">
      <alignment horizontal="right" vertical="bottom"/>
      <protection locked="1" hidden="0"/>
    </xf>
    <xf numFmtId="172" fontId="2" fillId="3" borderId="0" xfId="0" applyNumberFormat="1" applyFont="1" applyFill="1" applyAlignment="1" applyProtection="1">
      <alignment horizontal="right" vertical="bottom"/>
      <protection locked="1" hidden="0"/>
    </xf>
    <xf numFmtId="172" fontId="8" fillId="2" borderId="2" xfId="0" applyNumberFormat="1" applyFont="1" applyFill="1" applyBorder="1" applyAlignment="1" applyProtection="1">
      <alignment horizontal="right" vertical="bottom"/>
      <protection locked="1" hidden="0"/>
    </xf>
    <xf numFmtId="166" fontId="10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10" fillId="2" borderId="2" xfId="0" applyNumberFormat="1" applyFont="1" applyFill="1" applyBorder="1" applyAlignment="1" applyProtection="1">
      <alignment horizontal="righ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72" fontId="3" fillId="3" borderId="2" xfId="0" applyNumberFormat="1" applyFont="1" applyFill="1" applyBorder="1" applyAlignment="1" applyProtection="1">
      <alignment horizontal="right" vertical="bottom"/>
      <protection locked="1" hidden="0"/>
    </xf>
    <xf numFmtId="172" fontId="3" fillId="2" borderId="2" xfId="0" applyNumberFormat="1" applyFont="1" applyFill="1" applyBorder="1" applyAlignment="1" applyProtection="1">
      <alignment horizontal="right" vertical="bottom"/>
      <protection locked="1" hidden="0"/>
    </xf>
    <xf numFmtId="164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4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5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5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3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9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1" fontId="19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2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2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22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3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0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4" fontId="22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6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0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5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1" fontId="25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26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4" fontId="27" fillId="0" borderId="0" xfId="0" applyNumberFormat="1" applyFont="1" applyFill="1" applyAlignment="1" applyProtection="1">
      <alignment horizontal="left" vertical="top" textRotation="0" wrapText="1" indent="1" readingOrder="0"/>
      <protection locked="1" hidden="0"/>
    </xf>
    <xf numFmtId="174" fontId="27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6" fontId="28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27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4" fontId="30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4" fontId="30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74" fontId="31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6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33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4" fontId="33" fillId="0" borderId="0" xfId="0" applyNumberFormat="1" applyFont="1" applyFill="1" applyAlignment="1" applyProtection="1">
      <alignment horizontal="left" vertical="top" textRotation="0" wrapText="1" indent="1" readingOrder="0"/>
      <protection locked="1" hidden="0"/>
    </xf>
    <xf numFmtId="166" fontId="3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7"/>
  <sheetViews>
    <sheetView showGridLines="0" tabSelected="1" workbookViewId="0"/>
  </sheetViews>
  <sheetFormatPr defaultColWidth="8.42578125" defaultRowHeight="15"/>
  <cols>
    <col min="1" max="1" width="10" customWidth="1"/>
    <col min="2" max="2" width="34" customWidth="1"/>
    <col min="3" max="6" width="13" customWidth="1"/>
    <col min="7" max="7" width="15" customWidth="1"/>
    <col min="8" max="9" width="13" customWidth="1"/>
    <col min="10" max="10" width="4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5" t="s">
        <v>4</v>
      </c>
      <c r="D5" s="1"/>
      <c r="E5" s="1"/>
      <c r="F5" s="1"/>
      <c r="G5" s="1"/>
      <c r="H5" s="1"/>
      <c r="I5" s="1"/>
      <c r="J5" s="1"/>
      <c r="K5" s="7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5">
        <v>46295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>
      <c r="A7" s="1"/>
      <c r="B7" s="8" t="s">
        <v>7</v>
      </c>
      <c r="C7" s="4">
        <f>C6-EOMONTH(C6,-3)</f>
        <v>92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64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>
      <c r="A10" s="1"/>
      <c r="B10" s="1" t="s">
        <v>9</v>
      </c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>
      <c r="A12" s="1"/>
      <c r="B12" s="1" t="s">
        <v>10</v>
      </c>
      <c r="C12" s="41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>
      <c r="A13" s="1"/>
      <c r="B13" s="1" t="s">
        <v>12</v>
      </c>
      <c r="C13" s="41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>
      <c r="A14" s="1"/>
      <c r="B14" s="1" t="s">
        <v>14</v>
      </c>
      <c r="C14" s="41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>
      <c r="A15" s="1"/>
      <c r="B15" s="1" t="s">
        <v>16</v>
      </c>
      <c r="C15" s="41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>
      <c r="A16" s="1"/>
      <c r="B16" s="1" t="s">
        <v>18</v>
      </c>
      <c r="C16" s="41" t="s">
        <v>19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>
      <c r="A17" s="1"/>
      <c r="B17" s="1" t="s">
        <v>20</v>
      </c>
      <c r="C17" s="41" t="s">
        <v>21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>
      <c r="A18" s="1"/>
      <c r="B18" s="1" t="s">
        <v>22</v>
      </c>
      <c r="C18" s="41" t="s">
        <v>23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>
      <c r="A19" s="1"/>
      <c r="B19" s="1" t="s">
        <v>24</v>
      </c>
      <c r="C19" s="41" t="s">
        <v>25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>
      <c r="A20" s="1"/>
      <c r="B20" s="1" t="s">
        <v>26</v>
      </c>
      <c r="C20" s="41" t="s">
        <v>27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>
      <c r="A21" s="1"/>
      <c r="B21" s="1" t="s">
        <v>28</v>
      </c>
      <c r="C21" s="41" t="s">
        <v>29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>
      <c r="A23" s="1"/>
      <c r="B23" s="3" t="s">
        <v>30</v>
      </c>
      <c r="C23" s="44" t="s">
        <v>31</v>
      </c>
      <c r="D23" s="44" t="s">
        <v>32</v>
      </c>
      <c r="E23" s="44" t="s">
        <v>33</v>
      </c>
      <c r="F23" s="44" t="s">
        <v>34</v>
      </c>
      <c r="G23" s="44" t="s">
        <v>35</v>
      </c>
      <c r="H23" s="44" t="s">
        <v>36</v>
      </c>
      <c r="I23" s="44" t="s">
        <v>37</v>
      </c>
      <c r="J23" s="1"/>
      <c r="K23" s="1"/>
      <c r="L23" s="1"/>
      <c r="M23" s="1"/>
      <c r="N23" s="1"/>
      <c r="O23" s="1"/>
      <c r="P23" s="1"/>
    </row>
    <row r="24">
      <c r="A24" s="1"/>
      <c r="B24" s="1" t="s">
        <v>38</v>
      </c>
      <c r="C24" s="12">
        <f>'Income Statement'!J33</f>
        <v>6615.1055335923265</v>
      </c>
      <c r="D24" s="12">
        <f>Inputs!C38</f>
        <v>6591.5</v>
      </c>
      <c r="E24" s="14">
        <f>IF(ISNUMBER(D24),C24-D24,"n.a.")</f>
        <v>23.605533592326537</v>
      </c>
      <c r="F24" s="47">
        <f>IF(ISNUMBER(D24),C24/D24-1,"n.a.")</f>
        <v>0.0035812081608626034</v>
      </c>
      <c r="G24" s="12">
        <f>Guidance!J49</f>
        <v>6574.83</v>
      </c>
      <c r="H24" s="14">
        <f>IF(ISNUMBER(G24),C24-G24,"n.a.")</f>
        <v>40.27553359232661</v>
      </c>
      <c r="I24" s="37">
        <f>Inputs!C43</f>
        <v>4</v>
      </c>
      <c r="J24" s="1"/>
      <c r="K24" s="1"/>
      <c r="L24" s="1"/>
      <c r="M24" s="1"/>
      <c r="N24" s="1"/>
      <c r="O24" s="1"/>
      <c r="P24" s="1"/>
    </row>
    <row r="25" ht="54">
      <c r="A25" s="1"/>
      <c r="B25" s="1" t="s">
        <v>39</v>
      </c>
      <c r="C25" s="12">
        <f>'Income Statement'!J103</f>
        <v>2005.2209234272432</v>
      </c>
      <c r="D25" s="12">
        <f>Inputs!C51</f>
        <v>1992.3</v>
      </c>
      <c r="E25" s="14">
        <f>IF(ISNUMBER(D25),C25-D25,"n.a.")</f>
        <v>12.920923427243224</v>
      </c>
      <c r="F25" s="47">
        <f>IF(ISNUMBER(D25),C25/D25-1,"n.a.")</f>
        <v>0.006485430621514521</v>
      </c>
      <c r="G25" s="12">
        <f>Guidance!C92</f>
        <v>1998.824178795</v>
      </c>
      <c r="H25" s="14">
        <f>IF(ISNUMBER(G25),C25-G25,"n.a.")</f>
        <v>6.396744632243099</v>
      </c>
      <c r="I25" s="62" t="s">
        <v>40</v>
      </c>
      <c r="J25" s="1"/>
      <c r="K25" s="124" t="s">
        <v>41</v>
      </c>
      <c r="L25" s="1"/>
      <c r="M25" s="1"/>
      <c r="N25" s="1"/>
      <c r="O25" s="1"/>
      <c r="P25" s="1"/>
    </row>
    <row r="26" ht="168.75">
      <c r="A26" s="1"/>
      <c r="B26" s="1" t="s">
        <v>42</v>
      </c>
      <c r="C26" s="33">
        <f>'Income Statement'!J104</f>
        <v>5.0046799757979885</v>
      </c>
      <c r="D26" s="33">
        <f>Inputs!C22</f>
        <v>4.98</v>
      </c>
      <c r="E26" s="34">
        <f>IF(ISNUMBER(D26),C26-D26,"n.a.")</f>
        <v>0.024679975797988085</v>
      </c>
      <c r="F26" s="47">
        <f>IF(ISNUMBER(D26),C26/D26-1,"n.a.")</f>
        <v>0.004955818433330927</v>
      </c>
      <c r="G26" s="33">
        <f>Guidance!C94</f>
        <v>4.9887148223342175</v>
      </c>
      <c r="H26" s="34">
        <f>IF(ISNUMBER(G26),C26-G26,"n.a.")</f>
        <v>0.01596515346377103</v>
      </c>
      <c r="I26" s="37">
        <f>Inputs!C27</f>
        <v>16</v>
      </c>
      <c r="J26" s="1"/>
      <c r="K26" s="124" t="s">
        <v>43</v>
      </c>
      <c r="L26" s="1"/>
      <c r="M26" s="1"/>
      <c r="N26" s="1"/>
      <c r="O26" s="1"/>
      <c r="P26" s="1"/>
    </row>
    <row r="27" ht="28.5">
      <c r="A27" s="1"/>
      <c r="B27" s="1" t="s">
        <v>44</v>
      </c>
      <c r="C27" s="12">
        <f>'Income Statement'!J62</f>
        <v>1965.7209234272432</v>
      </c>
      <c r="D27" s="12">
        <f>Inputs!C52</f>
        <v>1970.93</v>
      </c>
      <c r="E27" s="14">
        <f>IF(ISNUMBER(D27),C27-D27,"n.a.")</f>
        <v>-5.209076572756885</v>
      </c>
      <c r="F27" s="47">
        <f>IF(ISNUMBER(D27),C27/D27-1,"n.a.")</f>
        <v>-0.0026429536172044577</v>
      </c>
      <c r="G27" s="14" t="s">
        <v>45</v>
      </c>
      <c r="H27" s="14" t="str">
        <f>IF(ISNUMBER(G27),C27-G27,"n.a.")</f>
        <v>n.a.</v>
      </c>
      <c r="I27" s="62" t="s">
        <v>40</v>
      </c>
      <c r="J27" s="1"/>
      <c r="K27" s="133" t="s">
        <v>46</v>
      </c>
      <c r="L27" s="1"/>
      <c r="M27" s="1"/>
      <c r="N27" s="1"/>
      <c r="O27" s="1"/>
      <c r="P27" s="1"/>
    </row>
    <row r="28">
      <c r="A28" s="1"/>
      <c r="B28" s="1" t="s">
        <v>47</v>
      </c>
      <c r="C28" s="33">
        <f>'Income Statement'!J66</f>
        <v>4.9060948988448985</v>
      </c>
      <c r="D28" s="33">
        <f>Inputs!C31</f>
        <v>4.89</v>
      </c>
      <c r="E28" s="34">
        <f>IF(ISNUMBER(D28),C28-D28,"n.a.")</f>
        <v>0.016094898844898786</v>
      </c>
      <c r="F28" s="47">
        <f>IF(ISNUMBER(D28),C28/D28-1,"n.a.")</f>
        <v>0.003291390356830126</v>
      </c>
      <c r="G28" s="34" t="s">
        <v>45</v>
      </c>
      <c r="H28" s="34" t="str">
        <f>IF(ISNUMBER(G28),C28-G28,"n.a.")</f>
        <v>n.a.</v>
      </c>
      <c r="I28" s="37">
        <f>Inputs!C36</f>
        <v>16</v>
      </c>
      <c r="J28" s="1"/>
      <c r="K28" s="1"/>
      <c r="L28" s="1"/>
      <c r="M28" s="1"/>
      <c r="N28" s="1"/>
      <c r="O28" s="1"/>
      <c r="P28" s="1"/>
    </row>
    <row r="29" ht="143.25">
      <c r="A29" s="1"/>
      <c r="B29" s="7" t="s">
        <v>48</v>
      </c>
      <c r="C29" s="113" t="str">
        <f>IF(AND(ISNUMBER(SUM('Revenue summary'!C45:J45,'Revenue summary'!C286:J286,'Balance Sheet'!C57:J57,'Balance Sheet'!C29:J29,'Balance Sheet'!C45:J45,'Cash Flow Statement'!C66:J66,'Cash Flow Statement'!C23:J23,'Cash Flow Statement'!C37:J37,'Cash Flow Statement'!C60:J60,'Cash Flow Statement'!C67:J67,'Share Count'!C20:J20,'Income Statement'!C36:J36,'Segment - Corp &amp; Inst Banking'!C48:J48)),SUMIF('Revenue summary'!C45:J45,"&gt;0")-SUMIF('Revenue summary'!C45:J45,"&lt;0")&lt;$C$34,SUMIF('Revenue summary'!C286:J286,"&gt;0")-SUMIF('Revenue summary'!C286:J286,"&lt;0")&lt;$C$34,SUMIF('Balance Sheet'!C57:J57,"&gt;0")-SUMIF('Balance Sheet'!C57:J57,"&lt;0")&lt;$C$34,SUMIF('Balance Sheet'!C29:J29,"&gt;0")-SUMIF('Balance Sheet'!C29:J29,"&lt;0")&lt;$C$34,SUMIF('Balance Sheet'!C45:J45,"&gt;0")-SUMIF('Balance Sheet'!C45:J45,"&lt;0")&lt;$C$34,SUMIF('Cash Flow Statement'!C66:J66,"&gt;0")-SUMIF('Cash Flow Statement'!C66:J66,"&lt;0")&lt;$C$34,SUMIF('Cash Flow Statement'!C23:J23,"&gt;0")-SUMIF('Cash Flow Statement'!C23:J23,"&lt;0")&lt;$C$34,SUMIF('Cash Flow Statement'!C37:J37,"&gt;0")-SUMIF('Cash Flow Statement'!C37:J37,"&lt;0")&lt;$C$34,SUMIF('Cash Flow Statement'!C60:J60,"&gt;0")-SUMIF('Cash Flow Statement'!C60:J60,"&lt;0")&lt;$C$34,SUMIF('Cash Flow Statement'!C67:J67,"&gt;0")-SUMIF('Cash Flow Statement'!C67:J67,"&lt;0")&lt;$C$34,SUMIF('Share Count'!C20:J20,"&gt;0")-SUMIF('Share Count'!C20:J20,"&lt;0")&lt;$C$34,SUMIF('Income Statement'!C36:J36,"&gt;0")-SUMIF('Income Statement'!C36:J36,"&lt;0")&lt;$C$34,SUMIF('Segment - Corp &amp; Inst Banking'!C48:J48,"&gt;0")-SUMIF('Segment - Corp &amp; Inst Banking'!C48:J48,"&lt;0")&lt;$C$34,COUNTIF('Income Statement'!C70:J70,FALSE)=0,COUNTIF('Income Statement'!C108:J108,FALSE)=0,ABS(C26-'Income Statement'!J69-('Income Statement'!J102/'Income Statement'!J64))&lt;$C$35),"PASS","FAIL")</f>
        <v>PASS</v>
      </c>
      <c r="D29" s="1"/>
      <c r="E29" s="1"/>
      <c r="F29" s="1"/>
      <c r="G29" s="1"/>
      <c r="H29" s="1"/>
      <c r="I29" s="1"/>
      <c r="J29" s="1"/>
      <c r="K29" s="124" t="s">
        <v>49</v>
      </c>
      <c r="L29" s="1"/>
      <c r="M29" s="1"/>
      <c r="N29" s="1"/>
      <c r="O29" s="1"/>
      <c r="P29" s="1"/>
    </row>
    <row r="30" ht="92.25">
      <c r="A30" s="1"/>
      <c r="B30" s="7" t="s">
        <v>50</v>
      </c>
      <c r="C30" s="39">
        <f>C52</f>
        <v>0.6842857142857144</v>
      </c>
      <c r="D30" s="1"/>
      <c r="E30" s="1"/>
      <c r="F30" s="1"/>
      <c r="G30" s="1"/>
      <c r="H30" s="1"/>
      <c r="I30" s="1"/>
      <c r="J30" s="1"/>
      <c r="K30" s="124" t="s">
        <v>51</v>
      </c>
      <c r="L30" s="1"/>
      <c r="M30" s="1"/>
      <c r="N30" s="1"/>
      <c r="O30" s="1"/>
      <c r="P30" s="1"/>
    </row>
    <row r="31">
      <c r="A31" s="1"/>
      <c r="B31" s="7" t="s">
        <v>52</v>
      </c>
      <c r="C31" s="61" t="s">
        <v>53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>
      <c r="A33" s="1"/>
      <c r="B33" s="32" t="s">
        <v>54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>
      <c r="A34" s="1"/>
      <c r="B34" s="1" t="s">
        <v>55</v>
      </c>
      <c r="C34" s="18">
        <v>0.5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>
      <c r="A35" s="1"/>
      <c r="B35" s="1" t="s">
        <v>56</v>
      </c>
      <c r="C35" s="46">
        <v>0.0001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>
      <c r="A37" s="1"/>
      <c r="B37" s="32" t="s">
        <v>57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ht="28.5">
      <c r="A38" s="1"/>
      <c r="B38" s="1" t="s">
        <v>58</v>
      </c>
      <c r="C38" s="38">
        <v>87450</v>
      </c>
      <c r="D38" s="1"/>
      <c r="E38" s="1"/>
      <c r="F38" s="1"/>
      <c r="G38" s="1"/>
      <c r="H38" s="1"/>
      <c r="I38" s="1"/>
      <c r="J38" s="1"/>
      <c r="K38" s="133" t="s">
        <v>59</v>
      </c>
      <c r="L38" s="1"/>
      <c r="M38" s="1"/>
      <c r="N38" s="1"/>
      <c r="O38" s="1"/>
      <c r="P38" s="1"/>
    </row>
    <row r="39">
      <c r="A39" s="1"/>
      <c r="B39" s="1" t="s">
        <v>60</v>
      </c>
      <c r="C39" s="38">
        <v>10000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>
      <c r="A40" s="1"/>
      <c r="B40" s="1" t="s">
        <v>61</v>
      </c>
      <c r="C40" s="38">
        <v>2000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>
      <c r="A41" s="1"/>
      <c r="B41" s="1" t="s">
        <v>62</v>
      </c>
      <c r="C41" s="111" t="str">
        <f>IF(C38&gt;C39,"Large",IF(C38&gt;=C40,"Mid","Small"))</f>
        <v>Large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>
      <c r="A42" s="1"/>
      <c r="B42" s="1" t="s">
        <v>63</v>
      </c>
      <c r="C42" s="110" t="str">
        <f>Inputs!C15</f>
        <v>Y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>
      <c r="A43" s="1"/>
      <c r="B43" s="1" t="s">
        <v>64</v>
      </c>
      <c r="C43" s="50">
        <v>0.78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>
      <c r="A44" s="1"/>
      <c r="B44" s="1" t="s">
        <v>65</v>
      </c>
      <c r="C44" s="50">
        <v>0.7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>
      <c r="A45" s="1"/>
      <c r="B45" s="1" t="s">
        <v>66</v>
      </c>
      <c r="C45" s="50">
        <v>0.6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>
      <c r="A46" s="1"/>
      <c r="B46" s="1" t="s">
        <v>67</v>
      </c>
      <c r="C46" s="47">
        <f>IF(OR(C41="Large",C42="Y"),C43,IF(C41="Mid",C44,C45))</f>
        <v>0.78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>
      <c r="A47" s="1"/>
      <c r="B47" s="1" t="s">
        <v>68</v>
      </c>
      <c r="C47" s="37">
        <f>SUMPRODUCT(--(Inputs!E84:E89&gt;Inputs!D84:D89))</f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>
      <c r="A48" s="1"/>
      <c r="B48" s="1" t="s">
        <v>69</v>
      </c>
      <c r="C48" s="37">
        <f>COUNTIFS(Inputs!D84:D89,"&gt;-9.9E+307",Inputs!E84:E89,"&gt;-9.9E+307")</f>
        <v>6</v>
      </c>
      <c r="D48" s="1"/>
      <c r="E48" s="1"/>
      <c r="F48" s="1"/>
      <c r="G48" s="1"/>
      <c r="H48" s="1"/>
      <c r="I48" s="1"/>
      <c r="J48" s="1"/>
      <c r="K48" s="1" t="s">
        <v>70</v>
      </c>
      <c r="L48" s="1"/>
      <c r="M48" s="1"/>
      <c r="N48" s="1"/>
      <c r="O48" s="1"/>
      <c r="P48" s="1"/>
    </row>
    <row r="49">
      <c r="A49" s="1"/>
      <c r="B49" s="1" t="s">
        <v>71</v>
      </c>
      <c r="C49" s="38">
        <v>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>
      <c r="A50" s="1"/>
      <c r="B50" s="1" t="s">
        <v>72</v>
      </c>
      <c r="C50" s="47">
        <f>(C49*C46+C47)/(C49+C48)</f>
        <v>0.8742857142857143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92.25">
      <c r="A51" s="1"/>
      <c r="B51" s="1" t="s">
        <v>73</v>
      </c>
      <c r="C51" s="50">
        <v>-0.19</v>
      </c>
      <c r="D51" s="1"/>
      <c r="E51" s="1"/>
      <c r="F51" s="1"/>
      <c r="G51" s="1"/>
      <c r="H51" s="1"/>
      <c r="I51" s="1"/>
      <c r="J51" s="1"/>
      <c r="K51" s="124" t="s">
        <v>74</v>
      </c>
      <c r="L51" s="1"/>
      <c r="M51" s="1"/>
      <c r="N51" s="1"/>
      <c r="O51" s="1"/>
      <c r="P51" s="1"/>
    </row>
    <row r="52">
      <c r="A52" s="1"/>
      <c r="B52" s="7" t="s">
        <v>75</v>
      </c>
      <c r="C52" s="39">
        <f>C50+C51</f>
        <v>0.6842857142857144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>
      <c r="A53" s="1"/>
      <c r="B53" s="1" t="s">
        <v>76</v>
      </c>
      <c r="C53" s="33">
        <f>SUMPRODUCT(Inputs!E84:E89-Inputs!D84:D89)/C48</f>
        <v>0.3033333333333332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>
      <c r="A54" s="1"/>
      <c r="B54" s="1" t="s">
        <v>77</v>
      </c>
      <c r="C54" s="33">
        <f>MIN(Inputs!E84-Inputs!D84,Inputs!E85-Inputs!D85,Inputs!E86-Inputs!D86,Inputs!E87-Inputs!D87,Inputs!E88-Inputs!D88,Inputs!E89-Inputs!D89)</f>
        <v>0.11999999999999966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>
      <c r="A55" s="1"/>
      <c r="B55" s="1" t="s">
        <v>78</v>
      </c>
      <c r="C55" s="34">
        <f>E26</f>
        <v>0.024679975797988085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>
      <c r="A57" s="1"/>
      <c r="B57" s="32" t="s">
        <v>79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>
      <c r="A58" s="1"/>
      <c r="B58" s="1" t="s">
        <v>80</v>
      </c>
      <c r="C58" s="53">
        <v>4.91</v>
      </c>
      <c r="D58" s="1"/>
      <c r="E58" s="1"/>
      <c r="F58" s="1"/>
      <c r="G58" s="1"/>
      <c r="H58" s="1"/>
      <c r="I58" s="1"/>
      <c r="J58" s="1"/>
      <c r="K58" s="1" t="s">
        <v>81</v>
      </c>
      <c r="L58" s="1"/>
      <c r="M58" s="1"/>
      <c r="N58" s="1"/>
      <c r="O58" s="1"/>
      <c r="P58" s="1"/>
    </row>
    <row r="59">
      <c r="A59" s="1"/>
      <c r="B59" s="1" t="s">
        <v>82</v>
      </c>
      <c r="C59" s="53">
        <v>4.97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>
      <c r="A60" s="1"/>
      <c r="B60" s="1" t="s">
        <v>83</v>
      </c>
      <c r="C60" s="50">
        <v>0.008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>
      <c r="A62" s="1"/>
      <c r="B62" s="32" t="s">
        <v>84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>
      <c r="A63" s="1"/>
      <c r="B63" s="3" t="s">
        <v>85</v>
      </c>
      <c r="C63" s="44" t="s">
        <v>4</v>
      </c>
      <c r="D63" s="44" t="s">
        <v>32</v>
      </c>
      <c r="E63" s="109" t="s">
        <v>86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>
      <c r="A64" s="1"/>
      <c r="B64" s="1" t="s">
        <v>87</v>
      </c>
      <c r="C64" s="12">
        <f>'Income Statement'!J33</f>
        <v>6615.1055335923265</v>
      </c>
      <c r="D64" s="12">
        <f>Inputs!C38</f>
        <v>6591.5</v>
      </c>
      <c r="E64" s="1" t="s">
        <v>88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>
      <c r="A65" s="1"/>
      <c r="B65" s="1" t="s">
        <v>89</v>
      </c>
      <c r="C65" s="12">
        <f>'Income Statement'!J57</f>
        <v>1977.9844268738611</v>
      </c>
      <c r="D65" s="14"/>
      <c r="E65" s="1" t="s">
        <v>90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>
      <c r="A66" s="1"/>
      <c r="B66" s="1" t="s">
        <v>91</v>
      </c>
      <c r="C66" s="33">
        <f>'Income Statement'!J104</f>
        <v>5.0046799757979885</v>
      </c>
      <c r="D66" s="33">
        <f>Inputs!C22</f>
        <v>4.98</v>
      </c>
      <c r="E66" s="1" t="s">
        <v>92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>
      <c r="A67" s="1"/>
      <c r="B67" s="1" t="s">
        <v>93</v>
      </c>
      <c r="C67" s="33">
        <f>'Income Statement'!J66</f>
        <v>4.9060948988448985</v>
      </c>
      <c r="D67" s="33">
        <f>Inputs!C31</f>
        <v>4.89</v>
      </c>
      <c r="E67" s="1" t="s">
        <v>94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>
      <c r="A68" s="1"/>
      <c r="B68" s="1" t="s">
        <v>95</v>
      </c>
      <c r="C68" s="12">
        <f>'Share Count'!J37</f>
        <v>400.66916029081636</v>
      </c>
      <c r="D68" s="14"/>
      <c r="E68" s="1" t="s">
        <v>96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>
      <c r="A69" s="1"/>
      <c r="B69" s="1" t="s">
        <v>97</v>
      </c>
      <c r="C69" s="52">
        <f>'Income Statement'!J34</f>
        <v>0.11836103695559208</v>
      </c>
      <c r="D69" s="47"/>
      <c r="E69" s="1" t="s">
        <v>98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>
      <c r="A70" s="1"/>
      <c r="B70" s="1" t="s">
        <v>99</v>
      </c>
      <c r="C70" s="12">
        <f>'Segment - Retail Banking'!J106</f>
        <v>4143.254546273479</v>
      </c>
      <c r="D70" s="14"/>
      <c r="E70" s="1" t="s">
        <v>100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>
      <c r="A71" s="1"/>
      <c r="B71" s="1" t="s">
        <v>101</v>
      </c>
      <c r="C71" s="12">
        <f>'Segment - Corp &amp; Inst Banking'!J83</f>
        <v>3254.253056243567</v>
      </c>
      <c r="D71" s="14"/>
      <c r="E71" s="1" t="s">
        <v>102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>
      <c r="A72" s="1"/>
      <c r="B72" s="1" t="s">
        <v>103</v>
      </c>
      <c r="C72" s="12">
        <f>'Segment - Asset Management'!J82</f>
        <v>478.3165654565164</v>
      </c>
      <c r="D72" s="14"/>
      <c r="E72" s="1" t="s">
        <v>104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>
      <c r="A73" s="1"/>
      <c r="B73" s="1" t="s">
        <v>105</v>
      </c>
      <c r="C73" s="12">
        <f>'Income Statement'!J49</f>
        <v>2583.1055335923265</v>
      </c>
      <c r="D73" s="12">
        <f>Inputs!C50</f>
        <v>2565.99</v>
      </c>
      <c r="E73" s="1" t="s">
        <v>106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>
      <c r="A74" s="1"/>
      <c r="B74" s="1" t="s">
        <v>107</v>
      </c>
      <c r="C74" s="12">
        <f>'Income Statement'!J17</f>
        <v>4245.026533592327</v>
      </c>
      <c r="D74" s="14"/>
      <c r="E74" s="1" t="s">
        <v>108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>
      <c r="A75" s="1"/>
      <c r="B75" s="1" t="s">
        <v>109</v>
      </c>
      <c r="C75" s="12">
        <f>'Income Statement'!J30</f>
        <v>2370.079</v>
      </c>
      <c r="D75" s="14"/>
      <c r="E75" s="1" t="s">
        <v>110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>
      <c r="A76" s="1"/>
      <c r="B76" s="1" t="s">
        <v>111</v>
      </c>
      <c r="C76" s="12">
        <f>'Income Statement'!J25</f>
        <v>2200.079</v>
      </c>
      <c r="D76" s="14"/>
      <c r="E76" s="1" t="s">
        <v>112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>
      <c r="A77" s="1"/>
      <c r="B77" s="1" t="s">
        <v>113</v>
      </c>
      <c r="C77" s="12">
        <f>'Income Statement'!J45</f>
        <v>3802</v>
      </c>
      <c r="D77" s="14"/>
      <c r="E77" s="1" t="s">
        <v>114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>
      <c r="A78" s="1"/>
      <c r="B78" s="1" t="s">
        <v>115</v>
      </c>
      <c r="C78" s="12">
        <f>'Income Statement'!J110</f>
        <v>3752</v>
      </c>
      <c r="D78" s="14"/>
      <c r="E78" s="1" t="s">
        <v>116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>
      <c r="A79" s="1"/>
      <c r="B79" s="1" t="s">
        <v>117</v>
      </c>
      <c r="C79" s="12">
        <f>'Income Statement'!J37</f>
        <v>230</v>
      </c>
      <c r="D79" s="14"/>
      <c r="E79" s="1" t="s">
        <v>118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>
      <c r="A80" s="1"/>
      <c r="B80" s="1" t="s">
        <v>119</v>
      </c>
      <c r="C80" s="60">
        <f>'Revenue summary'!J207</f>
        <v>0.029965317417749642</v>
      </c>
      <c r="D80" s="43"/>
      <c r="E80" s="1" t="s">
        <v>120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>
      <c r="A81" s="1"/>
      <c r="B81" s="1" t="s">
        <v>121</v>
      </c>
      <c r="C81" s="12">
        <f>'Revenue summary'!J61</f>
        <v>368532</v>
      </c>
      <c r="D81" s="14"/>
      <c r="E81" s="1" t="s">
        <v>122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>
      <c r="A82" s="1"/>
      <c r="B82" s="1" t="s">
        <v>123</v>
      </c>
      <c r="C82" s="12">
        <f>'Revenue summary'!J104</f>
        <v>460500</v>
      </c>
      <c r="D82" s="14"/>
      <c r="E82" s="1" t="s">
        <v>124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>
      <c r="A83" s="1"/>
      <c r="B83" s="1" t="s">
        <v>125</v>
      </c>
      <c r="C83" s="112" t="s">
        <v>126</v>
      </c>
      <c r="D83" s="14"/>
      <c r="E83" s="1" t="s">
        <v>127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>
      <c r="A84" s="1"/>
      <c r="B84" s="1" t="s">
        <v>128</v>
      </c>
      <c r="C84" s="45" t="s">
        <v>129</v>
      </c>
      <c r="D84" s="45"/>
      <c r="E84" s="1" t="s">
        <v>130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>
      <c r="A85" s="1"/>
      <c r="B85" s="1" t="s">
        <v>131</v>
      </c>
      <c r="C85" s="45" t="s">
        <v>40</v>
      </c>
      <c r="D85" s="45"/>
      <c r="E85" s="1" t="s">
        <v>132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141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7" t="s">
        <v>142</v>
      </c>
      <c r="C10" s="89">
        <f>'Income Statement'!C33</f>
        <v>5452</v>
      </c>
      <c r="D10" s="89">
        <f>'Income Statement'!D33</f>
        <v>5661</v>
      </c>
      <c r="E10" s="89">
        <f>'Income Statement'!E33</f>
        <v>5915</v>
      </c>
      <c r="F10" s="89">
        <f>'Income Statement'!F33</f>
        <v>6071</v>
      </c>
      <c r="G10" s="89">
        <f>'Income Statement'!G33</f>
        <v>23099</v>
      </c>
      <c r="H10" s="89">
        <f>'Income Statement'!H33</f>
        <v>6165</v>
      </c>
      <c r="I10" s="89">
        <f>'Income Statement'!I33</f>
        <v>6875</v>
      </c>
      <c r="J10" s="88">
        <f>'Income Statement'!J33</f>
        <v>6615.1055335923265</v>
      </c>
      <c r="K10" s="1"/>
      <c r="L10" s="1"/>
      <c r="M10" s="1"/>
      <c r="N10" s="1"/>
      <c r="O10" s="1"/>
      <c r="P10" s="1"/>
    </row>
    <row r="11">
      <c r="A11" s="1"/>
      <c r="B11" s="6" t="s">
        <v>143</v>
      </c>
      <c r="C11" s="21"/>
      <c r="D11" s="21"/>
      <c r="E11" s="21"/>
      <c r="F11" s="21"/>
      <c r="G11" s="21"/>
      <c r="H11" s="21">
        <f>IF(AND(ISNUMBER(H10),ISNUMBER(C10)),IF(C10&lt;=0,"n.m.",IFERROR(H10/C10-1,"n.a.")),"n.a.")</f>
        <v>0.13077769625825386</v>
      </c>
      <c r="I11" s="21">
        <f>IF(AND(ISNUMBER(I10),ISNUMBER(D10)),IF(D10&lt;=0,"n.m.",IFERROR(I10/D10-1,"n.a.")),"n.a.")</f>
        <v>0.2144497438615085</v>
      </c>
      <c r="J11" s="29">
        <f>IF(AND(ISNUMBER(J10),ISNUMBER(E10)),IF(E10&lt;=0,"n.m.",IFERROR(J10/E10-1,"n.a.")),"n.a.")</f>
        <v>0.11836103695559208</v>
      </c>
      <c r="K11" s="1"/>
      <c r="L11" s="1"/>
      <c r="M11" s="1"/>
      <c r="N11" s="1"/>
      <c r="O11" s="1"/>
      <c r="P11" s="1"/>
    </row>
    <row r="12">
      <c r="A12" s="1"/>
      <c r="B12" s="6" t="s">
        <v>144</v>
      </c>
      <c r="C12" s="21"/>
      <c r="D12" s="21">
        <f>IF(AND(ISNUMBER(D10),ISNUMBER(C10)),IF(C10&lt;=0,"n.m.",IFERROR(D10/C10-1,"n.a.")),"n.a.")</f>
        <v>0.0383345561261923</v>
      </c>
      <c r="E12" s="21">
        <f>IF(AND(ISNUMBER(E10),ISNUMBER(D10)),IF(D10&lt;=0,"n.m.",IFERROR(E10/D10-1,"n.a.")),"n.a.")</f>
        <v>0.0448683978095743</v>
      </c>
      <c r="F12" s="21">
        <f>IF(AND(ISNUMBER(F10),ISNUMBER(E10)),IF(E10&lt;=0,"n.m.",IFERROR(F10/E10-1,"n.a.")),"n.a.")</f>
        <v>0.02637362637362628</v>
      </c>
      <c r="G12" s="21"/>
      <c r="H12" s="21">
        <f>IF(AND(ISNUMBER(H10),ISNUMBER(F10)),IF(F10&lt;=0,"n.m.",IFERROR(H10/F10-1,"n.a.")),"n.a.")</f>
        <v>0.015483445890298153</v>
      </c>
      <c r="I12" s="21">
        <f>IF(AND(ISNUMBER(I10),ISNUMBER(H10)),IF(H10&lt;=0,"n.m.",IFERROR(I10/H10-1,"n.a.")),"n.a.")</f>
        <v>0.11516626115166262</v>
      </c>
      <c r="J12" s="29">
        <f>IF(AND(ISNUMBER(J10),ISNUMBER(I10)),IF(I10&lt;=0,"n.m.",IFERROR(J10/I10-1,"n.a.")),"n.a.")</f>
        <v>-0.03780283147747976</v>
      </c>
      <c r="K12" s="1"/>
      <c r="L12" s="1"/>
      <c r="M12" s="1"/>
      <c r="N12" s="1"/>
      <c r="O12" s="1"/>
      <c r="P12" s="1"/>
    </row>
    <row r="13" ht="41.25">
      <c r="A13" s="1"/>
      <c r="B13" s="6" t="s">
        <v>145</v>
      </c>
      <c r="C13" s="21"/>
      <c r="D13" s="21"/>
      <c r="E13" s="21"/>
      <c r="F13" s="21"/>
      <c r="G13" s="21"/>
      <c r="H13" s="67" t="s">
        <v>129</v>
      </c>
      <c r="I13" s="67" t="s">
        <v>129</v>
      </c>
      <c r="J13" s="28" t="s">
        <v>129</v>
      </c>
      <c r="K13" s="134" t="s">
        <v>146</v>
      </c>
      <c r="L13" s="1"/>
      <c r="M13" s="1"/>
      <c r="N13" s="1"/>
      <c r="O13" s="1"/>
      <c r="P13" s="1"/>
    </row>
    <row r="14" ht="28.5">
      <c r="A14" s="1"/>
      <c r="B14" s="6" t="s">
        <v>147</v>
      </c>
      <c r="C14" s="21"/>
      <c r="D14" s="21"/>
      <c r="E14" s="21"/>
      <c r="F14" s="21"/>
      <c r="G14" s="21"/>
      <c r="H14" s="67" t="s">
        <v>129</v>
      </c>
      <c r="I14" s="67" t="s">
        <v>129</v>
      </c>
      <c r="J14" s="28" t="s">
        <v>129</v>
      </c>
      <c r="K14" s="134" t="s">
        <v>148</v>
      </c>
      <c r="L14" s="1"/>
      <c r="M14" s="1"/>
      <c r="N14" s="1"/>
      <c r="O14" s="1"/>
      <c r="P14" s="1"/>
    </row>
    <row r="15">
      <c r="A15" s="1"/>
      <c r="B15" s="6" t="s">
        <v>149</v>
      </c>
      <c r="C15" s="21"/>
      <c r="D15" s="21"/>
      <c r="E15" s="21"/>
      <c r="F15" s="21"/>
      <c r="G15" s="21"/>
      <c r="H15" s="21" t="str">
        <f>IF(AND(ISNUMBER(H11),ISNUMBER(H13),ISNUMBER(H14)),(1+H11)/((1+H13)*(1+H14))-1,"n.a.")</f>
        <v>n.a.</v>
      </c>
      <c r="I15" s="21" t="str">
        <f>IF(AND(ISNUMBER(I11),ISNUMBER(I13),ISNUMBER(I14)),(1+I11)/((1+I13)*(1+I14))-1,"n.a.")</f>
        <v>n.a.</v>
      </c>
      <c r="J15" s="29" t="str">
        <f>IF(AND(ISNUMBER(J11),ISNUMBER(J13),ISNUMBER(J14)),(1+J11)/((1+J13)*(1+J14))-1,"n.a.")</f>
        <v>n.a.</v>
      </c>
      <c r="K15" s="1"/>
      <c r="L15" s="1"/>
      <c r="M15" s="1"/>
      <c r="N15" s="1"/>
      <c r="O15" s="1"/>
      <c r="P15" s="1"/>
    </row>
    <row r="16">
      <c r="A16" s="1"/>
      <c r="B16" s="1" t="s">
        <v>150</v>
      </c>
      <c r="C16" s="12">
        <f>'Segment - Retail Banking'!C106</f>
        <v>3579</v>
      </c>
      <c r="D16" s="12">
        <f>'Segment - Retail Banking'!D106</f>
        <v>3792</v>
      </c>
      <c r="E16" s="12">
        <f>'Segment - Retail Banking'!E106</f>
        <v>3840</v>
      </c>
      <c r="F16" s="12">
        <f>'Segment - Retail Banking'!F106</f>
        <v>3792</v>
      </c>
      <c r="G16" s="12">
        <f>'Segment - Retail Banking'!G106</f>
        <v>15003</v>
      </c>
      <c r="H16" s="12">
        <f>'Segment - Retail Banking'!H106</f>
        <v>4007</v>
      </c>
      <c r="I16" s="12">
        <f>'Segment - Retail Banking'!I106</f>
        <v>4518</v>
      </c>
      <c r="J16" s="35">
        <f>'Segment - Retail Banking'!J106</f>
        <v>4143.254546273479</v>
      </c>
      <c r="K16" s="1"/>
      <c r="L16" s="1"/>
      <c r="M16" s="1"/>
      <c r="N16" s="1"/>
      <c r="O16" s="1"/>
      <c r="P16" s="1"/>
    </row>
    <row r="17">
      <c r="A17" s="1"/>
      <c r="B17" s="6" t="s">
        <v>143</v>
      </c>
      <c r="C17" s="21"/>
      <c r="D17" s="21"/>
      <c r="E17" s="21"/>
      <c r="F17" s="21"/>
      <c r="G17" s="21"/>
      <c r="H17" s="21">
        <f>IF(AND(ISNUMBER(H16),ISNUMBER(C16)),IF(C16&lt;=0,"n.m.",IFERROR(H16/C16-1,"n.a.")),"n.a.")</f>
        <v>0.11958647666946076</v>
      </c>
      <c r="I17" s="21">
        <f>IF(AND(ISNUMBER(I16),ISNUMBER(D16)),IF(D16&lt;=0,"n.m.",IFERROR(I16/D16-1,"n.a.")),"n.a.")</f>
        <v>0.19145569620253156</v>
      </c>
      <c r="J17" s="29">
        <f>IF(AND(ISNUMBER(J16),ISNUMBER(E16)),IF(E16&lt;=0,"n.m.",IFERROR(J16/E16-1,"n.a.")),"n.a.")</f>
        <v>0.07897253809205185</v>
      </c>
      <c r="K17" s="1"/>
      <c r="L17" s="1"/>
      <c r="M17" s="1"/>
      <c r="N17" s="1"/>
      <c r="O17" s="1"/>
      <c r="P17" s="1"/>
    </row>
    <row r="18">
      <c r="A18" s="1"/>
      <c r="B18" s="6" t="s">
        <v>144</v>
      </c>
      <c r="C18" s="21"/>
      <c r="D18" s="21">
        <f>IF(AND(ISNUMBER(D16),ISNUMBER(C16)),IF(C16&lt;=0,"n.m.",IFERROR(D16/C16-1,"n.a.")),"n.a.")</f>
        <v>0.059513830678960655</v>
      </c>
      <c r="E18" s="21">
        <f>IF(AND(ISNUMBER(E16),ISNUMBER(D16)),IF(D16&lt;=0,"n.m.",IFERROR(E16/D16-1,"n.a.")),"n.a.")</f>
        <v>0.012658227848101333</v>
      </c>
      <c r="F18" s="21">
        <f>IF(AND(ISNUMBER(F16),ISNUMBER(E16)),IF(E16&lt;=0,"n.m.",IFERROR(F16/E16-1,"n.a.")),"n.a.")</f>
        <v>-0.012499999999999956</v>
      </c>
      <c r="G18" s="21"/>
      <c r="H18" s="21">
        <f>IF(AND(ISNUMBER(H16),ISNUMBER(F16)),IF(F16&lt;=0,"n.m.",IFERROR(H16/F16-1,"n.a.")),"n.a.")</f>
        <v>0.05669831223628696</v>
      </c>
      <c r="I18" s="21">
        <f>IF(AND(ISNUMBER(I16),ISNUMBER(H16)),IF(H16&lt;=0,"n.m.",IFERROR(I16/H16-1,"n.a.")),"n.a.")</f>
        <v>0.12752682805091098</v>
      </c>
      <c r="J18" s="29">
        <f>IF(AND(ISNUMBER(J16),ISNUMBER(I16)),IF(I16&lt;=0,"n.m.",IFERROR(J16/I16-1,"n.a.")),"n.a.")</f>
        <v>-0.08294498754460411</v>
      </c>
      <c r="K18" s="1"/>
      <c r="L18" s="1"/>
      <c r="M18" s="1"/>
      <c r="N18" s="1"/>
      <c r="O18" s="1"/>
      <c r="P18" s="1"/>
    </row>
    <row r="19">
      <c r="A19" s="1"/>
      <c r="B19" s="6" t="s">
        <v>151</v>
      </c>
      <c r="C19" s="21">
        <f>IFERROR(C16/C10,"")</f>
        <v>0.6564563462949377</v>
      </c>
      <c r="D19" s="21">
        <f>IFERROR(D16/D10,"")</f>
        <v>0.6698463169051404</v>
      </c>
      <c r="E19" s="21">
        <f>IFERROR(E16/E10,"")</f>
        <v>0.6491969568892646</v>
      </c>
      <c r="F19" s="21">
        <f>IFERROR(F16/F10,"")</f>
        <v>0.6246087959150057</v>
      </c>
      <c r="G19" s="21">
        <f>IFERROR(G16/G10,"")</f>
        <v>0.6495086367375211</v>
      </c>
      <c r="H19" s="21">
        <f>IFERROR(H16/H10,"")</f>
        <v>0.6499594484995945</v>
      </c>
      <c r="I19" s="21">
        <f>IFERROR(I16/I10,"")</f>
        <v>0.6571636363636364</v>
      </c>
      <c r="J19" s="29">
        <f>IFERROR(J16/J10,"")</f>
        <v>0.626332342731876</v>
      </c>
      <c r="K19" s="1"/>
      <c r="L19" s="1"/>
      <c r="M19" s="1"/>
      <c r="N19" s="1"/>
      <c r="O19" s="1"/>
      <c r="P19" s="1"/>
    </row>
    <row r="20" ht="41.25">
      <c r="A20" s="1"/>
      <c r="B20" s="6" t="s">
        <v>145</v>
      </c>
      <c r="C20" s="21"/>
      <c r="D20" s="21"/>
      <c r="E20" s="21"/>
      <c r="F20" s="21"/>
      <c r="G20" s="21"/>
      <c r="H20" s="67" t="s">
        <v>129</v>
      </c>
      <c r="I20" s="67" t="s">
        <v>129</v>
      </c>
      <c r="J20" s="28" t="s">
        <v>129</v>
      </c>
      <c r="K20" s="134" t="s">
        <v>146</v>
      </c>
      <c r="L20" s="1"/>
      <c r="M20" s="1"/>
      <c r="N20" s="1"/>
      <c r="O20" s="1"/>
      <c r="P20" s="1"/>
    </row>
    <row r="21" ht="28.5">
      <c r="A21" s="1"/>
      <c r="B21" s="6" t="s">
        <v>147</v>
      </c>
      <c r="C21" s="21"/>
      <c r="D21" s="21"/>
      <c r="E21" s="21"/>
      <c r="F21" s="21"/>
      <c r="G21" s="21"/>
      <c r="H21" s="67" t="s">
        <v>129</v>
      </c>
      <c r="I21" s="67" t="s">
        <v>129</v>
      </c>
      <c r="J21" s="28" t="s">
        <v>129</v>
      </c>
      <c r="K21" s="134" t="s">
        <v>148</v>
      </c>
      <c r="L21" s="1"/>
      <c r="M21" s="1"/>
      <c r="N21" s="1"/>
      <c r="O21" s="1"/>
      <c r="P21" s="1"/>
    </row>
    <row r="22">
      <c r="A22" s="1"/>
      <c r="B22" s="6" t="s">
        <v>149</v>
      </c>
      <c r="C22" s="21"/>
      <c r="D22" s="21"/>
      <c r="E22" s="21"/>
      <c r="F22" s="21"/>
      <c r="G22" s="21"/>
      <c r="H22" s="21" t="str">
        <f>IF(AND(ISNUMBER(H17),ISNUMBER(H20),ISNUMBER(H21)),(1+H17)/((1+H20)*(1+H21))-1,"n.a.")</f>
        <v>n.a.</v>
      </c>
      <c r="I22" s="21" t="str">
        <f>IF(AND(ISNUMBER(I17),ISNUMBER(I20),ISNUMBER(I21)),(1+I17)/((1+I20)*(1+I21))-1,"n.a.")</f>
        <v>n.a.</v>
      </c>
      <c r="J22" s="29" t="str">
        <f>IF(AND(ISNUMBER(J17),ISNUMBER(J20),ISNUMBER(J21)),(1+J17)/((1+J20)*(1+J21))-1,"n.a.")</f>
        <v>n.a.</v>
      </c>
      <c r="K22" s="1"/>
      <c r="L22" s="1"/>
      <c r="M22" s="1"/>
      <c r="N22" s="1"/>
      <c r="O22" s="1"/>
      <c r="P22" s="1"/>
    </row>
    <row r="23">
      <c r="A23" s="1"/>
      <c r="B23" s="1" t="s">
        <v>152</v>
      </c>
      <c r="C23" s="12">
        <f>'Segment - Corp &amp; Inst Banking'!C83</f>
        <v>2746</v>
      </c>
      <c r="D23" s="12">
        <f>'Segment - Corp &amp; Inst Banking'!D83</f>
        <v>2836</v>
      </c>
      <c r="E23" s="12">
        <f>'Segment - Corp &amp; Inst Banking'!E83</f>
        <v>3020</v>
      </c>
      <c r="F23" s="12">
        <f>'Segment - Corp &amp; Inst Banking'!F83</f>
        <v>3175</v>
      </c>
      <c r="G23" s="12">
        <f>'Segment - Corp &amp; Inst Banking'!G83</f>
        <v>11777</v>
      </c>
      <c r="H23" s="12">
        <f>'Segment - Corp &amp; Inst Banking'!H83</f>
        <v>3086</v>
      </c>
      <c r="I23" s="12">
        <f>'Segment - Corp &amp; Inst Banking'!I83</f>
        <v>3283</v>
      </c>
      <c r="J23" s="35">
        <f>'Segment - Corp &amp; Inst Banking'!J83</f>
        <v>3254.253056243567</v>
      </c>
      <c r="K23" s="1"/>
      <c r="L23" s="1"/>
      <c r="M23" s="1"/>
      <c r="N23" s="1"/>
      <c r="O23" s="1"/>
      <c r="P23" s="1"/>
    </row>
    <row r="24">
      <c r="A24" s="1"/>
      <c r="B24" s="6" t="s">
        <v>143</v>
      </c>
      <c r="C24" s="21"/>
      <c r="D24" s="21"/>
      <c r="E24" s="21"/>
      <c r="F24" s="21"/>
      <c r="G24" s="21"/>
      <c r="H24" s="21">
        <f>IF(AND(ISNUMBER(H23),ISNUMBER(C23)),IF(C23&lt;=0,"n.m.",IFERROR(H23/C23-1,"n.a.")),"n.a.")</f>
        <v>0.12381646030589954</v>
      </c>
      <c r="I24" s="21">
        <f>IF(AND(ISNUMBER(I23),ISNUMBER(D23)),IF(D23&lt;=0,"n.m.",IFERROR(I23/D23-1,"n.a.")),"n.a.")</f>
        <v>0.15761636107193233</v>
      </c>
      <c r="J24" s="29">
        <f>IF(AND(ISNUMBER(J23),ISNUMBER(E23)),IF(E23&lt;=0,"n.m.",IFERROR(J23/E23-1,"n.a.")),"n.a.")</f>
        <v>0.07756723716674396</v>
      </c>
      <c r="K24" s="1"/>
      <c r="L24" s="1"/>
      <c r="M24" s="1"/>
      <c r="N24" s="1"/>
      <c r="O24" s="1"/>
      <c r="P24" s="1"/>
    </row>
    <row r="25">
      <c r="A25" s="1"/>
      <c r="B25" s="6" t="s">
        <v>144</v>
      </c>
      <c r="C25" s="21"/>
      <c r="D25" s="21">
        <f>IF(AND(ISNUMBER(D23),ISNUMBER(C23)),IF(C23&lt;=0,"n.m.",IFERROR(D23/C23-1,"n.a.")),"n.a.")</f>
        <v>0.03277494537509096</v>
      </c>
      <c r="E25" s="21">
        <f>IF(AND(ISNUMBER(E23),ISNUMBER(D23)),IF(D23&lt;=0,"n.m.",IFERROR(E23/D23-1,"n.a.")),"n.a.")</f>
        <v>0.06488011283497874</v>
      </c>
      <c r="F25" s="21">
        <f>IF(AND(ISNUMBER(F23),ISNUMBER(E23)),IF(E23&lt;=0,"n.m.",IFERROR(F23/E23-1,"n.a.")),"n.a.")</f>
        <v>0.051324503311258374</v>
      </c>
      <c r="G25" s="21"/>
      <c r="H25" s="21">
        <f>IF(AND(ISNUMBER(H23),ISNUMBER(F23)),IF(F23&lt;=0,"n.m.",IFERROR(H23/F23-1,"n.a.")),"n.a.")</f>
        <v>-0.028031496062992156</v>
      </c>
      <c r="I25" s="21">
        <f>IF(AND(ISNUMBER(I23),ISNUMBER(H23)),IF(H23&lt;=0,"n.m.",IFERROR(I23/H23-1,"n.a.")),"n.a.")</f>
        <v>0.06383668178872326</v>
      </c>
      <c r="J25" s="29">
        <f>IF(AND(ISNUMBER(J23),ISNUMBER(I23)),IF(I23&lt;=0,"n.m.",IFERROR(J23/I23-1,"n.a.")),"n.a.")</f>
        <v>-0.008756303306863611</v>
      </c>
      <c r="K25" s="1"/>
      <c r="L25" s="1"/>
      <c r="M25" s="1"/>
      <c r="N25" s="1"/>
      <c r="O25" s="1"/>
      <c r="P25" s="1"/>
    </row>
    <row r="26">
      <c r="A26" s="1"/>
      <c r="B26" s="6" t="s">
        <v>151</v>
      </c>
      <c r="C26" s="21">
        <f>IFERROR(C23/C10,"")</f>
        <v>0.5036683785766691</v>
      </c>
      <c r="D26" s="21">
        <f>IFERROR(D23/D10,"")</f>
        <v>0.5009715597950892</v>
      </c>
      <c r="E26" s="21">
        <f>IFERROR(E23/E10,"")</f>
        <v>0.5105663567202029</v>
      </c>
      <c r="F26" s="21">
        <f>IFERROR(F23/F10,"")</f>
        <v>0.5229780925712403</v>
      </c>
      <c r="G26" s="21">
        <f>IFERROR(G23/G10,"")</f>
        <v>0.5098489112082775</v>
      </c>
      <c r="H26" s="21">
        <f>IFERROR(H23/H10,"")</f>
        <v>0.5005677210056773</v>
      </c>
      <c r="I26" s="21">
        <f>IFERROR(I23/I10,"")</f>
        <v>0.47752727272727274</v>
      </c>
      <c r="J26" s="29">
        <f>IFERROR(J23/J10,"")</f>
        <v>0.4919427270990714</v>
      </c>
      <c r="K26" s="1"/>
      <c r="L26" s="1"/>
      <c r="M26" s="1"/>
      <c r="N26" s="1"/>
      <c r="O26" s="1"/>
      <c r="P26" s="1"/>
    </row>
    <row r="27" ht="41.25">
      <c r="A27" s="1"/>
      <c r="B27" s="6" t="s">
        <v>145</v>
      </c>
      <c r="C27" s="21"/>
      <c r="D27" s="21"/>
      <c r="E27" s="21"/>
      <c r="F27" s="21"/>
      <c r="G27" s="21"/>
      <c r="H27" s="67" t="s">
        <v>129</v>
      </c>
      <c r="I27" s="67" t="s">
        <v>129</v>
      </c>
      <c r="J27" s="28" t="s">
        <v>129</v>
      </c>
      <c r="K27" s="134" t="s">
        <v>146</v>
      </c>
      <c r="L27" s="1"/>
      <c r="M27" s="1"/>
      <c r="N27" s="1"/>
      <c r="O27" s="1"/>
      <c r="P27" s="1"/>
    </row>
    <row r="28" ht="28.5">
      <c r="A28" s="1"/>
      <c r="B28" s="6" t="s">
        <v>147</v>
      </c>
      <c r="C28" s="21"/>
      <c r="D28" s="21"/>
      <c r="E28" s="21"/>
      <c r="F28" s="21"/>
      <c r="G28" s="21"/>
      <c r="H28" s="67" t="s">
        <v>129</v>
      </c>
      <c r="I28" s="67" t="s">
        <v>129</v>
      </c>
      <c r="J28" s="28" t="s">
        <v>129</v>
      </c>
      <c r="K28" s="134" t="s">
        <v>148</v>
      </c>
      <c r="L28" s="1"/>
      <c r="M28" s="1"/>
      <c r="N28" s="1"/>
      <c r="O28" s="1"/>
      <c r="P28" s="1"/>
    </row>
    <row r="29">
      <c r="A29" s="1"/>
      <c r="B29" s="6" t="s">
        <v>149</v>
      </c>
      <c r="C29" s="21"/>
      <c r="D29" s="21"/>
      <c r="E29" s="21"/>
      <c r="F29" s="21"/>
      <c r="G29" s="21"/>
      <c r="H29" s="21" t="str">
        <f>IF(AND(ISNUMBER(H24),ISNUMBER(H27),ISNUMBER(H28)),(1+H24)/((1+H27)*(1+H28))-1,"n.a.")</f>
        <v>n.a.</v>
      </c>
      <c r="I29" s="21" t="str">
        <f>IF(AND(ISNUMBER(I24),ISNUMBER(I27),ISNUMBER(I28)),(1+I24)/((1+I27)*(1+I28))-1,"n.a.")</f>
        <v>n.a.</v>
      </c>
      <c r="J29" s="29" t="str">
        <f>IF(AND(ISNUMBER(J24),ISNUMBER(J27),ISNUMBER(J28)),(1+J24)/((1+J27)*(1+J28))-1,"n.a.")</f>
        <v>n.a.</v>
      </c>
      <c r="K29" s="1"/>
      <c r="L29" s="1"/>
      <c r="M29" s="1"/>
      <c r="N29" s="1"/>
      <c r="O29" s="1"/>
      <c r="P29" s="1"/>
    </row>
    <row r="30">
      <c r="A30" s="1"/>
      <c r="B30" s="1" t="s">
        <v>153</v>
      </c>
      <c r="C30" s="12">
        <f>'Segment - Asset Management'!C82</f>
        <v>421</v>
      </c>
      <c r="D30" s="12">
        <f>'Segment - Asset Management'!D82</f>
        <v>428</v>
      </c>
      <c r="E30" s="12">
        <f>'Segment - Asset Management'!E82</f>
        <v>433</v>
      </c>
      <c r="F30" s="12">
        <f>'Segment - Asset Management'!F82</f>
        <v>444</v>
      </c>
      <c r="G30" s="12">
        <f>'Segment - Asset Management'!G82</f>
        <v>1726</v>
      </c>
      <c r="H30" s="12">
        <f>'Segment - Asset Management'!H82</f>
        <v>455</v>
      </c>
      <c r="I30" s="12">
        <f>'Segment - Asset Management'!I82</f>
        <v>462</v>
      </c>
      <c r="J30" s="35">
        <f>'Segment - Asset Management'!J82</f>
        <v>478.3165654565164</v>
      </c>
      <c r="K30" s="1"/>
      <c r="L30" s="1"/>
      <c r="M30" s="1"/>
      <c r="N30" s="1"/>
      <c r="O30" s="1"/>
      <c r="P30" s="1"/>
    </row>
    <row r="31">
      <c r="A31" s="1"/>
      <c r="B31" s="6" t="s">
        <v>143</v>
      </c>
      <c r="C31" s="21"/>
      <c r="D31" s="21"/>
      <c r="E31" s="21"/>
      <c r="F31" s="21"/>
      <c r="G31" s="21"/>
      <c r="H31" s="21">
        <f>IF(AND(ISNUMBER(H30),ISNUMBER(C30)),IF(C30&lt;=0,"n.m.",IFERROR(H30/C30-1,"n.a.")),"n.a.")</f>
        <v>0.08076009501187653</v>
      </c>
      <c r="I31" s="21">
        <f>IF(AND(ISNUMBER(I30),ISNUMBER(D30)),IF(D30&lt;=0,"n.m.",IFERROR(I30/D30-1,"n.a.")),"n.a.")</f>
        <v>0.07943925233644866</v>
      </c>
      <c r="J31" s="29">
        <f>IF(AND(ISNUMBER(J30),ISNUMBER(E30)),IF(E30&lt;=0,"n.m.",IFERROR(J30/E30-1,"n.a.")),"n.a.")</f>
        <v>0.10465719504969151</v>
      </c>
      <c r="K31" s="1"/>
      <c r="L31" s="1"/>
      <c r="M31" s="1"/>
      <c r="N31" s="1"/>
      <c r="O31" s="1"/>
      <c r="P31" s="1"/>
    </row>
    <row r="32">
      <c r="A32" s="1"/>
      <c r="B32" s="6" t="s">
        <v>144</v>
      </c>
      <c r="C32" s="21"/>
      <c r="D32" s="21">
        <f>IF(AND(ISNUMBER(D30),ISNUMBER(C30)),IF(C30&lt;=0,"n.m.",IFERROR(D30/C30-1,"n.a.")),"n.a.")</f>
        <v>0.016627078384798155</v>
      </c>
      <c r="E32" s="21">
        <f>IF(AND(ISNUMBER(E30),ISNUMBER(D30)),IF(D30&lt;=0,"n.m.",IFERROR(E30/D30-1,"n.a.")),"n.a.")</f>
        <v>0.011682242990654235</v>
      </c>
      <c r="F32" s="21">
        <f>IF(AND(ISNUMBER(F30),ISNUMBER(E30)),IF(E30&lt;=0,"n.m.",IFERROR(F30/E30-1,"n.a.")),"n.a.")</f>
        <v>0.025404157043879882</v>
      </c>
      <c r="G32" s="21"/>
      <c r="H32" s="21">
        <f>IF(AND(ISNUMBER(H30),ISNUMBER(F30)),IF(F30&lt;=0,"n.m.",IFERROR(H30/F30-1,"n.a.")),"n.a.")</f>
        <v>0.024774774774774855</v>
      </c>
      <c r="I32" s="21">
        <f>IF(AND(ISNUMBER(I30),ISNUMBER(H30)),IF(H30&lt;=0,"n.m.",IFERROR(I30/H30-1,"n.a.")),"n.a.")</f>
        <v>0.01538461538461533</v>
      </c>
      <c r="J32" s="29">
        <f>IF(AND(ISNUMBER(J30),ISNUMBER(I30)),IF(I30&lt;=0,"n.m.",IFERROR(J30/I30-1,"n.a.")),"n.a.")</f>
        <v>0.035317241247871056</v>
      </c>
      <c r="K32" s="1"/>
      <c r="L32" s="1"/>
      <c r="M32" s="1"/>
      <c r="N32" s="1"/>
      <c r="O32" s="1"/>
      <c r="P32" s="1"/>
    </row>
    <row r="33">
      <c r="A33" s="1"/>
      <c r="B33" s="6" t="s">
        <v>151</v>
      </c>
      <c r="C33" s="21">
        <f>IFERROR(C30/C10,"")</f>
        <v>0.07721936903888481</v>
      </c>
      <c r="D33" s="21">
        <f>IFERROR(D30/D10,"")</f>
        <v>0.07560501678148737</v>
      </c>
      <c r="E33" s="21">
        <f>IFERROR(E30/E10,"")</f>
        <v>0.0732037193575655</v>
      </c>
      <c r="F33" s="21">
        <f>IFERROR(F30/F10,"")</f>
        <v>0.07313457420523801</v>
      </c>
      <c r="G33" s="21">
        <f>IFERROR(G30/G10,"")</f>
        <v>0.07472184943071129</v>
      </c>
      <c r="H33" s="21">
        <f>IFERROR(H30/H10,"")</f>
        <v>0.07380373073803731</v>
      </c>
      <c r="I33" s="21">
        <f>IFERROR(I30/I10,"")</f>
        <v>0.0672</v>
      </c>
      <c r="J33" s="29">
        <f>IFERROR(J30/J10,"")</f>
        <v>0.07230671725909217</v>
      </c>
      <c r="K33" s="1"/>
      <c r="L33" s="1"/>
      <c r="M33" s="1"/>
      <c r="N33" s="1"/>
      <c r="O33" s="1"/>
      <c r="P33" s="1"/>
    </row>
    <row r="34" ht="41.25">
      <c r="A34" s="1"/>
      <c r="B34" s="6" t="s">
        <v>145</v>
      </c>
      <c r="C34" s="21"/>
      <c r="D34" s="21"/>
      <c r="E34" s="21"/>
      <c r="F34" s="21"/>
      <c r="G34" s="21"/>
      <c r="H34" s="67" t="s">
        <v>129</v>
      </c>
      <c r="I34" s="67" t="s">
        <v>129</v>
      </c>
      <c r="J34" s="28" t="s">
        <v>129</v>
      </c>
      <c r="K34" s="134" t="s">
        <v>146</v>
      </c>
      <c r="L34" s="1"/>
      <c r="M34" s="1"/>
      <c r="N34" s="1"/>
      <c r="O34" s="1"/>
      <c r="P34" s="1"/>
    </row>
    <row r="35" ht="28.5">
      <c r="A35" s="1"/>
      <c r="B35" s="6" t="s">
        <v>147</v>
      </c>
      <c r="C35" s="21"/>
      <c r="D35" s="21"/>
      <c r="E35" s="21"/>
      <c r="F35" s="21"/>
      <c r="G35" s="21"/>
      <c r="H35" s="67" t="s">
        <v>129</v>
      </c>
      <c r="I35" s="67" t="s">
        <v>129</v>
      </c>
      <c r="J35" s="28" t="s">
        <v>129</v>
      </c>
      <c r="K35" s="134" t="s">
        <v>148</v>
      </c>
      <c r="L35" s="1"/>
      <c r="M35" s="1"/>
      <c r="N35" s="1"/>
      <c r="O35" s="1"/>
      <c r="P35" s="1"/>
    </row>
    <row r="36">
      <c r="A36" s="1"/>
      <c r="B36" s="6" t="s">
        <v>149</v>
      </c>
      <c r="C36" s="21"/>
      <c r="D36" s="21"/>
      <c r="E36" s="21"/>
      <c r="F36" s="21"/>
      <c r="G36" s="21"/>
      <c r="H36" s="21" t="str">
        <f>IF(AND(ISNUMBER(H31),ISNUMBER(H34),ISNUMBER(H35)),(1+H31)/((1+H34)*(1+H35))-1,"n.a.")</f>
        <v>n.a.</v>
      </c>
      <c r="I36" s="21" t="str">
        <f>IF(AND(ISNUMBER(I31),ISNUMBER(I34),ISNUMBER(I35)),(1+I31)/((1+I34)*(1+I35))-1,"n.a.")</f>
        <v>n.a.</v>
      </c>
      <c r="J36" s="29" t="str">
        <f>IF(AND(ISNUMBER(J31),ISNUMBER(J34),ISNUMBER(J35)),(1+J31)/((1+J34)*(1+J35))-1,"n.a.")</f>
        <v>n.a.</v>
      </c>
      <c r="K36" s="1"/>
      <c r="L36" s="1"/>
      <c r="M36" s="1"/>
      <c r="N36" s="1"/>
      <c r="O36" s="1"/>
      <c r="P36" s="1"/>
    </row>
    <row r="37" ht="66.75">
      <c r="A37" s="1"/>
      <c r="B37" s="1" t="s">
        <v>154</v>
      </c>
      <c r="C37" s="12">
        <f>Inputs!C185-D37</f>
        <v>-1294</v>
      </c>
      <c r="D37" s="18">
        <v>-1395</v>
      </c>
      <c r="E37" s="18">
        <v>-1378</v>
      </c>
      <c r="F37" s="18">
        <v>-1340</v>
      </c>
      <c r="G37" s="14">
        <f>SUM(C37:F37)</f>
        <v>-5407</v>
      </c>
      <c r="H37" s="18">
        <v>-1383</v>
      </c>
      <c r="I37" s="18">
        <v>-1388</v>
      </c>
      <c r="J37" s="10">
        <f>J10-J16-J23-J30</f>
        <v>-1260.7186343812355</v>
      </c>
      <c r="K37" s="134" t="s">
        <v>155</v>
      </c>
      <c r="L37" s="1"/>
      <c r="M37" s="1"/>
      <c r="N37" s="1"/>
      <c r="O37" s="1"/>
      <c r="P37" s="1"/>
    </row>
    <row r="38">
      <c r="A38" s="1"/>
      <c r="B38" s="6" t="s">
        <v>143</v>
      </c>
      <c r="C38" s="21"/>
      <c r="D38" s="21"/>
      <c r="E38" s="21"/>
      <c r="F38" s="21"/>
      <c r="G38" s="21"/>
      <c r="H38" s="21" t="str">
        <f>IF(AND(ISNUMBER(H37),ISNUMBER(C37)),IF(C37&lt;=0,"n.m.",IFERROR(H37/C37-1,"n.a.")),"n.a.")</f>
        <v>n.m.</v>
      </c>
      <c r="I38" s="21" t="str">
        <f>IF(AND(ISNUMBER(I37),ISNUMBER(D37)),IF(D37&lt;=0,"n.m.",IFERROR(I37/D37-1,"n.a.")),"n.a.")</f>
        <v>n.m.</v>
      </c>
      <c r="J38" s="29" t="str">
        <f>IF(AND(ISNUMBER(J37),ISNUMBER(E37)),IF(E37&lt;=0,"n.m.",IFERROR(J37/E37-1,"n.a.")),"n.a.")</f>
        <v>n.m.</v>
      </c>
      <c r="K38" s="1"/>
      <c r="L38" s="1"/>
      <c r="M38" s="1"/>
      <c r="N38" s="1"/>
      <c r="O38" s="1"/>
      <c r="P38" s="1"/>
    </row>
    <row r="39">
      <c r="A39" s="1"/>
      <c r="B39" s="6" t="s">
        <v>144</v>
      </c>
      <c r="C39" s="21"/>
      <c r="D39" s="21" t="str">
        <f>IF(AND(ISNUMBER(D37),ISNUMBER(C37)),IF(C37&lt;=0,"n.m.",IFERROR(D37/C37-1,"n.a.")),"n.a.")</f>
        <v>n.m.</v>
      </c>
      <c r="E39" s="21" t="str">
        <f>IF(AND(ISNUMBER(E37),ISNUMBER(D37)),IF(D37&lt;=0,"n.m.",IFERROR(E37/D37-1,"n.a.")),"n.a.")</f>
        <v>n.m.</v>
      </c>
      <c r="F39" s="21" t="str">
        <f>IF(AND(ISNUMBER(F37),ISNUMBER(E37)),IF(E37&lt;=0,"n.m.",IFERROR(F37/E37-1,"n.a.")),"n.a.")</f>
        <v>n.m.</v>
      </c>
      <c r="G39" s="21"/>
      <c r="H39" s="21" t="str">
        <f>IF(AND(ISNUMBER(H37),ISNUMBER(F37)),IF(F37&lt;=0,"n.m.",IFERROR(H37/F37-1,"n.a.")),"n.a.")</f>
        <v>n.m.</v>
      </c>
      <c r="I39" s="21" t="str">
        <f>IF(AND(ISNUMBER(I37),ISNUMBER(H37)),IF(H37&lt;=0,"n.m.",IFERROR(I37/H37-1,"n.a.")),"n.a.")</f>
        <v>n.m.</v>
      </c>
      <c r="J39" s="29" t="str">
        <f>IF(AND(ISNUMBER(J37),ISNUMBER(I37)),IF(I37&lt;=0,"n.m.",IFERROR(J37/I37-1,"n.a.")),"n.a.")</f>
        <v>n.m.</v>
      </c>
      <c r="K39" s="1"/>
      <c r="L39" s="1"/>
      <c r="M39" s="1"/>
      <c r="N39" s="1"/>
      <c r="O39" s="1"/>
      <c r="P39" s="1"/>
    </row>
    <row r="40">
      <c r="A40" s="1"/>
      <c r="B40" s="6" t="s">
        <v>151</v>
      </c>
      <c r="C40" s="21">
        <f>IFERROR(C37/C10,"")</f>
        <v>-0.23734409391049155</v>
      </c>
      <c r="D40" s="21">
        <f>IFERROR(D37/D10,"")</f>
        <v>-0.246422893481717</v>
      </c>
      <c r="E40" s="21">
        <f>IFERROR(E37/E10,"")</f>
        <v>-0.23296703296703297</v>
      </c>
      <c r="F40" s="21">
        <f>IFERROR(F37/F10,"")</f>
        <v>-0.2207214626914841</v>
      </c>
      <c r="G40" s="21">
        <f>IFERROR(G37/G10,"")</f>
        <v>-0.23407939737650982</v>
      </c>
      <c r="H40" s="21">
        <f>IFERROR(H37/H10,"")</f>
        <v>-0.224330900243309</v>
      </c>
      <c r="I40" s="21">
        <f>IFERROR(I37/I10,"")</f>
        <v>-0.2018909090909091</v>
      </c>
      <c r="J40" s="29">
        <f>IFERROR(J37/J10,"")</f>
        <v>-0.1905817870900396</v>
      </c>
      <c r="K40" s="1"/>
      <c r="L40" s="1"/>
      <c r="M40" s="1"/>
      <c r="N40" s="1"/>
      <c r="O40" s="1"/>
      <c r="P40" s="1"/>
    </row>
    <row r="41" ht="41.25">
      <c r="A41" s="1"/>
      <c r="B41" s="6" t="s">
        <v>145</v>
      </c>
      <c r="C41" s="21"/>
      <c r="D41" s="21"/>
      <c r="E41" s="21"/>
      <c r="F41" s="21"/>
      <c r="G41" s="21"/>
      <c r="H41" s="67" t="s">
        <v>129</v>
      </c>
      <c r="I41" s="67" t="s">
        <v>129</v>
      </c>
      <c r="J41" s="28" t="s">
        <v>129</v>
      </c>
      <c r="K41" s="134" t="s">
        <v>146</v>
      </c>
      <c r="L41" s="1"/>
      <c r="M41" s="1"/>
      <c r="N41" s="1"/>
      <c r="O41" s="1"/>
      <c r="P41" s="1"/>
    </row>
    <row r="42" ht="28.5">
      <c r="A42" s="1"/>
      <c r="B42" s="6" t="s">
        <v>147</v>
      </c>
      <c r="C42" s="21"/>
      <c r="D42" s="21"/>
      <c r="E42" s="21"/>
      <c r="F42" s="21"/>
      <c r="G42" s="21"/>
      <c r="H42" s="67" t="s">
        <v>129</v>
      </c>
      <c r="I42" s="67" t="s">
        <v>129</v>
      </c>
      <c r="J42" s="28" t="s">
        <v>129</v>
      </c>
      <c r="K42" s="134" t="s">
        <v>148</v>
      </c>
      <c r="L42" s="1"/>
      <c r="M42" s="1"/>
      <c r="N42" s="1"/>
      <c r="O42" s="1"/>
      <c r="P42" s="1"/>
    </row>
    <row r="43">
      <c r="A43" s="1"/>
      <c r="B43" s="6" t="s">
        <v>149</v>
      </c>
      <c r="C43" s="21"/>
      <c r="D43" s="21"/>
      <c r="E43" s="21"/>
      <c r="F43" s="21"/>
      <c r="G43" s="21"/>
      <c r="H43" s="21" t="str">
        <f>IF(AND(ISNUMBER(H38),ISNUMBER(H41),ISNUMBER(H42)),(1+H38)/((1+H41)*(1+H42))-1,"n.a.")</f>
        <v>n.a.</v>
      </c>
      <c r="I43" s="21" t="str">
        <f>IF(AND(ISNUMBER(I38),ISNUMBER(I41),ISNUMBER(I42)),(1+I38)/((1+I41)*(1+I42))-1,"n.a.")</f>
        <v>n.a.</v>
      </c>
      <c r="J43" s="29" t="str">
        <f>IF(AND(ISNUMBER(J38),ISNUMBER(J41),ISNUMBER(J42)),(1+J38)/((1+J41)*(1+J42))-1,"n.a.")</f>
        <v>n.a.</v>
      </c>
      <c r="K43" s="1"/>
      <c r="L43" s="1"/>
      <c r="M43" s="1"/>
      <c r="N43" s="1"/>
      <c r="O43" s="1"/>
      <c r="P43" s="1"/>
    </row>
    <row r="44">
      <c r="A44" s="1"/>
      <c r="B44" s="7" t="s">
        <v>156</v>
      </c>
      <c r="C44" s="22">
        <f>C16+C23+C30+C37</f>
        <v>5452</v>
      </c>
      <c r="D44" s="22">
        <f>D16+D23+D30+D37</f>
        <v>5661</v>
      </c>
      <c r="E44" s="22">
        <f>E16+E23+E30+E37</f>
        <v>5915</v>
      </c>
      <c r="F44" s="22">
        <f>F16+F23+F30+F37</f>
        <v>6071</v>
      </c>
      <c r="G44" s="22">
        <f>G16+G23+G30+G37</f>
        <v>23099</v>
      </c>
      <c r="H44" s="22">
        <f>H16+H23+H30+H37</f>
        <v>6165</v>
      </c>
      <c r="I44" s="22">
        <f>I16+I23+I30+I37</f>
        <v>6875</v>
      </c>
      <c r="J44" s="23">
        <f>J16+J23+J30+J37</f>
        <v>6615.1055335923265</v>
      </c>
      <c r="K44" s="1"/>
      <c r="L44" s="1"/>
      <c r="M44" s="1"/>
      <c r="N44" s="1"/>
      <c r="O44" s="1"/>
      <c r="P44" s="1"/>
    </row>
    <row r="45" ht="41.25">
      <c r="A45" s="1"/>
      <c r="B45" s="1" t="s">
        <v>157</v>
      </c>
      <c r="C45" s="14">
        <f>C44-C10</f>
        <v>0</v>
      </c>
      <c r="D45" s="14">
        <f>D44-D10</f>
        <v>0</v>
      </c>
      <c r="E45" s="14">
        <f>E44-E10</f>
        <v>0</v>
      </c>
      <c r="F45" s="14">
        <f>F44-F10</f>
        <v>0</v>
      </c>
      <c r="G45" s="14">
        <f>G44-G10</f>
        <v>0</v>
      </c>
      <c r="H45" s="14">
        <f>H44-H10</f>
        <v>0</v>
      </c>
      <c r="I45" s="14">
        <f>I44-I10</f>
        <v>0</v>
      </c>
      <c r="J45" s="10">
        <f>J44-J10</f>
        <v>0</v>
      </c>
      <c r="K45" s="134" t="s">
        <v>158</v>
      </c>
      <c r="L45" s="1"/>
      <c r="M45" s="1"/>
      <c r="N45" s="1"/>
      <c r="O45" s="1"/>
      <c r="P45" s="1"/>
    </row>
    <row r="46">
      <c r="A46" s="1"/>
      <c r="B46" s="6" t="s">
        <v>159</v>
      </c>
      <c r="C46" s="11"/>
      <c r="D46" s="11"/>
      <c r="E46" s="11"/>
      <c r="F46" s="11"/>
      <c r="G46" s="11"/>
      <c r="H46" s="11"/>
      <c r="I46" s="11"/>
      <c r="J46" s="30"/>
      <c r="K46" s="1"/>
      <c r="L46" s="1"/>
      <c r="M46" s="1"/>
      <c r="N46" s="1"/>
      <c r="O46" s="1"/>
      <c r="P46" s="1"/>
    </row>
    <row r="47">
      <c r="A47" s="1"/>
      <c r="B47" s="1"/>
      <c r="C47" s="11"/>
      <c r="D47" s="11"/>
      <c r="E47" s="11"/>
      <c r="F47" s="11"/>
      <c r="G47" s="11"/>
      <c r="H47" s="11"/>
      <c r="I47" s="11"/>
      <c r="J47" s="30"/>
      <c r="K47" s="1"/>
      <c r="L47" s="1"/>
      <c r="M47" s="1"/>
      <c r="N47" s="1"/>
      <c r="O47" s="1"/>
      <c r="P47" s="1"/>
    </row>
    <row r="48">
      <c r="A48" s="1"/>
      <c r="B48" s="32" t="s">
        <v>160</v>
      </c>
      <c r="C48" s="11"/>
      <c r="D48" s="11"/>
      <c r="E48" s="11"/>
      <c r="F48" s="11"/>
      <c r="G48" s="11"/>
      <c r="H48" s="11"/>
      <c r="I48" s="11"/>
      <c r="J48" s="30"/>
      <c r="K48" s="1"/>
      <c r="L48" s="1"/>
      <c r="M48" s="1"/>
      <c r="N48" s="1"/>
      <c r="O48" s="1"/>
      <c r="P48" s="1"/>
    </row>
    <row r="49">
      <c r="A49" s="1"/>
      <c r="B49" s="1" t="s">
        <v>161</v>
      </c>
      <c r="C49" s="18">
        <v>184025</v>
      </c>
      <c r="D49" s="18">
        <v>191526</v>
      </c>
      <c r="E49" s="18">
        <v>195903</v>
      </c>
      <c r="F49" s="18">
        <v>198726</v>
      </c>
      <c r="G49" s="14">
        <f>SUMPRODUCT(C49:F49,C$7:F$7)/G$7</f>
        <v>192594.47671232876</v>
      </c>
      <c r="H49" s="18">
        <v>211358</v>
      </c>
      <c r="I49" s="18">
        <v>223711</v>
      </c>
      <c r="J49" s="27">
        <v>229080</v>
      </c>
      <c r="K49" s="1"/>
      <c r="L49" s="1"/>
      <c r="M49" s="1"/>
      <c r="N49" s="1"/>
      <c r="O49" s="1"/>
      <c r="P49" s="1"/>
    </row>
    <row r="50">
      <c r="A50" s="1"/>
      <c r="B50" s="6" t="s">
        <v>143</v>
      </c>
      <c r="C50" s="21"/>
      <c r="D50" s="21"/>
      <c r="E50" s="21"/>
      <c r="F50" s="21"/>
      <c r="G50" s="21"/>
      <c r="H50" s="21">
        <f>IF(AND(ISNUMBER(H49),ISNUMBER(C49)),IF(C49&lt;=0,"n.m.",IFERROR(H49/C49-1,"n.a.")),"n.a.")</f>
        <v>0.14852873250916998</v>
      </c>
      <c r="I50" s="21">
        <f>IF(AND(ISNUMBER(I49),ISNUMBER(D49)),IF(D49&lt;=0,"n.m.",IFERROR(I49/D49-1,"n.a.")),"n.a.")</f>
        <v>0.16804506959890553</v>
      </c>
      <c r="J50" s="29">
        <f>IF(AND(ISNUMBER(J49),ISNUMBER(E49)),IF(E49&lt;=0,"n.m.",IFERROR(J49/E49-1,"n.a.")),"n.a.")</f>
        <v>0.16935422122172716</v>
      </c>
      <c r="K50" s="1"/>
      <c r="L50" s="1"/>
      <c r="M50" s="1"/>
      <c r="N50" s="1"/>
      <c r="O50" s="1"/>
      <c r="P50" s="1"/>
    </row>
    <row r="51">
      <c r="A51" s="1"/>
      <c r="B51" s="1" t="s">
        <v>162</v>
      </c>
      <c r="C51" s="14"/>
      <c r="D51" s="14">
        <f>IF(AND(ISNUMBER(D49),ISNUMBER(C49)),D49-C49,"n.a.")</f>
        <v>7501</v>
      </c>
      <c r="E51" s="14">
        <f>IF(AND(ISNUMBER(E49),ISNUMBER(D49)),E49-D49,"n.a.")</f>
        <v>4377</v>
      </c>
      <c r="F51" s="14">
        <f>IF(AND(ISNUMBER(F49),ISNUMBER(E49)),F49-E49,"n.a.")</f>
        <v>2823</v>
      </c>
      <c r="G51" s="14"/>
      <c r="H51" s="14">
        <f>IF(AND(ISNUMBER(H49),ISNUMBER(F49)),H49-F49,"n.a.")</f>
        <v>12632</v>
      </c>
      <c r="I51" s="14">
        <f>IF(AND(ISNUMBER(I49),ISNUMBER(H49)),I49-H49,"n.a.")</f>
        <v>12353</v>
      </c>
      <c r="J51" s="10">
        <f>IF(AND(ISNUMBER(J49),ISNUMBER(I49)),J49-I49,"n.a.")</f>
        <v>5369</v>
      </c>
      <c r="K51" s="1"/>
      <c r="L51" s="1"/>
      <c r="M51" s="1"/>
      <c r="N51" s="1"/>
      <c r="O51" s="1"/>
      <c r="P51" s="1"/>
    </row>
    <row r="52">
      <c r="A52" s="1"/>
      <c r="B52" s="1" t="s">
        <v>163</v>
      </c>
      <c r="C52" s="18">
        <v>33067</v>
      </c>
      <c r="D52" s="18">
        <v>31838</v>
      </c>
      <c r="E52" s="18">
        <v>30850</v>
      </c>
      <c r="F52" s="18">
        <v>30173</v>
      </c>
      <c r="G52" s="14">
        <f>SUMPRODUCT(C52:F52,C$7:F$7)/G$7</f>
        <v>31472.339726027396</v>
      </c>
      <c r="H52" s="18">
        <v>34367</v>
      </c>
      <c r="I52" s="18">
        <v>35057</v>
      </c>
      <c r="J52" s="27">
        <v>35583</v>
      </c>
      <c r="K52" s="1"/>
      <c r="L52" s="1"/>
      <c r="M52" s="1"/>
      <c r="N52" s="1"/>
      <c r="O52" s="1"/>
      <c r="P52" s="1"/>
    </row>
    <row r="53">
      <c r="A53" s="1"/>
      <c r="B53" s="6" t="s">
        <v>143</v>
      </c>
      <c r="C53" s="21"/>
      <c r="D53" s="21"/>
      <c r="E53" s="21"/>
      <c r="F53" s="21"/>
      <c r="G53" s="21"/>
      <c r="H53" s="21">
        <f>IF(AND(ISNUMBER(H52),ISNUMBER(C52)),IF(C52&lt;=0,"n.m.",IFERROR(H52/C52-1,"n.a.")),"n.a.")</f>
        <v>0.039314119817340565</v>
      </c>
      <c r="I53" s="21">
        <f>IF(AND(ISNUMBER(I52),ISNUMBER(D52)),IF(D52&lt;=0,"n.m.",IFERROR(I52/D52-1,"n.a.")),"n.a.")</f>
        <v>0.10110559708524414</v>
      </c>
      <c r="J53" s="29">
        <f>IF(AND(ISNUMBER(J52),ISNUMBER(E52)),IF(E52&lt;=0,"n.m.",IFERROR(J52/E52-1,"n.a.")),"n.a.")</f>
        <v>0.15341977309562393</v>
      </c>
      <c r="K53" s="1"/>
      <c r="L53" s="1"/>
      <c r="M53" s="1"/>
      <c r="N53" s="1"/>
      <c r="O53" s="1"/>
      <c r="P53" s="1"/>
    </row>
    <row r="54">
      <c r="A54" s="1"/>
      <c r="B54" s="1" t="s">
        <v>162</v>
      </c>
      <c r="C54" s="14"/>
      <c r="D54" s="14">
        <f>IF(AND(ISNUMBER(D52),ISNUMBER(C52)),D52-C52,"n.a.")</f>
        <v>-1229</v>
      </c>
      <c r="E54" s="14">
        <f>IF(AND(ISNUMBER(E52),ISNUMBER(D52)),E52-D52,"n.a.")</f>
        <v>-988</v>
      </c>
      <c r="F54" s="14">
        <f>IF(AND(ISNUMBER(F52),ISNUMBER(E52)),F52-E52,"n.a.")</f>
        <v>-677</v>
      </c>
      <c r="G54" s="14"/>
      <c r="H54" s="14">
        <f>IF(AND(ISNUMBER(H52),ISNUMBER(F52)),H52-F52,"n.a.")</f>
        <v>4194</v>
      </c>
      <c r="I54" s="14">
        <f>IF(AND(ISNUMBER(I52),ISNUMBER(H52)),I52-H52,"n.a.")</f>
        <v>690</v>
      </c>
      <c r="J54" s="10">
        <f>IF(AND(ISNUMBER(J52),ISNUMBER(I52)),J52-I52,"n.a.")</f>
        <v>526</v>
      </c>
      <c r="K54" s="1"/>
      <c r="L54" s="1"/>
      <c r="M54" s="1"/>
      <c r="N54" s="1"/>
      <c r="O54" s="1"/>
      <c r="P54" s="1"/>
    </row>
    <row r="55">
      <c r="A55" s="1"/>
      <c r="B55" s="1" t="s">
        <v>164</v>
      </c>
      <c r="C55" s="18">
        <v>53421</v>
      </c>
      <c r="D55" s="18">
        <v>53851</v>
      </c>
      <c r="E55" s="18">
        <v>54238</v>
      </c>
      <c r="F55" s="18">
        <v>54884</v>
      </c>
      <c r="G55" s="14">
        <f>SUMPRODUCT(C55:F55,C$7:F$7)/G$7</f>
        <v>54102.890410958906</v>
      </c>
      <c r="H55" s="18">
        <v>55483</v>
      </c>
      <c r="I55" s="18">
        <v>55334</v>
      </c>
      <c r="J55" s="27">
        <v>55168</v>
      </c>
      <c r="K55" s="1"/>
      <c r="L55" s="1"/>
      <c r="M55" s="1"/>
      <c r="N55" s="1"/>
      <c r="O55" s="1"/>
      <c r="P55" s="1"/>
    </row>
    <row r="56">
      <c r="A56" s="1"/>
      <c r="B56" s="6" t="s">
        <v>143</v>
      </c>
      <c r="C56" s="21"/>
      <c r="D56" s="21"/>
      <c r="E56" s="21"/>
      <c r="F56" s="21"/>
      <c r="G56" s="21"/>
      <c r="H56" s="21">
        <f>IF(AND(ISNUMBER(H55),ISNUMBER(C55)),IF(C55&lt;=0,"n.m.",IFERROR(H55/C55-1,"n.a.")),"n.a.")</f>
        <v>0.03859905280694864</v>
      </c>
      <c r="I56" s="21">
        <f>IF(AND(ISNUMBER(I55),ISNUMBER(D55)),IF(D55&lt;=0,"n.m.",IFERROR(I55/D55-1,"n.a.")),"n.a.")</f>
        <v>0.027538950065922663</v>
      </c>
      <c r="J56" s="29">
        <f>IF(AND(ISNUMBER(J55),ISNUMBER(E55)),IF(E55&lt;=0,"n.m.",IFERROR(J55/E55-1,"n.a.")),"n.a.")</f>
        <v>0.017146649950219306</v>
      </c>
      <c r="K56" s="1"/>
      <c r="L56" s="1"/>
      <c r="M56" s="1"/>
      <c r="N56" s="1"/>
      <c r="O56" s="1"/>
      <c r="P56" s="1"/>
    </row>
    <row r="57">
      <c r="A57" s="1"/>
      <c r="B57" s="1" t="s">
        <v>162</v>
      </c>
      <c r="C57" s="14"/>
      <c r="D57" s="14">
        <f>IF(AND(ISNUMBER(D55),ISNUMBER(C55)),D55-C55,"n.a.")</f>
        <v>430</v>
      </c>
      <c r="E57" s="14">
        <f>IF(AND(ISNUMBER(E55),ISNUMBER(D55)),E55-D55,"n.a.")</f>
        <v>387</v>
      </c>
      <c r="F57" s="14">
        <f>IF(AND(ISNUMBER(F55),ISNUMBER(E55)),F55-E55,"n.a.")</f>
        <v>646</v>
      </c>
      <c r="G57" s="14"/>
      <c r="H57" s="14">
        <f>IF(AND(ISNUMBER(H55),ISNUMBER(F55)),H55-F55,"n.a.")</f>
        <v>599</v>
      </c>
      <c r="I57" s="14">
        <f>IF(AND(ISNUMBER(I55),ISNUMBER(H55)),I55-H55,"n.a.")</f>
        <v>-149</v>
      </c>
      <c r="J57" s="10">
        <f>IF(AND(ISNUMBER(J55),ISNUMBER(I55)),J55-I55,"n.a.")</f>
        <v>-166</v>
      </c>
      <c r="K57" s="1"/>
      <c r="L57" s="1"/>
      <c r="M57" s="1"/>
      <c r="N57" s="1"/>
      <c r="O57" s="1"/>
      <c r="P57" s="1"/>
    </row>
    <row r="58">
      <c r="A58" s="1"/>
      <c r="B58" s="1" t="s">
        <v>165</v>
      </c>
      <c r="C58" s="18">
        <v>46111</v>
      </c>
      <c r="D58" s="18">
        <v>45539</v>
      </c>
      <c r="E58" s="18">
        <v>44941</v>
      </c>
      <c r="F58" s="18">
        <v>44146</v>
      </c>
      <c r="G58" s="14">
        <f>SUMPRODUCT(C58:F58,C$7:F$7)/G$7</f>
        <v>45178.2</v>
      </c>
      <c r="H58" s="18">
        <v>49675</v>
      </c>
      <c r="I58" s="18">
        <v>49094</v>
      </c>
      <c r="J58" s="27">
        <v>48701</v>
      </c>
      <c r="K58" s="1"/>
      <c r="L58" s="1"/>
      <c r="M58" s="1"/>
      <c r="N58" s="1"/>
      <c r="O58" s="1"/>
      <c r="P58" s="1"/>
    </row>
    <row r="59">
      <c r="A59" s="1"/>
      <c r="B59" s="6" t="s">
        <v>143</v>
      </c>
      <c r="C59" s="21"/>
      <c r="D59" s="21"/>
      <c r="E59" s="21"/>
      <c r="F59" s="21"/>
      <c r="G59" s="21"/>
      <c r="H59" s="21">
        <f>IF(AND(ISNUMBER(H58),ISNUMBER(C58)),IF(C58&lt;=0,"n.m.",IFERROR(H58/C58-1,"n.a.")),"n.a.")</f>
        <v>0.077291752510247</v>
      </c>
      <c r="I59" s="21">
        <f>IF(AND(ISNUMBER(I58),ISNUMBER(D58)),IF(D58&lt;=0,"n.m.",IFERROR(I58/D58-1,"n.a.")),"n.a.")</f>
        <v>0.07806495531302837</v>
      </c>
      <c r="J59" s="29">
        <f>IF(AND(ISNUMBER(J58),ISNUMBER(E58)),IF(E58&lt;=0,"n.m.",IFERROR(J58/E58-1,"n.a.")),"n.a.")</f>
        <v>0.08366524999443725</v>
      </c>
      <c r="K59" s="1"/>
      <c r="L59" s="1"/>
      <c r="M59" s="1"/>
      <c r="N59" s="1"/>
      <c r="O59" s="1"/>
      <c r="P59" s="1"/>
    </row>
    <row r="60">
      <c r="A60" s="1"/>
      <c r="B60" s="1" t="s">
        <v>162</v>
      </c>
      <c r="C60" s="14"/>
      <c r="D60" s="14">
        <f>IF(AND(ISNUMBER(D58),ISNUMBER(C58)),D58-C58,"n.a.")</f>
        <v>-572</v>
      </c>
      <c r="E60" s="14">
        <f>IF(AND(ISNUMBER(E58),ISNUMBER(D58)),E58-D58,"n.a.")</f>
        <v>-598</v>
      </c>
      <c r="F60" s="14">
        <f>IF(AND(ISNUMBER(F58),ISNUMBER(E58)),F58-E58,"n.a.")</f>
        <v>-795</v>
      </c>
      <c r="G60" s="14"/>
      <c r="H60" s="14">
        <f>IF(AND(ISNUMBER(H58),ISNUMBER(F58)),H58-F58,"n.a.")</f>
        <v>5529</v>
      </c>
      <c r="I60" s="14">
        <f>IF(AND(ISNUMBER(I58),ISNUMBER(H58)),I58-H58,"n.a.")</f>
        <v>-581</v>
      </c>
      <c r="J60" s="10">
        <f>IF(AND(ISNUMBER(J58),ISNUMBER(I58)),J58-I58,"n.a.")</f>
        <v>-393</v>
      </c>
      <c r="K60" s="1"/>
      <c r="L60" s="1"/>
      <c r="M60" s="1"/>
      <c r="N60" s="1"/>
      <c r="O60" s="1"/>
      <c r="P60" s="1"/>
    </row>
    <row r="61" ht="41.25">
      <c r="A61" s="1"/>
      <c r="B61" s="7" t="s">
        <v>166</v>
      </c>
      <c r="C61" s="22">
        <f>C49+C52+C55+C58</f>
        <v>316624</v>
      </c>
      <c r="D61" s="22">
        <f>D49+D52+D55+D58</f>
        <v>322754</v>
      </c>
      <c r="E61" s="22">
        <f>E49+E52+E55+E58</f>
        <v>325932</v>
      </c>
      <c r="F61" s="22">
        <f>F49+F52+F55+F58</f>
        <v>327929</v>
      </c>
      <c r="G61" s="22">
        <f>G49+G52+G55+G58</f>
        <v>323347.9068493151</v>
      </c>
      <c r="H61" s="22">
        <f>H49+H52+H55+H58</f>
        <v>350883</v>
      </c>
      <c r="I61" s="22">
        <f>I49+I52+I55+I58</f>
        <v>363196</v>
      </c>
      <c r="J61" s="23">
        <f>J49+J52+J55+J58</f>
        <v>368532</v>
      </c>
      <c r="K61" s="134" t="s">
        <v>167</v>
      </c>
      <c r="L61" s="1"/>
      <c r="M61" s="1"/>
      <c r="N61" s="1"/>
      <c r="O61" s="1"/>
      <c r="P61" s="1"/>
    </row>
    <row r="62">
      <c r="A62" s="1"/>
      <c r="B62" s="6" t="s">
        <v>143</v>
      </c>
      <c r="C62" s="21"/>
      <c r="D62" s="21"/>
      <c r="E62" s="21"/>
      <c r="F62" s="21"/>
      <c r="G62" s="21"/>
      <c r="H62" s="21">
        <f>IF(AND(ISNUMBER(H61),ISNUMBER(C61)),IF(C61&lt;=0,"n.m.",IFERROR(H61/C61-1,"n.a.")),"n.a.")</f>
        <v>0.1082008944363031</v>
      </c>
      <c r="I62" s="21">
        <f>IF(AND(ISNUMBER(I61),ISNUMBER(D61)),IF(D61&lt;=0,"n.m.",IFERROR(I61/D61-1,"n.a.")),"n.a.")</f>
        <v>0.1253028622418313</v>
      </c>
      <c r="J62" s="29">
        <f>IF(AND(ISNUMBER(J61),ISNUMBER(E61)),IF(E61&lt;=0,"n.m.",IFERROR(J61/E61-1,"n.a.")),"n.a.")</f>
        <v>0.13070210964250206</v>
      </c>
      <c r="K62" s="1"/>
      <c r="L62" s="1"/>
      <c r="M62" s="1"/>
      <c r="N62" s="1"/>
      <c r="O62" s="1"/>
      <c r="P62" s="1"/>
    </row>
    <row r="63">
      <c r="A63" s="1"/>
      <c r="B63" s="6" t="s">
        <v>144</v>
      </c>
      <c r="C63" s="21"/>
      <c r="D63" s="21">
        <f>IF(AND(ISNUMBER(D61),ISNUMBER(C61)),IF(C61&lt;=0,"n.m.",IFERROR(D61/C61-1,"n.a.")),"n.a.")</f>
        <v>0.019360503309919563</v>
      </c>
      <c r="E63" s="21">
        <f>IF(AND(ISNUMBER(E61),ISNUMBER(D61)),IF(D61&lt;=0,"n.m.",IFERROR(E61/D61-1,"n.a.")),"n.a.")</f>
        <v>0.0098465084863395</v>
      </c>
      <c r="F63" s="21">
        <f>IF(AND(ISNUMBER(F61),ISNUMBER(E61)),IF(E61&lt;=0,"n.m.",IFERROR(F61/E61-1,"n.a.")),"n.a.")</f>
        <v>0.006127044905072321</v>
      </c>
      <c r="G63" s="21"/>
      <c r="H63" s="21">
        <f>IF(AND(ISNUMBER(H61),ISNUMBER(F61)),IF(F61&lt;=0,"n.m.",IFERROR(H61/F61-1,"n.a.")),"n.a.")</f>
        <v>0.06999685907620257</v>
      </c>
      <c r="I63" s="21">
        <f>IF(AND(ISNUMBER(I61),ISNUMBER(H61)),IF(H61&lt;=0,"n.m.",IFERROR(I61/H61-1,"n.a.")),"n.a.")</f>
        <v>0.035091469236184114</v>
      </c>
      <c r="J63" s="29">
        <f>IF(AND(ISNUMBER(J61),ISNUMBER(I61)),IF(I61&lt;=0,"n.m.",IFERROR(J61/I61-1,"n.a.")),"n.a.")</f>
        <v>0.014691791759821049</v>
      </c>
      <c r="K63" s="1"/>
      <c r="L63" s="1"/>
      <c r="M63" s="1"/>
      <c r="N63" s="1"/>
      <c r="O63" s="1"/>
      <c r="P63" s="1"/>
    </row>
    <row r="64">
      <c r="A64" s="1"/>
      <c r="B64" s="1" t="s">
        <v>162</v>
      </c>
      <c r="C64" s="14"/>
      <c r="D64" s="14">
        <f>IF(AND(ISNUMBER(D61),ISNUMBER(C61)),D61-C61,"n.a.")</f>
        <v>6130</v>
      </c>
      <c r="E64" s="14">
        <f>IF(AND(ISNUMBER(E61),ISNUMBER(D61)),E61-D61,"n.a.")</f>
        <v>3178</v>
      </c>
      <c r="F64" s="14">
        <f>IF(AND(ISNUMBER(F61),ISNUMBER(E61)),F61-E61,"n.a.")</f>
        <v>1997</v>
      </c>
      <c r="G64" s="14"/>
      <c r="H64" s="14">
        <f>IF(AND(ISNUMBER(H61),ISNUMBER(F61)),H61-F61,"n.a.")</f>
        <v>22954</v>
      </c>
      <c r="I64" s="14">
        <f>IF(AND(ISNUMBER(I61),ISNUMBER(H61)),I61-H61,"n.a.")</f>
        <v>12313</v>
      </c>
      <c r="J64" s="10">
        <f>IF(AND(ISNUMBER(J61),ISNUMBER(I61)),J61-I61,"n.a.")</f>
        <v>5336</v>
      </c>
      <c r="K64" s="1"/>
      <c r="L64" s="1"/>
      <c r="M64" s="1"/>
      <c r="N64" s="1"/>
      <c r="O64" s="1"/>
      <c r="P64" s="1"/>
    </row>
    <row r="65">
      <c r="A65" s="1"/>
      <c r="B65" s="1" t="s">
        <v>168</v>
      </c>
      <c r="C65" s="18">
        <v>65680</v>
      </c>
      <c r="D65" s="18">
        <v>67757</v>
      </c>
      <c r="E65" s="18">
        <v>69844</v>
      </c>
      <c r="F65" s="18">
        <v>69885</v>
      </c>
      <c r="G65" s="14">
        <f>SUMPRODUCT(C65:F65,C$7:F$7)/G$7</f>
        <v>68307.27397260274</v>
      </c>
      <c r="H65" s="18">
        <v>71648</v>
      </c>
      <c r="I65" s="18">
        <v>73712</v>
      </c>
      <c r="J65" s="27">
        <v>74500</v>
      </c>
      <c r="K65" s="1"/>
      <c r="L65" s="1"/>
      <c r="M65" s="1"/>
      <c r="N65" s="1"/>
      <c r="O65" s="1"/>
      <c r="P65" s="1"/>
    </row>
    <row r="66">
      <c r="A66" s="1"/>
      <c r="B66" s="6" t="s">
        <v>143</v>
      </c>
      <c r="C66" s="21"/>
      <c r="D66" s="21"/>
      <c r="E66" s="21"/>
      <c r="F66" s="21"/>
      <c r="G66" s="21"/>
      <c r="H66" s="21">
        <f>IF(AND(ISNUMBER(H65),ISNUMBER(C65)),IF(C65&lt;=0,"n.m.",IFERROR(H65/C65-1,"n.a.")),"n.a.")</f>
        <v>0.09086479902557865</v>
      </c>
      <c r="I66" s="21">
        <f>IF(AND(ISNUMBER(I65),ISNUMBER(D65)),IF(D65&lt;=0,"n.m.",IFERROR(I65/D65-1,"n.a.")),"n.a.")</f>
        <v>0.08788759832932391</v>
      </c>
      <c r="J66" s="29">
        <f>IF(AND(ISNUMBER(J65),ISNUMBER(E65)),IF(E65&lt;=0,"n.m.",IFERROR(J65/E65-1,"n.a.")),"n.a.")</f>
        <v>0.06666284863409877</v>
      </c>
      <c r="K66" s="1"/>
      <c r="L66" s="1"/>
      <c r="M66" s="1"/>
      <c r="N66" s="1"/>
      <c r="O66" s="1"/>
      <c r="P66" s="1"/>
    </row>
    <row r="67">
      <c r="A67" s="1"/>
      <c r="B67" s="1" t="s">
        <v>162</v>
      </c>
      <c r="C67" s="14"/>
      <c r="D67" s="14">
        <f>IF(AND(ISNUMBER(D65),ISNUMBER(C65)),D65-C65,"n.a.")</f>
        <v>2077</v>
      </c>
      <c r="E67" s="14">
        <f>IF(AND(ISNUMBER(E65),ISNUMBER(D65)),E65-D65,"n.a.")</f>
        <v>2087</v>
      </c>
      <c r="F67" s="14">
        <f>IF(AND(ISNUMBER(F65),ISNUMBER(E65)),F65-E65,"n.a.")</f>
        <v>41</v>
      </c>
      <c r="G67" s="14"/>
      <c r="H67" s="14">
        <f>IF(AND(ISNUMBER(H65),ISNUMBER(F65)),H65-F65,"n.a.")</f>
        <v>1763</v>
      </c>
      <c r="I67" s="14">
        <f>IF(AND(ISNUMBER(I65),ISNUMBER(H65)),I65-H65,"n.a.")</f>
        <v>2064</v>
      </c>
      <c r="J67" s="10">
        <f>IF(AND(ISNUMBER(J65),ISNUMBER(I65)),J65-I65,"n.a.")</f>
        <v>788</v>
      </c>
      <c r="K67" s="1"/>
      <c r="L67" s="1"/>
      <c r="M67" s="1"/>
      <c r="N67" s="1"/>
      <c r="O67" s="1"/>
      <c r="P67" s="1"/>
    </row>
    <row r="68" ht="66.75">
      <c r="A68" s="1"/>
      <c r="B68" s="1" t="s">
        <v>169</v>
      </c>
      <c r="C68" s="18">
        <v>76501</v>
      </c>
      <c r="D68" s="18">
        <v>74178</v>
      </c>
      <c r="E68" s="18">
        <v>74591</v>
      </c>
      <c r="F68" s="18">
        <v>72334</v>
      </c>
      <c r="G68" s="14">
        <f>SUMPRODUCT(C68:F68,C$7:F$7)/G$7</f>
        <v>74390.10410958904</v>
      </c>
      <c r="H68" s="18">
        <v>72878</v>
      </c>
      <c r="I68" s="18">
        <v>73387</v>
      </c>
      <c r="J68" s="27">
        <v>74000</v>
      </c>
      <c r="K68" s="123" t="s">
        <v>170</v>
      </c>
      <c r="L68" s="1"/>
      <c r="M68" s="1"/>
      <c r="N68" s="1"/>
      <c r="O68" s="1"/>
      <c r="P68" s="1"/>
    </row>
    <row r="69">
      <c r="A69" s="1"/>
      <c r="B69" s="6" t="s">
        <v>143</v>
      </c>
      <c r="C69" s="21"/>
      <c r="D69" s="21"/>
      <c r="E69" s="21"/>
      <c r="F69" s="21"/>
      <c r="G69" s="21"/>
      <c r="H69" s="21">
        <f>IF(AND(ISNUMBER(H68),ISNUMBER(C68)),IF(C68&lt;=0,"n.m.",IFERROR(H68/C68-1,"n.a.")),"n.a.")</f>
        <v>-0.04735885805414308</v>
      </c>
      <c r="I69" s="21">
        <f>IF(AND(ISNUMBER(I68),ISNUMBER(D68)),IF(D68&lt;=0,"n.m.",IFERROR(I68/D68-1,"n.a.")),"n.a.")</f>
        <v>-0.010663539054706295</v>
      </c>
      <c r="J69" s="29">
        <f>IF(AND(ISNUMBER(J68),ISNUMBER(E68)),IF(E68&lt;=0,"n.m.",IFERROR(J68/E68-1,"n.a.")),"n.a.")</f>
        <v>-0.007923207893713702</v>
      </c>
      <c r="K69" s="1"/>
      <c r="L69" s="1"/>
      <c r="M69" s="1"/>
      <c r="N69" s="1"/>
      <c r="O69" s="1"/>
      <c r="P69" s="1"/>
    </row>
    <row r="70">
      <c r="A70" s="1"/>
      <c r="B70" s="1" t="s">
        <v>162</v>
      </c>
      <c r="C70" s="14"/>
      <c r="D70" s="14">
        <f>IF(AND(ISNUMBER(D68),ISNUMBER(C68)),D68-C68,"n.a.")</f>
        <v>-2323</v>
      </c>
      <c r="E70" s="14">
        <f>IF(AND(ISNUMBER(E68),ISNUMBER(D68)),E68-D68,"n.a.")</f>
        <v>413</v>
      </c>
      <c r="F70" s="14">
        <f>IF(AND(ISNUMBER(F68),ISNUMBER(E68)),F68-E68,"n.a.")</f>
        <v>-2257</v>
      </c>
      <c r="G70" s="14"/>
      <c r="H70" s="14">
        <f>IF(AND(ISNUMBER(H68),ISNUMBER(F68)),H68-F68,"n.a.")</f>
        <v>544</v>
      </c>
      <c r="I70" s="14">
        <f>IF(AND(ISNUMBER(I68),ISNUMBER(H68)),I68-H68,"n.a.")</f>
        <v>509</v>
      </c>
      <c r="J70" s="10">
        <f>IF(AND(ISNUMBER(J68),ISNUMBER(I68)),J68-I68,"n.a.")</f>
        <v>613</v>
      </c>
      <c r="K70" s="1"/>
      <c r="L70" s="1"/>
      <c r="M70" s="1"/>
      <c r="N70" s="1"/>
      <c r="O70" s="1"/>
      <c r="P70" s="1"/>
    </row>
    <row r="71">
      <c r="A71" s="1"/>
      <c r="B71" s="7" t="s">
        <v>171</v>
      </c>
      <c r="C71" s="22">
        <f>C65+C68</f>
        <v>142181</v>
      </c>
      <c r="D71" s="22">
        <f>D65+D68</f>
        <v>141935</v>
      </c>
      <c r="E71" s="22">
        <f>E65+E68</f>
        <v>144435</v>
      </c>
      <c r="F71" s="22">
        <f>F65+F68</f>
        <v>142219</v>
      </c>
      <c r="G71" s="22">
        <f>G65+G68</f>
        <v>142697.37808219178</v>
      </c>
      <c r="H71" s="22">
        <f>H65+H68</f>
        <v>144526</v>
      </c>
      <c r="I71" s="22">
        <f>I65+I68</f>
        <v>147099</v>
      </c>
      <c r="J71" s="23">
        <f>J65+J68</f>
        <v>148500</v>
      </c>
      <c r="K71" s="1"/>
      <c r="L71" s="1"/>
      <c r="M71" s="1"/>
      <c r="N71" s="1"/>
      <c r="O71" s="1"/>
      <c r="P71" s="1"/>
    </row>
    <row r="72">
      <c r="A72" s="1"/>
      <c r="B72" s="6" t="s">
        <v>143</v>
      </c>
      <c r="C72" s="21"/>
      <c r="D72" s="21"/>
      <c r="E72" s="21"/>
      <c r="F72" s="21"/>
      <c r="G72" s="21"/>
      <c r="H72" s="21">
        <f>IF(AND(ISNUMBER(H71),ISNUMBER(C71)),IF(C71&lt;=0,"n.m.",IFERROR(H71/C71-1,"n.a.")),"n.a.")</f>
        <v>0.016493061660840747</v>
      </c>
      <c r="I72" s="21">
        <f>IF(AND(ISNUMBER(I71),ISNUMBER(D71)),IF(D71&lt;=0,"n.m.",IFERROR(I71/D71-1,"n.a.")),"n.a.")</f>
        <v>0.036382851305174935</v>
      </c>
      <c r="J72" s="29">
        <f>IF(AND(ISNUMBER(J71),ISNUMBER(E71)),IF(E71&lt;=0,"n.m.",IFERROR(J71/E71-1,"n.a.")),"n.a.")</f>
        <v>0.028144147886592474</v>
      </c>
      <c r="K72" s="1"/>
      <c r="L72" s="1"/>
      <c r="M72" s="1"/>
      <c r="N72" s="1"/>
      <c r="O72" s="1"/>
      <c r="P72" s="1"/>
    </row>
    <row r="73">
      <c r="A73" s="1"/>
      <c r="B73" s="1" t="s">
        <v>162</v>
      </c>
      <c r="C73" s="14"/>
      <c r="D73" s="14">
        <f>IF(AND(ISNUMBER(D71),ISNUMBER(C71)),D71-C71,"n.a.")</f>
        <v>-246</v>
      </c>
      <c r="E73" s="14">
        <f>IF(AND(ISNUMBER(E71),ISNUMBER(D71)),E71-D71,"n.a.")</f>
        <v>2500</v>
      </c>
      <c r="F73" s="14">
        <f>IF(AND(ISNUMBER(F71),ISNUMBER(E71)),F71-E71,"n.a.")</f>
        <v>-2216</v>
      </c>
      <c r="G73" s="14"/>
      <c r="H73" s="14">
        <f>IF(AND(ISNUMBER(H71),ISNUMBER(F71)),H71-F71,"n.a.")</f>
        <v>2307</v>
      </c>
      <c r="I73" s="14">
        <f>IF(AND(ISNUMBER(I71),ISNUMBER(H71)),I71-H71,"n.a.")</f>
        <v>2573</v>
      </c>
      <c r="J73" s="10">
        <f>IF(AND(ISNUMBER(J71),ISNUMBER(I71)),J71-I71,"n.a.")</f>
        <v>1401</v>
      </c>
      <c r="K73" s="1"/>
      <c r="L73" s="1"/>
      <c r="M73" s="1"/>
      <c r="N73" s="1"/>
      <c r="O73" s="1"/>
      <c r="P73" s="1"/>
    </row>
    <row r="74">
      <c r="A74" s="1"/>
      <c r="B74" s="1" t="s">
        <v>172</v>
      </c>
      <c r="C74" s="18">
        <v>34614</v>
      </c>
      <c r="D74" s="18">
        <v>31570</v>
      </c>
      <c r="E74" s="18">
        <v>35003</v>
      </c>
      <c r="F74" s="18">
        <v>32009</v>
      </c>
      <c r="G74" s="14">
        <f>SUMPRODUCT(C74:F74,C$7:F$7)/G$7</f>
        <v>33296.531506849315</v>
      </c>
      <c r="H74" s="18">
        <v>32612</v>
      </c>
      <c r="I74" s="18">
        <v>30734</v>
      </c>
      <c r="J74" s="27">
        <v>29500</v>
      </c>
      <c r="K74" s="1"/>
      <c r="L74" s="1"/>
      <c r="M74" s="1"/>
      <c r="N74" s="1"/>
      <c r="O74" s="1"/>
      <c r="P74" s="1"/>
    </row>
    <row r="75">
      <c r="A75" s="1"/>
      <c r="B75" s="6" t="s">
        <v>143</v>
      </c>
      <c r="C75" s="21"/>
      <c r="D75" s="21"/>
      <c r="E75" s="21"/>
      <c r="F75" s="21"/>
      <c r="G75" s="21"/>
      <c r="H75" s="21">
        <f>IF(AND(ISNUMBER(H74),ISNUMBER(C74)),IF(C74&lt;=0,"n.m.",IFERROR(H74/C74-1,"n.a.")),"n.a.")</f>
        <v>-0.057837869070318404</v>
      </c>
      <c r="I75" s="21">
        <f>IF(AND(ISNUMBER(I74),ISNUMBER(D74)),IF(D74&lt;=0,"n.m.",IFERROR(I74/D74-1,"n.a.")),"n.a.")</f>
        <v>-0.026480836236933758</v>
      </c>
      <c r="J75" s="29">
        <f>IF(AND(ISNUMBER(J74),ISNUMBER(E74)),IF(E74&lt;=0,"n.m.",IFERROR(J74/E74-1,"n.a.")),"n.a.")</f>
        <v>-0.15721509584892723</v>
      </c>
      <c r="K75" s="1"/>
      <c r="L75" s="1"/>
      <c r="M75" s="1"/>
      <c r="N75" s="1"/>
      <c r="O75" s="1"/>
      <c r="P75" s="1"/>
    </row>
    <row r="76">
      <c r="A76" s="1"/>
      <c r="B76" s="1" t="s">
        <v>162</v>
      </c>
      <c r="C76" s="14"/>
      <c r="D76" s="14">
        <f>IF(AND(ISNUMBER(D74),ISNUMBER(C74)),D74-C74,"n.a.")</f>
        <v>-3044</v>
      </c>
      <c r="E76" s="14">
        <f>IF(AND(ISNUMBER(E74),ISNUMBER(D74)),E74-D74,"n.a.")</f>
        <v>3433</v>
      </c>
      <c r="F76" s="14">
        <f>IF(AND(ISNUMBER(F74),ISNUMBER(E74)),F74-E74,"n.a.")</f>
        <v>-2994</v>
      </c>
      <c r="G76" s="14"/>
      <c r="H76" s="14">
        <f>IF(AND(ISNUMBER(H74),ISNUMBER(F74)),H74-F74,"n.a.")</f>
        <v>603</v>
      </c>
      <c r="I76" s="14">
        <f>IF(AND(ISNUMBER(I74),ISNUMBER(H74)),I74-H74,"n.a.")</f>
        <v>-1878</v>
      </c>
      <c r="J76" s="10">
        <f>IF(AND(ISNUMBER(J74),ISNUMBER(I74)),J74-I74,"n.a.")</f>
        <v>-1234</v>
      </c>
      <c r="K76" s="1"/>
      <c r="L76" s="1"/>
      <c r="M76" s="1"/>
      <c r="N76" s="1"/>
      <c r="O76" s="1"/>
      <c r="P76" s="1"/>
    </row>
    <row r="77">
      <c r="A77" s="1"/>
      <c r="B77" s="1" t="s">
        <v>173</v>
      </c>
      <c r="C77" s="18">
        <v>10147</v>
      </c>
      <c r="D77" s="18">
        <v>11348</v>
      </c>
      <c r="E77" s="18">
        <v>12759</v>
      </c>
      <c r="F77" s="18">
        <v>18618</v>
      </c>
      <c r="G77" s="14">
        <f>SUMPRODUCT(C77:F77,C$7:F$7)/G$7</f>
        <v>13239.950684931508</v>
      </c>
      <c r="H77" s="18">
        <v>12457</v>
      </c>
      <c r="I77" s="18">
        <v>13985</v>
      </c>
      <c r="J77" s="27">
        <v>14000</v>
      </c>
      <c r="K77" s="1"/>
      <c r="L77" s="1"/>
      <c r="M77" s="1"/>
      <c r="N77" s="1"/>
      <c r="O77" s="1"/>
      <c r="P77" s="1"/>
    </row>
    <row r="78">
      <c r="A78" s="1"/>
      <c r="B78" s="6" t="s">
        <v>143</v>
      </c>
      <c r="C78" s="21"/>
      <c r="D78" s="21"/>
      <c r="E78" s="21"/>
      <c r="F78" s="21"/>
      <c r="G78" s="21"/>
      <c r="H78" s="21">
        <f>IF(AND(ISNUMBER(H77),ISNUMBER(C77)),IF(C77&lt;=0,"n.m.",IFERROR(H77/C77-1,"n.a.")),"n.a.")</f>
        <v>0.22765349364344134</v>
      </c>
      <c r="I78" s="21">
        <f>IF(AND(ISNUMBER(I77),ISNUMBER(D77)),IF(D77&lt;=0,"n.m.",IFERROR(I77/D77-1,"n.a.")),"n.a.")</f>
        <v>0.23237574903066616</v>
      </c>
      <c r="J78" s="29">
        <f>IF(AND(ISNUMBER(J77),ISNUMBER(E77)),IF(E77&lt;=0,"n.m.",IFERROR(J77/E77-1,"n.a.")),"n.a.")</f>
        <v>0.0972646759150404</v>
      </c>
      <c r="K78" s="1"/>
      <c r="L78" s="1"/>
      <c r="M78" s="1"/>
      <c r="N78" s="1"/>
      <c r="O78" s="1"/>
      <c r="P78" s="1"/>
    </row>
    <row r="79">
      <c r="A79" s="1"/>
      <c r="B79" s="1" t="s">
        <v>162</v>
      </c>
      <c r="C79" s="14"/>
      <c r="D79" s="14">
        <f>IF(AND(ISNUMBER(D77),ISNUMBER(C77)),D77-C77,"n.a.")</f>
        <v>1201</v>
      </c>
      <c r="E79" s="14">
        <f>IF(AND(ISNUMBER(E77),ISNUMBER(D77)),E77-D77,"n.a.")</f>
        <v>1411</v>
      </c>
      <c r="F79" s="14">
        <f>IF(AND(ISNUMBER(F77),ISNUMBER(E77)),F77-E77,"n.a.")</f>
        <v>5859</v>
      </c>
      <c r="G79" s="14"/>
      <c r="H79" s="14">
        <f>IF(AND(ISNUMBER(H77),ISNUMBER(F77)),H77-F77,"n.a.")</f>
        <v>-6161</v>
      </c>
      <c r="I79" s="14">
        <f>IF(AND(ISNUMBER(I77),ISNUMBER(H77)),I77-H77,"n.a.")</f>
        <v>1528</v>
      </c>
      <c r="J79" s="10">
        <f>IF(AND(ISNUMBER(J77),ISNUMBER(I77)),J77-I77,"n.a.")</f>
        <v>15</v>
      </c>
      <c r="K79" s="1"/>
      <c r="L79" s="1"/>
      <c r="M79" s="1"/>
      <c r="N79" s="1"/>
      <c r="O79" s="1"/>
      <c r="P79" s="1"/>
    </row>
    <row r="80">
      <c r="A80" s="1"/>
      <c r="B80" s="7" t="s">
        <v>174</v>
      </c>
      <c r="C80" s="22">
        <f>C74+C77</f>
        <v>44761</v>
      </c>
      <c r="D80" s="22">
        <f>D74+D77</f>
        <v>42918</v>
      </c>
      <c r="E80" s="22">
        <f>E74+E77</f>
        <v>47762</v>
      </c>
      <c r="F80" s="22">
        <f>F74+F77</f>
        <v>50627</v>
      </c>
      <c r="G80" s="22">
        <f>G74+G77</f>
        <v>46536.48219178082</v>
      </c>
      <c r="H80" s="22">
        <f>H74+H77</f>
        <v>45069</v>
      </c>
      <c r="I80" s="22">
        <f>I74+I77</f>
        <v>44719</v>
      </c>
      <c r="J80" s="23">
        <f>J74+J77</f>
        <v>43500</v>
      </c>
      <c r="K80" s="1"/>
      <c r="L80" s="1"/>
      <c r="M80" s="1"/>
      <c r="N80" s="1"/>
      <c r="O80" s="1"/>
      <c r="P80" s="1"/>
    </row>
    <row r="81">
      <c r="A81" s="1"/>
      <c r="B81" s="6" t="s">
        <v>143</v>
      </c>
      <c r="C81" s="21"/>
      <c r="D81" s="21"/>
      <c r="E81" s="21"/>
      <c r="F81" s="21"/>
      <c r="G81" s="21"/>
      <c r="H81" s="21">
        <f>IF(AND(ISNUMBER(H80),ISNUMBER(C80)),IF(C80&lt;=0,"n.m.",IFERROR(H80/C80-1,"n.a.")),"n.a.")</f>
        <v>0.006880990147673183</v>
      </c>
      <c r="I81" s="21">
        <f>IF(AND(ISNUMBER(I80),ISNUMBER(D80)),IF(D80&lt;=0,"n.m.",IFERROR(I80/D80-1,"n.a.")),"n.a.")</f>
        <v>0.04196374481569509</v>
      </c>
      <c r="J81" s="29">
        <f>IF(AND(ISNUMBER(J80),ISNUMBER(E80)),IF(E80&lt;=0,"n.m.",IFERROR(J80/E80-1,"n.a.")),"n.a.")</f>
        <v>-0.08923411917423896</v>
      </c>
      <c r="K81" s="1"/>
      <c r="L81" s="1"/>
      <c r="M81" s="1"/>
      <c r="N81" s="1"/>
      <c r="O81" s="1"/>
      <c r="P81" s="1"/>
    </row>
    <row r="82">
      <c r="A82" s="1"/>
      <c r="B82" s="1" t="s">
        <v>162</v>
      </c>
      <c r="C82" s="14"/>
      <c r="D82" s="14">
        <f>IF(AND(ISNUMBER(D80),ISNUMBER(C80)),D80-C80,"n.a.")</f>
        <v>-1843</v>
      </c>
      <c r="E82" s="14">
        <f>IF(AND(ISNUMBER(E80),ISNUMBER(D80)),E80-D80,"n.a.")</f>
        <v>4844</v>
      </c>
      <c r="F82" s="14">
        <f>IF(AND(ISNUMBER(F80),ISNUMBER(E80)),F80-E80,"n.a.")</f>
        <v>2865</v>
      </c>
      <c r="G82" s="14"/>
      <c r="H82" s="14">
        <f>IF(AND(ISNUMBER(H80),ISNUMBER(F80)),H80-F80,"n.a.")</f>
        <v>-5558</v>
      </c>
      <c r="I82" s="14">
        <f>IF(AND(ISNUMBER(I80),ISNUMBER(H80)),I80-H80,"n.a.")</f>
        <v>-350</v>
      </c>
      <c r="J82" s="10">
        <f>IF(AND(ISNUMBER(J80),ISNUMBER(I80)),J80-I80,"n.a.")</f>
        <v>-1219</v>
      </c>
      <c r="K82" s="1"/>
      <c r="L82" s="1"/>
      <c r="M82" s="1"/>
      <c r="N82" s="1"/>
      <c r="O82" s="1"/>
      <c r="P82" s="1"/>
    </row>
    <row r="83">
      <c r="A83" s="1"/>
      <c r="B83" s="7" t="s">
        <v>175</v>
      </c>
      <c r="C83" s="22">
        <f>C61+C71+C80</f>
        <v>503566</v>
      </c>
      <c r="D83" s="22">
        <f>D61+D71+D80</f>
        <v>507607</v>
      </c>
      <c r="E83" s="22">
        <f>E61+E71+E80</f>
        <v>518129</v>
      </c>
      <c r="F83" s="22">
        <f>F61+F71+F80</f>
        <v>520775</v>
      </c>
      <c r="G83" s="22">
        <f>G61+G71+G80</f>
        <v>512581.76712328766</v>
      </c>
      <c r="H83" s="22">
        <f>H61+H71+H80</f>
        <v>540478</v>
      </c>
      <c r="I83" s="22">
        <f>I61+I71+I80</f>
        <v>555014</v>
      </c>
      <c r="J83" s="23">
        <f>J61+J71+J80</f>
        <v>560532</v>
      </c>
      <c r="K83" s="1"/>
      <c r="L83" s="1"/>
      <c r="M83" s="1"/>
      <c r="N83" s="1"/>
      <c r="O83" s="1"/>
      <c r="P83" s="1"/>
    </row>
    <row r="84">
      <c r="A84" s="1"/>
      <c r="B84" s="6" t="s">
        <v>143</v>
      </c>
      <c r="C84" s="21"/>
      <c r="D84" s="21"/>
      <c r="E84" s="21"/>
      <c r="F84" s="21"/>
      <c r="G84" s="21"/>
      <c r="H84" s="21">
        <f>IF(AND(ISNUMBER(H83),ISNUMBER(C83)),IF(C83&lt;=0,"n.m.",IFERROR(H83/C83-1,"n.a.")),"n.a.")</f>
        <v>0.07330121572941772</v>
      </c>
      <c r="I84" s="21">
        <f>IF(AND(ISNUMBER(I83),ISNUMBER(D83)),IF(D83&lt;=0,"n.m.",IFERROR(I83/D83-1,"n.a.")),"n.a.")</f>
        <v>0.09339311711619414</v>
      </c>
      <c r="J84" s="29">
        <f>IF(AND(ISNUMBER(J83),ISNUMBER(E83)),IF(E83&lt;=0,"n.m.",IFERROR(J83/E83-1,"n.a.")),"n.a.")</f>
        <v>0.08183869268078037</v>
      </c>
      <c r="K84" s="1"/>
      <c r="L84" s="1"/>
      <c r="M84" s="1"/>
      <c r="N84" s="1"/>
      <c r="O84" s="1"/>
      <c r="P84" s="1"/>
    </row>
    <row r="85">
      <c r="A85" s="1"/>
      <c r="B85" s="1" t="s">
        <v>162</v>
      </c>
      <c r="C85" s="14"/>
      <c r="D85" s="14">
        <f>IF(AND(ISNUMBER(D83),ISNUMBER(C83)),D83-C83,"n.a.")</f>
        <v>4041</v>
      </c>
      <c r="E85" s="14">
        <f>IF(AND(ISNUMBER(E83),ISNUMBER(D83)),E83-D83,"n.a.")</f>
        <v>10522</v>
      </c>
      <c r="F85" s="14">
        <f>IF(AND(ISNUMBER(F83),ISNUMBER(E83)),F83-E83,"n.a.")</f>
        <v>2646</v>
      </c>
      <c r="G85" s="14"/>
      <c r="H85" s="14">
        <f>IF(AND(ISNUMBER(H83),ISNUMBER(F83)),H83-F83,"n.a.")</f>
        <v>19703</v>
      </c>
      <c r="I85" s="14">
        <f>IF(AND(ISNUMBER(I83),ISNUMBER(H83)),I83-H83,"n.a.")</f>
        <v>14536</v>
      </c>
      <c r="J85" s="10">
        <f>IF(AND(ISNUMBER(J83),ISNUMBER(I83)),J83-I83,"n.a.")</f>
        <v>5518</v>
      </c>
      <c r="K85" s="1"/>
      <c r="L85" s="1"/>
      <c r="M85" s="1"/>
      <c r="N85" s="1"/>
      <c r="O85" s="1"/>
      <c r="P85" s="1"/>
    </row>
    <row r="86">
      <c r="A86" s="1"/>
      <c r="B86" s="1" t="s">
        <v>176</v>
      </c>
      <c r="C86" s="18">
        <v>73063</v>
      </c>
      <c r="D86" s="18">
        <v>70909</v>
      </c>
      <c r="E86" s="18">
        <v>75890</v>
      </c>
      <c r="F86" s="18">
        <v>78742</v>
      </c>
      <c r="G86" s="14">
        <f>SUMPRODUCT(C86:F86,C$7:F$7)/G$7</f>
        <v>74669.95342465753</v>
      </c>
      <c r="H86" s="18">
        <v>85196</v>
      </c>
      <c r="I86" s="18">
        <v>81402</v>
      </c>
      <c r="J86" s="27">
        <v>82000</v>
      </c>
      <c r="K86" s="1"/>
      <c r="L86" s="1"/>
      <c r="M86" s="1"/>
      <c r="N86" s="1"/>
      <c r="O86" s="1"/>
      <c r="P86" s="1"/>
    </row>
    <row r="87">
      <c r="A87" s="1"/>
      <c r="B87" s="6" t="s">
        <v>143</v>
      </c>
      <c r="C87" s="21"/>
      <c r="D87" s="21"/>
      <c r="E87" s="21"/>
      <c r="F87" s="21"/>
      <c r="G87" s="21"/>
      <c r="H87" s="21">
        <f>IF(AND(ISNUMBER(H86),ISNUMBER(C86)),IF(C86&lt;=0,"n.m.",IFERROR(H86/C86-1,"n.a.")),"n.a.")</f>
        <v>0.1660621655283796</v>
      </c>
      <c r="I87" s="21">
        <f>IF(AND(ISNUMBER(I86),ISNUMBER(D86)),IF(D86&lt;=0,"n.m.",IFERROR(I86/D86-1,"n.a.")),"n.a.")</f>
        <v>0.14797839484409603</v>
      </c>
      <c r="J87" s="29">
        <f>IF(AND(ISNUMBER(J86),ISNUMBER(E86)),IF(E86&lt;=0,"n.m.",IFERROR(J86/E86-1,"n.a.")),"n.a.")</f>
        <v>0.08051126630649619</v>
      </c>
      <c r="K87" s="1"/>
      <c r="L87" s="1"/>
      <c r="M87" s="1"/>
      <c r="N87" s="1"/>
      <c r="O87" s="1"/>
      <c r="P87" s="1"/>
    </row>
    <row r="88">
      <c r="A88" s="1"/>
      <c r="B88" s="1" t="s">
        <v>162</v>
      </c>
      <c r="C88" s="14"/>
      <c r="D88" s="14">
        <f>IF(AND(ISNUMBER(D86),ISNUMBER(C86)),D86-C86,"n.a.")</f>
        <v>-2154</v>
      </c>
      <c r="E88" s="14">
        <f>IF(AND(ISNUMBER(E86),ISNUMBER(D86)),E86-D86,"n.a.")</f>
        <v>4981</v>
      </c>
      <c r="F88" s="14">
        <f>IF(AND(ISNUMBER(F86),ISNUMBER(E86)),F86-E86,"n.a.")</f>
        <v>2852</v>
      </c>
      <c r="G88" s="14"/>
      <c r="H88" s="14">
        <f>IF(AND(ISNUMBER(H86),ISNUMBER(F86)),H86-F86,"n.a.")</f>
        <v>6454</v>
      </c>
      <c r="I88" s="14">
        <f>IF(AND(ISNUMBER(I86),ISNUMBER(H86)),I86-H86,"n.a.")</f>
        <v>-3794</v>
      </c>
      <c r="J88" s="10">
        <f>IF(AND(ISNUMBER(J86),ISNUMBER(I86)),J86-I86,"n.a.")</f>
        <v>598</v>
      </c>
      <c r="K88" s="1"/>
      <c r="L88" s="1"/>
      <c r="M88" s="1"/>
      <c r="N88" s="1"/>
      <c r="O88" s="1"/>
      <c r="P88" s="1"/>
    </row>
    <row r="89">
      <c r="A89" s="1"/>
      <c r="B89" s="1" t="s">
        <v>177</v>
      </c>
      <c r="C89" s="18">
        <v>125046</v>
      </c>
      <c r="D89" s="18">
        <v>126222</v>
      </c>
      <c r="E89" s="18">
        <v>128962</v>
      </c>
      <c r="F89" s="18">
        <v>132591</v>
      </c>
      <c r="G89" s="14">
        <f>SUMPRODUCT(C89:F89,C$7:F$7)/G$7</f>
        <v>128227.99452054795</v>
      </c>
      <c r="H89" s="18">
        <v>137558</v>
      </c>
      <c r="I89" s="18">
        <v>136487</v>
      </c>
      <c r="J89" s="27">
        <v>137500</v>
      </c>
      <c r="K89" s="1"/>
      <c r="L89" s="1"/>
      <c r="M89" s="1"/>
      <c r="N89" s="1"/>
      <c r="O89" s="1"/>
      <c r="P89" s="1"/>
    </row>
    <row r="90">
      <c r="A90" s="1"/>
      <c r="B90" s="6" t="s">
        <v>143</v>
      </c>
      <c r="C90" s="21"/>
      <c r="D90" s="21"/>
      <c r="E90" s="21"/>
      <c r="F90" s="21"/>
      <c r="G90" s="21"/>
      <c r="H90" s="21">
        <f>IF(AND(ISNUMBER(H89),ISNUMBER(C89)),IF(C89&lt;=0,"n.m.",IFERROR(H89/C89-1,"n.a.")),"n.a.")</f>
        <v>0.10005917822241406</v>
      </c>
      <c r="I90" s="21">
        <f>IF(AND(ISNUMBER(I89),ISNUMBER(D89)),IF(D89&lt;=0,"n.m.",IFERROR(I89/D89-1,"n.a.")),"n.a.")</f>
        <v>0.0813249671214209</v>
      </c>
      <c r="J90" s="29">
        <f>IF(AND(ISNUMBER(J89),ISNUMBER(E89)),IF(E89&lt;=0,"n.m.",IFERROR(J89/E89-1,"n.a.")),"n.a.")</f>
        <v>0.06620554892138775</v>
      </c>
      <c r="K90" s="1"/>
      <c r="L90" s="1"/>
      <c r="M90" s="1"/>
      <c r="N90" s="1"/>
      <c r="O90" s="1"/>
      <c r="P90" s="1"/>
    </row>
    <row r="91">
      <c r="A91" s="1"/>
      <c r="B91" s="1" t="s">
        <v>162</v>
      </c>
      <c r="C91" s="14"/>
      <c r="D91" s="14">
        <f>IF(AND(ISNUMBER(D89),ISNUMBER(C89)),D89-C89,"n.a.")</f>
        <v>1176</v>
      </c>
      <c r="E91" s="14">
        <f>IF(AND(ISNUMBER(E89),ISNUMBER(D89)),E89-D89,"n.a.")</f>
        <v>2740</v>
      </c>
      <c r="F91" s="14">
        <f>IF(AND(ISNUMBER(F89),ISNUMBER(E89)),F89-E89,"n.a.")</f>
        <v>3629</v>
      </c>
      <c r="G91" s="14"/>
      <c r="H91" s="14">
        <f>IF(AND(ISNUMBER(H89),ISNUMBER(F89)),H89-F89,"n.a.")</f>
        <v>4967</v>
      </c>
      <c r="I91" s="14">
        <f>IF(AND(ISNUMBER(I89),ISNUMBER(H89)),I89-H89,"n.a.")</f>
        <v>-1071</v>
      </c>
      <c r="J91" s="10">
        <f>IF(AND(ISNUMBER(J89),ISNUMBER(I89)),J89-I89,"n.a.")</f>
        <v>1013</v>
      </c>
      <c r="K91" s="1"/>
      <c r="L91" s="1"/>
      <c r="M91" s="1"/>
      <c r="N91" s="1"/>
      <c r="O91" s="1"/>
      <c r="P91" s="1"/>
    </row>
    <row r="92">
      <c r="A92" s="1"/>
      <c r="B92" s="1" t="s">
        <v>178</v>
      </c>
      <c r="C92" s="18">
        <v>97409</v>
      </c>
      <c r="D92" s="18">
        <v>97028</v>
      </c>
      <c r="E92" s="18">
        <v>96627</v>
      </c>
      <c r="F92" s="18">
        <v>97188</v>
      </c>
      <c r="G92" s="14">
        <f>SUMPRODUCT(C92:F92,C$7:F$7)/G$7</f>
        <v>97061.2</v>
      </c>
      <c r="H92" s="18">
        <v>100940</v>
      </c>
      <c r="I92" s="18">
        <v>102624</v>
      </c>
      <c r="J92" s="27">
        <v>103000</v>
      </c>
      <c r="K92" s="1"/>
      <c r="L92" s="1"/>
      <c r="M92" s="1"/>
      <c r="N92" s="1"/>
      <c r="O92" s="1"/>
      <c r="P92" s="1"/>
    </row>
    <row r="93">
      <c r="A93" s="1"/>
      <c r="B93" s="6" t="s">
        <v>143</v>
      </c>
      <c r="C93" s="21"/>
      <c r="D93" s="21"/>
      <c r="E93" s="21"/>
      <c r="F93" s="21"/>
      <c r="G93" s="21"/>
      <c r="H93" s="21">
        <f>IF(AND(ISNUMBER(H92),ISNUMBER(C92)),IF(C92&lt;=0,"n.m.",IFERROR(H92/C92-1,"n.a.")),"n.a.")</f>
        <v>0.036249217218121466</v>
      </c>
      <c r="I93" s="21">
        <f>IF(AND(ISNUMBER(I92),ISNUMBER(D92)),IF(D92&lt;=0,"n.m.",IFERROR(I92/D92-1,"n.a.")),"n.a.")</f>
        <v>0.05767407346333009</v>
      </c>
      <c r="J93" s="29">
        <f>IF(AND(ISNUMBER(J92),ISNUMBER(E92)),IF(E92&lt;=0,"n.m.",IFERROR(J92/E92-1,"n.a.")),"n.a.")</f>
        <v>0.06595465035652559</v>
      </c>
      <c r="K93" s="1"/>
      <c r="L93" s="1"/>
      <c r="M93" s="1"/>
      <c r="N93" s="1"/>
      <c r="O93" s="1"/>
      <c r="P93" s="1"/>
    </row>
    <row r="94">
      <c r="A94" s="1"/>
      <c r="B94" s="1" t="s">
        <v>162</v>
      </c>
      <c r="C94" s="14"/>
      <c r="D94" s="14">
        <f>IF(AND(ISNUMBER(D92),ISNUMBER(C92)),D92-C92,"n.a.")</f>
        <v>-381</v>
      </c>
      <c r="E94" s="14">
        <f>IF(AND(ISNUMBER(E92),ISNUMBER(D92)),E92-D92,"n.a.")</f>
        <v>-401</v>
      </c>
      <c r="F94" s="14">
        <f>IF(AND(ISNUMBER(F92),ISNUMBER(E92)),F92-E92,"n.a.")</f>
        <v>561</v>
      </c>
      <c r="G94" s="14"/>
      <c r="H94" s="14">
        <f>IF(AND(ISNUMBER(H92),ISNUMBER(F92)),H92-F92,"n.a.")</f>
        <v>3752</v>
      </c>
      <c r="I94" s="14">
        <f>IF(AND(ISNUMBER(I92),ISNUMBER(H92)),I92-H92,"n.a.")</f>
        <v>1684</v>
      </c>
      <c r="J94" s="10">
        <f>IF(AND(ISNUMBER(J92),ISNUMBER(I92)),J92-I92,"n.a.")</f>
        <v>376</v>
      </c>
      <c r="K94" s="1"/>
      <c r="L94" s="1"/>
      <c r="M94" s="1"/>
      <c r="N94" s="1"/>
      <c r="O94" s="1"/>
      <c r="P94" s="1"/>
    </row>
    <row r="95">
      <c r="A95" s="1"/>
      <c r="B95" s="1" t="s">
        <v>179</v>
      </c>
      <c r="C95" s="18">
        <v>32763</v>
      </c>
      <c r="D95" s="18">
        <v>35674</v>
      </c>
      <c r="E95" s="18">
        <v>37593</v>
      </c>
      <c r="F95" s="18">
        <v>36180</v>
      </c>
      <c r="G95" s="14">
        <f>SUMPRODUCT(C95:F95,C$7:F$7)/G$7</f>
        <v>35567.45205479452</v>
      </c>
      <c r="H95" s="18">
        <v>35579</v>
      </c>
      <c r="I95" s="18">
        <v>33027</v>
      </c>
      <c r="J95" s="27">
        <v>33000</v>
      </c>
      <c r="K95" s="1"/>
      <c r="L95" s="1"/>
      <c r="M95" s="1"/>
      <c r="N95" s="1"/>
      <c r="O95" s="1"/>
      <c r="P95" s="1"/>
    </row>
    <row r="96">
      <c r="A96" s="1"/>
      <c r="B96" s="6" t="s">
        <v>143</v>
      </c>
      <c r="C96" s="21"/>
      <c r="D96" s="21"/>
      <c r="E96" s="21"/>
      <c r="F96" s="21"/>
      <c r="G96" s="21"/>
      <c r="H96" s="21">
        <f>IF(AND(ISNUMBER(H95),ISNUMBER(C95)),IF(C95&lt;=0,"n.m.",IFERROR(H95/C95-1,"n.a.")),"n.a.")</f>
        <v>0.08595061502304424</v>
      </c>
      <c r="I96" s="21">
        <f>IF(AND(ISNUMBER(I95),ISNUMBER(D95)),IF(D95&lt;=0,"n.m.",IFERROR(I95/D95-1,"n.a.")),"n.a.")</f>
        <v>-0.07419969725850761</v>
      </c>
      <c r="J96" s="29">
        <f>IF(AND(ISNUMBER(J95),ISNUMBER(E95)),IF(E95&lt;=0,"n.m.",IFERROR(J95/E95-1,"n.a.")),"n.a.")</f>
        <v>-0.12217700103742724</v>
      </c>
      <c r="K96" s="1"/>
      <c r="L96" s="1"/>
      <c r="M96" s="1"/>
      <c r="N96" s="1"/>
      <c r="O96" s="1"/>
      <c r="P96" s="1"/>
    </row>
    <row r="97">
      <c r="A97" s="1"/>
      <c r="B97" s="1" t="s">
        <v>162</v>
      </c>
      <c r="C97" s="14"/>
      <c r="D97" s="14">
        <f>IF(AND(ISNUMBER(D95),ISNUMBER(C95)),D95-C95,"n.a.")</f>
        <v>2911</v>
      </c>
      <c r="E97" s="14">
        <f>IF(AND(ISNUMBER(E95),ISNUMBER(D95)),E95-D95,"n.a.")</f>
        <v>1919</v>
      </c>
      <c r="F97" s="14">
        <f>IF(AND(ISNUMBER(F95),ISNUMBER(E95)),F95-E95,"n.a.")</f>
        <v>-1413</v>
      </c>
      <c r="G97" s="14"/>
      <c r="H97" s="14">
        <f>IF(AND(ISNUMBER(H95),ISNUMBER(F95)),H95-F95,"n.a.")</f>
        <v>-601</v>
      </c>
      <c r="I97" s="14">
        <f>IF(AND(ISNUMBER(I95),ISNUMBER(H95)),I95-H95,"n.a.")</f>
        <v>-2552</v>
      </c>
      <c r="J97" s="10">
        <f>IF(AND(ISNUMBER(J95),ISNUMBER(I95)),J95-I95,"n.a.")</f>
        <v>-27</v>
      </c>
      <c r="K97" s="1"/>
      <c r="L97" s="1"/>
      <c r="M97" s="1"/>
      <c r="N97" s="1"/>
      <c r="O97" s="1"/>
      <c r="P97" s="1"/>
    </row>
    <row r="98">
      <c r="A98" s="1"/>
      <c r="B98" s="7" t="s">
        <v>180</v>
      </c>
      <c r="C98" s="22">
        <f>C86+C89+C92+C95</f>
        <v>328281</v>
      </c>
      <c r="D98" s="22">
        <f>D86+D89+D92+D95</f>
        <v>329833</v>
      </c>
      <c r="E98" s="22">
        <f>E86+E89+E92+E95</f>
        <v>339072</v>
      </c>
      <c r="F98" s="22">
        <f>F86+F89+F92+F95</f>
        <v>344701</v>
      </c>
      <c r="G98" s="22">
        <f>G86+G89+G92+G95</f>
        <v>335526.60000000003</v>
      </c>
      <c r="H98" s="22">
        <f>H86+H89+H92+H95</f>
        <v>359273</v>
      </c>
      <c r="I98" s="22">
        <f>I86+I89+I92+I95</f>
        <v>353540</v>
      </c>
      <c r="J98" s="23">
        <f>J86+J89+J92+J95</f>
        <v>355500</v>
      </c>
      <c r="K98" s="1"/>
      <c r="L98" s="1"/>
      <c r="M98" s="1"/>
      <c r="N98" s="1"/>
      <c r="O98" s="1"/>
      <c r="P98" s="1"/>
    </row>
    <row r="99">
      <c r="A99" s="1"/>
      <c r="B99" s="6" t="s">
        <v>143</v>
      </c>
      <c r="C99" s="21"/>
      <c r="D99" s="21"/>
      <c r="E99" s="21"/>
      <c r="F99" s="21"/>
      <c r="G99" s="21"/>
      <c r="H99" s="21">
        <f>IF(AND(ISNUMBER(H98),ISNUMBER(C98)),IF(C98&lt;=0,"n.m.",IFERROR(H98/C98-1,"n.a.")),"n.a.")</f>
        <v>0.09440692577395593</v>
      </c>
      <c r="I99" s="21">
        <f>IF(AND(ISNUMBER(I98),ISNUMBER(D98)),IF(D98&lt;=0,"n.m.",IFERROR(I98/D98-1,"n.a.")),"n.a.")</f>
        <v>0.07187576743382262</v>
      </c>
      <c r="J99" s="29">
        <f>IF(AND(ISNUMBER(J98),ISNUMBER(E98)),IF(E98&lt;=0,"n.m.",IFERROR(J98/E98-1,"n.a.")),"n.a.")</f>
        <v>0.04844988674971695</v>
      </c>
      <c r="K99" s="1"/>
      <c r="L99" s="1"/>
      <c r="M99" s="1"/>
      <c r="N99" s="1"/>
      <c r="O99" s="1"/>
      <c r="P99" s="1"/>
    </row>
    <row r="100">
      <c r="A100" s="1"/>
      <c r="B100" s="1" t="s">
        <v>162</v>
      </c>
      <c r="C100" s="14"/>
      <c r="D100" s="14">
        <f>IF(AND(ISNUMBER(D98),ISNUMBER(C98)),D98-C98,"n.a.")</f>
        <v>1552</v>
      </c>
      <c r="E100" s="14">
        <f>IF(AND(ISNUMBER(E98),ISNUMBER(D98)),E98-D98,"n.a.")</f>
        <v>9239</v>
      </c>
      <c r="F100" s="14">
        <f>IF(AND(ISNUMBER(F98),ISNUMBER(E98)),F98-E98,"n.a.")</f>
        <v>5629</v>
      </c>
      <c r="G100" s="14"/>
      <c r="H100" s="14">
        <f>IF(AND(ISNUMBER(H98),ISNUMBER(F98)),H98-F98,"n.a.")</f>
        <v>14572</v>
      </c>
      <c r="I100" s="14">
        <f>IF(AND(ISNUMBER(I98),ISNUMBER(H98)),I98-H98,"n.a.")</f>
        <v>-5733</v>
      </c>
      <c r="J100" s="10">
        <f>IF(AND(ISNUMBER(J98),ISNUMBER(I98)),J98-I98,"n.a.")</f>
        <v>1960</v>
      </c>
      <c r="K100" s="1"/>
      <c r="L100" s="1"/>
      <c r="M100" s="1"/>
      <c r="N100" s="1"/>
      <c r="O100" s="1"/>
      <c r="P100" s="1"/>
    </row>
    <row r="101" ht="28.5">
      <c r="A101" s="1"/>
      <c r="B101" s="1" t="s">
        <v>181</v>
      </c>
      <c r="C101" s="18">
        <v>92367</v>
      </c>
      <c r="D101" s="18">
        <v>93142</v>
      </c>
      <c r="E101" s="18">
        <v>92756</v>
      </c>
      <c r="F101" s="18">
        <v>94834</v>
      </c>
      <c r="G101" s="14">
        <f>SUMPRODUCT(C101:F101,C$7:F$7)/G$7</f>
        <v>93280.08767123288</v>
      </c>
      <c r="H101" s="18">
        <v>99081</v>
      </c>
      <c r="I101" s="18">
        <v>103479</v>
      </c>
      <c r="J101" s="27">
        <v>105000</v>
      </c>
      <c r="K101" s="134" t="s">
        <v>182</v>
      </c>
      <c r="L101" s="1"/>
      <c r="M101" s="1"/>
      <c r="N101" s="1"/>
      <c r="O101" s="1"/>
      <c r="P101" s="1"/>
    </row>
    <row r="102">
      <c r="A102" s="1"/>
      <c r="B102" s="6" t="s">
        <v>143</v>
      </c>
      <c r="C102" s="21"/>
      <c r="D102" s="21"/>
      <c r="E102" s="21"/>
      <c r="F102" s="21"/>
      <c r="G102" s="21"/>
      <c r="H102" s="21">
        <f>IF(AND(ISNUMBER(H101),ISNUMBER(C101)),IF(C101&lt;=0,"n.m.",IFERROR(H101/C101-1,"n.a.")),"n.a.")</f>
        <v>0.07268829776868357</v>
      </c>
      <c r="I102" s="21">
        <f>IF(AND(ISNUMBER(I101),ISNUMBER(D101)),IF(D101&lt;=0,"n.m.",IFERROR(I101/D101-1,"n.a.")),"n.a.")</f>
        <v>0.11098108264799977</v>
      </c>
      <c r="J102" s="29">
        <f>IF(AND(ISNUMBER(J101),ISNUMBER(E101)),IF(E101&lt;=0,"n.m.",IFERROR(J101/E101-1,"n.a.")),"n.a.")</f>
        <v>0.13200224244253733</v>
      </c>
      <c r="K102" s="1"/>
      <c r="L102" s="1"/>
      <c r="M102" s="1"/>
      <c r="N102" s="1"/>
      <c r="O102" s="1"/>
      <c r="P102" s="1"/>
    </row>
    <row r="103">
      <c r="A103" s="1"/>
      <c r="B103" s="1" t="s">
        <v>162</v>
      </c>
      <c r="C103" s="14"/>
      <c r="D103" s="14">
        <f>IF(AND(ISNUMBER(D101),ISNUMBER(C101)),D101-C101,"n.a.")</f>
        <v>775</v>
      </c>
      <c r="E103" s="14">
        <f>IF(AND(ISNUMBER(E101),ISNUMBER(D101)),E101-D101,"n.a.")</f>
        <v>-386</v>
      </c>
      <c r="F103" s="14">
        <f>IF(AND(ISNUMBER(F101),ISNUMBER(E101)),F101-E101,"n.a.")</f>
        <v>2078</v>
      </c>
      <c r="G103" s="14"/>
      <c r="H103" s="14">
        <f>IF(AND(ISNUMBER(H101),ISNUMBER(F101)),H101-F101,"n.a.")</f>
        <v>4247</v>
      </c>
      <c r="I103" s="14">
        <f>IF(AND(ISNUMBER(I101),ISNUMBER(H101)),I101-H101,"n.a.")</f>
        <v>4398</v>
      </c>
      <c r="J103" s="10">
        <f>IF(AND(ISNUMBER(J101),ISNUMBER(I101)),J101-I101,"n.a.")</f>
        <v>1521</v>
      </c>
      <c r="K103" s="1"/>
      <c r="L103" s="1"/>
      <c r="M103" s="1"/>
      <c r="N103" s="1"/>
      <c r="O103" s="1"/>
      <c r="P103" s="1"/>
    </row>
    <row r="104" ht="66.75">
      <c r="A104" s="1"/>
      <c r="B104" s="7" t="s">
        <v>183</v>
      </c>
      <c r="C104" s="22">
        <f>C98+C101</f>
        <v>420648</v>
      </c>
      <c r="D104" s="22">
        <f>D98+D101</f>
        <v>422975</v>
      </c>
      <c r="E104" s="22">
        <f>E98+E101</f>
        <v>431828</v>
      </c>
      <c r="F104" s="22">
        <f>F98+F101</f>
        <v>439535</v>
      </c>
      <c r="G104" s="22">
        <f>G98+G101</f>
        <v>428806.6876712329</v>
      </c>
      <c r="H104" s="22">
        <f>H98+H101</f>
        <v>458354</v>
      </c>
      <c r="I104" s="22">
        <f>I98+I101</f>
        <v>457019</v>
      </c>
      <c r="J104" s="23">
        <f>J98+J101</f>
        <v>460500</v>
      </c>
      <c r="K104" s="133" t="s">
        <v>184</v>
      </c>
      <c r="L104" s="1"/>
      <c r="M104" s="1"/>
      <c r="N104" s="1"/>
      <c r="O104" s="1"/>
      <c r="P104" s="1"/>
    </row>
    <row r="105">
      <c r="A105" s="1"/>
      <c r="B105" s="6" t="s">
        <v>143</v>
      </c>
      <c r="C105" s="21"/>
      <c r="D105" s="21"/>
      <c r="E105" s="21"/>
      <c r="F105" s="21"/>
      <c r="G105" s="21"/>
      <c r="H105" s="21">
        <f>IF(AND(ISNUMBER(H104),ISNUMBER(C104)),IF(C104&lt;=0,"n.m.",IFERROR(H104/C104-1,"n.a.")),"n.a.")</f>
        <v>0.08963789201422556</v>
      </c>
      <c r="I105" s="21">
        <f>IF(AND(ISNUMBER(I104),ISNUMBER(D104)),IF(D104&lt;=0,"n.m.",IFERROR(I104/D104-1,"n.a.")),"n.a.")</f>
        <v>0.08048702642000127</v>
      </c>
      <c r="J105" s="29">
        <f>IF(AND(ISNUMBER(J104),ISNUMBER(E104)),IF(E104&lt;=0,"n.m.",IFERROR(J104/E104-1,"n.a.")),"n.a.")</f>
        <v>0.06639680613577625</v>
      </c>
      <c r="K105" s="1"/>
      <c r="L105" s="1"/>
      <c r="M105" s="1"/>
      <c r="N105" s="1"/>
      <c r="O105" s="1"/>
      <c r="P105" s="1"/>
    </row>
    <row r="106">
      <c r="A106" s="1"/>
      <c r="B106" s="6" t="s">
        <v>144</v>
      </c>
      <c r="C106" s="21"/>
      <c r="D106" s="21">
        <f>IF(AND(ISNUMBER(D104),ISNUMBER(C104)),IF(C104&lt;=0,"n.m.",IFERROR(D104/C104-1,"n.a.")),"n.a.")</f>
        <v>0.005531941195488832</v>
      </c>
      <c r="E106" s="21">
        <f>IF(AND(ISNUMBER(E104),ISNUMBER(D104)),IF(D104&lt;=0,"n.m.",IFERROR(E104/D104-1,"n.a.")),"n.a.")</f>
        <v>0.020930315030439184</v>
      </c>
      <c r="F106" s="21">
        <f>IF(AND(ISNUMBER(F104),ISNUMBER(E104)),IF(E104&lt;=0,"n.m.",IFERROR(F104/E104-1,"n.a.")),"n.a.")</f>
        <v>0.017847383680539508</v>
      </c>
      <c r="G106" s="21"/>
      <c r="H106" s="21">
        <f>IF(AND(ISNUMBER(H104),ISNUMBER(F104)),IF(F104&lt;=0,"n.m.",IFERROR(H104/F104-1,"n.a.")),"n.a.")</f>
        <v>0.042815702958808766</v>
      </c>
      <c r="I106" s="21">
        <f>IF(AND(ISNUMBER(I104),ISNUMBER(H104)),IF(H104&lt;=0,"n.m.",IFERROR(I104/H104-1,"n.a.")),"n.a.")</f>
        <v>-0.0029125959411284708</v>
      </c>
      <c r="J106" s="29">
        <f>IF(AND(ISNUMBER(J104),ISNUMBER(I104)),IF(I104&lt;=0,"n.m.",IFERROR(J104/I104-1,"n.a.")),"n.a.")</f>
        <v>0.007616751163518343</v>
      </c>
      <c r="K106" s="1"/>
      <c r="L106" s="1"/>
      <c r="M106" s="1"/>
      <c r="N106" s="1"/>
      <c r="O106" s="1"/>
      <c r="P106" s="1"/>
    </row>
    <row r="107">
      <c r="A107" s="1"/>
      <c r="B107" s="1" t="s">
        <v>162</v>
      </c>
      <c r="C107" s="14"/>
      <c r="D107" s="14">
        <f>IF(AND(ISNUMBER(D104),ISNUMBER(C104)),D104-C104,"n.a.")</f>
        <v>2327</v>
      </c>
      <c r="E107" s="14">
        <f>IF(AND(ISNUMBER(E104),ISNUMBER(D104)),E104-D104,"n.a.")</f>
        <v>8853</v>
      </c>
      <c r="F107" s="14">
        <f>IF(AND(ISNUMBER(F104),ISNUMBER(E104)),F104-E104,"n.a.")</f>
        <v>7707</v>
      </c>
      <c r="G107" s="14"/>
      <c r="H107" s="14">
        <f>IF(AND(ISNUMBER(H104),ISNUMBER(F104)),H104-F104,"n.a.")</f>
        <v>18819</v>
      </c>
      <c r="I107" s="14">
        <f>IF(AND(ISNUMBER(I104),ISNUMBER(H104)),I104-H104,"n.a.")</f>
        <v>-1335</v>
      </c>
      <c r="J107" s="10">
        <f>IF(AND(ISNUMBER(J104),ISNUMBER(I104)),J104-I104,"n.a.")</f>
        <v>3481</v>
      </c>
      <c r="K107" s="1"/>
      <c r="L107" s="1"/>
      <c r="M107" s="1"/>
      <c r="N107" s="1"/>
      <c r="O107" s="1"/>
      <c r="P107" s="1"/>
    </row>
    <row r="108">
      <c r="A108" s="1"/>
      <c r="B108" s="6" t="s">
        <v>185</v>
      </c>
      <c r="C108" s="21">
        <f>C101/C104</f>
        <v>0.2195826439208079</v>
      </c>
      <c r="D108" s="21">
        <f>D101/D104</f>
        <v>0.22020686801820438</v>
      </c>
      <c r="E108" s="21">
        <f>E101/E104</f>
        <v>0.21479848458182424</v>
      </c>
      <c r="F108" s="21">
        <f>F101/F104</f>
        <v>0.2157598371005722</v>
      </c>
      <c r="G108" s="21">
        <f>G101/G104</f>
        <v>0.21753412517379145</v>
      </c>
      <c r="H108" s="21">
        <f>H101/H104</f>
        <v>0.2161669801070788</v>
      </c>
      <c r="I108" s="21">
        <f>I101/I104</f>
        <v>0.22642165861813185</v>
      </c>
      <c r="J108" s="29">
        <f>J101/J104</f>
        <v>0.2280130293159609</v>
      </c>
      <c r="K108" s="1"/>
      <c r="L108" s="1"/>
      <c r="M108" s="1"/>
      <c r="N108" s="1"/>
      <c r="O108" s="1"/>
      <c r="P108" s="1"/>
    </row>
    <row r="109">
      <c r="A109" s="1"/>
      <c r="B109" s="6" t="s">
        <v>186</v>
      </c>
      <c r="C109" s="20"/>
      <c r="D109" s="20">
        <f>IF(AND(ISNUMBER(D108),ISNUMBER(C108)),(D108-C108)*10000,"n.a.")</f>
        <v>6.242240973964863</v>
      </c>
      <c r="E109" s="20">
        <f>IF(AND(ISNUMBER(E108),ISNUMBER(D108)),(E108-D108)*10000,"n.a.")</f>
        <v>-54.08383436380143</v>
      </c>
      <c r="F109" s="20">
        <f>IF(AND(ISNUMBER(F108),ISNUMBER(E108)),(F108-E108)*10000,"n.a.")</f>
        <v>9.613525187479599</v>
      </c>
      <c r="G109" s="20"/>
      <c r="H109" s="20">
        <f>IF(AND(ISNUMBER(H108),ISNUMBER(F108)),(H108-F108)*10000,"n.a.")</f>
        <v>4.071430065065995</v>
      </c>
      <c r="I109" s="20">
        <f>IF(AND(ISNUMBER(I108),ISNUMBER(H108)),(I108-H108)*10000,"n.a.")</f>
        <v>102.54678511053051</v>
      </c>
      <c r="J109" s="48">
        <f>IF(AND(ISNUMBER(J108),ISNUMBER(I108)),(J108-I108)*10000,"n.a.")</f>
        <v>15.91370697829053</v>
      </c>
      <c r="K109" s="1"/>
      <c r="L109" s="1"/>
      <c r="M109" s="1"/>
      <c r="N109" s="1"/>
      <c r="O109" s="1"/>
      <c r="P109" s="1"/>
    </row>
    <row r="110">
      <c r="A110" s="1"/>
      <c r="B110" s="6" t="s">
        <v>187</v>
      </c>
      <c r="C110" s="20"/>
      <c r="D110" s="20"/>
      <c r="E110" s="20"/>
      <c r="F110" s="20"/>
      <c r="G110" s="20"/>
      <c r="H110" s="20">
        <f>IF(AND(ISNUMBER(H108),ISNUMBER(C108)),(H108-C108)*10000,"n.a.")</f>
        <v>-34.156638137290976</v>
      </c>
      <c r="I110" s="20">
        <f>IF(AND(ISNUMBER(I108),ISNUMBER(D108)),(I108-D108)*10000,"n.a.")</f>
        <v>62.14790599927467</v>
      </c>
      <c r="J110" s="48">
        <f>IF(AND(ISNUMBER(J108),ISNUMBER(E108)),(J108-E108)*10000,"n.a.")</f>
        <v>132.14544734136663</v>
      </c>
      <c r="K110" s="1"/>
      <c r="L110" s="1"/>
      <c r="M110" s="1"/>
      <c r="N110" s="1"/>
      <c r="O110" s="1"/>
      <c r="P110" s="1"/>
    </row>
    <row r="111" ht="79.5">
      <c r="A111" s="1"/>
      <c r="B111" s="1" t="s">
        <v>188</v>
      </c>
      <c r="C111" s="18">
        <v>19703</v>
      </c>
      <c r="D111" s="18">
        <v>18319</v>
      </c>
      <c r="E111" s="18">
        <v>17615</v>
      </c>
      <c r="F111" s="18">
        <v>14671</v>
      </c>
      <c r="G111" s="14">
        <f>SUMPRODUCT(C111:F111,C$7:F$7)/G$7</f>
        <v>17563.317808219177</v>
      </c>
      <c r="H111" s="18">
        <v>16616</v>
      </c>
      <c r="I111" s="18">
        <v>29362</v>
      </c>
      <c r="J111" s="27">
        <v>29000</v>
      </c>
      <c r="K111" s="123" t="s">
        <v>189</v>
      </c>
      <c r="L111" s="1"/>
      <c r="M111" s="1"/>
      <c r="N111" s="1"/>
      <c r="O111" s="1"/>
      <c r="P111" s="1"/>
    </row>
    <row r="112">
      <c r="A112" s="1"/>
      <c r="B112" s="6" t="s">
        <v>143</v>
      </c>
      <c r="C112" s="21"/>
      <c r="D112" s="21"/>
      <c r="E112" s="21"/>
      <c r="F112" s="21"/>
      <c r="G112" s="21"/>
      <c r="H112" s="21">
        <f>IF(AND(ISNUMBER(H111),ISNUMBER(C111)),IF(C111&lt;=0,"n.m.",IFERROR(H111/C111-1,"n.a.")),"n.a.")</f>
        <v>-0.15667664822615845</v>
      </c>
      <c r="I112" s="21">
        <f>IF(AND(ISNUMBER(I111),ISNUMBER(D111)),IF(D111&lt;=0,"n.m.",IFERROR(I111/D111-1,"n.a.")),"n.a.")</f>
        <v>0.6028167476390633</v>
      </c>
      <c r="J112" s="29">
        <f>IF(AND(ISNUMBER(J111),ISNUMBER(E111)),IF(E111&lt;=0,"n.m.",IFERROR(J111/E111-1,"n.a.")),"n.a.")</f>
        <v>0.6463241555492478</v>
      </c>
      <c r="K112" s="1"/>
      <c r="L112" s="1"/>
      <c r="M112" s="1"/>
      <c r="N112" s="1"/>
      <c r="O112" s="1"/>
      <c r="P112" s="1"/>
    </row>
    <row r="113">
      <c r="A113" s="1"/>
      <c r="B113" s="1" t="s">
        <v>162</v>
      </c>
      <c r="C113" s="14"/>
      <c r="D113" s="14">
        <f>IF(AND(ISNUMBER(D111),ISNUMBER(C111)),D111-C111,"n.a.")</f>
        <v>-1384</v>
      </c>
      <c r="E113" s="14">
        <f>IF(AND(ISNUMBER(E111),ISNUMBER(D111)),E111-D111,"n.a.")</f>
        <v>-704</v>
      </c>
      <c r="F113" s="14">
        <f>IF(AND(ISNUMBER(F111),ISNUMBER(E111)),F111-E111,"n.a.")</f>
        <v>-2944</v>
      </c>
      <c r="G113" s="14"/>
      <c r="H113" s="14">
        <f>IF(AND(ISNUMBER(H111),ISNUMBER(F111)),H111-F111,"n.a.")</f>
        <v>1945</v>
      </c>
      <c r="I113" s="14">
        <f>IF(AND(ISNUMBER(I111),ISNUMBER(H111)),I111-H111,"n.a.")</f>
        <v>12746</v>
      </c>
      <c r="J113" s="10">
        <f>IF(AND(ISNUMBER(J111),ISNUMBER(I111)),J111-I111,"n.a.")</f>
        <v>-362</v>
      </c>
      <c r="K113" s="1"/>
      <c r="L113" s="1"/>
      <c r="M113" s="1"/>
      <c r="N113" s="1"/>
      <c r="O113" s="1"/>
      <c r="P113" s="1"/>
    </row>
    <row r="114">
      <c r="A114" s="1"/>
      <c r="B114" s="1" t="s">
        <v>190</v>
      </c>
      <c r="C114" s="18">
        <v>34933</v>
      </c>
      <c r="D114" s="18">
        <v>36142</v>
      </c>
      <c r="E114" s="18">
        <v>38012</v>
      </c>
      <c r="F114" s="18">
        <v>38623</v>
      </c>
      <c r="G114" s="14">
        <f>SUMPRODUCT(C114:F114,C$7:F$7)/G$7</f>
        <v>36940.58082191781</v>
      </c>
      <c r="H114" s="18">
        <v>37383</v>
      </c>
      <c r="I114" s="18">
        <v>38184</v>
      </c>
      <c r="J114" s="27">
        <v>37900</v>
      </c>
      <c r="K114" s="1"/>
      <c r="L114" s="1"/>
      <c r="M114" s="1"/>
      <c r="N114" s="1"/>
      <c r="O114" s="1"/>
      <c r="P114" s="1"/>
    </row>
    <row r="115">
      <c r="A115" s="1"/>
      <c r="B115" s="6" t="s">
        <v>143</v>
      </c>
      <c r="C115" s="21"/>
      <c r="D115" s="21"/>
      <c r="E115" s="21"/>
      <c r="F115" s="21"/>
      <c r="G115" s="21"/>
      <c r="H115" s="21">
        <f>IF(AND(ISNUMBER(H114),ISNUMBER(C114)),IF(C114&lt;=0,"n.m.",IFERROR(H114/C114-1,"n.a.")),"n.a.")</f>
        <v>0.07013425700626907</v>
      </c>
      <c r="I115" s="21">
        <f>IF(AND(ISNUMBER(I114),ISNUMBER(D114)),IF(D114&lt;=0,"n.m.",IFERROR(I114/D114-1,"n.a.")),"n.a.")</f>
        <v>0.056499363621271614</v>
      </c>
      <c r="J115" s="29">
        <f>IF(AND(ISNUMBER(J114),ISNUMBER(E114)),IF(E114&lt;=0,"n.m.",IFERROR(J114/E114-1,"n.a.")),"n.a.")</f>
        <v>-0.0029464379669578156</v>
      </c>
      <c r="K115" s="1"/>
      <c r="L115" s="1"/>
      <c r="M115" s="1"/>
      <c r="N115" s="1"/>
      <c r="O115" s="1"/>
      <c r="P115" s="1"/>
    </row>
    <row r="116">
      <c r="A116" s="1"/>
      <c r="B116" s="1" t="s">
        <v>162</v>
      </c>
      <c r="C116" s="14"/>
      <c r="D116" s="14">
        <f>IF(AND(ISNUMBER(D114),ISNUMBER(C114)),D114-C114,"n.a.")</f>
        <v>1209</v>
      </c>
      <c r="E116" s="14">
        <f>IF(AND(ISNUMBER(E114),ISNUMBER(D114)),E114-D114,"n.a.")</f>
        <v>1870</v>
      </c>
      <c r="F116" s="14">
        <f>IF(AND(ISNUMBER(F114),ISNUMBER(E114)),F114-E114,"n.a.")</f>
        <v>611</v>
      </c>
      <c r="G116" s="14"/>
      <c r="H116" s="14">
        <f>IF(AND(ISNUMBER(H114),ISNUMBER(F114)),H114-F114,"n.a.")</f>
        <v>-1240</v>
      </c>
      <c r="I116" s="14">
        <f>IF(AND(ISNUMBER(I114),ISNUMBER(H114)),I114-H114,"n.a.")</f>
        <v>801</v>
      </c>
      <c r="J116" s="10">
        <f>IF(AND(ISNUMBER(J114),ISNUMBER(I114)),J114-I114,"n.a.")</f>
        <v>-284</v>
      </c>
      <c r="K116" s="1"/>
      <c r="L116" s="1"/>
      <c r="M116" s="1"/>
      <c r="N116" s="1"/>
      <c r="O116" s="1"/>
      <c r="P116" s="1"/>
    </row>
    <row r="117">
      <c r="A117" s="1"/>
      <c r="B117" s="1" t="s">
        <v>191</v>
      </c>
      <c r="C117" s="18">
        <v>4320</v>
      </c>
      <c r="D117" s="18">
        <v>3686</v>
      </c>
      <c r="E117" s="18">
        <v>3616</v>
      </c>
      <c r="F117" s="18">
        <v>3299</v>
      </c>
      <c r="G117" s="14">
        <f>SUMPRODUCT(C117:F117,C$7:F$7)/G$7</f>
        <v>3727.139726027397</v>
      </c>
      <c r="H117" s="18">
        <v>4200</v>
      </c>
      <c r="I117" s="18">
        <v>4544</v>
      </c>
      <c r="J117" s="27">
        <v>4400</v>
      </c>
      <c r="K117" s="1"/>
      <c r="L117" s="1"/>
      <c r="M117" s="1"/>
      <c r="N117" s="1"/>
      <c r="O117" s="1"/>
      <c r="P117" s="1"/>
    </row>
    <row r="118">
      <c r="A118" s="1"/>
      <c r="B118" s="6" t="s">
        <v>143</v>
      </c>
      <c r="C118" s="21"/>
      <c r="D118" s="21"/>
      <c r="E118" s="21"/>
      <c r="F118" s="21"/>
      <c r="G118" s="21"/>
      <c r="H118" s="21">
        <f>IF(AND(ISNUMBER(H117),ISNUMBER(C117)),IF(C117&lt;=0,"n.m.",IFERROR(H117/C117-1,"n.a.")),"n.a.")</f>
        <v>-0.02777777777777779</v>
      </c>
      <c r="I118" s="21">
        <f>IF(AND(ISNUMBER(I117),ISNUMBER(D117)),IF(D117&lt;=0,"n.m.",IFERROR(I117/D117-1,"n.a.")),"n.a.")</f>
        <v>0.23277265328269126</v>
      </c>
      <c r="J118" s="29">
        <f>IF(AND(ISNUMBER(J117),ISNUMBER(E117)),IF(E117&lt;=0,"n.m.",IFERROR(J117/E117-1,"n.a.")),"n.a.")</f>
        <v>0.2168141592920354</v>
      </c>
      <c r="K118" s="1"/>
      <c r="L118" s="1"/>
      <c r="M118" s="1"/>
      <c r="N118" s="1"/>
      <c r="O118" s="1"/>
      <c r="P118" s="1"/>
    </row>
    <row r="119">
      <c r="A119" s="1"/>
      <c r="B119" s="1" t="s">
        <v>162</v>
      </c>
      <c r="C119" s="14"/>
      <c r="D119" s="14">
        <f>IF(AND(ISNUMBER(D117),ISNUMBER(C117)),D117-C117,"n.a.")</f>
        <v>-634</v>
      </c>
      <c r="E119" s="14">
        <f>IF(AND(ISNUMBER(E117),ISNUMBER(D117)),E117-D117,"n.a.")</f>
        <v>-70</v>
      </c>
      <c r="F119" s="14">
        <f>IF(AND(ISNUMBER(F117),ISNUMBER(E117)),F117-E117,"n.a.")</f>
        <v>-317</v>
      </c>
      <c r="G119" s="14"/>
      <c r="H119" s="14">
        <f>IF(AND(ISNUMBER(H117),ISNUMBER(F117)),H117-F117,"n.a.")</f>
        <v>901</v>
      </c>
      <c r="I119" s="14">
        <f>IF(AND(ISNUMBER(I117),ISNUMBER(H117)),I117-H117,"n.a.")</f>
        <v>344</v>
      </c>
      <c r="J119" s="10">
        <f>IF(AND(ISNUMBER(J117),ISNUMBER(I117)),J117-I117,"n.a.")</f>
        <v>-144</v>
      </c>
      <c r="K119" s="1"/>
      <c r="L119" s="1"/>
      <c r="M119" s="1"/>
      <c r="N119" s="1"/>
      <c r="O119" s="1"/>
      <c r="P119" s="1"/>
    </row>
    <row r="120">
      <c r="A120" s="1"/>
      <c r="B120" s="1" t="s">
        <v>192</v>
      </c>
      <c r="C120" s="18">
        <v>5549</v>
      </c>
      <c r="D120" s="18">
        <v>7146</v>
      </c>
      <c r="E120" s="18">
        <v>7070</v>
      </c>
      <c r="F120" s="18">
        <v>3722</v>
      </c>
      <c r="G120" s="14">
        <f>SUMPRODUCT(C120:F120,C$7:F$7)/G$7</f>
        <v>5870.027397260274</v>
      </c>
      <c r="H120" s="18">
        <v>4675</v>
      </c>
      <c r="I120" s="18">
        <v>6843</v>
      </c>
      <c r="J120" s="27">
        <v>6700</v>
      </c>
      <c r="K120" s="1"/>
      <c r="L120" s="1"/>
      <c r="M120" s="1"/>
      <c r="N120" s="1"/>
      <c r="O120" s="1"/>
      <c r="P120" s="1"/>
    </row>
    <row r="121">
      <c r="A121" s="1"/>
      <c r="B121" s="6" t="s">
        <v>143</v>
      </c>
      <c r="C121" s="21"/>
      <c r="D121" s="21"/>
      <c r="E121" s="21"/>
      <c r="F121" s="21"/>
      <c r="G121" s="21"/>
      <c r="H121" s="21">
        <f>IF(AND(ISNUMBER(H120),ISNUMBER(C120)),IF(C120&lt;=0,"n.m.",IFERROR(H120/C120-1,"n.a.")),"n.a.")</f>
        <v>-0.15750585691115515</v>
      </c>
      <c r="I121" s="21">
        <f>IF(AND(ISNUMBER(I120),ISNUMBER(D120)),IF(D120&lt;=0,"n.m.",IFERROR(I120/D120-1,"n.a.")),"n.a.")</f>
        <v>-0.042401343408900116</v>
      </c>
      <c r="J121" s="29">
        <f>IF(AND(ISNUMBER(J120),ISNUMBER(E120)),IF(E120&lt;=0,"n.m.",IFERROR(J120/E120-1,"n.a.")),"n.a.")</f>
        <v>-0.052333804809052364</v>
      </c>
      <c r="K121" s="1"/>
      <c r="L121" s="1"/>
      <c r="M121" s="1"/>
      <c r="N121" s="1"/>
      <c r="O121" s="1"/>
      <c r="P121" s="1"/>
    </row>
    <row r="122">
      <c r="A122" s="1"/>
      <c r="B122" s="1" t="s">
        <v>162</v>
      </c>
      <c r="C122" s="14"/>
      <c r="D122" s="14">
        <f>IF(AND(ISNUMBER(D120),ISNUMBER(C120)),D120-C120,"n.a.")</f>
        <v>1597</v>
      </c>
      <c r="E122" s="14">
        <f>IF(AND(ISNUMBER(E120),ISNUMBER(D120)),E120-D120,"n.a.")</f>
        <v>-76</v>
      </c>
      <c r="F122" s="14">
        <f>IF(AND(ISNUMBER(F120),ISNUMBER(E120)),F120-E120,"n.a.")</f>
        <v>-3348</v>
      </c>
      <c r="G122" s="14"/>
      <c r="H122" s="14">
        <f>IF(AND(ISNUMBER(H120),ISNUMBER(F120)),H120-F120,"n.a.")</f>
        <v>953</v>
      </c>
      <c r="I122" s="14">
        <f>IF(AND(ISNUMBER(I120),ISNUMBER(H120)),I120-H120,"n.a.")</f>
        <v>2168</v>
      </c>
      <c r="J122" s="10">
        <f>IF(AND(ISNUMBER(J120),ISNUMBER(I120)),J120-I120,"n.a.")</f>
        <v>-143</v>
      </c>
      <c r="K122" s="1"/>
      <c r="L122" s="1"/>
      <c r="M122" s="1"/>
      <c r="N122" s="1"/>
      <c r="O122" s="1"/>
      <c r="P122" s="1"/>
    </row>
    <row r="123" ht="79.5">
      <c r="A123" s="1"/>
      <c r="B123" s="7" t="s">
        <v>193</v>
      </c>
      <c r="C123" s="22">
        <f>C111+C114+C117+C120</f>
        <v>64505</v>
      </c>
      <c r="D123" s="22">
        <f>D111+D114+D117+D120</f>
        <v>65293</v>
      </c>
      <c r="E123" s="22">
        <f>E111+E114+E117+E120</f>
        <v>66313</v>
      </c>
      <c r="F123" s="22">
        <f>F111+F114+F117+F120</f>
        <v>60315</v>
      </c>
      <c r="G123" s="22">
        <f>G111+G114+G117+G120</f>
        <v>64101.06575342466</v>
      </c>
      <c r="H123" s="22">
        <f>H111+H114+H117+H120</f>
        <v>62874</v>
      </c>
      <c r="I123" s="22">
        <f>I111+I114+I117+I120</f>
        <v>78933</v>
      </c>
      <c r="J123" s="23">
        <f>J111+J114+J117+J120</f>
        <v>78000</v>
      </c>
      <c r="K123" s="123" t="s">
        <v>194</v>
      </c>
      <c r="L123" s="1"/>
      <c r="M123" s="1"/>
      <c r="N123" s="1"/>
      <c r="O123" s="1"/>
      <c r="P123" s="1"/>
    </row>
    <row r="124">
      <c r="A124" s="1"/>
      <c r="B124" s="6" t="s">
        <v>143</v>
      </c>
      <c r="C124" s="21"/>
      <c r="D124" s="21"/>
      <c r="E124" s="21"/>
      <c r="F124" s="21"/>
      <c r="G124" s="21"/>
      <c r="H124" s="21">
        <f>IF(AND(ISNUMBER(H123),ISNUMBER(C123)),IF(C123&lt;=0,"n.m.",IFERROR(H123/C123-1,"n.a.")),"n.a.")</f>
        <v>-0.02528486163863264</v>
      </c>
      <c r="I124" s="21">
        <f>IF(AND(ISNUMBER(I123),ISNUMBER(D123)),IF(D123&lt;=0,"n.m.",IFERROR(I123/D123-1,"n.a.")),"n.a.")</f>
        <v>0.2089044767432957</v>
      </c>
      <c r="J124" s="29">
        <f>IF(AND(ISNUMBER(J123),ISNUMBER(E123)),IF(E123&lt;=0,"n.m.",IFERROR(J123/E123-1,"n.a.")),"n.a.")</f>
        <v>0.17623995295040196</v>
      </c>
      <c r="K124" s="1"/>
      <c r="L124" s="1"/>
      <c r="M124" s="1"/>
      <c r="N124" s="1"/>
      <c r="O124" s="1"/>
      <c r="P124" s="1"/>
    </row>
    <row r="125">
      <c r="A125" s="1"/>
      <c r="B125" s="1" t="s">
        <v>162</v>
      </c>
      <c r="C125" s="14"/>
      <c r="D125" s="14">
        <f>IF(AND(ISNUMBER(D123),ISNUMBER(C123)),D123-C123,"n.a.")</f>
        <v>788</v>
      </c>
      <c r="E125" s="14">
        <f>IF(AND(ISNUMBER(E123),ISNUMBER(D123)),E123-D123,"n.a.")</f>
        <v>1020</v>
      </c>
      <c r="F125" s="14">
        <f>IF(AND(ISNUMBER(F123),ISNUMBER(E123)),F123-E123,"n.a.")</f>
        <v>-5998</v>
      </c>
      <c r="G125" s="14"/>
      <c r="H125" s="14">
        <f>IF(AND(ISNUMBER(H123),ISNUMBER(F123)),H123-F123,"n.a.")</f>
        <v>2559</v>
      </c>
      <c r="I125" s="14">
        <f>IF(AND(ISNUMBER(I123),ISNUMBER(H123)),I123-H123,"n.a.")</f>
        <v>16059</v>
      </c>
      <c r="J125" s="10">
        <f>IF(AND(ISNUMBER(J123),ISNUMBER(I123)),J123-I123,"n.a.")</f>
        <v>-933</v>
      </c>
      <c r="K125" s="1"/>
      <c r="L125" s="1"/>
      <c r="M125" s="1"/>
      <c r="N125" s="1"/>
      <c r="O125" s="1"/>
      <c r="P125" s="1"/>
    </row>
    <row r="126">
      <c r="A126" s="1"/>
      <c r="B126" s="6" t="s">
        <v>195</v>
      </c>
      <c r="C126" s="21">
        <f>C61/C104</f>
        <v>0.7527053498411974</v>
      </c>
      <c r="D126" s="21">
        <f>D61/D104</f>
        <v>0.7630569182575803</v>
      </c>
      <c r="E126" s="21">
        <f>E61/E104</f>
        <v>0.7547727335883732</v>
      </c>
      <c r="F126" s="21">
        <f>F61/F104</f>
        <v>0.7460816544757528</v>
      </c>
      <c r="G126" s="21">
        <f>G61/G104</f>
        <v>0.7540645147242356</v>
      </c>
      <c r="H126" s="21">
        <f>H61/H104</f>
        <v>0.7655283907198366</v>
      </c>
      <c r="I126" s="21">
        <f>I61/I104</f>
        <v>0.7947065658101742</v>
      </c>
      <c r="J126" s="29">
        <f>J61/J104</f>
        <v>0.8002866449511401</v>
      </c>
      <c r="K126" s="1"/>
      <c r="L126" s="1"/>
      <c r="M126" s="1"/>
      <c r="N126" s="1"/>
      <c r="O126" s="1"/>
      <c r="P126" s="1"/>
    </row>
    <row r="127">
      <c r="A127" s="1"/>
      <c r="B127" s="6" t="s">
        <v>186</v>
      </c>
      <c r="C127" s="20"/>
      <c r="D127" s="20">
        <f>IF(AND(ISNUMBER(D126),ISNUMBER(C126)),(D126-C126)*10000,"n.a.")</f>
        <v>103.5156841638285</v>
      </c>
      <c r="E127" s="20">
        <f>IF(AND(ISNUMBER(E126),ISNUMBER(D126)),(E126-D126)*10000,"n.a.")</f>
        <v>-82.84184669207106</v>
      </c>
      <c r="F127" s="20">
        <f>IF(AND(ISNUMBER(F126),ISNUMBER(E126)),(F126-E126)*10000,"n.a.")</f>
        <v>-86.91079112620348</v>
      </c>
      <c r="G127" s="20"/>
      <c r="H127" s="20">
        <f>IF(AND(ISNUMBER(H126),ISNUMBER(F126)),(H126-F126)*10000,"n.a.")</f>
        <v>194.46736244083775</v>
      </c>
      <c r="I127" s="20">
        <f>IF(AND(ISNUMBER(I126),ISNUMBER(H126)),(I126-H126)*10000,"n.a.")</f>
        <v>291.781750903376</v>
      </c>
      <c r="J127" s="48">
        <f>IF(AND(ISNUMBER(J126),ISNUMBER(I126)),(J126-I126)*10000,"n.a.")</f>
        <v>55.80079140965921</v>
      </c>
      <c r="K127" s="1"/>
      <c r="L127" s="1"/>
      <c r="M127" s="1"/>
      <c r="N127" s="1"/>
      <c r="O127" s="1"/>
      <c r="P127" s="1"/>
    </row>
    <row r="128">
      <c r="A128" s="1"/>
      <c r="B128" s="6" t="s">
        <v>187</v>
      </c>
      <c r="C128" s="20"/>
      <c r="D128" s="20"/>
      <c r="E128" s="20"/>
      <c r="F128" s="20"/>
      <c r="G128" s="20"/>
      <c r="H128" s="20">
        <f>IF(AND(ISNUMBER(H126),ISNUMBER(C126)),(H126-C126)*10000,"n.a.")</f>
        <v>128.2304087863917</v>
      </c>
      <c r="I128" s="20">
        <f>IF(AND(ISNUMBER(I126),ISNUMBER(D126)),(I126-D126)*10000,"n.a.")</f>
        <v>316.49647552593916</v>
      </c>
      <c r="J128" s="48">
        <f>IF(AND(ISNUMBER(J126),ISNUMBER(E126)),(J126-E126)*10000,"n.a.")</f>
        <v>455.1391136276695</v>
      </c>
      <c r="K128" s="1"/>
      <c r="L128" s="1"/>
      <c r="M128" s="1"/>
      <c r="N128" s="1"/>
      <c r="O128" s="1"/>
      <c r="P128" s="1"/>
    </row>
    <row r="129">
      <c r="A129" s="1"/>
      <c r="B129" s="1"/>
      <c r="C129" s="11"/>
      <c r="D129" s="11"/>
      <c r="E129" s="11"/>
      <c r="F129" s="11"/>
      <c r="G129" s="11"/>
      <c r="H129" s="11"/>
      <c r="I129" s="11"/>
      <c r="J129" s="30"/>
      <c r="K129" s="1"/>
      <c r="L129" s="1"/>
      <c r="M129" s="1"/>
      <c r="N129" s="1"/>
      <c r="O129" s="1"/>
      <c r="P129" s="1"/>
    </row>
    <row r="130">
      <c r="A130" s="1"/>
      <c r="B130" s="32" t="s">
        <v>196</v>
      </c>
      <c r="C130" s="11"/>
      <c r="D130" s="11"/>
      <c r="E130" s="11"/>
      <c r="F130" s="11"/>
      <c r="G130" s="11"/>
      <c r="H130" s="11"/>
      <c r="I130" s="11"/>
      <c r="J130" s="30"/>
      <c r="K130" s="1"/>
      <c r="L130" s="1"/>
      <c r="M130" s="1"/>
      <c r="N130" s="1"/>
      <c r="O130" s="1"/>
      <c r="P130" s="1"/>
    </row>
    <row r="131" ht="28.5">
      <c r="A131" s="1"/>
      <c r="B131" s="1" t="s">
        <v>197</v>
      </c>
      <c r="C131" s="18" t="s">
        <v>40</v>
      </c>
      <c r="D131" s="12">
        <f>'Balance Sheet'!C15</f>
        <v>318850</v>
      </c>
      <c r="E131" s="12">
        <f>'Balance Sheet'!D15</f>
        <v>326340</v>
      </c>
      <c r="F131" s="12">
        <f>'Balance Sheet'!E15</f>
        <v>326616</v>
      </c>
      <c r="G131" s="18" t="s">
        <v>40</v>
      </c>
      <c r="H131" s="12">
        <f>'Balance Sheet'!F15</f>
        <v>331481</v>
      </c>
      <c r="I131" s="12">
        <f>'Balance Sheet'!H15</f>
        <v>360923</v>
      </c>
      <c r="J131" s="35">
        <f>'Balance Sheet'!I15</f>
        <v>367953</v>
      </c>
      <c r="K131" s="134" t="s">
        <v>198</v>
      </c>
      <c r="L131" s="1"/>
      <c r="M131" s="1"/>
      <c r="N131" s="1"/>
      <c r="O131" s="1"/>
      <c r="P131" s="1"/>
    </row>
    <row r="132">
      <c r="A132" s="1"/>
      <c r="B132" s="1" t="s">
        <v>199</v>
      </c>
      <c r="C132" s="18" t="s">
        <v>40</v>
      </c>
      <c r="D132" s="14">
        <f>D133-D131</f>
        <v>7490</v>
      </c>
      <c r="E132" s="14">
        <f>E133-E131</f>
        <v>276</v>
      </c>
      <c r="F132" s="14">
        <f>F133-F131</f>
        <v>4865</v>
      </c>
      <c r="G132" s="18" t="s">
        <v>40</v>
      </c>
      <c r="H132" s="14">
        <f>H133-H131</f>
        <v>29442</v>
      </c>
      <c r="I132" s="14">
        <f>I133-I131</f>
        <v>7030</v>
      </c>
      <c r="J132" s="10">
        <f>J133-J131</f>
        <v>3679.530000000028</v>
      </c>
      <c r="K132" s="1"/>
      <c r="L132" s="1"/>
      <c r="M132" s="1"/>
      <c r="N132" s="1"/>
      <c r="O132" s="1"/>
      <c r="P132" s="1"/>
    </row>
    <row r="133">
      <c r="A133" s="1"/>
      <c r="B133" s="7" t="s">
        <v>200</v>
      </c>
      <c r="C133" s="89">
        <f>'Balance Sheet'!C15</f>
        <v>318850</v>
      </c>
      <c r="D133" s="89">
        <f>'Balance Sheet'!D15</f>
        <v>326340</v>
      </c>
      <c r="E133" s="89">
        <f>'Balance Sheet'!E15</f>
        <v>326616</v>
      </c>
      <c r="F133" s="89">
        <f>'Balance Sheet'!F15</f>
        <v>331481</v>
      </c>
      <c r="G133" s="89">
        <f>'Balance Sheet'!G15</f>
        <v>331481</v>
      </c>
      <c r="H133" s="89">
        <f>'Balance Sheet'!H15</f>
        <v>360923</v>
      </c>
      <c r="I133" s="89">
        <f>'Balance Sheet'!I15</f>
        <v>367953</v>
      </c>
      <c r="J133" s="88">
        <f>'Balance Sheet'!J15</f>
        <v>371632.53</v>
      </c>
      <c r="K133" s="1"/>
      <c r="L133" s="1"/>
      <c r="M133" s="1"/>
      <c r="N133" s="1"/>
      <c r="O133" s="1"/>
      <c r="P133" s="1"/>
    </row>
    <row r="134">
      <c r="A134" s="1"/>
      <c r="B134" s="6" t="s">
        <v>143</v>
      </c>
      <c r="C134" s="21"/>
      <c r="D134" s="21"/>
      <c r="E134" s="21"/>
      <c r="F134" s="21"/>
      <c r="G134" s="21"/>
      <c r="H134" s="21">
        <f>IF(AND(ISNUMBER(H133),ISNUMBER(C133)),IF(C133&lt;=0,"n.m.",IFERROR(H133/C133-1,"n.a.")),"n.a.")</f>
        <v>0.1319523286811981</v>
      </c>
      <c r="I134" s="21">
        <f>IF(AND(ISNUMBER(I133),ISNUMBER(D133)),IF(D133&lt;=0,"n.m.",IFERROR(I133/D133-1,"n.a.")),"n.a.")</f>
        <v>0.12751424894282026</v>
      </c>
      <c r="J134" s="29">
        <f>IF(AND(ISNUMBER(J133),ISNUMBER(E133)),IF(E133&lt;=0,"n.m.",IFERROR(J133/E133-1,"n.a.")),"n.a.")</f>
        <v>0.13782708134322874</v>
      </c>
      <c r="K134" s="1"/>
      <c r="L134" s="1"/>
      <c r="M134" s="1"/>
      <c r="N134" s="1"/>
      <c r="O134" s="1"/>
      <c r="P134" s="1"/>
    </row>
    <row r="135">
      <c r="A135" s="1"/>
      <c r="B135" s="1" t="s">
        <v>201</v>
      </c>
      <c r="C135" s="14">
        <f>C61</f>
        <v>316624</v>
      </c>
      <c r="D135" s="14">
        <f>D61</f>
        <v>322754</v>
      </c>
      <c r="E135" s="14">
        <f>E61</f>
        <v>325932</v>
      </c>
      <c r="F135" s="14">
        <f>F61</f>
        <v>327929</v>
      </c>
      <c r="G135" s="14">
        <f>G61</f>
        <v>323347.9068493151</v>
      </c>
      <c r="H135" s="14">
        <f>H61</f>
        <v>350883</v>
      </c>
      <c r="I135" s="14">
        <f>I61</f>
        <v>363196</v>
      </c>
      <c r="J135" s="10">
        <f>J61</f>
        <v>368532</v>
      </c>
      <c r="K135" s="1"/>
      <c r="L135" s="1"/>
      <c r="M135" s="1"/>
      <c r="N135" s="1"/>
      <c r="O135" s="1"/>
      <c r="P135" s="1"/>
    </row>
    <row r="136">
      <c r="A136" s="1"/>
      <c r="B136" s="6" t="s">
        <v>202</v>
      </c>
      <c r="C136" s="21">
        <f>C135/C133</f>
        <v>0.9930186608122942</v>
      </c>
      <c r="D136" s="21">
        <f>D135/D133</f>
        <v>0.9890114604400319</v>
      </c>
      <c r="E136" s="21">
        <f>E135/E133</f>
        <v>0.9979057976339187</v>
      </c>
      <c r="F136" s="21">
        <f>F135/F133</f>
        <v>0.9892844537092623</v>
      </c>
      <c r="G136" s="21">
        <f>G135/G133</f>
        <v>0.9754643760858543</v>
      </c>
      <c r="H136" s="21">
        <f>H135/H133</f>
        <v>0.9721824322639455</v>
      </c>
      <c r="I136" s="21">
        <f>I135/I133</f>
        <v>0.9870717183988172</v>
      </c>
      <c r="J136" s="29">
        <f>J135/J133</f>
        <v>0.9916570005322192</v>
      </c>
      <c r="K136" s="1"/>
      <c r="L136" s="1"/>
      <c r="M136" s="1"/>
      <c r="N136" s="1"/>
      <c r="O136" s="1"/>
      <c r="P136" s="1"/>
    </row>
    <row r="137">
      <c r="A137" s="1"/>
      <c r="B137" s="6" t="s">
        <v>186</v>
      </c>
      <c r="C137" s="20"/>
      <c r="D137" s="20">
        <f>IF(AND(ISNUMBER(D136),ISNUMBER(C136)),(D136-C136)*10000,"n.a.")</f>
        <v>-40.07200372262321</v>
      </c>
      <c r="E137" s="20">
        <f>IF(AND(ISNUMBER(E136),ISNUMBER(D136)),(E136-D136)*10000,"n.a.")</f>
        <v>88.94337193886881</v>
      </c>
      <c r="F137" s="20">
        <f>IF(AND(ISNUMBER(F136),ISNUMBER(E136)),(F136-E136)*10000,"n.a.")</f>
        <v>-86.2134392465641</v>
      </c>
      <c r="G137" s="20"/>
      <c r="H137" s="20">
        <f>IF(AND(ISNUMBER(H136),ISNUMBER(F136)),(H136-F136)*10000,"n.a.")</f>
        <v>-171.02021445316805</v>
      </c>
      <c r="I137" s="20">
        <f>IF(AND(ISNUMBER(I136),ISNUMBER(H136)),(I136-H136)*10000,"n.a.")</f>
        <v>148.89286134871728</v>
      </c>
      <c r="J137" s="48">
        <f>IF(AND(ISNUMBER(J136),ISNUMBER(I136)),(J136-I136)*10000,"n.a.")</f>
        <v>45.85282133401925</v>
      </c>
      <c r="K137" s="1"/>
      <c r="L137" s="1"/>
      <c r="M137" s="1"/>
      <c r="N137" s="1"/>
      <c r="O137" s="1"/>
      <c r="P137" s="1"/>
    </row>
    <row r="138">
      <c r="A138" s="1"/>
      <c r="B138" s="6" t="s">
        <v>187</v>
      </c>
      <c r="C138" s="20"/>
      <c r="D138" s="20"/>
      <c r="E138" s="20"/>
      <c r="F138" s="20"/>
      <c r="G138" s="20"/>
      <c r="H138" s="20">
        <f>IF(AND(ISNUMBER(H136),ISNUMBER(C136)),(H136-C136)*10000,"n.a.")</f>
        <v>-208.36228548348657</v>
      </c>
      <c r="I138" s="20">
        <f>IF(AND(ISNUMBER(I136),ISNUMBER(D136)),(I136-D136)*10000,"n.a.")</f>
        <v>-19.397420412146094</v>
      </c>
      <c r="J138" s="48">
        <f>IF(AND(ISNUMBER(J136),ISNUMBER(E136)),(J136-E136)*10000,"n.a.")</f>
        <v>-62.48797101699566</v>
      </c>
      <c r="K138" s="1"/>
      <c r="L138" s="1"/>
      <c r="M138" s="1"/>
      <c r="N138" s="1"/>
      <c r="O138" s="1"/>
      <c r="P138" s="1"/>
    </row>
    <row r="139">
      <c r="A139" s="1"/>
      <c r="B139" s="1" t="s">
        <v>203</v>
      </c>
      <c r="C139" s="18" t="s">
        <v>40</v>
      </c>
      <c r="D139" s="12">
        <f>'Balance Sheet'!C33</f>
        <v>422915</v>
      </c>
      <c r="E139" s="12">
        <f>'Balance Sheet'!D33</f>
        <v>426696</v>
      </c>
      <c r="F139" s="12">
        <f>'Balance Sheet'!E33</f>
        <v>432749</v>
      </c>
      <c r="G139" s="18" t="s">
        <v>40</v>
      </c>
      <c r="H139" s="12">
        <f>'Balance Sheet'!F33</f>
        <v>440866</v>
      </c>
      <c r="I139" s="12">
        <f>'Balance Sheet'!H33</f>
        <v>457648</v>
      </c>
      <c r="J139" s="35">
        <f>'Balance Sheet'!I33</f>
        <v>449792</v>
      </c>
      <c r="K139" s="1"/>
      <c r="L139" s="1"/>
      <c r="M139" s="1"/>
      <c r="N139" s="1"/>
      <c r="O139" s="1"/>
      <c r="P139" s="1"/>
    </row>
    <row r="140">
      <c r="A140" s="1"/>
      <c r="B140" s="1" t="s">
        <v>204</v>
      </c>
      <c r="C140" s="18" t="s">
        <v>40</v>
      </c>
      <c r="D140" s="14">
        <f>D141-D139</f>
        <v>3781</v>
      </c>
      <c r="E140" s="14">
        <f>E141-E139</f>
        <v>6053</v>
      </c>
      <c r="F140" s="14">
        <f>F141-F139</f>
        <v>8117</v>
      </c>
      <c r="G140" s="18" t="s">
        <v>40</v>
      </c>
      <c r="H140" s="14">
        <f>H141-H139</f>
        <v>16782</v>
      </c>
      <c r="I140" s="14">
        <f>I141-I139</f>
        <v>-7856</v>
      </c>
      <c r="J140" s="10">
        <f>J141-J139</f>
        <v>6208</v>
      </c>
      <c r="K140" s="1"/>
      <c r="L140" s="1"/>
      <c r="M140" s="1"/>
      <c r="N140" s="1"/>
      <c r="O140" s="1"/>
      <c r="P140" s="1"/>
    </row>
    <row r="141">
      <c r="A141" s="1"/>
      <c r="B141" s="7" t="s">
        <v>205</v>
      </c>
      <c r="C141" s="89">
        <f>'Balance Sheet'!C33</f>
        <v>422915</v>
      </c>
      <c r="D141" s="89">
        <f>'Balance Sheet'!D33</f>
        <v>426696</v>
      </c>
      <c r="E141" s="89">
        <f>'Balance Sheet'!E33</f>
        <v>432749</v>
      </c>
      <c r="F141" s="89">
        <f>'Balance Sheet'!F33</f>
        <v>440866</v>
      </c>
      <c r="G141" s="89">
        <f>'Balance Sheet'!G33</f>
        <v>440866</v>
      </c>
      <c r="H141" s="89">
        <f>'Balance Sheet'!H33</f>
        <v>457648</v>
      </c>
      <c r="I141" s="89">
        <f>'Balance Sheet'!I33</f>
        <v>449792</v>
      </c>
      <c r="J141" s="88">
        <f>'Balance Sheet'!J33</f>
        <v>456000</v>
      </c>
      <c r="K141" s="1"/>
      <c r="L141" s="1"/>
      <c r="M141" s="1"/>
      <c r="N141" s="1"/>
      <c r="O141" s="1"/>
      <c r="P141" s="1"/>
    </row>
    <row r="142">
      <c r="A142" s="1"/>
      <c r="B142" s="6" t="s">
        <v>143</v>
      </c>
      <c r="C142" s="21"/>
      <c r="D142" s="21"/>
      <c r="E142" s="21"/>
      <c r="F142" s="21"/>
      <c r="G142" s="21"/>
      <c r="H142" s="21">
        <f>IF(AND(ISNUMBER(H141),ISNUMBER(C141)),IF(C141&lt;=0,"n.m.",IFERROR(H141/C141-1,"n.a.")),"n.a.")</f>
        <v>0.082127614296017</v>
      </c>
      <c r="I142" s="21">
        <f>IF(AND(ISNUMBER(I141),ISNUMBER(D141)),IF(D141&lt;=0,"n.m.",IFERROR(I141/D141-1,"n.a.")),"n.a.")</f>
        <v>0.05412752873239968</v>
      </c>
      <c r="J142" s="29">
        <f>IF(AND(ISNUMBER(J141),ISNUMBER(E141)),IF(E141&lt;=0,"n.m.",IFERROR(J141/E141-1,"n.a.")),"n.a.")</f>
        <v>0.05372860480324615</v>
      </c>
      <c r="K142" s="1"/>
      <c r="L142" s="1"/>
      <c r="M142" s="1"/>
      <c r="N142" s="1"/>
      <c r="O142" s="1"/>
      <c r="P142" s="1"/>
    </row>
    <row r="143">
      <c r="A143" s="1"/>
      <c r="B143" s="1" t="s">
        <v>206</v>
      </c>
      <c r="C143" s="14">
        <f>C104</f>
        <v>420648</v>
      </c>
      <c r="D143" s="14">
        <f>D104</f>
        <v>422975</v>
      </c>
      <c r="E143" s="14">
        <f>E104</f>
        <v>431828</v>
      </c>
      <c r="F143" s="14">
        <f>F104</f>
        <v>439535</v>
      </c>
      <c r="G143" s="14">
        <f>G104</f>
        <v>428806.6876712329</v>
      </c>
      <c r="H143" s="14">
        <f>H104</f>
        <v>458354</v>
      </c>
      <c r="I143" s="14">
        <f>I104</f>
        <v>457019</v>
      </c>
      <c r="J143" s="10">
        <f>J104</f>
        <v>460500</v>
      </c>
      <c r="K143" s="1"/>
      <c r="L143" s="1"/>
      <c r="M143" s="1"/>
      <c r="N143" s="1"/>
      <c r="O143" s="1"/>
      <c r="P143" s="1"/>
    </row>
    <row r="144">
      <c r="A144" s="1"/>
      <c r="B144" s="6" t="s">
        <v>207</v>
      </c>
      <c r="C144" s="21">
        <f>C143/C141</f>
        <v>0.994639584786541</v>
      </c>
      <c r="D144" s="21">
        <f>D143/D141</f>
        <v>0.9912795057839774</v>
      </c>
      <c r="E144" s="21">
        <f>E143/E141</f>
        <v>0.9978717455152987</v>
      </c>
      <c r="F144" s="21">
        <f>F143/F141</f>
        <v>0.9969809420549555</v>
      </c>
      <c r="G144" s="21">
        <f>G143/G141</f>
        <v>0.9726463090173271</v>
      </c>
      <c r="H144" s="21">
        <f>H143/H141</f>
        <v>1.001542670349264</v>
      </c>
      <c r="I144" s="21">
        <f>I143/I141</f>
        <v>1.0160674267216847</v>
      </c>
      <c r="J144" s="29">
        <f>J143/J141</f>
        <v>1.0098684210526316</v>
      </c>
      <c r="K144" s="1"/>
      <c r="L144" s="1"/>
      <c r="M144" s="1"/>
      <c r="N144" s="1"/>
      <c r="O144" s="1"/>
      <c r="P144" s="1"/>
    </row>
    <row r="145">
      <c r="A145" s="1"/>
      <c r="B145" s="6" t="s">
        <v>186</v>
      </c>
      <c r="C145" s="20"/>
      <c r="D145" s="20">
        <f>IF(AND(ISNUMBER(D144),ISNUMBER(C144)),(D144-C144)*10000,"n.a.")</f>
        <v>-33.600790025636314</v>
      </c>
      <c r="E145" s="20">
        <f>IF(AND(ISNUMBER(E144),ISNUMBER(D144)),(E144-D144)*10000,"n.a.")</f>
        <v>65.92239731321281</v>
      </c>
      <c r="F145" s="20">
        <f>IF(AND(ISNUMBER(F144),ISNUMBER(E144)),(F144-E144)*10000,"n.a.")</f>
        <v>-8.908034603432036</v>
      </c>
      <c r="G145" s="20"/>
      <c r="H145" s="20">
        <f>IF(AND(ISNUMBER(H144),ISNUMBER(F144)),(H144-F144)*10000,"n.a.")</f>
        <v>45.61728294308565</v>
      </c>
      <c r="I145" s="20">
        <f>IF(AND(ISNUMBER(I144),ISNUMBER(H144)),(I144-H144)*10000,"n.a.")</f>
        <v>145.24756372420677</v>
      </c>
      <c r="J145" s="48">
        <f>IF(AND(ISNUMBER(J144),ISNUMBER(I144)),(J144-I144)*10000,"n.a.")</f>
        <v>-61.99005669053071</v>
      </c>
      <c r="K145" s="1"/>
      <c r="L145" s="1"/>
      <c r="M145" s="1"/>
      <c r="N145" s="1"/>
      <c r="O145" s="1"/>
      <c r="P145" s="1"/>
    </row>
    <row r="146">
      <c r="A146" s="1"/>
      <c r="B146" s="6" t="s">
        <v>187</v>
      </c>
      <c r="C146" s="20"/>
      <c r="D146" s="20"/>
      <c r="E146" s="20"/>
      <c r="F146" s="20"/>
      <c r="G146" s="20"/>
      <c r="H146" s="20">
        <f>IF(AND(ISNUMBER(H144),ISNUMBER(C144)),(H144-C144)*10000,"n.a.")</f>
        <v>69.0308556272301</v>
      </c>
      <c r="I146" s="20">
        <f>IF(AND(ISNUMBER(I144),ISNUMBER(D144)),(I144-D144)*10000,"n.a.")</f>
        <v>247.8792093770732</v>
      </c>
      <c r="J146" s="48">
        <f>IF(AND(ISNUMBER(J144),ISNUMBER(E144)),(J144-E144)*10000,"n.a.")</f>
        <v>119.96675537332968</v>
      </c>
      <c r="K146" s="1"/>
      <c r="L146" s="1"/>
      <c r="M146" s="1"/>
      <c r="N146" s="1"/>
      <c r="O146" s="1"/>
      <c r="P146" s="1"/>
    </row>
    <row r="147">
      <c r="A147" s="1"/>
      <c r="B147" s="1"/>
      <c r="C147" s="11"/>
      <c r="D147" s="11"/>
      <c r="E147" s="11"/>
      <c r="F147" s="11"/>
      <c r="G147" s="11"/>
      <c r="H147" s="11"/>
      <c r="I147" s="11"/>
      <c r="J147" s="30"/>
      <c r="K147" s="1"/>
      <c r="L147" s="1"/>
      <c r="M147" s="1"/>
      <c r="N147" s="1"/>
      <c r="O147" s="1"/>
      <c r="P147" s="1"/>
    </row>
    <row r="148">
      <c r="A148" s="1"/>
      <c r="B148" s="32" t="s">
        <v>208</v>
      </c>
      <c r="C148" s="11"/>
      <c r="D148" s="11"/>
      <c r="E148" s="11"/>
      <c r="F148" s="11"/>
      <c r="G148" s="11"/>
      <c r="H148" s="11"/>
      <c r="I148" s="11"/>
      <c r="J148" s="30"/>
      <c r="K148" s="1"/>
      <c r="L148" s="1"/>
      <c r="M148" s="1"/>
      <c r="N148" s="1"/>
      <c r="O148" s="1"/>
      <c r="P148" s="1"/>
    </row>
    <row r="149" ht="41.25">
      <c r="A149" s="1"/>
      <c r="B149" s="6" t="s">
        <v>209</v>
      </c>
      <c r="C149" s="68">
        <f>'Income Statement'!C10/C61*365/C$7</f>
        <v>0.05728070027680923</v>
      </c>
      <c r="D149" s="68">
        <f>'Income Statement'!D10/D61*365/D$7</f>
        <v>0.057277828784920874</v>
      </c>
      <c r="E149" s="68">
        <f>'Income Statement'!E10/E61*365/E$7</f>
        <v>0.057831314774114</v>
      </c>
      <c r="F149" s="68">
        <f>'Income Statement'!F10/F61*365/F$7</f>
        <v>0.05613622354892038</v>
      </c>
      <c r="G149" s="68">
        <f>'Income Statement'!G10/G61*365/G$7</f>
        <v>0.05712732202286445</v>
      </c>
      <c r="H149" s="68">
        <f>'Income Statement'!H10/H61*365/H$7</f>
        <v>0.0553866166848272</v>
      </c>
      <c r="I149" s="68">
        <f>'Income Statement'!I10/I61*365/I$7</f>
        <v>0.05506335755016908</v>
      </c>
      <c r="J149" s="54">
        <f>I149+J150/10000</f>
        <v>0.05531335755016908</v>
      </c>
      <c r="K149" s="134" t="s">
        <v>210</v>
      </c>
      <c r="L149" s="1"/>
      <c r="M149" s="1"/>
      <c r="N149" s="1"/>
      <c r="O149" s="1"/>
      <c r="P149" s="1"/>
    </row>
    <row r="150">
      <c r="A150" s="1"/>
      <c r="B150" s="6" t="s">
        <v>186</v>
      </c>
      <c r="C150" s="20"/>
      <c r="D150" s="20">
        <f>IF(AND(ISNUMBER(D149),ISNUMBER(C149)),(D149-C149)*10000,"n.a.")</f>
        <v>-0.028714918883579466</v>
      </c>
      <c r="E150" s="20">
        <f>IF(AND(ISNUMBER(E149),ISNUMBER(D149)),(E149-D149)*10000,"n.a.")</f>
        <v>5.534859891931227</v>
      </c>
      <c r="F150" s="20">
        <f>IF(AND(ISNUMBER(F149),ISNUMBER(E149)),(F149-E149)*10000,"n.a.")</f>
        <v>-16.950912251936163</v>
      </c>
      <c r="G150" s="20"/>
      <c r="H150" s="20">
        <f>IF(AND(ISNUMBER(H149),ISNUMBER(F149)),(H149-F149)*10000,"n.a.")</f>
        <v>-7.496068640931789</v>
      </c>
      <c r="I150" s="20">
        <f>IF(AND(ISNUMBER(I149),ISNUMBER(H149)),(I149-H149)*10000,"n.a.")</f>
        <v>-3.232591346581243</v>
      </c>
      <c r="J150" s="72">
        <v>2.5</v>
      </c>
      <c r="K150" s="1"/>
      <c r="L150" s="1"/>
      <c r="M150" s="1"/>
      <c r="N150" s="1"/>
      <c r="O150" s="1"/>
      <c r="P150" s="1"/>
    </row>
    <row r="151">
      <c r="A151" s="1"/>
      <c r="B151" s="6" t="s">
        <v>187</v>
      </c>
      <c r="C151" s="20"/>
      <c r="D151" s="20"/>
      <c r="E151" s="20"/>
      <c r="F151" s="20"/>
      <c r="G151" s="20"/>
      <c r="H151" s="20">
        <f>IF(AND(ISNUMBER(H149),ISNUMBER(C149)),(H149-C149)*10000,"n.a.")</f>
        <v>-18.940835919820305</v>
      </c>
      <c r="I151" s="20">
        <f>IF(AND(ISNUMBER(I149),ISNUMBER(D149)),(I149-D149)*10000,"n.a.")</f>
        <v>-22.14471234751797</v>
      </c>
      <c r="J151" s="48">
        <f>IF(AND(ISNUMBER(J149),ISNUMBER(E149)),(J149-E149)*10000,"n.a.")</f>
        <v>-25.179572239449193</v>
      </c>
      <c r="K151" s="1"/>
      <c r="L151" s="1"/>
      <c r="M151" s="1"/>
      <c r="N151" s="1"/>
      <c r="O151" s="1"/>
      <c r="P151" s="1"/>
    </row>
    <row r="152" ht="41.25">
      <c r="A152" s="1"/>
      <c r="B152" s="6" t="s">
        <v>211</v>
      </c>
      <c r="C152" s="68">
        <f>'Income Statement'!C11/C71*365/C$7</f>
        <v>0.032060855138481545</v>
      </c>
      <c r="D152" s="68">
        <f>'Income Statement'!D11/D71*365/D$7</f>
        <v>0.03252649699967134</v>
      </c>
      <c r="E152" s="68">
        <f>'Income Statement'!E11/E71*365/E$7</f>
        <v>0.033264173292936045</v>
      </c>
      <c r="F152" s="68">
        <f>'Income Statement'!F11/F71*365/F$7</f>
        <v>0.03314086633688338</v>
      </c>
      <c r="G152" s="68">
        <f>'Income Statement'!G11/G71*365/G$7</f>
        <v>0.03275463125403635</v>
      </c>
      <c r="H152" s="68">
        <f>'Income Statement'!H11/H71*365/H$7</f>
        <v>0.03372941739048876</v>
      </c>
      <c r="I152" s="68">
        <f>'Income Statement'!I11/I71*365/I$7</f>
        <v>0.03443856940481663</v>
      </c>
      <c r="J152" s="54">
        <f>I152+J153/10000</f>
        <v>0.03523856940481663</v>
      </c>
      <c r="K152" s="134" t="s">
        <v>212</v>
      </c>
      <c r="L152" s="1"/>
      <c r="M152" s="1"/>
      <c r="N152" s="1"/>
      <c r="O152" s="1"/>
      <c r="P152" s="1"/>
    </row>
    <row r="153">
      <c r="A153" s="1"/>
      <c r="B153" s="6" t="s">
        <v>186</v>
      </c>
      <c r="C153" s="20"/>
      <c r="D153" s="20">
        <f>IF(AND(ISNUMBER(D152),ISNUMBER(C152)),(D152-C152)*10000,"n.a.")</f>
        <v>4.6564186118979585</v>
      </c>
      <c r="E153" s="20">
        <f>IF(AND(ISNUMBER(E152),ISNUMBER(D152)),(E152-D152)*10000,"n.a.")</f>
        <v>7.376762932647038</v>
      </c>
      <c r="F153" s="20">
        <f>IF(AND(ISNUMBER(F152),ISNUMBER(E152)),(F152-E152)*10000,"n.a.")</f>
        <v>-1.2330695605266424</v>
      </c>
      <c r="G153" s="20"/>
      <c r="H153" s="20">
        <f>IF(AND(ISNUMBER(H152),ISNUMBER(F152)),(H152-F152)*10000,"n.a.")</f>
        <v>5.885510536053768</v>
      </c>
      <c r="I153" s="20">
        <f>IF(AND(ISNUMBER(I152),ISNUMBER(H152)),(I152-H152)*10000,"n.a.")</f>
        <v>7.091520143278698</v>
      </c>
      <c r="J153" s="72">
        <v>8</v>
      </c>
      <c r="K153" s="1"/>
      <c r="L153" s="1"/>
      <c r="M153" s="1"/>
      <c r="N153" s="1"/>
      <c r="O153" s="1"/>
      <c r="P153" s="1"/>
    </row>
    <row r="154">
      <c r="A154" s="1"/>
      <c r="B154" s="6" t="s">
        <v>187</v>
      </c>
      <c r="C154" s="20"/>
      <c r="D154" s="20"/>
      <c r="E154" s="20"/>
      <c r="F154" s="20"/>
      <c r="G154" s="20"/>
      <c r="H154" s="20">
        <f>IF(AND(ISNUMBER(H152),ISNUMBER(C152)),(H152-C152)*10000,"n.a.")</f>
        <v>16.685622520072123</v>
      </c>
      <c r="I154" s="20">
        <f>IF(AND(ISNUMBER(I152),ISNUMBER(D152)),(I152-D152)*10000,"n.a.")</f>
        <v>19.12072405145286</v>
      </c>
      <c r="J154" s="48">
        <f>IF(AND(ISNUMBER(J152),ISNUMBER(E152)),(J152-E152)*10000,"n.a.")</f>
        <v>19.743961118805846</v>
      </c>
      <c r="K154" s="1"/>
      <c r="L154" s="1"/>
      <c r="M154" s="1"/>
      <c r="N154" s="1"/>
      <c r="O154" s="1"/>
      <c r="P154" s="1"/>
    </row>
    <row r="155">
      <c r="A155" s="1"/>
      <c r="B155" s="6" t="s">
        <v>213</v>
      </c>
      <c r="C155" s="68">
        <f>'Income Statement'!C12/C80*365/C$7</f>
        <v>0.04838289284570645</v>
      </c>
      <c r="D155" s="68">
        <f>'Income Statement'!D12/D80*365/D$7</f>
        <v>0.047663087646311476</v>
      </c>
      <c r="E155" s="68">
        <f>'Income Statement'!E12/E80*365/E$7</f>
        <v>0.046932207339653316</v>
      </c>
      <c r="F155" s="68">
        <f>'Income Statement'!F12/F80*365/F$7</f>
        <v>0.04325755031899974</v>
      </c>
      <c r="G155" s="68">
        <f>'Income Statement'!G12/G80*365/G$7</f>
        <v>0.04643668576181445</v>
      </c>
      <c r="H155" s="68">
        <f>'Income Statement'!H12/H80*365/H$7</f>
        <v>0.040493465575007215</v>
      </c>
      <c r="I155" s="68">
        <f>'Income Statement'!I12/I80*365/I$7</f>
        <v>0.039913462060647824</v>
      </c>
      <c r="J155" s="54">
        <f>I155+J156/10000</f>
        <v>0.040213462060647825</v>
      </c>
      <c r="K155" s="114" t="s">
        <v>214</v>
      </c>
      <c r="L155" s="1"/>
      <c r="M155" s="1"/>
      <c r="N155" s="1"/>
      <c r="O155" s="1"/>
      <c r="P155" s="1"/>
    </row>
    <row r="156">
      <c r="A156" s="1"/>
      <c r="B156" s="6" t="s">
        <v>186</v>
      </c>
      <c r="C156" s="20"/>
      <c r="D156" s="20">
        <f>IF(AND(ISNUMBER(D155),ISNUMBER(C155)),(D155-C155)*10000,"n.a.")</f>
        <v>-7.1980519939497665</v>
      </c>
      <c r="E156" s="20">
        <f>IF(AND(ISNUMBER(E155),ISNUMBER(D155)),(E155-D155)*10000,"n.a.")</f>
        <v>-7.3088030665816035</v>
      </c>
      <c r="F156" s="20">
        <f>IF(AND(ISNUMBER(F155),ISNUMBER(E155)),(F155-E155)*10000,"n.a.")</f>
        <v>-36.746570206535736</v>
      </c>
      <c r="G156" s="20"/>
      <c r="H156" s="20">
        <f>IF(AND(ISNUMBER(H155),ISNUMBER(F155)),(H155-F155)*10000,"n.a.")</f>
        <v>-27.640847439925274</v>
      </c>
      <c r="I156" s="20">
        <f>IF(AND(ISNUMBER(I155),ISNUMBER(H155)),(I155-H155)*10000,"n.a.")</f>
        <v>-5.8000351435939095</v>
      </c>
      <c r="J156" s="72">
        <v>3</v>
      </c>
      <c r="K156" s="1"/>
      <c r="L156" s="1"/>
      <c r="M156" s="1"/>
      <c r="N156" s="1"/>
      <c r="O156" s="1"/>
      <c r="P156" s="1"/>
    </row>
    <row r="157">
      <c r="A157" s="1"/>
      <c r="B157" s="6" t="s">
        <v>187</v>
      </c>
      <c r="C157" s="20"/>
      <c r="D157" s="20"/>
      <c r="E157" s="20"/>
      <c r="F157" s="20"/>
      <c r="G157" s="20"/>
      <c r="H157" s="20">
        <f>IF(AND(ISNUMBER(H155),ISNUMBER(C155)),(H155-C155)*10000,"n.a.")</f>
        <v>-78.89427270699238</v>
      </c>
      <c r="I157" s="20">
        <f>IF(AND(ISNUMBER(I155),ISNUMBER(D155)),(I155-D155)*10000,"n.a.")</f>
        <v>-77.49625585663652</v>
      </c>
      <c r="J157" s="48">
        <f>IF(AND(ISNUMBER(J155),ISNUMBER(E155)),(J155-E155)*10000,"n.a.")</f>
        <v>-67.1874527900549</v>
      </c>
      <c r="K157" s="1"/>
      <c r="L157" s="1"/>
      <c r="M157" s="1"/>
      <c r="N157" s="1"/>
      <c r="O157" s="1"/>
      <c r="P157" s="1"/>
    </row>
    <row r="158" ht="28.5">
      <c r="A158" s="1"/>
      <c r="B158" s="6" t="s">
        <v>215</v>
      </c>
      <c r="C158" s="68">
        <f>'Income Statement'!C14/C98*365/C$7</f>
        <v>0.022335878239814196</v>
      </c>
      <c r="D158" s="68">
        <f>'Income Statement'!D14/D98*365/D$7</f>
        <v>0.02243642911799221</v>
      </c>
      <c r="E158" s="68">
        <f>'Income Statement'!E14/E98*365/E$7</f>
        <v>0.023167453468905412</v>
      </c>
      <c r="F158" s="68">
        <f>'Income Statement'!F14/F98*365/F$7</f>
        <v>0.021454006200458797</v>
      </c>
      <c r="G158" s="68">
        <f>'Income Statement'!G14/G98*365/G$7</f>
        <v>0.02234398107333368</v>
      </c>
      <c r="H158" s="68">
        <f>'Income Statement'!H14/H98*365/H$7</f>
        <v>0.019585075663600907</v>
      </c>
      <c r="I158" s="68">
        <f>'Income Statement'!I14/I98*365/I$7</f>
        <v>0.019082659717382804</v>
      </c>
      <c r="J158" s="54">
        <f>I158+J159/10000</f>
        <v>0.019582659717382805</v>
      </c>
      <c r="K158" s="134" t="s">
        <v>216</v>
      </c>
      <c r="L158" s="1"/>
      <c r="M158" s="1"/>
      <c r="N158" s="1"/>
      <c r="O158" s="1"/>
      <c r="P158" s="1"/>
    </row>
    <row r="159">
      <c r="A159" s="1"/>
      <c r="B159" s="6" t="s">
        <v>186</v>
      </c>
      <c r="C159" s="20"/>
      <c r="D159" s="20">
        <f>IF(AND(ISNUMBER(D158),ISNUMBER(C158)),(D158-C158)*10000,"n.a.")</f>
        <v>1.0055087817801427</v>
      </c>
      <c r="E159" s="20">
        <f>IF(AND(ISNUMBER(E158),ISNUMBER(D158)),(E158-D158)*10000,"n.a.")</f>
        <v>7.3102435091320155</v>
      </c>
      <c r="F159" s="20">
        <f>IF(AND(ISNUMBER(F158),ISNUMBER(E158)),(F158-E158)*10000,"n.a.")</f>
        <v>-17.134472684466154</v>
      </c>
      <c r="G159" s="20"/>
      <c r="H159" s="20">
        <f>IF(AND(ISNUMBER(H158),ISNUMBER(F158)),(H158-F158)*10000,"n.a.")</f>
        <v>-18.689305368578893</v>
      </c>
      <c r="I159" s="20">
        <f>IF(AND(ISNUMBER(I158),ISNUMBER(H158)),(I158-H158)*10000,"n.a.")</f>
        <v>-5.0241594621810295</v>
      </c>
      <c r="J159" s="72">
        <v>5</v>
      </c>
      <c r="K159" s="1"/>
      <c r="L159" s="1"/>
      <c r="M159" s="1"/>
      <c r="N159" s="1"/>
      <c r="O159" s="1"/>
      <c r="P159" s="1"/>
    </row>
    <row r="160">
      <c r="A160" s="1"/>
      <c r="B160" s="6" t="s">
        <v>187</v>
      </c>
      <c r="C160" s="20"/>
      <c r="D160" s="20"/>
      <c r="E160" s="20"/>
      <c r="F160" s="20"/>
      <c r="G160" s="20"/>
      <c r="H160" s="20">
        <f>IF(AND(ISNUMBER(H158),ISNUMBER(C158)),(H158-C158)*10000,"n.a.")</f>
        <v>-27.50802576213289</v>
      </c>
      <c r="I160" s="20">
        <f>IF(AND(ISNUMBER(I158),ISNUMBER(D158)),(I158-D158)*10000,"n.a.")</f>
        <v>-33.537694006094064</v>
      </c>
      <c r="J160" s="48">
        <f>IF(AND(ISNUMBER(J158),ISNUMBER(E158)),(J158-E158)*10000,"n.a.")</f>
        <v>-35.84793751522607</v>
      </c>
      <c r="K160" s="1"/>
      <c r="L160" s="1"/>
      <c r="M160" s="1"/>
      <c r="N160" s="1"/>
      <c r="O160" s="1"/>
      <c r="P160" s="1"/>
    </row>
    <row r="161" ht="79.5">
      <c r="A161" s="1"/>
      <c r="B161" s="6" t="s">
        <v>217</v>
      </c>
      <c r="C161" s="68">
        <f>'Income Statement'!C15/C123*365/C$7</f>
        <v>0.053189675218975274</v>
      </c>
      <c r="D161" s="68">
        <f>'Income Statement'!D15/D123*365/D$7</f>
        <v>0.05344463326176526</v>
      </c>
      <c r="E161" s="68">
        <f>'Income Statement'!E15/E123*365/E$7</f>
        <v>0.05378560437031495</v>
      </c>
      <c r="F161" s="68">
        <f>'Income Statement'!F15/F123*365/F$7</f>
        <v>0.051635615914996984</v>
      </c>
      <c r="G161" s="68">
        <f>'Income Statement'!G15/G123*365/G$7</f>
        <v>0.05304123979901772</v>
      </c>
      <c r="H161" s="68">
        <f>'Income Statement'!H15/H123*365/H$7</f>
        <v>0.04824817182866615</v>
      </c>
      <c r="I161" s="68">
        <f>'Income Statement'!I15/I123*365/I$7</f>
        <v>0.04598767378593307</v>
      </c>
      <c r="J161" s="54">
        <f>I161+J162/10000</f>
        <v>0.04568767378593307</v>
      </c>
      <c r="K161" s="134" t="s">
        <v>218</v>
      </c>
      <c r="L161" s="1"/>
      <c r="M161" s="1"/>
      <c r="N161" s="1"/>
      <c r="O161" s="1"/>
      <c r="P161" s="1"/>
    </row>
    <row r="162">
      <c r="A162" s="1"/>
      <c r="B162" s="6" t="s">
        <v>186</v>
      </c>
      <c r="C162" s="20"/>
      <c r="D162" s="20">
        <f>IF(AND(ISNUMBER(D161),ISNUMBER(C161)),(D161-C161)*10000,"n.a.")</f>
        <v>2.549580427899864</v>
      </c>
      <c r="E162" s="20">
        <f>IF(AND(ISNUMBER(E161),ISNUMBER(D161)),(E161-D161)*10000,"n.a.")</f>
        <v>3.409711085496925</v>
      </c>
      <c r="F162" s="20">
        <f>IF(AND(ISNUMBER(F161),ISNUMBER(E161)),(F161-E161)*10000,"n.a.")</f>
        <v>-21.499884553179694</v>
      </c>
      <c r="G162" s="20"/>
      <c r="H162" s="20">
        <f>IF(AND(ISNUMBER(H161),ISNUMBER(F161)),(H161-F161)*10000,"n.a.")</f>
        <v>-33.874440863308344</v>
      </c>
      <c r="I162" s="20">
        <f>IF(AND(ISNUMBER(I161),ISNUMBER(H161)),(I161-H161)*10000,"n.a.")</f>
        <v>-22.604980427330805</v>
      </c>
      <c r="J162" s="72">
        <v>-3</v>
      </c>
      <c r="K162" s="1"/>
      <c r="L162" s="1"/>
      <c r="M162" s="1"/>
      <c r="N162" s="1"/>
      <c r="O162" s="1"/>
      <c r="P162" s="1"/>
    </row>
    <row r="163">
      <c r="A163" s="1"/>
      <c r="B163" s="6" t="s">
        <v>187</v>
      </c>
      <c r="C163" s="20"/>
      <c r="D163" s="20"/>
      <c r="E163" s="20"/>
      <c r="F163" s="20"/>
      <c r="G163" s="20"/>
      <c r="H163" s="20">
        <f>IF(AND(ISNUMBER(H161),ISNUMBER(C161)),(H161-C161)*10000,"n.a.")</f>
        <v>-49.41503390309125</v>
      </c>
      <c r="I163" s="20">
        <f>IF(AND(ISNUMBER(I161),ISNUMBER(D161)),(I161-D161)*10000,"n.a.")</f>
        <v>-74.56959475832193</v>
      </c>
      <c r="J163" s="48">
        <f>IF(AND(ISNUMBER(J161),ISNUMBER(E161)),(J161-E161)*10000,"n.a.")</f>
        <v>-80.97930584381886</v>
      </c>
      <c r="K163" s="1"/>
      <c r="L163" s="1"/>
      <c r="M163" s="1"/>
      <c r="N163" s="1"/>
      <c r="O163" s="1"/>
      <c r="P163" s="1"/>
    </row>
    <row r="164">
      <c r="A164" s="1"/>
      <c r="B164" s="1"/>
      <c r="C164" s="11"/>
      <c r="D164" s="11"/>
      <c r="E164" s="11"/>
      <c r="F164" s="11"/>
      <c r="G164" s="11"/>
      <c r="H164" s="11"/>
      <c r="I164" s="11"/>
      <c r="J164" s="30"/>
      <c r="K164" s="1"/>
      <c r="L164" s="1"/>
      <c r="M164" s="1"/>
      <c r="N164" s="1"/>
      <c r="O164" s="1"/>
      <c r="P164" s="1"/>
    </row>
    <row r="165">
      <c r="A165" s="1"/>
      <c r="B165" s="32" t="s">
        <v>219</v>
      </c>
      <c r="C165" s="11"/>
      <c r="D165" s="11"/>
      <c r="E165" s="11"/>
      <c r="F165" s="11"/>
      <c r="G165" s="11"/>
      <c r="H165" s="11"/>
      <c r="I165" s="11"/>
      <c r="J165" s="30"/>
      <c r="K165" s="1"/>
      <c r="L165" s="1"/>
      <c r="M165" s="1"/>
      <c r="N165" s="1"/>
      <c r="O165" s="1"/>
      <c r="P165" s="1"/>
    </row>
    <row r="166">
      <c r="A166" s="1"/>
      <c r="B166" s="1" t="s">
        <v>220</v>
      </c>
      <c r="C166" s="12">
        <f>'Income Statement'!C10</f>
        <v>4472</v>
      </c>
      <c r="D166" s="12">
        <f>'Income Statement'!D10</f>
        <v>4609</v>
      </c>
      <c r="E166" s="12">
        <f>'Income Statement'!E10</f>
        <v>4751</v>
      </c>
      <c r="F166" s="12">
        <f>'Income Statement'!F10</f>
        <v>4640</v>
      </c>
      <c r="G166" s="12">
        <f>'Income Statement'!G10</f>
        <v>18472</v>
      </c>
      <c r="H166" s="12">
        <f>'Income Statement'!H10</f>
        <v>4792</v>
      </c>
      <c r="I166" s="12">
        <f>'Income Statement'!I10</f>
        <v>4986</v>
      </c>
      <c r="J166" s="10">
        <f>J61*J149*J$7/365</f>
        <v>5138.072027919068</v>
      </c>
      <c r="K166" s="1"/>
      <c r="L166" s="1"/>
      <c r="M166" s="1"/>
      <c r="N166" s="1"/>
      <c r="O166" s="1"/>
      <c r="P166" s="1"/>
    </row>
    <row r="167">
      <c r="A167" s="1"/>
      <c r="B167" s="6" t="s">
        <v>143</v>
      </c>
      <c r="C167" s="21"/>
      <c r="D167" s="21"/>
      <c r="E167" s="21"/>
      <c r="F167" s="21"/>
      <c r="G167" s="21"/>
      <c r="H167" s="21">
        <f>IF(AND(ISNUMBER(H166),ISNUMBER(C166)),IF(C166&lt;=0,"n.m.",IFERROR(H166/C166-1,"n.a.")),"n.a.")</f>
        <v>0.07155635062611809</v>
      </c>
      <c r="I167" s="21">
        <f>IF(AND(ISNUMBER(I166),ISNUMBER(D166)),IF(D166&lt;=0,"n.m.",IFERROR(I166/D166-1,"n.a.")),"n.a.")</f>
        <v>0.08179648513777393</v>
      </c>
      <c r="J167" s="29">
        <f>IF(AND(ISNUMBER(J166),ISNUMBER(E166)),IF(E166&lt;=0,"n.m.",IFERROR(J166/E166-1,"n.a.")),"n.a.")</f>
        <v>0.08147169604695192</v>
      </c>
      <c r="K167" s="1"/>
      <c r="L167" s="1"/>
      <c r="M167" s="1"/>
      <c r="N167" s="1"/>
      <c r="O167" s="1"/>
      <c r="P167" s="1"/>
    </row>
    <row r="168">
      <c r="A168" s="1"/>
      <c r="B168" s="6" t="s">
        <v>144</v>
      </c>
      <c r="C168" s="21"/>
      <c r="D168" s="21">
        <f>IF(AND(ISNUMBER(D166),ISNUMBER(C166)),IF(C166&lt;=0,"n.m.",IFERROR(D166/C166-1,"n.a.")),"n.a.")</f>
        <v>0.030635062611806818</v>
      </c>
      <c r="E168" s="21">
        <f>IF(AND(ISNUMBER(E166),ISNUMBER(D166)),IF(D166&lt;=0,"n.m.",IFERROR(E166/D166-1,"n.a.")),"n.a.")</f>
        <v>0.030809286179214634</v>
      </c>
      <c r="F168" s="21">
        <f>IF(AND(ISNUMBER(F166),ISNUMBER(E166)),IF(E166&lt;=0,"n.m.",IFERROR(F166/E166-1,"n.a.")),"n.a.")</f>
        <v>-0.02336350242054308</v>
      </c>
      <c r="G168" s="21"/>
      <c r="H168" s="21">
        <f>IF(AND(ISNUMBER(H166),ISNUMBER(F166)),IF(F166&lt;=0,"n.m.",IFERROR(H166/F166-1,"n.a.")),"n.a.")</f>
        <v>0.03275862068965507</v>
      </c>
      <c r="I168" s="21">
        <f>IF(AND(ISNUMBER(I166),ISNUMBER(H166)),IF(H166&lt;=0,"n.m.",IFERROR(I166/H166-1,"n.a.")),"n.a.")</f>
        <v>0.04048414023372282</v>
      </c>
      <c r="J168" s="29">
        <f>IF(AND(ISNUMBER(J166),ISNUMBER(I166)),IF(I166&lt;=0,"n.m.",IFERROR(J166/I166-1,"n.a.")),"n.a.")</f>
        <v>0.030499805037919714</v>
      </c>
      <c r="K168" s="1"/>
      <c r="L168" s="1"/>
      <c r="M168" s="1"/>
      <c r="N168" s="1"/>
      <c r="O168" s="1"/>
      <c r="P168" s="1"/>
    </row>
    <row r="169" ht="41.25">
      <c r="A169" s="1"/>
      <c r="B169" s="6" t="s">
        <v>145</v>
      </c>
      <c r="C169" s="21"/>
      <c r="D169" s="21"/>
      <c r="E169" s="21"/>
      <c r="F169" s="21"/>
      <c r="G169" s="21"/>
      <c r="H169" s="67" t="s">
        <v>129</v>
      </c>
      <c r="I169" s="67" t="s">
        <v>129</v>
      </c>
      <c r="J169" s="28" t="s">
        <v>129</v>
      </c>
      <c r="K169" s="134" t="s">
        <v>146</v>
      </c>
      <c r="L169" s="1"/>
      <c r="M169" s="1"/>
      <c r="N169" s="1"/>
      <c r="O169" s="1"/>
      <c r="P169" s="1"/>
    </row>
    <row r="170" ht="28.5">
      <c r="A170" s="1"/>
      <c r="B170" s="6" t="s">
        <v>147</v>
      </c>
      <c r="C170" s="21"/>
      <c r="D170" s="21"/>
      <c r="E170" s="21"/>
      <c r="F170" s="21"/>
      <c r="G170" s="21"/>
      <c r="H170" s="67" t="s">
        <v>129</v>
      </c>
      <c r="I170" s="67" t="s">
        <v>129</v>
      </c>
      <c r="J170" s="28" t="s">
        <v>129</v>
      </c>
      <c r="K170" s="134" t="s">
        <v>148</v>
      </c>
      <c r="L170" s="1"/>
      <c r="M170" s="1"/>
      <c r="N170" s="1"/>
      <c r="O170" s="1"/>
      <c r="P170" s="1"/>
    </row>
    <row r="171">
      <c r="A171" s="1"/>
      <c r="B171" s="6" t="s">
        <v>149</v>
      </c>
      <c r="C171" s="21"/>
      <c r="D171" s="21"/>
      <c r="E171" s="21"/>
      <c r="F171" s="21"/>
      <c r="G171" s="21"/>
      <c r="H171" s="21" t="str">
        <f>IF(AND(ISNUMBER(H167),ISNUMBER(H169),ISNUMBER(H170)),(1+H167)/((1+H169)*(1+H170))-1,"n.a.")</f>
        <v>n.a.</v>
      </c>
      <c r="I171" s="21" t="str">
        <f>IF(AND(ISNUMBER(I167),ISNUMBER(I169),ISNUMBER(I170)),(1+I167)/((1+I169)*(1+I170))-1,"n.a.")</f>
        <v>n.a.</v>
      </c>
      <c r="J171" s="29" t="str">
        <f>IF(AND(ISNUMBER(J167),ISNUMBER(J169),ISNUMBER(J170)),(1+J167)/((1+J169)*(1+J170))-1,"n.a.")</f>
        <v>n.a.</v>
      </c>
      <c r="K171" s="1"/>
      <c r="L171" s="1"/>
      <c r="M171" s="1"/>
      <c r="N171" s="1"/>
      <c r="O171" s="1"/>
      <c r="P171" s="1"/>
    </row>
    <row r="172">
      <c r="A172" s="1"/>
      <c r="B172" s="1" t="s">
        <v>221</v>
      </c>
      <c r="C172" s="12">
        <f>'Income Statement'!C11</f>
        <v>1124</v>
      </c>
      <c r="D172" s="12">
        <f>'Income Statement'!D11</f>
        <v>1151</v>
      </c>
      <c r="E172" s="12">
        <f>'Income Statement'!E11</f>
        <v>1211</v>
      </c>
      <c r="F172" s="12">
        <f>'Income Statement'!F11</f>
        <v>1188</v>
      </c>
      <c r="G172" s="12">
        <f>'Income Statement'!G11</f>
        <v>4674</v>
      </c>
      <c r="H172" s="12">
        <f>'Income Statement'!H11</f>
        <v>1202</v>
      </c>
      <c r="I172" s="12">
        <f>'Income Statement'!I11</f>
        <v>1263</v>
      </c>
      <c r="J172" s="10">
        <f>J71*J152*J$7/365</f>
        <v>1318.9844800235746</v>
      </c>
      <c r="K172" s="1"/>
      <c r="L172" s="1"/>
      <c r="M172" s="1"/>
      <c r="N172" s="1"/>
      <c r="O172" s="1"/>
      <c r="P172" s="1"/>
    </row>
    <row r="173">
      <c r="A173" s="1"/>
      <c r="B173" s="6" t="s">
        <v>143</v>
      </c>
      <c r="C173" s="21"/>
      <c r="D173" s="21"/>
      <c r="E173" s="21"/>
      <c r="F173" s="21"/>
      <c r="G173" s="21"/>
      <c r="H173" s="21">
        <f>IF(AND(ISNUMBER(H172),ISNUMBER(C172)),IF(C172&lt;=0,"n.m.",IFERROR(H172/C172-1,"n.a.")),"n.a.")</f>
        <v>0.06939501779359425</v>
      </c>
      <c r="I173" s="21">
        <f>IF(AND(ISNUMBER(I172),ISNUMBER(D172)),IF(D172&lt;=0,"n.m.",IFERROR(I172/D172-1,"n.a.")),"n.a.")</f>
        <v>0.09730668983492619</v>
      </c>
      <c r="J173" s="29">
        <f>IF(AND(ISNUMBER(J172),ISNUMBER(E172)),IF(E172&lt;=0,"n.m.",IFERROR(J172/E172-1,"n.a.")),"n.a.")</f>
        <v>0.08916967797157271</v>
      </c>
      <c r="K173" s="1"/>
      <c r="L173" s="1"/>
      <c r="M173" s="1"/>
      <c r="N173" s="1"/>
      <c r="O173" s="1"/>
      <c r="P173" s="1"/>
    </row>
    <row r="174">
      <c r="A174" s="1"/>
      <c r="B174" s="6" t="s">
        <v>144</v>
      </c>
      <c r="C174" s="21"/>
      <c r="D174" s="21">
        <f>IF(AND(ISNUMBER(D172),ISNUMBER(C172)),IF(C172&lt;=0,"n.m.",IFERROR(D172/C172-1,"n.a.")),"n.a.")</f>
        <v>0.024021352313167155</v>
      </c>
      <c r="E174" s="21">
        <f>IF(AND(ISNUMBER(E172),ISNUMBER(D172)),IF(D172&lt;=0,"n.m.",IFERROR(E172/D172-1,"n.a.")),"n.a.")</f>
        <v>0.052128583840139076</v>
      </c>
      <c r="F174" s="21">
        <f>IF(AND(ISNUMBER(F172),ISNUMBER(E172)),IF(E172&lt;=0,"n.m.",IFERROR(F172/E172-1,"n.a.")),"n.a.")</f>
        <v>-0.018992568125516085</v>
      </c>
      <c r="G174" s="21"/>
      <c r="H174" s="21">
        <f>IF(AND(ISNUMBER(H172),ISNUMBER(F172)),IF(F172&lt;=0,"n.m.",IFERROR(H172/F172-1,"n.a.")),"n.a.")</f>
        <v>0.011784511784511675</v>
      </c>
      <c r="I174" s="21">
        <f>IF(AND(ISNUMBER(I172),ISNUMBER(H172)),IF(H172&lt;=0,"n.m.",IFERROR(I172/H172-1,"n.a.")),"n.a.")</f>
        <v>0.05074875207986684</v>
      </c>
      <c r="J174" s="29">
        <f>IF(AND(ISNUMBER(J172),ISNUMBER(I172)),IF(I172&lt;=0,"n.m.",IFERROR(J172/I172-1,"n.a.")),"n.a.")</f>
        <v>0.04432658750876861</v>
      </c>
      <c r="K174" s="1"/>
      <c r="L174" s="1"/>
      <c r="M174" s="1"/>
      <c r="N174" s="1"/>
      <c r="O174" s="1"/>
      <c r="P174" s="1"/>
    </row>
    <row r="175" ht="41.25">
      <c r="A175" s="1"/>
      <c r="B175" s="6" t="s">
        <v>145</v>
      </c>
      <c r="C175" s="21"/>
      <c r="D175" s="21"/>
      <c r="E175" s="21"/>
      <c r="F175" s="21"/>
      <c r="G175" s="21"/>
      <c r="H175" s="67" t="s">
        <v>129</v>
      </c>
      <c r="I175" s="67" t="s">
        <v>129</v>
      </c>
      <c r="J175" s="28" t="s">
        <v>129</v>
      </c>
      <c r="K175" s="134" t="s">
        <v>146</v>
      </c>
      <c r="L175" s="1"/>
      <c r="M175" s="1"/>
      <c r="N175" s="1"/>
      <c r="O175" s="1"/>
      <c r="P175" s="1"/>
    </row>
    <row r="176" ht="28.5">
      <c r="A176" s="1"/>
      <c r="B176" s="6" t="s">
        <v>147</v>
      </c>
      <c r="C176" s="21"/>
      <c r="D176" s="21"/>
      <c r="E176" s="21"/>
      <c r="F176" s="21"/>
      <c r="G176" s="21"/>
      <c r="H176" s="67" t="s">
        <v>129</v>
      </c>
      <c r="I176" s="67" t="s">
        <v>129</v>
      </c>
      <c r="J176" s="28" t="s">
        <v>129</v>
      </c>
      <c r="K176" s="134" t="s">
        <v>148</v>
      </c>
      <c r="L176" s="1"/>
      <c r="M176" s="1"/>
      <c r="N176" s="1"/>
      <c r="O176" s="1"/>
      <c r="P176" s="1"/>
    </row>
    <row r="177">
      <c r="A177" s="1"/>
      <c r="B177" s="6" t="s">
        <v>149</v>
      </c>
      <c r="C177" s="21"/>
      <c r="D177" s="21"/>
      <c r="E177" s="21"/>
      <c r="F177" s="21"/>
      <c r="G177" s="21"/>
      <c r="H177" s="21" t="str">
        <f>IF(AND(ISNUMBER(H173),ISNUMBER(H175),ISNUMBER(H176)),(1+H173)/((1+H175)*(1+H176))-1,"n.a.")</f>
        <v>n.a.</v>
      </c>
      <c r="I177" s="21" t="str">
        <f>IF(AND(ISNUMBER(I173),ISNUMBER(I175),ISNUMBER(I176)),(1+I173)/((1+I175)*(1+I176))-1,"n.a.")</f>
        <v>n.a.</v>
      </c>
      <c r="J177" s="29" t="str">
        <f>IF(AND(ISNUMBER(J173),ISNUMBER(J175),ISNUMBER(J176)),(1+J173)/((1+J175)*(1+J176))-1,"n.a.")</f>
        <v>n.a.</v>
      </c>
      <c r="K177" s="1"/>
      <c r="L177" s="1"/>
      <c r="M177" s="1"/>
      <c r="N177" s="1"/>
      <c r="O177" s="1"/>
      <c r="P177" s="1"/>
    </row>
    <row r="178">
      <c r="A178" s="1"/>
      <c r="B178" s="1" t="s">
        <v>222</v>
      </c>
      <c r="C178" s="12">
        <f>'Income Statement'!C12</f>
        <v>534</v>
      </c>
      <c r="D178" s="12">
        <f>'Income Statement'!D12</f>
        <v>510</v>
      </c>
      <c r="E178" s="12">
        <f>'Income Statement'!E12</f>
        <v>565</v>
      </c>
      <c r="F178" s="12">
        <f>'Income Statement'!F12</f>
        <v>552</v>
      </c>
      <c r="G178" s="12">
        <f>'Income Statement'!G12</f>
        <v>2161</v>
      </c>
      <c r="H178" s="12">
        <f>'Income Statement'!H12</f>
        <v>450</v>
      </c>
      <c r="I178" s="12">
        <f>'Income Statement'!I12</f>
        <v>445</v>
      </c>
      <c r="J178" s="10">
        <f>J80*J155*J$7/365</f>
        <v>440.91582237455503</v>
      </c>
      <c r="K178" s="1"/>
      <c r="L178" s="1"/>
      <c r="M178" s="1"/>
      <c r="N178" s="1"/>
      <c r="O178" s="1"/>
      <c r="P178" s="1"/>
    </row>
    <row r="179">
      <c r="A179" s="1"/>
      <c r="B179" s="6" t="s">
        <v>143</v>
      </c>
      <c r="C179" s="21"/>
      <c r="D179" s="21"/>
      <c r="E179" s="21"/>
      <c r="F179" s="21"/>
      <c r="G179" s="21"/>
      <c r="H179" s="21">
        <f>IF(AND(ISNUMBER(H178),ISNUMBER(C178)),IF(C178&lt;=0,"n.m.",IFERROR(H178/C178-1,"n.a.")),"n.a.")</f>
        <v>-0.1573033707865169</v>
      </c>
      <c r="I179" s="21">
        <f>IF(AND(ISNUMBER(I178),ISNUMBER(D178)),IF(D178&lt;=0,"n.m.",IFERROR(I178/D178-1,"n.a.")),"n.a.")</f>
        <v>-0.12745098039215685</v>
      </c>
      <c r="J179" s="29">
        <f>IF(AND(ISNUMBER(J178),ISNUMBER(E178)),IF(E178&lt;=0,"n.m.",IFERROR(J178/E178-1,"n.a.")),"n.a.")</f>
        <v>-0.21961801349636279</v>
      </c>
      <c r="K179" s="1"/>
      <c r="L179" s="1"/>
      <c r="M179" s="1"/>
      <c r="N179" s="1"/>
      <c r="O179" s="1"/>
      <c r="P179" s="1"/>
    </row>
    <row r="180">
      <c r="A180" s="1"/>
      <c r="B180" s="6" t="s">
        <v>144</v>
      </c>
      <c r="C180" s="21"/>
      <c r="D180" s="21">
        <f>IF(AND(ISNUMBER(D178),ISNUMBER(C178)),IF(C178&lt;=0,"n.m.",IFERROR(D178/C178-1,"n.a.")),"n.a.")</f>
        <v>-0.0449438202247191</v>
      </c>
      <c r="E180" s="21">
        <f>IF(AND(ISNUMBER(E178),ISNUMBER(D178)),IF(D178&lt;=0,"n.m.",IFERROR(E178/D178-1,"n.a.")),"n.a.")</f>
        <v>0.10784313725490202</v>
      </c>
      <c r="F180" s="21">
        <f>IF(AND(ISNUMBER(F178),ISNUMBER(E178)),IF(E178&lt;=0,"n.m.",IFERROR(F178/E178-1,"n.a.")),"n.a.")</f>
        <v>-0.023008849557522137</v>
      </c>
      <c r="G180" s="21"/>
      <c r="H180" s="21">
        <f>IF(AND(ISNUMBER(H178),ISNUMBER(F178)),IF(F178&lt;=0,"n.m.",IFERROR(H178/F178-1,"n.a.")),"n.a.")</f>
        <v>-0.18478260869565222</v>
      </c>
      <c r="I180" s="21">
        <f>IF(AND(ISNUMBER(I178),ISNUMBER(H178)),IF(H178&lt;=0,"n.m.",IFERROR(I178/H178-1,"n.a.")),"n.a.")</f>
        <v>-0.011111111111111072</v>
      </c>
      <c r="J180" s="29">
        <f>IF(AND(ISNUMBER(J178),ISNUMBER(I178)),IF(I178&lt;=0,"n.m.",IFERROR(J178/I178-1,"n.a.")),"n.a.")</f>
        <v>-0.009177927248190887</v>
      </c>
      <c r="K180" s="1"/>
      <c r="L180" s="1"/>
      <c r="M180" s="1"/>
      <c r="N180" s="1"/>
      <c r="O180" s="1"/>
      <c r="P180" s="1"/>
    </row>
    <row r="181" ht="41.25">
      <c r="A181" s="1"/>
      <c r="B181" s="6" t="s">
        <v>145</v>
      </c>
      <c r="C181" s="21"/>
      <c r="D181" s="21"/>
      <c r="E181" s="21"/>
      <c r="F181" s="21"/>
      <c r="G181" s="21"/>
      <c r="H181" s="67" t="s">
        <v>129</v>
      </c>
      <c r="I181" s="67" t="s">
        <v>129</v>
      </c>
      <c r="J181" s="28" t="s">
        <v>129</v>
      </c>
      <c r="K181" s="134" t="s">
        <v>146</v>
      </c>
      <c r="L181" s="1"/>
      <c r="M181" s="1"/>
      <c r="N181" s="1"/>
      <c r="O181" s="1"/>
      <c r="P181" s="1"/>
    </row>
    <row r="182" ht="28.5">
      <c r="A182" s="1"/>
      <c r="B182" s="6" t="s">
        <v>147</v>
      </c>
      <c r="C182" s="21"/>
      <c r="D182" s="21"/>
      <c r="E182" s="21"/>
      <c r="F182" s="21"/>
      <c r="G182" s="21"/>
      <c r="H182" s="67" t="s">
        <v>129</v>
      </c>
      <c r="I182" s="67" t="s">
        <v>129</v>
      </c>
      <c r="J182" s="28" t="s">
        <v>129</v>
      </c>
      <c r="K182" s="134" t="s">
        <v>148</v>
      </c>
      <c r="L182" s="1"/>
      <c r="M182" s="1"/>
      <c r="N182" s="1"/>
      <c r="O182" s="1"/>
      <c r="P182" s="1"/>
    </row>
    <row r="183">
      <c r="A183" s="1"/>
      <c r="B183" s="6" t="s">
        <v>149</v>
      </c>
      <c r="C183" s="21"/>
      <c r="D183" s="21"/>
      <c r="E183" s="21"/>
      <c r="F183" s="21"/>
      <c r="G183" s="21"/>
      <c r="H183" s="21" t="str">
        <f>IF(AND(ISNUMBER(H179),ISNUMBER(H181),ISNUMBER(H182)),(1+H179)/((1+H181)*(1+H182))-1,"n.a.")</f>
        <v>n.a.</v>
      </c>
      <c r="I183" s="21" t="str">
        <f>IF(AND(ISNUMBER(I179),ISNUMBER(I181),ISNUMBER(I182)),(1+I179)/((1+I181)*(1+I182))-1,"n.a.")</f>
        <v>n.a.</v>
      </c>
      <c r="J183" s="29" t="str">
        <f>IF(AND(ISNUMBER(J179),ISNUMBER(J181),ISNUMBER(J182)),(1+J179)/((1+J181)*(1+J182))-1,"n.a.")</f>
        <v>n.a.</v>
      </c>
      <c r="K183" s="1"/>
      <c r="L183" s="1"/>
      <c r="M183" s="1"/>
      <c r="N183" s="1"/>
      <c r="O183" s="1"/>
      <c r="P183" s="1"/>
    </row>
    <row r="184">
      <c r="A184" s="1"/>
      <c r="B184" s="7" t="s">
        <v>223</v>
      </c>
      <c r="C184" s="22">
        <f>C166+C172+C178</f>
        <v>6130</v>
      </c>
      <c r="D184" s="22">
        <f>D166+D172+D178</f>
        <v>6270</v>
      </c>
      <c r="E184" s="22">
        <f>E166+E172+E178</f>
        <v>6527</v>
      </c>
      <c r="F184" s="22">
        <f>F166+F172+F178</f>
        <v>6380</v>
      </c>
      <c r="G184" s="22">
        <f>G166+G172+G178</f>
        <v>25307</v>
      </c>
      <c r="H184" s="22">
        <f>H166+H172+H178</f>
        <v>6444</v>
      </c>
      <c r="I184" s="22">
        <f>I166+I172+I178</f>
        <v>6694</v>
      </c>
      <c r="J184" s="23">
        <f>J166+J172+J178</f>
        <v>6897.972330317199</v>
      </c>
      <c r="K184" s="1"/>
      <c r="L184" s="1"/>
      <c r="M184" s="1"/>
      <c r="N184" s="1"/>
      <c r="O184" s="1"/>
      <c r="P184" s="1"/>
    </row>
    <row r="185">
      <c r="A185" s="1"/>
      <c r="B185" s="6" t="s">
        <v>143</v>
      </c>
      <c r="C185" s="21"/>
      <c r="D185" s="21"/>
      <c r="E185" s="21"/>
      <c r="F185" s="21"/>
      <c r="G185" s="21"/>
      <c r="H185" s="21">
        <f>IF(AND(ISNUMBER(H184),ISNUMBER(C184)),IF(C184&lt;=0,"n.m.",IFERROR(H184/C184-1,"n.a.")),"n.a.")</f>
        <v>0.05122349102773249</v>
      </c>
      <c r="I185" s="21">
        <f>IF(AND(ISNUMBER(I184),ISNUMBER(D184)),IF(D184&lt;=0,"n.m.",IFERROR(I184/D184-1,"n.a.")),"n.a.")</f>
        <v>0.0676236044657097</v>
      </c>
      <c r="J185" s="29">
        <f>IF(AND(ISNUMBER(J184),ISNUMBER(E184)),IF(E184&lt;=0,"n.m.",IFERROR(J184/E184-1,"n.a.")),"n.a.")</f>
        <v>0.05683657581081647</v>
      </c>
      <c r="K185" s="1"/>
      <c r="L185" s="1"/>
      <c r="M185" s="1"/>
      <c r="N185" s="1"/>
      <c r="O185" s="1"/>
      <c r="P185" s="1"/>
    </row>
    <row r="186">
      <c r="A186" s="1"/>
      <c r="B186" s="6" t="s">
        <v>144</v>
      </c>
      <c r="C186" s="21"/>
      <c r="D186" s="21">
        <f>IF(AND(ISNUMBER(D184),ISNUMBER(C184)),IF(C184&lt;=0,"n.m.",IFERROR(D184/C184-1,"n.a.")),"n.a.")</f>
        <v>0.022838499184339334</v>
      </c>
      <c r="E186" s="21">
        <f>IF(AND(ISNUMBER(E184),ISNUMBER(D184)),IF(D184&lt;=0,"n.m.",IFERROR(E184/D184-1,"n.a.")),"n.a.")</f>
        <v>0.0409888357256778</v>
      </c>
      <c r="F186" s="21">
        <f>IF(AND(ISNUMBER(F184),ISNUMBER(E184)),IF(E184&lt;=0,"n.m.",IFERROR(F184/E184-1,"n.a.")),"n.a.")</f>
        <v>-0.022521832388539886</v>
      </c>
      <c r="G186" s="21"/>
      <c r="H186" s="21">
        <f>IF(AND(ISNUMBER(H184),ISNUMBER(F184)),IF(F184&lt;=0,"n.m.",IFERROR(H184/F184-1,"n.a.")),"n.a.")</f>
        <v>0.010031347962382364</v>
      </c>
      <c r="I186" s="21">
        <f>IF(AND(ISNUMBER(I184),ISNUMBER(H184)),IF(H184&lt;=0,"n.m.",IFERROR(I184/H184-1,"n.a.")),"n.a.")</f>
        <v>0.038795779019242804</v>
      </c>
      <c r="J186" s="29">
        <f>IF(AND(ISNUMBER(J184),ISNUMBER(I184)),IF(I184&lt;=0,"n.m.",IFERROR(J184/I184-1,"n.a.")),"n.a.")</f>
        <v>0.030470918780579392</v>
      </c>
      <c r="K186" s="1"/>
      <c r="L186" s="1"/>
      <c r="M186" s="1"/>
      <c r="N186" s="1"/>
      <c r="O186" s="1"/>
      <c r="P186" s="1"/>
    </row>
    <row r="187" ht="41.25">
      <c r="A187" s="1"/>
      <c r="B187" s="6" t="s">
        <v>145</v>
      </c>
      <c r="C187" s="21"/>
      <c r="D187" s="21"/>
      <c r="E187" s="21"/>
      <c r="F187" s="21"/>
      <c r="G187" s="21"/>
      <c r="H187" s="67" t="s">
        <v>129</v>
      </c>
      <c r="I187" s="67" t="s">
        <v>129</v>
      </c>
      <c r="J187" s="28" t="s">
        <v>129</v>
      </c>
      <c r="K187" s="134" t="s">
        <v>146</v>
      </c>
      <c r="L187" s="1"/>
      <c r="M187" s="1"/>
      <c r="N187" s="1"/>
      <c r="O187" s="1"/>
      <c r="P187" s="1"/>
    </row>
    <row r="188" ht="28.5">
      <c r="A188" s="1"/>
      <c r="B188" s="6" t="s">
        <v>147</v>
      </c>
      <c r="C188" s="21"/>
      <c r="D188" s="21"/>
      <c r="E188" s="21"/>
      <c r="F188" s="21"/>
      <c r="G188" s="21"/>
      <c r="H188" s="67" t="s">
        <v>129</v>
      </c>
      <c r="I188" s="67" t="s">
        <v>129</v>
      </c>
      <c r="J188" s="28" t="s">
        <v>129</v>
      </c>
      <c r="K188" s="134" t="s">
        <v>148</v>
      </c>
      <c r="L188" s="1"/>
      <c r="M188" s="1"/>
      <c r="N188" s="1"/>
      <c r="O188" s="1"/>
      <c r="P188" s="1"/>
    </row>
    <row r="189">
      <c r="A189" s="1"/>
      <c r="B189" s="6" t="s">
        <v>149</v>
      </c>
      <c r="C189" s="21"/>
      <c r="D189" s="21"/>
      <c r="E189" s="21"/>
      <c r="F189" s="21"/>
      <c r="G189" s="21"/>
      <c r="H189" s="21" t="str">
        <f>IF(AND(ISNUMBER(H185),ISNUMBER(H187),ISNUMBER(H188)),(1+H185)/((1+H187)*(1+H188))-1,"n.a.")</f>
        <v>n.a.</v>
      </c>
      <c r="I189" s="21" t="str">
        <f>IF(AND(ISNUMBER(I185),ISNUMBER(I187),ISNUMBER(I188)),(1+I185)/((1+I187)*(1+I188))-1,"n.a.")</f>
        <v>n.a.</v>
      </c>
      <c r="J189" s="29" t="str">
        <f>IF(AND(ISNUMBER(J185),ISNUMBER(J187),ISNUMBER(J188)),(1+J185)/((1+J187)*(1+J188))-1,"n.a.")</f>
        <v>n.a.</v>
      </c>
      <c r="K189" s="1"/>
      <c r="L189" s="1"/>
      <c r="M189" s="1"/>
      <c r="N189" s="1"/>
      <c r="O189" s="1"/>
      <c r="P189" s="1"/>
    </row>
    <row r="190">
      <c r="A190" s="1"/>
      <c r="B190" s="1" t="s">
        <v>224</v>
      </c>
      <c r="C190" s="12">
        <f>'Income Statement'!C14</f>
        <v>1808</v>
      </c>
      <c r="D190" s="12">
        <f>'Income Statement'!D14</f>
        <v>1845</v>
      </c>
      <c r="E190" s="12">
        <f>'Income Statement'!E14</f>
        <v>1980</v>
      </c>
      <c r="F190" s="12">
        <f>'Income Statement'!F14</f>
        <v>1864</v>
      </c>
      <c r="G190" s="12">
        <f>'Income Statement'!G14</f>
        <v>7497</v>
      </c>
      <c r="H190" s="12">
        <f>'Income Statement'!H14</f>
        <v>1735</v>
      </c>
      <c r="I190" s="12">
        <f>'Income Statement'!I14</f>
        <v>1682</v>
      </c>
      <c r="J190" s="10">
        <f>J98*J158*J$7/365</f>
        <v>1754.713612922526</v>
      </c>
      <c r="K190" s="1"/>
      <c r="L190" s="1"/>
      <c r="M190" s="1"/>
      <c r="N190" s="1"/>
      <c r="O190" s="1"/>
      <c r="P190" s="1"/>
    </row>
    <row r="191">
      <c r="A191" s="1"/>
      <c r="B191" s="6" t="s">
        <v>143</v>
      </c>
      <c r="C191" s="21"/>
      <c r="D191" s="21"/>
      <c r="E191" s="21"/>
      <c r="F191" s="21"/>
      <c r="G191" s="21"/>
      <c r="H191" s="21">
        <f>IF(AND(ISNUMBER(H190),ISNUMBER(C190)),IF(C190&lt;=0,"n.m.",IFERROR(H190/C190-1,"n.a.")),"n.a.")</f>
        <v>-0.04037610619469023</v>
      </c>
      <c r="I191" s="21">
        <f>IF(AND(ISNUMBER(I190),ISNUMBER(D190)),IF(D190&lt;=0,"n.m.",IFERROR(I190/D190-1,"n.a.")),"n.a.")</f>
        <v>-0.08834688346883468</v>
      </c>
      <c r="J191" s="29">
        <f>IF(AND(ISNUMBER(J190),ISNUMBER(E190)),IF(E190&lt;=0,"n.m.",IFERROR(J190/E190-1,"n.a.")),"n.a.")</f>
        <v>-0.11378100357448184</v>
      </c>
      <c r="K191" s="1"/>
      <c r="L191" s="1"/>
      <c r="M191" s="1"/>
      <c r="N191" s="1"/>
      <c r="O191" s="1"/>
      <c r="P191" s="1"/>
    </row>
    <row r="192">
      <c r="A192" s="1"/>
      <c r="B192" s="6" t="s">
        <v>144</v>
      </c>
      <c r="C192" s="21"/>
      <c r="D192" s="21">
        <f>IF(AND(ISNUMBER(D190),ISNUMBER(C190)),IF(C190&lt;=0,"n.m.",IFERROR(D190/C190-1,"n.a.")),"n.a.")</f>
        <v>0.020464601769911495</v>
      </c>
      <c r="E192" s="21">
        <f>IF(AND(ISNUMBER(E190),ISNUMBER(D190)),IF(D190&lt;=0,"n.m.",IFERROR(E190/D190-1,"n.a.")),"n.a.")</f>
        <v>0.07317073170731714</v>
      </c>
      <c r="F192" s="21">
        <f>IF(AND(ISNUMBER(F190),ISNUMBER(E190)),IF(E190&lt;=0,"n.m.",IFERROR(F190/E190-1,"n.a.")),"n.a.")</f>
        <v>-0.05858585858585863</v>
      </c>
      <c r="G192" s="21"/>
      <c r="H192" s="21">
        <f>IF(AND(ISNUMBER(H190),ISNUMBER(F190)),IF(F190&lt;=0,"n.m.",IFERROR(H190/F190-1,"n.a.")),"n.a.")</f>
        <v>-0.06920600858369097</v>
      </c>
      <c r="I192" s="21">
        <f>IF(AND(ISNUMBER(I190),ISNUMBER(H190)),IF(H190&lt;=0,"n.m.",IFERROR(I190/H190-1,"n.a.")),"n.a.")</f>
        <v>-0.030547550432276638</v>
      </c>
      <c r="J192" s="29">
        <f>IF(AND(ISNUMBER(J190),ISNUMBER(I190)),IF(I190&lt;=0,"n.m.",IFERROR(J190/I190-1,"n.a.")),"n.a.")</f>
        <v>0.043230447635271174</v>
      </c>
      <c r="K192" s="1"/>
      <c r="L192" s="1"/>
      <c r="M192" s="1"/>
      <c r="N192" s="1"/>
      <c r="O192" s="1"/>
      <c r="P192" s="1"/>
    </row>
    <row r="193">
      <c r="A193" s="1"/>
      <c r="B193" s="1" t="s">
        <v>225</v>
      </c>
      <c r="C193" s="12">
        <f>'Income Statement'!C15</f>
        <v>846</v>
      </c>
      <c r="D193" s="12">
        <f>'Income Statement'!D15</f>
        <v>870</v>
      </c>
      <c r="E193" s="12">
        <f>'Income Statement'!E15</f>
        <v>899</v>
      </c>
      <c r="F193" s="12">
        <f>'Income Statement'!F15</f>
        <v>785</v>
      </c>
      <c r="G193" s="12">
        <f>'Income Statement'!G15</f>
        <v>3400</v>
      </c>
      <c r="H193" s="12">
        <f>'Income Statement'!H15</f>
        <v>748</v>
      </c>
      <c r="I193" s="12">
        <f>'Income Statement'!I15</f>
        <v>905</v>
      </c>
      <c r="J193" s="10">
        <f>J123*J161*J$7/365</f>
        <v>898.2321838023444</v>
      </c>
      <c r="K193" s="1"/>
      <c r="L193" s="1"/>
      <c r="M193" s="1"/>
      <c r="N193" s="1"/>
      <c r="O193" s="1"/>
      <c r="P193" s="1"/>
    </row>
    <row r="194">
      <c r="A194" s="1"/>
      <c r="B194" s="6" t="s">
        <v>143</v>
      </c>
      <c r="C194" s="21"/>
      <c r="D194" s="21"/>
      <c r="E194" s="21"/>
      <c r="F194" s="21"/>
      <c r="G194" s="21"/>
      <c r="H194" s="21">
        <f>IF(AND(ISNUMBER(H193),ISNUMBER(C193)),IF(C193&lt;=0,"n.m.",IFERROR(H193/C193-1,"n.a.")),"n.a.")</f>
        <v>-0.11583924349881791</v>
      </c>
      <c r="I194" s="21">
        <f>IF(AND(ISNUMBER(I193),ISNUMBER(D193)),IF(D193&lt;=0,"n.m.",IFERROR(I193/D193-1,"n.a.")),"n.a.")</f>
        <v>0.04022988505747116</v>
      </c>
      <c r="J194" s="29">
        <f>IF(AND(ISNUMBER(J193),ISNUMBER(E193)),IF(E193&lt;=0,"n.m.",IFERROR(J193/E193-1,"n.a.")),"n.a.")</f>
        <v>-0.0008540780841552742</v>
      </c>
      <c r="K194" s="1"/>
      <c r="L194" s="1"/>
      <c r="M194" s="1"/>
      <c r="N194" s="1"/>
      <c r="O194" s="1"/>
      <c r="P194" s="1"/>
    </row>
    <row r="195">
      <c r="A195" s="1"/>
      <c r="B195" s="6" t="s">
        <v>144</v>
      </c>
      <c r="C195" s="21"/>
      <c r="D195" s="21">
        <f>IF(AND(ISNUMBER(D193),ISNUMBER(C193)),IF(C193&lt;=0,"n.m.",IFERROR(D193/C193-1,"n.a.")),"n.a.")</f>
        <v>0.028368794326241176</v>
      </c>
      <c r="E195" s="21">
        <f>IF(AND(ISNUMBER(E193),ISNUMBER(D193)),IF(D193&lt;=0,"n.m.",IFERROR(E193/D193-1,"n.a.")),"n.a.")</f>
        <v>0.03333333333333344</v>
      </c>
      <c r="F195" s="21">
        <f>IF(AND(ISNUMBER(F193),ISNUMBER(E193)),IF(E193&lt;=0,"n.m.",IFERROR(F193/E193-1,"n.a.")),"n.a.")</f>
        <v>-0.12680756395995552</v>
      </c>
      <c r="G195" s="21"/>
      <c r="H195" s="21">
        <f>IF(AND(ISNUMBER(H193),ISNUMBER(F193)),IF(F193&lt;=0,"n.m.",IFERROR(H193/F193-1,"n.a.")),"n.a.")</f>
        <v>-0.04713375796178343</v>
      </c>
      <c r="I195" s="21">
        <f>IF(AND(ISNUMBER(I193),ISNUMBER(H193)),IF(H193&lt;=0,"n.m.",IFERROR(I193/H193-1,"n.a.")),"n.a.")</f>
        <v>0.2098930481283423</v>
      </c>
      <c r="J195" s="29">
        <f>IF(AND(ISNUMBER(J193),ISNUMBER(I193)),IF(I193&lt;=0,"n.m.",IFERROR(J193/I193-1,"n.a.")),"n.a.")</f>
        <v>-0.007478249942160953</v>
      </c>
      <c r="K195" s="1"/>
      <c r="L195" s="1"/>
      <c r="M195" s="1"/>
      <c r="N195" s="1"/>
      <c r="O195" s="1"/>
      <c r="P195" s="1"/>
    </row>
    <row r="196">
      <c r="A196" s="1"/>
      <c r="B196" s="7" t="s">
        <v>226</v>
      </c>
      <c r="C196" s="22">
        <f>C190+C193</f>
        <v>2654</v>
      </c>
      <c r="D196" s="22">
        <f>D190+D193</f>
        <v>2715</v>
      </c>
      <c r="E196" s="22">
        <f>E190+E193</f>
        <v>2879</v>
      </c>
      <c r="F196" s="22">
        <f>F190+F193</f>
        <v>2649</v>
      </c>
      <c r="G196" s="22">
        <f>G190+G193</f>
        <v>10897</v>
      </c>
      <c r="H196" s="22">
        <f>H190+H193</f>
        <v>2483</v>
      </c>
      <c r="I196" s="22">
        <f>I190+I193</f>
        <v>2587</v>
      </c>
      <c r="J196" s="23">
        <f>J190+J193</f>
        <v>2652.9457967248704</v>
      </c>
      <c r="K196" s="1"/>
      <c r="L196" s="1"/>
      <c r="M196" s="1"/>
      <c r="N196" s="1"/>
      <c r="O196" s="1"/>
      <c r="P196" s="1"/>
    </row>
    <row r="197">
      <c r="A197" s="1"/>
      <c r="B197" s="7" t="s">
        <v>227</v>
      </c>
      <c r="C197" s="22">
        <f>C184-C196</f>
        <v>3476</v>
      </c>
      <c r="D197" s="22">
        <f>D184-D196</f>
        <v>3555</v>
      </c>
      <c r="E197" s="22">
        <f>E184-E196</f>
        <v>3648</v>
      </c>
      <c r="F197" s="22">
        <f>F184-F196</f>
        <v>3731</v>
      </c>
      <c r="G197" s="22">
        <f>G184-G196</f>
        <v>14410</v>
      </c>
      <c r="H197" s="22">
        <f>H184-H196</f>
        <v>3961</v>
      </c>
      <c r="I197" s="22">
        <f>I184-I196</f>
        <v>4107</v>
      </c>
      <c r="J197" s="23">
        <f>J184-J196</f>
        <v>4245.026533592329</v>
      </c>
      <c r="K197" s="1"/>
      <c r="L197" s="1"/>
      <c r="M197" s="1"/>
      <c r="N197" s="1"/>
      <c r="O197" s="1"/>
      <c r="P197" s="1"/>
    </row>
    <row r="198">
      <c r="A198" s="1"/>
      <c r="B198" s="6" t="s">
        <v>143</v>
      </c>
      <c r="C198" s="21"/>
      <c r="D198" s="21"/>
      <c r="E198" s="21"/>
      <c r="F198" s="21"/>
      <c r="G198" s="21"/>
      <c r="H198" s="21">
        <f>IF(AND(ISNUMBER(H197),ISNUMBER(C197)),IF(C197&lt;=0,"n.m.",IFERROR(H197/C197-1,"n.a.")),"n.a.")</f>
        <v>0.13952819332566158</v>
      </c>
      <c r="I198" s="21">
        <f>IF(AND(ISNUMBER(I197),ISNUMBER(D197)),IF(D197&lt;=0,"n.m.",IFERROR(I197/D197-1,"n.a.")),"n.a.")</f>
        <v>0.15527426160337554</v>
      </c>
      <c r="J198" s="29">
        <f>IF(AND(ISNUMBER(J197),ISNUMBER(E197)),IF(E197&lt;=0,"n.m.",IFERROR(J197/E197-1,"n.a.")),"n.a.")</f>
        <v>0.16365858925228305</v>
      </c>
      <c r="K198" s="1"/>
      <c r="L198" s="1"/>
      <c r="M198" s="1"/>
      <c r="N198" s="1"/>
      <c r="O198" s="1"/>
      <c r="P198" s="1"/>
    </row>
    <row r="199">
      <c r="A199" s="1"/>
      <c r="B199" s="6" t="s">
        <v>144</v>
      </c>
      <c r="C199" s="21"/>
      <c r="D199" s="21">
        <f>IF(AND(ISNUMBER(D197),ISNUMBER(C197)),IF(C197&lt;=0,"n.m.",IFERROR(D197/C197-1,"n.a.")),"n.a.")</f>
        <v>0.022727272727272707</v>
      </c>
      <c r="E199" s="21">
        <f>IF(AND(ISNUMBER(E197),ISNUMBER(D197)),IF(D197&lt;=0,"n.m.",IFERROR(E197/D197-1,"n.a.")),"n.a.")</f>
        <v>0.026160337552742607</v>
      </c>
      <c r="F199" s="21">
        <f>IF(AND(ISNUMBER(F197),ISNUMBER(E197)),IF(E197&lt;=0,"n.m.",IFERROR(F197/E197-1,"n.a.")),"n.a.")</f>
        <v>0.02275219298245612</v>
      </c>
      <c r="G199" s="21"/>
      <c r="H199" s="21">
        <f>IF(AND(ISNUMBER(H197),ISNUMBER(F197)),IF(F197&lt;=0,"n.m.",IFERROR(H197/F197-1,"n.a.")),"n.a.")</f>
        <v>0.06164567140176902</v>
      </c>
      <c r="I199" s="21">
        <f>IF(AND(ISNUMBER(I197),ISNUMBER(H197)),IF(H197&lt;=0,"n.m.",IFERROR(I197/H197-1,"n.a.")),"n.a.")</f>
        <v>0.03685937894471092</v>
      </c>
      <c r="J199" s="29">
        <f>IF(AND(ISNUMBER(J197),ISNUMBER(I197)),IF(I197&lt;=0,"n.m.",IFERROR(J197/I197-1,"n.a.")),"n.a.")</f>
        <v>0.03360762931393446</v>
      </c>
      <c r="K199" s="1"/>
      <c r="L199" s="1"/>
      <c r="M199" s="1"/>
      <c r="N199" s="1"/>
      <c r="O199" s="1"/>
      <c r="P199" s="1"/>
    </row>
    <row r="200">
      <c r="A200" s="1"/>
      <c r="B200" s="6" t="s">
        <v>151</v>
      </c>
      <c r="C200" s="21">
        <f>IFERROR(C197/C10,"")</f>
        <v>0.6375641966250917</v>
      </c>
      <c r="D200" s="21">
        <f>IFERROR(D197/D10,"")</f>
        <v>0.6279809220985691</v>
      </c>
      <c r="E200" s="21">
        <f>IFERROR(E197/E10,"")</f>
        <v>0.6167371090448014</v>
      </c>
      <c r="F200" s="21">
        <f>IFERROR(F197/F10,"")</f>
        <v>0.6145610278372591</v>
      </c>
      <c r="G200" s="21">
        <f>IFERROR(G197/G10,"")</f>
        <v>0.6238365297199013</v>
      </c>
      <c r="H200" s="21">
        <f>IFERROR(H197/H10,"")</f>
        <v>0.6424979724249797</v>
      </c>
      <c r="I200" s="21">
        <f>IFERROR(I197/I10,"")</f>
        <v>0.5973818181818182</v>
      </c>
      <c r="J200" s="29">
        <f>IFERROR(J197/J10,"")</f>
        <v>0.6417171293844909</v>
      </c>
      <c r="K200" s="1"/>
      <c r="L200" s="1"/>
      <c r="M200" s="1"/>
      <c r="N200" s="1"/>
      <c r="O200" s="1"/>
      <c r="P200" s="1"/>
    </row>
    <row r="201" ht="41.25">
      <c r="A201" s="1"/>
      <c r="B201" s="6" t="s">
        <v>145</v>
      </c>
      <c r="C201" s="21"/>
      <c r="D201" s="21"/>
      <c r="E201" s="21"/>
      <c r="F201" s="21"/>
      <c r="G201" s="21"/>
      <c r="H201" s="67" t="s">
        <v>129</v>
      </c>
      <c r="I201" s="67" t="s">
        <v>129</v>
      </c>
      <c r="J201" s="28" t="s">
        <v>129</v>
      </c>
      <c r="K201" s="134" t="s">
        <v>146</v>
      </c>
      <c r="L201" s="1"/>
      <c r="M201" s="1"/>
      <c r="N201" s="1"/>
      <c r="O201" s="1"/>
      <c r="P201" s="1"/>
    </row>
    <row r="202" ht="28.5">
      <c r="A202" s="1"/>
      <c r="B202" s="6" t="s">
        <v>147</v>
      </c>
      <c r="C202" s="21"/>
      <c r="D202" s="21"/>
      <c r="E202" s="21"/>
      <c r="F202" s="21"/>
      <c r="G202" s="21"/>
      <c r="H202" s="67" t="s">
        <v>129</v>
      </c>
      <c r="I202" s="67" t="s">
        <v>129</v>
      </c>
      <c r="J202" s="28" t="s">
        <v>129</v>
      </c>
      <c r="K202" s="134" t="s">
        <v>148</v>
      </c>
      <c r="L202" s="1"/>
      <c r="M202" s="1"/>
      <c r="N202" s="1"/>
      <c r="O202" s="1"/>
      <c r="P202" s="1"/>
    </row>
    <row r="203">
      <c r="A203" s="1"/>
      <c r="B203" s="6" t="s">
        <v>149</v>
      </c>
      <c r="C203" s="21"/>
      <c r="D203" s="21"/>
      <c r="E203" s="21"/>
      <c r="F203" s="21"/>
      <c r="G203" s="21"/>
      <c r="H203" s="21" t="str">
        <f>IF(AND(ISNUMBER(H198),ISNUMBER(H201),ISNUMBER(H202)),(1+H198)/((1+H201)*(1+H202))-1,"n.a.")</f>
        <v>n.a.</v>
      </c>
      <c r="I203" s="21" t="str">
        <f>IF(AND(ISNUMBER(I198),ISNUMBER(I201),ISNUMBER(I202)),(1+I198)/((1+I201)*(1+I202))-1,"n.a.")</f>
        <v>n.a.</v>
      </c>
      <c r="J203" s="29" t="str">
        <f>IF(AND(ISNUMBER(J198),ISNUMBER(J201),ISNUMBER(J202)),(1+J198)/((1+J201)*(1+J202))-1,"n.a.")</f>
        <v>n.a.</v>
      </c>
      <c r="K203" s="1"/>
      <c r="L203" s="1"/>
      <c r="M203" s="1"/>
      <c r="N203" s="1"/>
      <c r="O203" s="1"/>
      <c r="P203" s="1"/>
    </row>
    <row r="204">
      <c r="A204" s="1"/>
      <c r="B204" s="6" t="s">
        <v>228</v>
      </c>
      <c r="C204" s="26">
        <f>C197/C83*365/C$7</f>
        <v>0.027994564984750978</v>
      </c>
      <c r="D204" s="26">
        <f>D197/D83*365/D$7</f>
        <v>0.028090759059796126</v>
      </c>
      <c r="E204" s="26">
        <f>E197/E83*365/E$7</f>
        <v>0.02793328201714413</v>
      </c>
      <c r="F204" s="26">
        <f>F197/F83*365/F$7</f>
        <v>0.02842367040760739</v>
      </c>
      <c r="G204" s="26">
        <f>G197/G83*365/G$7</f>
        <v>0.028112587930842387</v>
      </c>
      <c r="H204" s="26">
        <f>H197/H83*365/H$7</f>
        <v>0.029721941606421644</v>
      </c>
      <c r="I204" s="26">
        <f>I197/I83*365/I$7</f>
        <v>0.02968056998225607</v>
      </c>
      <c r="J204" s="54">
        <f>J197/J83*365/J$7</f>
        <v>0.03004588740000571</v>
      </c>
      <c r="K204" s="1"/>
      <c r="L204" s="1"/>
      <c r="M204" s="1"/>
      <c r="N204" s="1"/>
      <c r="O204" s="1"/>
      <c r="P204" s="1"/>
    </row>
    <row r="205">
      <c r="A205" s="1"/>
      <c r="B205" s="6" t="s">
        <v>186</v>
      </c>
      <c r="C205" s="20"/>
      <c r="D205" s="20">
        <f>IF(AND(ISNUMBER(D204),ISNUMBER(C204)),(D204-C204)*10000,"n.a.")</f>
        <v>0.9619407504514801</v>
      </c>
      <c r="E205" s="20">
        <f>IF(AND(ISNUMBER(E204),ISNUMBER(D204)),(E204-D204)*10000,"n.a.")</f>
        <v>-1.5747704265199614</v>
      </c>
      <c r="F205" s="20">
        <f>IF(AND(ISNUMBER(F204),ISNUMBER(E204)),(F204-E204)*10000,"n.a.")</f>
        <v>4.903883904632603</v>
      </c>
      <c r="G205" s="20"/>
      <c r="H205" s="20">
        <f>IF(AND(ISNUMBER(H204),ISNUMBER(F204)),(H204-F204)*10000,"n.a.")</f>
        <v>12.982711988142533</v>
      </c>
      <c r="I205" s="20">
        <f>IF(AND(ISNUMBER(I204),ISNUMBER(H204)),(I204-H204)*10000,"n.a.")</f>
        <v>-0.41371624165575244</v>
      </c>
      <c r="J205" s="48">
        <f>IF(AND(ISNUMBER(J204),ISNUMBER(I204)),(J204-I204)*10000,"n.a.")</f>
        <v>3.6531741774964086</v>
      </c>
      <c r="K205" s="1"/>
      <c r="L205" s="1"/>
      <c r="M205" s="1"/>
      <c r="N205" s="1"/>
      <c r="O205" s="1"/>
      <c r="P205" s="1"/>
    </row>
    <row r="206">
      <c r="A206" s="1"/>
      <c r="B206" s="6" t="s">
        <v>187</v>
      </c>
      <c r="C206" s="20"/>
      <c r="D206" s="20"/>
      <c r="E206" s="20"/>
      <c r="F206" s="20"/>
      <c r="G206" s="20"/>
      <c r="H206" s="20">
        <f>IF(AND(ISNUMBER(H204),ISNUMBER(C204)),(H204-C204)*10000,"n.a.")</f>
        <v>17.273766216706655</v>
      </c>
      <c r="I206" s="20">
        <f>IF(AND(ISNUMBER(I204),ISNUMBER(D204)),(I204-D204)*10000,"n.a.")</f>
        <v>15.898109224599423</v>
      </c>
      <c r="J206" s="48">
        <f>IF(AND(ISNUMBER(J204),ISNUMBER(E204)),(J204-E204)*10000,"n.a.")</f>
        <v>21.12605382861579</v>
      </c>
      <c r="K206" s="1"/>
      <c r="L206" s="1"/>
      <c r="M206" s="1"/>
      <c r="N206" s="1"/>
      <c r="O206" s="1"/>
      <c r="P206" s="1"/>
    </row>
    <row r="207" ht="41.25">
      <c r="A207" s="1"/>
      <c r="B207" s="6" t="s">
        <v>229</v>
      </c>
      <c r="C207" s="85">
        <v>0.0278</v>
      </c>
      <c r="D207" s="85">
        <v>0.028</v>
      </c>
      <c r="E207" s="85">
        <v>0.0279</v>
      </c>
      <c r="F207" s="85">
        <v>0.0284</v>
      </c>
      <c r="G207" s="26"/>
      <c r="H207" s="85">
        <v>0.0295</v>
      </c>
      <c r="I207" s="85">
        <v>0.0296</v>
      </c>
      <c r="J207" s="54">
        <f>J204+(I207-I204)</f>
        <v>0.029965317417749642</v>
      </c>
      <c r="K207" s="134" t="s">
        <v>230</v>
      </c>
      <c r="L207" s="1"/>
      <c r="M207" s="1"/>
      <c r="N207" s="1"/>
      <c r="O207" s="1"/>
      <c r="P207" s="1"/>
    </row>
    <row r="208">
      <c r="A208" s="1"/>
      <c r="B208" s="6" t="s">
        <v>186</v>
      </c>
      <c r="C208" s="20"/>
      <c r="D208" s="20">
        <f>IF(AND(ISNUMBER(D207),ISNUMBER(C207)),(D207-C207)*10000,"n.a.")</f>
        <v>2.0000000000000226</v>
      </c>
      <c r="E208" s="20">
        <f>IF(AND(ISNUMBER(E207),ISNUMBER(D207)),(E207-D207)*10000,"n.a.")</f>
        <v>-0.999999999999994</v>
      </c>
      <c r="F208" s="20">
        <f>IF(AND(ISNUMBER(F207),ISNUMBER(E207)),(F207-E207)*10000,"n.a.")</f>
        <v>5.000000000000004</v>
      </c>
      <c r="G208" s="20"/>
      <c r="H208" s="20">
        <f>IF(AND(ISNUMBER(H207),ISNUMBER(F207)),(H207-F207)*10000,"n.a.")</f>
        <v>10.999999999999968</v>
      </c>
      <c r="I208" s="20">
        <f>IF(AND(ISNUMBER(I207),ISNUMBER(H207)),(I207-H207)*10000,"n.a.")</f>
        <v>1.0000000000000286</v>
      </c>
      <c r="J208" s="48">
        <f>IF(AND(ISNUMBER(J207),ISNUMBER(I207)),(J207-I207)*10000,"n.a.")</f>
        <v>3.6531741774964086</v>
      </c>
      <c r="K208" s="1"/>
      <c r="L208" s="1"/>
      <c r="M208" s="1"/>
      <c r="N208" s="1"/>
      <c r="O208" s="1"/>
      <c r="P208" s="1"/>
    </row>
    <row r="209">
      <c r="A209" s="1"/>
      <c r="B209" s="6" t="s">
        <v>187</v>
      </c>
      <c r="C209" s="20"/>
      <c r="D209" s="20"/>
      <c r="E209" s="20"/>
      <c r="F209" s="20"/>
      <c r="G209" s="20"/>
      <c r="H209" s="20">
        <f>IF(AND(ISNUMBER(H207),ISNUMBER(C207)),(H207-C207)*10000,"n.a.")</f>
        <v>17</v>
      </c>
      <c r="I209" s="20">
        <f>IF(AND(ISNUMBER(I207),ISNUMBER(D207)),(I207-D207)*10000,"n.a.")</f>
        <v>16.000000000000007</v>
      </c>
      <c r="J209" s="48">
        <f>IF(AND(ISNUMBER(J207),ISNUMBER(E207)),(J207-E207)*10000,"n.a.")</f>
        <v>20.65317417749641</v>
      </c>
      <c r="K209" s="1"/>
      <c r="L209" s="1"/>
      <c r="M209" s="1"/>
      <c r="N209" s="1"/>
      <c r="O209" s="1"/>
      <c r="P209" s="1"/>
    </row>
    <row r="210">
      <c r="A210" s="1"/>
      <c r="B210" s="1" t="s">
        <v>231</v>
      </c>
      <c r="C210" s="14"/>
      <c r="D210" s="14"/>
      <c r="E210" s="14"/>
      <c r="F210" s="14"/>
      <c r="G210" s="14"/>
      <c r="H210" s="14"/>
      <c r="I210" s="14"/>
      <c r="J210" s="35">
        <f>Guidance!J46</f>
        <v>4240.4775</v>
      </c>
      <c r="K210" s="1"/>
      <c r="L210" s="1"/>
      <c r="M210" s="1"/>
      <c r="N210" s="1"/>
      <c r="O210" s="1"/>
      <c r="P210" s="1"/>
    </row>
    <row r="211">
      <c r="A211" s="1"/>
      <c r="B211" s="1" t="s">
        <v>232</v>
      </c>
      <c r="C211" s="14"/>
      <c r="D211" s="14"/>
      <c r="E211" s="14"/>
      <c r="F211" s="14"/>
      <c r="G211" s="14"/>
      <c r="H211" s="14"/>
      <c r="I211" s="14"/>
      <c r="J211" s="10">
        <f>J197-J210</f>
        <v>4.549033592328669</v>
      </c>
      <c r="K211" s="1"/>
      <c r="L211" s="1"/>
      <c r="M211" s="1"/>
      <c r="N211" s="1"/>
      <c r="O211" s="1"/>
      <c r="P211" s="1"/>
    </row>
    <row r="212">
      <c r="A212" s="1"/>
      <c r="B212" s="1"/>
      <c r="C212" s="11"/>
      <c r="D212" s="11"/>
      <c r="E212" s="11"/>
      <c r="F212" s="11"/>
      <c r="G212" s="11"/>
      <c r="H212" s="11"/>
      <c r="I212" s="11"/>
      <c r="J212" s="30"/>
      <c r="K212" s="1"/>
      <c r="L212" s="1"/>
      <c r="M212" s="1"/>
      <c r="N212" s="1"/>
      <c r="O212" s="1"/>
      <c r="P212" s="1"/>
    </row>
    <row r="213">
      <c r="A213" s="1"/>
      <c r="B213" s="32" t="s">
        <v>233</v>
      </c>
      <c r="C213" s="11"/>
      <c r="D213" s="11"/>
      <c r="E213" s="11"/>
      <c r="F213" s="11"/>
      <c r="G213" s="11"/>
      <c r="H213" s="11"/>
      <c r="I213" s="11"/>
      <c r="J213" s="30"/>
      <c r="K213" s="1"/>
      <c r="L213" s="1"/>
      <c r="M213" s="1"/>
      <c r="N213" s="1"/>
      <c r="O213" s="1"/>
      <c r="P213" s="1"/>
    </row>
    <row r="214" ht="28.5">
      <c r="A214" s="1"/>
      <c r="B214" s="1" t="s">
        <v>234</v>
      </c>
      <c r="C214" s="12">
        <f>'Income Statement'!C20</f>
        <v>391</v>
      </c>
      <c r="D214" s="12">
        <f>'Income Statement'!D20</f>
        <v>391</v>
      </c>
      <c r="E214" s="12">
        <f>'Income Statement'!E20</f>
        <v>404</v>
      </c>
      <c r="F214" s="12">
        <f>'Income Statement'!F20</f>
        <v>411</v>
      </c>
      <c r="G214" s="12">
        <f>'Income Statement'!G20</f>
        <v>1597</v>
      </c>
      <c r="H214" s="12">
        <f>'Income Statement'!H20</f>
        <v>420</v>
      </c>
      <c r="I214" s="12">
        <f>'Income Statement'!I20</f>
        <v>440</v>
      </c>
      <c r="J214" s="10">
        <f>I214*(1+J215)</f>
        <v>452.01200000000006</v>
      </c>
      <c r="K214" s="134" t="s">
        <v>235</v>
      </c>
      <c r="L214" s="1"/>
      <c r="M214" s="1"/>
      <c r="N214" s="1"/>
      <c r="O214" s="1"/>
      <c r="P214" s="1"/>
    </row>
    <row r="215">
      <c r="A215" s="1"/>
      <c r="B215" s="6" t="s">
        <v>144</v>
      </c>
      <c r="C215" s="21"/>
      <c r="D215" s="21">
        <f>IF(AND(ISNUMBER(D214),ISNUMBER(C214)),IF(C214&lt;=0,"n.m.",IFERROR(D214/C214-1,"n.a.")),"n.a.")</f>
        <v>0</v>
      </c>
      <c r="E215" s="21">
        <f>IF(AND(ISNUMBER(E214),ISNUMBER(D214)),IF(D214&lt;=0,"n.m.",IFERROR(E214/D214-1,"n.a.")),"n.a.")</f>
        <v>0.03324808184143224</v>
      </c>
      <c r="F215" s="21">
        <f>IF(AND(ISNUMBER(F214),ISNUMBER(E214)),IF(E214&lt;=0,"n.m.",IFERROR(F214/E214-1,"n.a.")),"n.a.")</f>
        <v>0.017326732673267342</v>
      </c>
      <c r="G215" s="21"/>
      <c r="H215" s="21">
        <f>IF(AND(ISNUMBER(H214),ISNUMBER(F214)),IF(F214&lt;=0,"n.m.",IFERROR(H214/F214-1,"n.a.")),"n.a.")</f>
        <v>0.021897810218978186</v>
      </c>
      <c r="I215" s="21">
        <f>IF(AND(ISNUMBER(I214),ISNUMBER(H214)),IF(H214&lt;=0,"n.m.",IFERROR(I214/H214-1,"n.a.")),"n.a.")</f>
        <v>0.04761904761904767</v>
      </c>
      <c r="J215" s="28">
        <v>0.0273</v>
      </c>
      <c r="K215" s="1"/>
      <c r="L215" s="1"/>
      <c r="M215" s="1"/>
      <c r="N215" s="1"/>
      <c r="O215" s="1"/>
      <c r="P215" s="1"/>
    </row>
    <row r="216">
      <c r="A216" s="1"/>
      <c r="B216" s="6" t="s">
        <v>143</v>
      </c>
      <c r="C216" s="21"/>
      <c r="D216" s="21"/>
      <c r="E216" s="21"/>
      <c r="F216" s="21"/>
      <c r="G216" s="21"/>
      <c r="H216" s="21">
        <f>IF(AND(ISNUMBER(H214),ISNUMBER(C214)),IF(C214&lt;=0,"n.m.",IFERROR(H214/C214-1,"n.a.")),"n.a.")</f>
        <v>0.07416879795396425</v>
      </c>
      <c r="I216" s="21">
        <f>IF(AND(ISNUMBER(I214),ISNUMBER(D214)),IF(D214&lt;=0,"n.m.",IFERROR(I214/D214-1,"n.a.")),"n.a.")</f>
        <v>0.1253196930946292</v>
      </c>
      <c r="J216" s="29">
        <f>IF(AND(ISNUMBER(J214),ISNUMBER(E214)),IF(E214&lt;=0,"n.m.",IFERROR(J214/E214-1,"n.a.")),"n.a.")</f>
        <v>0.11884158415841606</v>
      </c>
      <c r="K216" s="1"/>
      <c r="L216" s="1"/>
      <c r="M216" s="1"/>
      <c r="N216" s="1"/>
      <c r="O216" s="1"/>
      <c r="P216" s="1"/>
    </row>
    <row r="217" ht="41.25">
      <c r="A217" s="1"/>
      <c r="B217" s="6" t="s">
        <v>145</v>
      </c>
      <c r="C217" s="21"/>
      <c r="D217" s="21"/>
      <c r="E217" s="21"/>
      <c r="F217" s="21"/>
      <c r="G217" s="21"/>
      <c r="H217" s="67" t="s">
        <v>129</v>
      </c>
      <c r="I217" s="67" t="s">
        <v>129</v>
      </c>
      <c r="J217" s="28" t="s">
        <v>129</v>
      </c>
      <c r="K217" s="134" t="s">
        <v>146</v>
      </c>
      <c r="L217" s="1"/>
      <c r="M217" s="1"/>
      <c r="N217" s="1"/>
      <c r="O217" s="1"/>
      <c r="P217" s="1"/>
    </row>
    <row r="218" ht="28.5">
      <c r="A218" s="1"/>
      <c r="B218" s="6" t="s">
        <v>147</v>
      </c>
      <c r="C218" s="21"/>
      <c r="D218" s="21"/>
      <c r="E218" s="21"/>
      <c r="F218" s="21"/>
      <c r="G218" s="21"/>
      <c r="H218" s="67" t="s">
        <v>129</v>
      </c>
      <c r="I218" s="67" t="s">
        <v>129</v>
      </c>
      <c r="J218" s="28" t="s">
        <v>129</v>
      </c>
      <c r="K218" s="134" t="s">
        <v>148</v>
      </c>
      <c r="L218" s="1"/>
      <c r="M218" s="1"/>
      <c r="N218" s="1"/>
      <c r="O218" s="1"/>
      <c r="P218" s="1"/>
    </row>
    <row r="219">
      <c r="A219" s="1"/>
      <c r="B219" s="6" t="s">
        <v>149</v>
      </c>
      <c r="C219" s="21"/>
      <c r="D219" s="21"/>
      <c r="E219" s="21"/>
      <c r="F219" s="21"/>
      <c r="G219" s="21"/>
      <c r="H219" s="21" t="str">
        <f>IF(AND(ISNUMBER(H216),ISNUMBER(H217),ISNUMBER(H218)),(1+H216)/((1+H217)*(1+H218))-1,"n.a.")</f>
        <v>n.a.</v>
      </c>
      <c r="I219" s="21" t="str">
        <f>IF(AND(ISNUMBER(I216),ISNUMBER(I217),ISNUMBER(I218)),(1+I216)/((1+I217)*(1+I218))-1,"n.a.")</f>
        <v>n.a.</v>
      </c>
      <c r="J219" s="29" t="str">
        <f>IF(AND(ISNUMBER(J216),ISNUMBER(J217),ISNUMBER(J218)),(1+J216)/((1+J217)*(1+J218))-1,"n.a.")</f>
        <v>n.a.</v>
      </c>
      <c r="K219" s="1"/>
      <c r="L219" s="1"/>
      <c r="M219" s="1"/>
      <c r="N219" s="1"/>
      <c r="O219" s="1"/>
      <c r="P219" s="1"/>
    </row>
    <row r="220" ht="54">
      <c r="A220" s="1"/>
      <c r="B220" s="1" t="s">
        <v>236</v>
      </c>
      <c r="C220" s="12">
        <f>'Income Statement'!C21</f>
        <v>306</v>
      </c>
      <c r="D220" s="12">
        <f>'Income Statement'!D21</f>
        <v>321</v>
      </c>
      <c r="E220" s="12">
        <f>'Income Statement'!E21</f>
        <v>432</v>
      </c>
      <c r="F220" s="12">
        <f>'Income Statement'!F21</f>
        <v>489</v>
      </c>
      <c r="G220" s="12">
        <f>'Income Statement'!G21</f>
        <v>1548</v>
      </c>
      <c r="H220" s="12">
        <f>'Income Statement'!H21</f>
        <v>463</v>
      </c>
      <c r="I220" s="12">
        <f>'Income Statement'!I21</f>
        <v>577</v>
      </c>
      <c r="J220" s="10">
        <f>I220*(1+J221)</f>
        <v>485.0262</v>
      </c>
      <c r="K220" s="134" t="s">
        <v>237</v>
      </c>
      <c r="L220" s="1"/>
      <c r="M220" s="1"/>
      <c r="N220" s="1"/>
      <c r="O220" s="1"/>
      <c r="P220" s="1"/>
    </row>
    <row r="221">
      <c r="A221" s="1"/>
      <c r="B221" s="6" t="s">
        <v>144</v>
      </c>
      <c r="C221" s="21"/>
      <c r="D221" s="21">
        <f>IF(AND(ISNUMBER(D220),ISNUMBER(C220)),IF(C220&lt;=0,"n.m.",IFERROR(D220/C220-1,"n.a.")),"n.a.")</f>
        <v>0.0490196078431373</v>
      </c>
      <c r="E221" s="21">
        <f>IF(AND(ISNUMBER(E220),ISNUMBER(D220)),IF(D220&lt;=0,"n.m.",IFERROR(E220/D220-1,"n.a.")),"n.a.")</f>
        <v>0.3457943925233644</v>
      </c>
      <c r="F221" s="21">
        <f>IF(AND(ISNUMBER(F220),ISNUMBER(E220)),IF(E220&lt;=0,"n.m.",IFERROR(F220/E220-1,"n.a.")),"n.a.")</f>
        <v>0.13194444444444442</v>
      </c>
      <c r="G221" s="21"/>
      <c r="H221" s="21">
        <f>IF(AND(ISNUMBER(H220),ISNUMBER(F220)),IF(F220&lt;=0,"n.m.",IFERROR(H220/F220-1,"n.a.")),"n.a.")</f>
        <v>-0.053169734151329195</v>
      </c>
      <c r="I221" s="21">
        <f>IF(AND(ISNUMBER(I220),ISNUMBER(H220)),IF(H220&lt;=0,"n.m.",IFERROR(I220/H220-1,"n.a.")),"n.a.")</f>
        <v>0.24622030237580983</v>
      </c>
      <c r="J221" s="28">
        <v>-0.1594</v>
      </c>
      <c r="K221" s="1"/>
      <c r="L221" s="1"/>
      <c r="M221" s="1"/>
      <c r="N221" s="1"/>
      <c r="O221" s="1"/>
      <c r="P221" s="1"/>
    </row>
    <row r="222">
      <c r="A222" s="1"/>
      <c r="B222" s="6" t="s">
        <v>143</v>
      </c>
      <c r="C222" s="21"/>
      <c r="D222" s="21"/>
      <c r="E222" s="21"/>
      <c r="F222" s="21"/>
      <c r="G222" s="21"/>
      <c r="H222" s="21">
        <f>IF(AND(ISNUMBER(H220),ISNUMBER(C220)),IF(C220&lt;=0,"n.m.",IFERROR(H220/C220-1,"n.a.")),"n.a.")</f>
        <v>0.5130718954248366</v>
      </c>
      <c r="I222" s="21">
        <f>IF(AND(ISNUMBER(I220),ISNUMBER(D220)),IF(D220&lt;=0,"n.m.",IFERROR(I220/D220-1,"n.a.")),"n.a.")</f>
        <v>0.7975077881619939</v>
      </c>
      <c r="J222" s="29">
        <f>IF(AND(ISNUMBER(J220),ISNUMBER(E220)),IF(E220&lt;=0,"n.m.",IFERROR(J220/E220-1,"n.a.")),"n.a.")</f>
        <v>0.12274583333333333</v>
      </c>
      <c r="K222" s="1"/>
      <c r="L222" s="1"/>
      <c r="M222" s="1"/>
      <c r="N222" s="1"/>
      <c r="O222" s="1"/>
      <c r="P222" s="1"/>
    </row>
    <row r="223" ht="41.25">
      <c r="A223" s="1"/>
      <c r="B223" s="6" t="s">
        <v>145</v>
      </c>
      <c r="C223" s="21"/>
      <c r="D223" s="21"/>
      <c r="E223" s="21"/>
      <c r="F223" s="21"/>
      <c r="G223" s="21"/>
      <c r="H223" s="67" t="s">
        <v>129</v>
      </c>
      <c r="I223" s="67" t="s">
        <v>129</v>
      </c>
      <c r="J223" s="28" t="s">
        <v>129</v>
      </c>
      <c r="K223" s="134" t="s">
        <v>146</v>
      </c>
      <c r="L223" s="1"/>
      <c r="M223" s="1"/>
      <c r="N223" s="1"/>
      <c r="O223" s="1"/>
      <c r="P223" s="1"/>
    </row>
    <row r="224" ht="28.5">
      <c r="A224" s="1"/>
      <c r="B224" s="6" t="s">
        <v>147</v>
      </c>
      <c r="C224" s="21"/>
      <c r="D224" s="21"/>
      <c r="E224" s="21"/>
      <c r="F224" s="21"/>
      <c r="G224" s="21"/>
      <c r="H224" s="67" t="s">
        <v>129</v>
      </c>
      <c r="I224" s="67" t="s">
        <v>129</v>
      </c>
      <c r="J224" s="28" t="s">
        <v>129</v>
      </c>
      <c r="K224" s="134" t="s">
        <v>148</v>
      </c>
      <c r="L224" s="1"/>
      <c r="M224" s="1"/>
      <c r="N224" s="1"/>
      <c r="O224" s="1"/>
      <c r="P224" s="1"/>
    </row>
    <row r="225">
      <c r="A225" s="1"/>
      <c r="B225" s="6" t="s">
        <v>149</v>
      </c>
      <c r="C225" s="21"/>
      <c r="D225" s="21"/>
      <c r="E225" s="21"/>
      <c r="F225" s="21"/>
      <c r="G225" s="21"/>
      <c r="H225" s="21" t="str">
        <f>IF(AND(ISNUMBER(H222),ISNUMBER(H223),ISNUMBER(H224)),(1+H222)/((1+H223)*(1+H224))-1,"n.a.")</f>
        <v>n.a.</v>
      </c>
      <c r="I225" s="21" t="str">
        <f>IF(AND(ISNUMBER(I222),ISNUMBER(I223),ISNUMBER(I224)),(1+I222)/((1+I223)*(1+I224))-1,"n.a.")</f>
        <v>n.a.</v>
      </c>
      <c r="J225" s="29" t="str">
        <f>IF(AND(ISNUMBER(J222),ISNUMBER(J223),ISNUMBER(J224)),(1+J222)/((1+J223)*(1+J224))-1,"n.a.")</f>
        <v>n.a.</v>
      </c>
      <c r="K225" s="1"/>
      <c r="L225" s="1"/>
      <c r="M225" s="1"/>
      <c r="N225" s="1"/>
      <c r="O225" s="1"/>
      <c r="P225" s="1"/>
    </row>
    <row r="226">
      <c r="A226" s="1"/>
      <c r="B226" s="1" t="s">
        <v>238</v>
      </c>
      <c r="C226" s="12">
        <f>'Income Statement'!C22</f>
        <v>692</v>
      </c>
      <c r="D226" s="12">
        <f>'Income Statement'!D22</f>
        <v>737</v>
      </c>
      <c r="E226" s="12">
        <f>'Income Statement'!E22</f>
        <v>737</v>
      </c>
      <c r="F226" s="12">
        <f>'Income Statement'!F22</f>
        <v>733</v>
      </c>
      <c r="G226" s="12">
        <f>'Income Statement'!G22</f>
        <v>2899</v>
      </c>
      <c r="H226" s="12">
        <f>'Income Statement'!H22</f>
        <v>738</v>
      </c>
      <c r="I226" s="12">
        <f>'Income Statement'!I22</f>
        <v>772</v>
      </c>
      <c r="J226" s="10">
        <f>I226*(1+J227)</f>
        <v>780.0287999999999</v>
      </c>
      <c r="K226" s="114" t="s">
        <v>239</v>
      </c>
      <c r="L226" s="1"/>
      <c r="M226" s="1"/>
      <c r="N226" s="1"/>
      <c r="O226" s="1"/>
      <c r="P226" s="1"/>
    </row>
    <row r="227">
      <c r="A227" s="1"/>
      <c r="B227" s="6" t="s">
        <v>144</v>
      </c>
      <c r="C227" s="21"/>
      <c r="D227" s="21">
        <f>IF(AND(ISNUMBER(D226),ISNUMBER(C226)),IF(C226&lt;=0,"n.m.",IFERROR(D226/C226-1,"n.a.")),"n.a.")</f>
        <v>0.06502890173410414</v>
      </c>
      <c r="E227" s="21">
        <f>IF(AND(ISNUMBER(E226),ISNUMBER(D226)),IF(D226&lt;=0,"n.m.",IFERROR(E226/D226-1,"n.a.")),"n.a.")</f>
        <v>0</v>
      </c>
      <c r="F227" s="21">
        <f>IF(AND(ISNUMBER(F226),ISNUMBER(E226)),IF(E226&lt;=0,"n.m.",IFERROR(F226/E226-1,"n.a.")),"n.a.")</f>
        <v>-0.005427408412483015</v>
      </c>
      <c r="G227" s="21"/>
      <c r="H227" s="21">
        <f>IF(AND(ISNUMBER(H226),ISNUMBER(F226)),IF(F226&lt;=0,"n.m.",IFERROR(H226/F226-1,"n.a.")),"n.a.")</f>
        <v>0.006821282401091366</v>
      </c>
      <c r="I227" s="21">
        <f>IF(AND(ISNUMBER(I226),ISNUMBER(H226)),IF(H226&lt;=0,"n.m.",IFERROR(I226/H226-1,"n.a.")),"n.a.")</f>
        <v>0.046070460704606964</v>
      </c>
      <c r="J227" s="28">
        <v>0.0104</v>
      </c>
      <c r="K227" s="1"/>
      <c r="L227" s="1"/>
      <c r="M227" s="1"/>
      <c r="N227" s="1"/>
      <c r="O227" s="1"/>
      <c r="P227" s="1"/>
    </row>
    <row r="228">
      <c r="A228" s="1"/>
      <c r="B228" s="6" t="s">
        <v>143</v>
      </c>
      <c r="C228" s="21"/>
      <c r="D228" s="21"/>
      <c r="E228" s="21"/>
      <c r="F228" s="21"/>
      <c r="G228" s="21"/>
      <c r="H228" s="21">
        <f>IF(AND(ISNUMBER(H226),ISNUMBER(C226)),IF(C226&lt;=0,"n.m.",IFERROR(H226/C226-1,"n.a.")),"n.a.")</f>
        <v>0.06647398843930641</v>
      </c>
      <c r="I228" s="21">
        <f>IF(AND(ISNUMBER(I226),ISNUMBER(D226)),IF(D226&lt;=0,"n.m.",IFERROR(I226/D226-1,"n.a.")),"n.a.")</f>
        <v>0.04748982360922649</v>
      </c>
      <c r="J228" s="29">
        <f>IF(AND(ISNUMBER(J226),ISNUMBER(E226)),IF(E226&lt;=0,"n.m.",IFERROR(J226/E226-1,"n.a.")),"n.a.")</f>
        <v>0.05838371777476237</v>
      </c>
      <c r="K228" s="1"/>
      <c r="L228" s="1"/>
      <c r="M228" s="1"/>
      <c r="N228" s="1"/>
      <c r="O228" s="1"/>
      <c r="P228" s="1"/>
    </row>
    <row r="229" ht="41.25">
      <c r="A229" s="1"/>
      <c r="B229" s="6" t="s">
        <v>145</v>
      </c>
      <c r="C229" s="21"/>
      <c r="D229" s="21"/>
      <c r="E229" s="21"/>
      <c r="F229" s="21"/>
      <c r="G229" s="21"/>
      <c r="H229" s="67" t="s">
        <v>129</v>
      </c>
      <c r="I229" s="67" t="s">
        <v>129</v>
      </c>
      <c r="J229" s="28" t="s">
        <v>129</v>
      </c>
      <c r="K229" s="134" t="s">
        <v>146</v>
      </c>
      <c r="L229" s="1"/>
      <c r="M229" s="1"/>
      <c r="N229" s="1"/>
      <c r="O229" s="1"/>
      <c r="P229" s="1"/>
    </row>
    <row r="230" ht="28.5">
      <c r="A230" s="1"/>
      <c r="B230" s="6" t="s">
        <v>147</v>
      </c>
      <c r="C230" s="21"/>
      <c r="D230" s="21"/>
      <c r="E230" s="21"/>
      <c r="F230" s="21"/>
      <c r="G230" s="21"/>
      <c r="H230" s="67" t="s">
        <v>129</v>
      </c>
      <c r="I230" s="67" t="s">
        <v>129</v>
      </c>
      <c r="J230" s="28" t="s">
        <v>129</v>
      </c>
      <c r="K230" s="134" t="s">
        <v>148</v>
      </c>
      <c r="L230" s="1"/>
      <c r="M230" s="1"/>
      <c r="N230" s="1"/>
      <c r="O230" s="1"/>
      <c r="P230" s="1"/>
    </row>
    <row r="231">
      <c r="A231" s="1"/>
      <c r="B231" s="6" t="s">
        <v>149</v>
      </c>
      <c r="C231" s="21"/>
      <c r="D231" s="21"/>
      <c r="E231" s="21"/>
      <c r="F231" s="21"/>
      <c r="G231" s="21"/>
      <c r="H231" s="21" t="str">
        <f>IF(AND(ISNUMBER(H228),ISNUMBER(H229),ISNUMBER(H230)),(1+H228)/((1+H229)*(1+H230))-1,"n.a.")</f>
        <v>n.a.</v>
      </c>
      <c r="I231" s="21" t="str">
        <f>IF(AND(ISNUMBER(I228),ISNUMBER(I229),ISNUMBER(I230)),(1+I228)/((1+I229)*(1+I230))-1,"n.a.")</f>
        <v>n.a.</v>
      </c>
      <c r="J231" s="29" t="str">
        <f>IF(AND(ISNUMBER(J228),ISNUMBER(J229),ISNUMBER(J230)),(1+J228)/((1+J229)*(1+J230))-1,"n.a.")</f>
        <v>n.a.</v>
      </c>
      <c r="K231" s="1"/>
      <c r="L231" s="1"/>
      <c r="M231" s="1"/>
      <c r="N231" s="1"/>
      <c r="O231" s="1"/>
      <c r="P231" s="1"/>
    </row>
    <row r="232">
      <c r="A232" s="1"/>
      <c r="B232" s="1" t="s">
        <v>240</v>
      </c>
      <c r="C232" s="12">
        <f>'Income Statement'!C23</f>
        <v>316</v>
      </c>
      <c r="D232" s="12">
        <f>'Income Statement'!D23</f>
        <v>317</v>
      </c>
      <c r="E232" s="12">
        <f>'Income Statement'!E23</f>
        <v>335</v>
      </c>
      <c r="F232" s="12">
        <f>'Income Statement'!F23</f>
        <v>342</v>
      </c>
      <c r="G232" s="12">
        <f>'Income Statement'!G23</f>
        <v>1310</v>
      </c>
      <c r="H232" s="12">
        <f>'Income Statement'!H23</f>
        <v>340</v>
      </c>
      <c r="I232" s="12">
        <f>'Income Statement'!I23</f>
        <v>346</v>
      </c>
      <c r="J232" s="10">
        <f>I232*(1+J233)</f>
        <v>350.0136</v>
      </c>
      <c r="K232" s="1"/>
      <c r="L232" s="1"/>
      <c r="M232" s="1"/>
      <c r="N232" s="1"/>
      <c r="O232" s="1"/>
      <c r="P232" s="1"/>
    </row>
    <row r="233">
      <c r="A233" s="1"/>
      <c r="B233" s="6" t="s">
        <v>144</v>
      </c>
      <c r="C233" s="21"/>
      <c r="D233" s="21">
        <f>IF(AND(ISNUMBER(D232),ISNUMBER(C232)),IF(C232&lt;=0,"n.m.",IFERROR(D232/C232-1,"n.a.")),"n.a.")</f>
        <v>0.0031645569620253333</v>
      </c>
      <c r="E233" s="21">
        <f>IF(AND(ISNUMBER(E232),ISNUMBER(D232)),IF(D232&lt;=0,"n.m.",IFERROR(E232/D232-1,"n.a.")),"n.a.")</f>
        <v>0.056782334384858135</v>
      </c>
      <c r="F233" s="21">
        <f>IF(AND(ISNUMBER(F232),ISNUMBER(E232)),IF(E232&lt;=0,"n.m.",IFERROR(F232/E232-1,"n.a.")),"n.a.")</f>
        <v>0.020895522388059806</v>
      </c>
      <c r="G233" s="21"/>
      <c r="H233" s="21">
        <f>IF(AND(ISNUMBER(H232),ISNUMBER(F232)),IF(F232&lt;=0,"n.m.",IFERROR(H232/F232-1,"n.a.")),"n.a.")</f>
        <v>-0.005847953216374324</v>
      </c>
      <c r="I233" s="21">
        <f>IF(AND(ISNUMBER(I232),ISNUMBER(H232)),IF(H232&lt;=0,"n.m.",IFERROR(I232/H232-1,"n.a.")),"n.a.")</f>
        <v>0.01764705882352935</v>
      </c>
      <c r="J233" s="28">
        <v>0.0116</v>
      </c>
      <c r="K233" s="1"/>
      <c r="L233" s="1"/>
      <c r="M233" s="1"/>
      <c r="N233" s="1"/>
      <c r="O233" s="1"/>
      <c r="P233" s="1"/>
    </row>
    <row r="234">
      <c r="A234" s="1"/>
      <c r="B234" s="6" t="s">
        <v>143</v>
      </c>
      <c r="C234" s="21"/>
      <c r="D234" s="21"/>
      <c r="E234" s="21"/>
      <c r="F234" s="21"/>
      <c r="G234" s="21"/>
      <c r="H234" s="21">
        <f>IF(AND(ISNUMBER(H232),ISNUMBER(C232)),IF(C232&lt;=0,"n.m.",IFERROR(H232/C232-1,"n.a.")),"n.a.")</f>
        <v>0.07594936708860756</v>
      </c>
      <c r="I234" s="21">
        <f>IF(AND(ISNUMBER(I232),ISNUMBER(D232)),IF(D232&lt;=0,"n.m.",IFERROR(I232/D232-1,"n.a.")),"n.a.")</f>
        <v>0.09148264984227139</v>
      </c>
      <c r="J234" s="29">
        <f>IF(AND(ISNUMBER(J232),ISNUMBER(E232)),IF(E232&lt;=0,"n.m.",IFERROR(J232/E232-1,"n.a.")),"n.a.")</f>
        <v>0.04481671641791052</v>
      </c>
      <c r="K234" s="1"/>
      <c r="L234" s="1"/>
      <c r="M234" s="1"/>
      <c r="N234" s="1"/>
      <c r="O234" s="1"/>
      <c r="P234" s="1"/>
    </row>
    <row r="235" ht="41.25">
      <c r="A235" s="1"/>
      <c r="B235" s="6" t="s">
        <v>145</v>
      </c>
      <c r="C235" s="21"/>
      <c r="D235" s="21"/>
      <c r="E235" s="21"/>
      <c r="F235" s="21"/>
      <c r="G235" s="21"/>
      <c r="H235" s="67" t="s">
        <v>129</v>
      </c>
      <c r="I235" s="67" t="s">
        <v>129</v>
      </c>
      <c r="J235" s="28" t="s">
        <v>129</v>
      </c>
      <c r="K235" s="134" t="s">
        <v>146</v>
      </c>
      <c r="L235" s="1"/>
      <c r="M235" s="1"/>
      <c r="N235" s="1"/>
      <c r="O235" s="1"/>
      <c r="P235" s="1"/>
    </row>
    <row r="236" ht="28.5">
      <c r="A236" s="1"/>
      <c r="B236" s="6" t="s">
        <v>147</v>
      </c>
      <c r="C236" s="21"/>
      <c r="D236" s="21"/>
      <c r="E236" s="21"/>
      <c r="F236" s="21"/>
      <c r="G236" s="21"/>
      <c r="H236" s="67" t="s">
        <v>129</v>
      </c>
      <c r="I236" s="67" t="s">
        <v>129</v>
      </c>
      <c r="J236" s="28" t="s">
        <v>129</v>
      </c>
      <c r="K236" s="134" t="s">
        <v>148</v>
      </c>
      <c r="L236" s="1"/>
      <c r="M236" s="1"/>
      <c r="N236" s="1"/>
      <c r="O236" s="1"/>
      <c r="P236" s="1"/>
    </row>
    <row r="237">
      <c r="A237" s="1"/>
      <c r="B237" s="6" t="s">
        <v>149</v>
      </c>
      <c r="C237" s="21"/>
      <c r="D237" s="21"/>
      <c r="E237" s="21"/>
      <c r="F237" s="21"/>
      <c r="G237" s="21"/>
      <c r="H237" s="21" t="str">
        <f>IF(AND(ISNUMBER(H234),ISNUMBER(H235),ISNUMBER(H236)),(1+H234)/((1+H235)*(1+H236))-1,"n.a.")</f>
        <v>n.a.</v>
      </c>
      <c r="I237" s="21" t="str">
        <f>IF(AND(ISNUMBER(I234),ISNUMBER(I235),ISNUMBER(I236)),(1+I234)/((1+I235)*(1+I236))-1,"n.a.")</f>
        <v>n.a.</v>
      </c>
      <c r="J237" s="29" t="str">
        <f>IF(AND(ISNUMBER(J234),ISNUMBER(J235),ISNUMBER(J236)),(1+J234)/((1+J235)*(1+J236))-1,"n.a.")</f>
        <v>n.a.</v>
      </c>
      <c r="K237" s="1"/>
      <c r="L237" s="1"/>
      <c r="M237" s="1"/>
      <c r="N237" s="1"/>
      <c r="O237" s="1"/>
      <c r="P237" s="1"/>
    </row>
    <row r="238" ht="28.5">
      <c r="A238" s="1"/>
      <c r="B238" s="1" t="s">
        <v>241</v>
      </c>
      <c r="C238" s="12">
        <f>'Income Statement'!C24</f>
        <v>134</v>
      </c>
      <c r="D238" s="12">
        <f>'Income Statement'!D24</f>
        <v>128</v>
      </c>
      <c r="E238" s="12">
        <f>'Income Statement'!E24</f>
        <v>161</v>
      </c>
      <c r="F238" s="12">
        <f>'Income Statement'!F24</f>
        <v>148</v>
      </c>
      <c r="G238" s="12">
        <f>'Income Statement'!G24</f>
        <v>571</v>
      </c>
      <c r="H238" s="12">
        <f>'Income Statement'!H24</f>
        <v>118</v>
      </c>
      <c r="I238" s="12">
        <f>'Income Statement'!I24</f>
        <v>144</v>
      </c>
      <c r="J238" s="10">
        <f>I238*(1+J239)</f>
        <v>132.9984</v>
      </c>
      <c r="K238" s="134" t="s">
        <v>242</v>
      </c>
      <c r="L238" s="1"/>
      <c r="M238" s="1"/>
      <c r="N238" s="1"/>
      <c r="O238" s="1"/>
      <c r="P238" s="1"/>
    </row>
    <row r="239">
      <c r="A239" s="1"/>
      <c r="B239" s="6" t="s">
        <v>144</v>
      </c>
      <c r="C239" s="21"/>
      <c r="D239" s="21">
        <f>IF(AND(ISNUMBER(D238),ISNUMBER(C238)),IF(C238&lt;=0,"n.m.",IFERROR(D238/C238-1,"n.a.")),"n.a.")</f>
        <v>-0.04477611940298509</v>
      </c>
      <c r="E239" s="21">
        <f>IF(AND(ISNUMBER(E238),ISNUMBER(D238)),IF(D238&lt;=0,"n.m.",IFERROR(E238/D238-1,"n.a.")),"n.a.")</f>
        <v>0.2578125</v>
      </c>
      <c r="F239" s="21">
        <f>IF(AND(ISNUMBER(F238),ISNUMBER(E238)),IF(E238&lt;=0,"n.m.",IFERROR(F238/E238-1,"n.a.")),"n.a.")</f>
        <v>-0.08074534161490687</v>
      </c>
      <c r="G239" s="21"/>
      <c r="H239" s="21">
        <f>IF(AND(ISNUMBER(H238),ISNUMBER(F238)),IF(F238&lt;=0,"n.m.",IFERROR(H238/F238-1,"n.a.")),"n.a.")</f>
        <v>-0.20270270270270274</v>
      </c>
      <c r="I239" s="21">
        <f>IF(AND(ISNUMBER(I238),ISNUMBER(H238)),IF(H238&lt;=0,"n.m.",IFERROR(I238/H238-1,"n.a.")),"n.a.")</f>
        <v>0.22033898305084754</v>
      </c>
      <c r="J239" s="28">
        <v>-0.0764</v>
      </c>
      <c r="K239" s="1"/>
      <c r="L239" s="1"/>
      <c r="M239" s="1"/>
      <c r="N239" s="1"/>
      <c r="O239" s="1"/>
      <c r="P239" s="1"/>
    </row>
    <row r="240">
      <c r="A240" s="1"/>
      <c r="B240" s="6" t="s">
        <v>143</v>
      </c>
      <c r="C240" s="21"/>
      <c r="D240" s="21"/>
      <c r="E240" s="21"/>
      <c r="F240" s="21"/>
      <c r="G240" s="21"/>
      <c r="H240" s="21">
        <f>IF(AND(ISNUMBER(H238),ISNUMBER(C238)),IF(C238&lt;=0,"n.m.",IFERROR(H238/C238-1,"n.a.")),"n.a.")</f>
        <v>-0.11940298507462688</v>
      </c>
      <c r="I240" s="21">
        <f>IF(AND(ISNUMBER(I238),ISNUMBER(D238)),IF(D238&lt;=0,"n.m.",IFERROR(I238/D238-1,"n.a.")),"n.a.")</f>
        <v>0.125</v>
      </c>
      <c r="J240" s="29">
        <f>IF(AND(ISNUMBER(J238),ISNUMBER(E238)),IF(E238&lt;=0,"n.m.",IFERROR(J238/E238-1,"n.a.")),"n.a.")</f>
        <v>-0.17392298136645956</v>
      </c>
      <c r="K240" s="1"/>
      <c r="L240" s="1"/>
      <c r="M240" s="1"/>
      <c r="N240" s="1"/>
      <c r="O240" s="1"/>
      <c r="P240" s="1"/>
    </row>
    <row r="241" ht="41.25">
      <c r="A241" s="1"/>
      <c r="B241" s="6" t="s">
        <v>145</v>
      </c>
      <c r="C241" s="21"/>
      <c r="D241" s="21"/>
      <c r="E241" s="21"/>
      <c r="F241" s="21"/>
      <c r="G241" s="21"/>
      <c r="H241" s="67" t="s">
        <v>129</v>
      </c>
      <c r="I241" s="67" t="s">
        <v>129</v>
      </c>
      <c r="J241" s="28" t="s">
        <v>129</v>
      </c>
      <c r="K241" s="134" t="s">
        <v>146</v>
      </c>
      <c r="L241" s="1"/>
      <c r="M241" s="1"/>
      <c r="N241" s="1"/>
      <c r="O241" s="1"/>
      <c r="P241" s="1"/>
    </row>
    <row r="242" ht="28.5">
      <c r="A242" s="1"/>
      <c r="B242" s="6" t="s">
        <v>147</v>
      </c>
      <c r="C242" s="21"/>
      <c r="D242" s="21"/>
      <c r="E242" s="21"/>
      <c r="F242" s="21"/>
      <c r="G242" s="21"/>
      <c r="H242" s="67" t="s">
        <v>129</v>
      </c>
      <c r="I242" s="67" t="s">
        <v>129</v>
      </c>
      <c r="J242" s="28" t="s">
        <v>129</v>
      </c>
      <c r="K242" s="134" t="s">
        <v>148</v>
      </c>
      <c r="L242" s="1"/>
      <c r="M242" s="1"/>
      <c r="N242" s="1"/>
      <c r="O242" s="1"/>
      <c r="P242" s="1"/>
    </row>
    <row r="243">
      <c r="A243" s="1"/>
      <c r="B243" s="6" t="s">
        <v>149</v>
      </c>
      <c r="C243" s="21"/>
      <c r="D243" s="21"/>
      <c r="E243" s="21"/>
      <c r="F243" s="21"/>
      <c r="G243" s="21"/>
      <c r="H243" s="21" t="str">
        <f>IF(AND(ISNUMBER(H240),ISNUMBER(H241),ISNUMBER(H242)),(1+H240)/((1+H241)*(1+H242))-1,"n.a.")</f>
        <v>n.a.</v>
      </c>
      <c r="I243" s="21" t="str">
        <f>IF(AND(ISNUMBER(I240),ISNUMBER(I241),ISNUMBER(I242)),(1+I240)/((1+I241)*(1+I242))-1,"n.a.")</f>
        <v>n.a.</v>
      </c>
      <c r="J243" s="29" t="str">
        <f>IF(AND(ISNUMBER(J240),ISNUMBER(J241),ISNUMBER(J242)),(1+J240)/((1+J241)*(1+J242))-1,"n.a.")</f>
        <v>n.a.</v>
      </c>
      <c r="K243" s="1"/>
      <c r="L243" s="1"/>
      <c r="M243" s="1"/>
      <c r="N243" s="1"/>
      <c r="O243" s="1"/>
      <c r="P243" s="1"/>
    </row>
    <row r="244">
      <c r="A244" s="1"/>
      <c r="B244" s="7" t="s">
        <v>243</v>
      </c>
      <c r="C244" s="22">
        <f>C214+C220+C226+C232+C238</f>
        <v>1839</v>
      </c>
      <c r="D244" s="22">
        <f>D214+D220+D226+D232+D238</f>
        <v>1894</v>
      </c>
      <c r="E244" s="22">
        <f>E214+E220+E226+E232+E238</f>
        <v>2069</v>
      </c>
      <c r="F244" s="22">
        <f>F214+F220+F226+F232+F238</f>
        <v>2123</v>
      </c>
      <c r="G244" s="22">
        <f>G214+G220+G226+G232+G238</f>
        <v>7925</v>
      </c>
      <c r="H244" s="22">
        <f>H214+H220+H226+H232+H238</f>
        <v>2079</v>
      </c>
      <c r="I244" s="22">
        <f>I214+I220+I226+I232+I238</f>
        <v>2279</v>
      </c>
      <c r="J244" s="23">
        <f>J214+J220+J226+J232+J238</f>
        <v>2200.079</v>
      </c>
      <c r="K244" s="1"/>
      <c r="L244" s="1"/>
      <c r="M244" s="1"/>
      <c r="N244" s="1"/>
      <c r="O244" s="1"/>
      <c r="P244" s="1"/>
    </row>
    <row r="245">
      <c r="A245" s="1"/>
      <c r="B245" s="6" t="s">
        <v>143</v>
      </c>
      <c r="C245" s="21"/>
      <c r="D245" s="21"/>
      <c r="E245" s="21"/>
      <c r="F245" s="21"/>
      <c r="G245" s="21"/>
      <c r="H245" s="21">
        <f>IF(AND(ISNUMBER(H244),ISNUMBER(C244)),IF(C244&lt;=0,"n.m.",IFERROR(H244/C244-1,"n.a.")),"n.a.")</f>
        <v>0.13050570962479613</v>
      </c>
      <c r="I245" s="21">
        <f>IF(AND(ISNUMBER(I244),ISNUMBER(D244)),IF(D244&lt;=0,"n.m.",IFERROR(I244/D244-1,"n.a.")),"n.a.")</f>
        <v>0.20327349524815208</v>
      </c>
      <c r="J245" s="29">
        <f>IF(AND(ISNUMBER(J244),ISNUMBER(E244)),IF(E244&lt;=0,"n.m.",IFERROR(J244/E244-1,"n.a.")),"n.a.")</f>
        <v>0.06335379410343167</v>
      </c>
      <c r="K245" s="1"/>
      <c r="L245" s="1"/>
      <c r="M245" s="1"/>
      <c r="N245" s="1"/>
      <c r="O245" s="1"/>
      <c r="P245" s="1"/>
    </row>
    <row r="246">
      <c r="A246" s="1"/>
      <c r="B246" s="6" t="s">
        <v>144</v>
      </c>
      <c r="C246" s="21"/>
      <c r="D246" s="21">
        <f>IF(AND(ISNUMBER(D244),ISNUMBER(C244)),IF(C244&lt;=0,"n.m.",IFERROR(D244/C244-1,"n.a.")),"n.a.")</f>
        <v>0.029907558455682492</v>
      </c>
      <c r="E246" s="21">
        <f>IF(AND(ISNUMBER(E244),ISNUMBER(D244)),IF(D244&lt;=0,"n.m.",IFERROR(E244/D244-1,"n.a.")),"n.a.")</f>
        <v>0.09239704329461462</v>
      </c>
      <c r="F246" s="21">
        <f>IF(AND(ISNUMBER(F244),ISNUMBER(E244)),IF(E244&lt;=0,"n.m.",IFERROR(F244/E244-1,"n.a.")),"n.a.")</f>
        <v>0.02609956500724997</v>
      </c>
      <c r="G246" s="21"/>
      <c r="H246" s="21">
        <f>IF(AND(ISNUMBER(H244),ISNUMBER(F244)),IF(F244&lt;=0,"n.m.",IFERROR(H244/F244-1,"n.a.")),"n.a.")</f>
        <v>-0.020725388601036232</v>
      </c>
      <c r="I246" s="21">
        <f>IF(AND(ISNUMBER(I244),ISNUMBER(H244)),IF(H244&lt;=0,"n.m.",IFERROR(I244/H244-1,"n.a.")),"n.a.")</f>
        <v>0.09620009620009617</v>
      </c>
      <c r="J246" s="29">
        <f>IF(AND(ISNUMBER(J244),ISNUMBER(I244)),IF(I244&lt;=0,"n.m.",IFERROR(J244/I244-1,"n.a.")),"n.a.")</f>
        <v>-0.03462966213251417</v>
      </c>
      <c r="K246" s="1"/>
      <c r="L246" s="1"/>
      <c r="M246" s="1"/>
      <c r="N246" s="1"/>
      <c r="O246" s="1"/>
      <c r="P246" s="1"/>
    </row>
    <row r="247">
      <c r="A247" s="1"/>
      <c r="B247" s="6" t="s">
        <v>151</v>
      </c>
      <c r="C247" s="21">
        <f>IFERROR(C244/C10,"")</f>
        <v>0.33730741012472487</v>
      </c>
      <c r="D247" s="21">
        <f>IFERROR(D244/D10,"")</f>
        <v>0.3345698639816287</v>
      </c>
      <c r="E247" s="21">
        <f>IFERROR(E244/E10,"")</f>
        <v>0.34978867286559595</v>
      </c>
      <c r="F247" s="21">
        <f>IFERROR(F244/F10,"")</f>
        <v>0.3496952726074782</v>
      </c>
      <c r="G247" s="21">
        <f>IFERROR(G244/G10,"")</f>
        <v>0.3430884453872462</v>
      </c>
      <c r="H247" s="21">
        <f>IFERROR(H244/H10,"")</f>
        <v>0.3372262773722628</v>
      </c>
      <c r="I247" s="21">
        <f>IFERROR(I244/I10,"")</f>
        <v>0.3314909090909091</v>
      </c>
      <c r="J247" s="29">
        <f>IFERROR(J244/J10,"")</f>
        <v>0.3325841120489652</v>
      </c>
      <c r="K247" s="1"/>
      <c r="L247" s="1"/>
      <c r="M247" s="1"/>
      <c r="N247" s="1"/>
      <c r="O247" s="1"/>
      <c r="P247" s="1"/>
    </row>
    <row r="248" ht="41.25">
      <c r="A248" s="1"/>
      <c r="B248" s="6" t="s">
        <v>145</v>
      </c>
      <c r="C248" s="21"/>
      <c r="D248" s="21"/>
      <c r="E248" s="21"/>
      <c r="F248" s="21"/>
      <c r="G248" s="21"/>
      <c r="H248" s="67" t="s">
        <v>129</v>
      </c>
      <c r="I248" s="67" t="s">
        <v>129</v>
      </c>
      <c r="J248" s="28" t="s">
        <v>129</v>
      </c>
      <c r="K248" s="134" t="s">
        <v>146</v>
      </c>
      <c r="L248" s="1"/>
      <c r="M248" s="1"/>
      <c r="N248" s="1"/>
      <c r="O248" s="1"/>
      <c r="P248" s="1"/>
    </row>
    <row r="249" ht="28.5">
      <c r="A249" s="1"/>
      <c r="B249" s="6" t="s">
        <v>147</v>
      </c>
      <c r="C249" s="21"/>
      <c r="D249" s="21"/>
      <c r="E249" s="21"/>
      <c r="F249" s="21"/>
      <c r="G249" s="21"/>
      <c r="H249" s="67" t="s">
        <v>129</v>
      </c>
      <c r="I249" s="67" t="s">
        <v>129</v>
      </c>
      <c r="J249" s="28" t="s">
        <v>129</v>
      </c>
      <c r="K249" s="134" t="s">
        <v>148</v>
      </c>
      <c r="L249" s="1"/>
      <c r="M249" s="1"/>
      <c r="N249" s="1"/>
      <c r="O249" s="1"/>
      <c r="P249" s="1"/>
    </row>
    <row r="250">
      <c r="A250" s="1"/>
      <c r="B250" s="6" t="s">
        <v>149</v>
      </c>
      <c r="C250" s="21"/>
      <c r="D250" s="21"/>
      <c r="E250" s="21"/>
      <c r="F250" s="21"/>
      <c r="G250" s="21"/>
      <c r="H250" s="21" t="str">
        <f>IF(AND(ISNUMBER(H245),ISNUMBER(H248),ISNUMBER(H249)),(1+H245)/((1+H248)*(1+H249))-1,"n.a.")</f>
        <v>n.a.</v>
      </c>
      <c r="I250" s="21" t="str">
        <f>IF(AND(ISNUMBER(I245),ISNUMBER(I248),ISNUMBER(I249)),(1+I245)/((1+I248)*(1+I249))-1,"n.a.")</f>
        <v>n.a.</v>
      </c>
      <c r="J250" s="29" t="str">
        <f>IF(AND(ISNUMBER(J245),ISNUMBER(J248),ISNUMBER(J249)),(1+J245)/((1+J248)*(1+J249))-1,"n.a.")</f>
        <v>n.a.</v>
      </c>
      <c r="K250" s="1"/>
      <c r="L250" s="1"/>
      <c r="M250" s="1"/>
      <c r="N250" s="1"/>
      <c r="O250" s="1"/>
      <c r="P250" s="1"/>
    </row>
    <row r="251">
      <c r="A251" s="1"/>
      <c r="B251" s="1" t="s">
        <v>244</v>
      </c>
      <c r="C251" s="14"/>
      <c r="D251" s="14"/>
      <c r="E251" s="14"/>
      <c r="F251" s="14"/>
      <c r="G251" s="14"/>
      <c r="H251" s="14"/>
      <c r="I251" s="14"/>
      <c r="J251" s="35">
        <f>Guidance!J47</f>
        <v>2159.3525</v>
      </c>
      <c r="K251" s="1"/>
      <c r="L251" s="1"/>
      <c r="M251" s="1"/>
      <c r="N251" s="1"/>
      <c r="O251" s="1"/>
      <c r="P251" s="1"/>
    </row>
    <row r="252" ht="79.5">
      <c r="A252" s="1"/>
      <c r="B252" s="1" t="s">
        <v>232</v>
      </c>
      <c r="C252" s="14"/>
      <c r="D252" s="14"/>
      <c r="E252" s="14"/>
      <c r="F252" s="14"/>
      <c r="G252" s="14"/>
      <c r="H252" s="14"/>
      <c r="I252" s="14"/>
      <c r="J252" s="10">
        <f>J244-J251</f>
        <v>40.726500000000215</v>
      </c>
      <c r="K252" s="123" t="s">
        <v>245</v>
      </c>
      <c r="L252" s="1"/>
      <c r="M252" s="1"/>
      <c r="N252" s="1"/>
      <c r="O252" s="1"/>
      <c r="P252" s="1"/>
    </row>
    <row r="253">
      <c r="A253" s="1"/>
      <c r="B253" s="1" t="s">
        <v>246</v>
      </c>
      <c r="C253" s="12">
        <f>'Income Statement'!C26</f>
        <v>0</v>
      </c>
      <c r="D253" s="12">
        <f>'Income Statement'!D26</f>
        <v>0</v>
      </c>
      <c r="E253" s="12">
        <f>'Income Statement'!E26</f>
        <v>0</v>
      </c>
      <c r="F253" s="12">
        <f>'Income Statement'!F26</f>
        <v>0</v>
      </c>
      <c r="G253" s="12">
        <f>'Income Statement'!G26</f>
        <v>0</v>
      </c>
      <c r="H253" s="12">
        <f>'Income Statement'!H26</f>
        <v>0</v>
      </c>
      <c r="I253" s="12">
        <f>'Income Statement'!I26</f>
        <v>448</v>
      </c>
      <c r="J253" s="27">
        <v>0</v>
      </c>
      <c r="K253" s="1"/>
      <c r="L253" s="1"/>
      <c r="M253" s="1"/>
      <c r="N253" s="1"/>
      <c r="O253" s="1"/>
      <c r="P253" s="1"/>
    </row>
    <row r="254">
      <c r="A254" s="1"/>
      <c r="B254" s="6" t="s">
        <v>143</v>
      </c>
      <c r="C254" s="21"/>
      <c r="D254" s="21"/>
      <c r="E254" s="21"/>
      <c r="F254" s="21"/>
      <c r="G254" s="21"/>
      <c r="H254" s="21" t="str">
        <f>IF(AND(ISNUMBER(H253),ISNUMBER(C253)),IF(C253&lt;=0,"n.m.",IFERROR(H253/C253-1,"n.a.")),"n.a.")</f>
        <v>n.m.</v>
      </c>
      <c r="I254" s="21" t="str">
        <f>IF(AND(ISNUMBER(I253),ISNUMBER(D253)),IF(D253&lt;=0,"n.m.",IFERROR(I253/D253-1,"n.a.")),"n.a.")</f>
        <v>n.m.</v>
      </c>
      <c r="J254" s="29" t="str">
        <f>IF(AND(ISNUMBER(J253),ISNUMBER(E253)),IF(E253&lt;=0,"n.m.",IFERROR(J253/E253-1,"n.a.")),"n.a.")</f>
        <v>n.m.</v>
      </c>
      <c r="K254" s="1"/>
      <c r="L254" s="1"/>
      <c r="M254" s="1"/>
      <c r="N254" s="1"/>
      <c r="O254" s="1"/>
      <c r="P254" s="1"/>
    </row>
    <row r="255">
      <c r="A255" s="1"/>
      <c r="B255" s="6" t="s">
        <v>144</v>
      </c>
      <c r="C255" s="21"/>
      <c r="D255" s="21" t="str">
        <f>IF(AND(ISNUMBER(D253),ISNUMBER(C253)),IF(C253&lt;=0,"n.m.",IFERROR(D253/C253-1,"n.a.")),"n.a.")</f>
        <v>n.m.</v>
      </c>
      <c r="E255" s="21" t="str">
        <f>IF(AND(ISNUMBER(E253),ISNUMBER(D253)),IF(D253&lt;=0,"n.m.",IFERROR(E253/D253-1,"n.a.")),"n.a.")</f>
        <v>n.m.</v>
      </c>
      <c r="F255" s="21" t="str">
        <f>IF(AND(ISNUMBER(F253),ISNUMBER(E253)),IF(E253&lt;=0,"n.m.",IFERROR(F253/E253-1,"n.a.")),"n.a.")</f>
        <v>n.m.</v>
      </c>
      <c r="G255" s="21"/>
      <c r="H255" s="21" t="str">
        <f>IF(AND(ISNUMBER(H253),ISNUMBER(F253)),IF(F253&lt;=0,"n.m.",IFERROR(H253/F253-1,"n.a.")),"n.a.")</f>
        <v>n.m.</v>
      </c>
      <c r="I255" s="21" t="str">
        <f>IF(AND(ISNUMBER(I253),ISNUMBER(H253)),IF(H253&lt;=0,"n.m.",IFERROR(I253/H253-1,"n.a.")),"n.a.")</f>
        <v>n.m.</v>
      </c>
      <c r="J255" s="29">
        <f>IF(AND(ISNUMBER(J253),ISNUMBER(I253)),IF(I253&lt;=0,"n.m.",IFERROR(J253/I253-1,"n.a.")),"n.a.")</f>
        <v>-1</v>
      </c>
      <c r="K255" s="1"/>
      <c r="L255" s="1"/>
      <c r="M255" s="1"/>
      <c r="N255" s="1"/>
      <c r="O255" s="1"/>
      <c r="P255" s="1"/>
    </row>
    <row r="256" ht="41.25">
      <c r="A256" s="1"/>
      <c r="B256" s="6" t="s">
        <v>145</v>
      </c>
      <c r="C256" s="21"/>
      <c r="D256" s="21"/>
      <c r="E256" s="21"/>
      <c r="F256" s="21"/>
      <c r="G256" s="21"/>
      <c r="H256" s="67" t="s">
        <v>129</v>
      </c>
      <c r="I256" s="67" t="s">
        <v>129</v>
      </c>
      <c r="J256" s="28" t="s">
        <v>129</v>
      </c>
      <c r="K256" s="134" t="s">
        <v>146</v>
      </c>
      <c r="L256" s="1"/>
      <c r="M256" s="1"/>
      <c r="N256" s="1"/>
      <c r="O256" s="1"/>
      <c r="P256" s="1"/>
    </row>
    <row r="257" ht="28.5">
      <c r="A257" s="1"/>
      <c r="B257" s="6" t="s">
        <v>147</v>
      </c>
      <c r="C257" s="21"/>
      <c r="D257" s="21"/>
      <c r="E257" s="21"/>
      <c r="F257" s="21"/>
      <c r="G257" s="21"/>
      <c r="H257" s="67" t="s">
        <v>129</v>
      </c>
      <c r="I257" s="67" t="s">
        <v>129</v>
      </c>
      <c r="J257" s="28" t="s">
        <v>129</v>
      </c>
      <c r="K257" s="134" t="s">
        <v>148</v>
      </c>
      <c r="L257" s="1"/>
      <c r="M257" s="1"/>
      <c r="N257" s="1"/>
      <c r="O257" s="1"/>
      <c r="P257" s="1"/>
    </row>
    <row r="258">
      <c r="A258" s="1"/>
      <c r="B258" s="6" t="s">
        <v>149</v>
      </c>
      <c r="C258" s="21"/>
      <c r="D258" s="21"/>
      <c r="E258" s="21"/>
      <c r="F258" s="21"/>
      <c r="G258" s="21"/>
      <c r="H258" s="21" t="str">
        <f>IF(AND(ISNUMBER(H254),ISNUMBER(H256),ISNUMBER(H257)),(1+H254)/((1+H256)*(1+H257))-1,"n.a.")</f>
        <v>n.a.</v>
      </c>
      <c r="I258" s="21" t="str">
        <f>IF(AND(ISNUMBER(I254),ISNUMBER(I256),ISNUMBER(I257)),(1+I254)/((1+I256)*(1+I257))-1,"n.a.")</f>
        <v>n.a.</v>
      </c>
      <c r="J258" s="29" t="str">
        <f>IF(AND(ISNUMBER(J254),ISNUMBER(J256),ISNUMBER(J257)),(1+J254)/((1+J256)*(1+J257))-1,"n.a.")</f>
        <v>n.a.</v>
      </c>
      <c r="K258" s="1"/>
      <c r="L258" s="1"/>
      <c r="M258" s="1"/>
      <c r="N258" s="1"/>
      <c r="O258" s="1"/>
      <c r="P258" s="1"/>
    </row>
    <row r="259">
      <c r="A259" s="1"/>
      <c r="B259" s="1" t="s">
        <v>247</v>
      </c>
      <c r="C259" s="12">
        <f>'Income Statement'!C27</f>
        <v>-2</v>
      </c>
      <c r="D259" s="12">
        <f>'Income Statement'!D27</f>
        <v>0</v>
      </c>
      <c r="E259" s="12">
        <f>'Income Statement'!E27</f>
        <v>0</v>
      </c>
      <c r="F259" s="12">
        <f>'Income Statement'!F27</f>
        <v>-7</v>
      </c>
      <c r="G259" s="12">
        <f>'Income Statement'!G27</f>
        <v>-9</v>
      </c>
      <c r="H259" s="12">
        <f>'Income Statement'!H27</f>
        <v>28</v>
      </c>
      <c r="I259" s="12">
        <f>'Income Statement'!I27</f>
        <v>-139</v>
      </c>
      <c r="J259" s="27">
        <v>0</v>
      </c>
      <c r="K259" s="1"/>
      <c r="L259" s="1"/>
      <c r="M259" s="1"/>
      <c r="N259" s="1"/>
      <c r="O259" s="1"/>
      <c r="P259" s="1"/>
    </row>
    <row r="260">
      <c r="A260" s="1"/>
      <c r="B260" s="6" t="s">
        <v>143</v>
      </c>
      <c r="C260" s="21"/>
      <c r="D260" s="21"/>
      <c r="E260" s="21"/>
      <c r="F260" s="21"/>
      <c r="G260" s="21"/>
      <c r="H260" s="21" t="str">
        <f>IF(AND(ISNUMBER(H259),ISNUMBER(C259)),IF(OR(C259&lt;=0,H259&lt;0),"n.m.",IFERROR(H259/C259-1,"n.a.")),"n.a.")</f>
        <v>n.m.</v>
      </c>
      <c r="I260" s="21" t="str">
        <f>IF(AND(ISNUMBER(I259),ISNUMBER(D259)),IF(OR(D259&lt;=0,I259&lt;0),"n.m.",IFERROR(I259/D259-1,"n.a.")),"n.a.")</f>
        <v>n.m.</v>
      </c>
      <c r="J260" s="29" t="str">
        <f>IF(AND(ISNUMBER(J259),ISNUMBER(E259)),IF(OR(E259&lt;=0,J259&lt;0),"n.m.",IFERROR(J259/E259-1,"n.a.")),"n.a.")</f>
        <v>n.m.</v>
      </c>
      <c r="K260" s="1"/>
      <c r="L260" s="1"/>
      <c r="M260" s="1"/>
      <c r="N260" s="1"/>
      <c r="O260" s="1"/>
      <c r="P260" s="1"/>
    </row>
    <row r="261" ht="28.5">
      <c r="A261" s="1"/>
      <c r="B261" s="6" t="s">
        <v>144</v>
      </c>
      <c r="C261" s="21"/>
      <c r="D261" s="21" t="str">
        <f>IF(AND(ISNUMBER(D259),ISNUMBER(C259)),IF(OR(C259&lt;=0,D259&lt;0),"n.m.",IFERROR(D259/C259-1,"n.a.")),"n.a.")</f>
        <v>n.m.</v>
      </c>
      <c r="E261" s="21" t="str">
        <f>IF(AND(ISNUMBER(E259),ISNUMBER(D259)),IF(OR(D259&lt;=0,E259&lt;0),"n.m.",IFERROR(E259/D259-1,"n.a.")),"n.a.")</f>
        <v>n.m.</v>
      </c>
      <c r="F261" s="21" t="str">
        <f>IF(AND(ISNUMBER(F259),ISNUMBER(E259)),IF(OR(E259&lt;=0,F259&lt;0),"n.m.",IFERROR(F259/E259-1,"n.a.")),"n.a.")</f>
        <v>n.m.</v>
      </c>
      <c r="G261" s="21"/>
      <c r="H261" s="21" t="str">
        <f>IF(AND(ISNUMBER(H259),ISNUMBER(F259)),IF(OR(F259&lt;=0,H259&lt;0),"n.m.",IFERROR(H259/F259-1,"n.a.")),"n.a.")</f>
        <v>n.m.</v>
      </c>
      <c r="I261" s="21" t="str">
        <f>IF(AND(ISNUMBER(I259),ISNUMBER(H259)),IF(OR(H259&lt;=0,I259&lt;0),"n.m.",IFERROR(I259/H259-1,"n.a.")),"n.a.")</f>
        <v>n.m.</v>
      </c>
      <c r="J261" s="29" t="str">
        <f>IF(AND(ISNUMBER(J259),ISNUMBER(I259)),IF(OR(I259&lt;=0,J259&lt;0),"n.m.",IFERROR(J259/I259-1,"n.a.")),"n.a.")</f>
        <v>n.m.</v>
      </c>
      <c r="K261" s="134" t="s">
        <v>248</v>
      </c>
      <c r="L261" s="1"/>
      <c r="M261" s="1"/>
      <c r="N261" s="1"/>
      <c r="O261" s="1"/>
      <c r="P261" s="1"/>
    </row>
    <row r="262" ht="41.25">
      <c r="A262" s="1"/>
      <c r="B262" s="6" t="s">
        <v>145</v>
      </c>
      <c r="C262" s="21"/>
      <c r="D262" s="21"/>
      <c r="E262" s="21"/>
      <c r="F262" s="21"/>
      <c r="G262" s="21"/>
      <c r="H262" s="67" t="s">
        <v>129</v>
      </c>
      <c r="I262" s="67" t="s">
        <v>129</v>
      </c>
      <c r="J262" s="28" t="s">
        <v>129</v>
      </c>
      <c r="K262" s="134" t="s">
        <v>146</v>
      </c>
      <c r="L262" s="1"/>
      <c r="M262" s="1"/>
      <c r="N262" s="1"/>
      <c r="O262" s="1"/>
      <c r="P262" s="1"/>
    </row>
    <row r="263" ht="28.5">
      <c r="A263" s="1"/>
      <c r="B263" s="6" t="s">
        <v>147</v>
      </c>
      <c r="C263" s="21"/>
      <c r="D263" s="21"/>
      <c r="E263" s="21"/>
      <c r="F263" s="21"/>
      <c r="G263" s="21"/>
      <c r="H263" s="67" t="s">
        <v>129</v>
      </c>
      <c r="I263" s="67" t="s">
        <v>129</v>
      </c>
      <c r="J263" s="28" t="s">
        <v>129</v>
      </c>
      <c r="K263" s="134" t="s">
        <v>148</v>
      </c>
      <c r="L263" s="1"/>
      <c r="M263" s="1"/>
      <c r="N263" s="1"/>
      <c r="O263" s="1"/>
      <c r="P263" s="1"/>
    </row>
    <row r="264">
      <c r="A264" s="1"/>
      <c r="B264" s="6" t="s">
        <v>149</v>
      </c>
      <c r="C264" s="21"/>
      <c r="D264" s="21"/>
      <c r="E264" s="21"/>
      <c r="F264" s="21"/>
      <c r="G264" s="21"/>
      <c r="H264" s="21" t="str">
        <f>IF(AND(ISNUMBER(H260),ISNUMBER(H262),ISNUMBER(H263)),(1+H260)/((1+H262)*(1+H263))-1,"n.a.")</f>
        <v>n.a.</v>
      </c>
      <c r="I264" s="21" t="str">
        <f>IF(AND(ISNUMBER(I260),ISNUMBER(I262),ISNUMBER(I263)),(1+I260)/((1+I262)*(1+I263))-1,"n.a.")</f>
        <v>n.a.</v>
      </c>
      <c r="J264" s="29" t="str">
        <f>IF(AND(ISNUMBER(J260),ISNUMBER(J262),ISNUMBER(J263)),(1+J260)/((1+J262)*(1+J263))-1,"n.a.")</f>
        <v>n.a.</v>
      </c>
      <c r="K264" s="1"/>
      <c r="L264" s="1"/>
      <c r="M264" s="1"/>
      <c r="N264" s="1"/>
      <c r="O264" s="1"/>
      <c r="P264" s="1"/>
    </row>
    <row r="265" ht="92.25">
      <c r="A265" s="1"/>
      <c r="B265" s="1" t="s">
        <v>249</v>
      </c>
      <c r="C265" s="12">
        <f>'Income Statement'!C28</f>
        <v>139</v>
      </c>
      <c r="D265" s="12">
        <f>'Income Statement'!D28</f>
        <v>212</v>
      </c>
      <c r="E265" s="12">
        <f>'Income Statement'!E28</f>
        <v>198</v>
      </c>
      <c r="F265" s="12">
        <f>'Income Statement'!F28</f>
        <v>224</v>
      </c>
      <c r="G265" s="12">
        <f>'Income Statement'!G28</f>
        <v>773</v>
      </c>
      <c r="H265" s="12">
        <f>'Income Statement'!H28</f>
        <v>97</v>
      </c>
      <c r="I265" s="12">
        <f>'Income Statement'!I28</f>
        <v>180</v>
      </c>
      <c r="J265" s="27">
        <v>170</v>
      </c>
      <c r="K265" s="134" t="s">
        <v>250</v>
      </c>
      <c r="L265" s="1"/>
      <c r="M265" s="1"/>
      <c r="N265" s="1"/>
      <c r="O265" s="1"/>
      <c r="P265" s="1"/>
    </row>
    <row r="266">
      <c r="A266" s="1"/>
      <c r="B266" s="6" t="s">
        <v>143</v>
      </c>
      <c r="C266" s="21"/>
      <c r="D266" s="21"/>
      <c r="E266" s="21"/>
      <c r="F266" s="21"/>
      <c r="G266" s="21"/>
      <c r="H266" s="21">
        <f>IF(AND(ISNUMBER(H265),ISNUMBER(C265)),IF(C265&lt;=0,"n.m.",IFERROR(H265/C265-1,"n.a.")),"n.a.")</f>
        <v>-0.302158273381295</v>
      </c>
      <c r="I266" s="21">
        <f>IF(AND(ISNUMBER(I265),ISNUMBER(D265)),IF(D265&lt;=0,"n.m.",IFERROR(I265/D265-1,"n.a.")),"n.a.")</f>
        <v>-0.15094339622641506</v>
      </c>
      <c r="J266" s="29">
        <f>IF(AND(ISNUMBER(J265),ISNUMBER(E265)),IF(E265&lt;=0,"n.m.",IFERROR(J265/E265-1,"n.a.")),"n.a.")</f>
        <v>-0.14141414141414144</v>
      </c>
      <c r="K266" s="1"/>
      <c r="L266" s="1"/>
      <c r="M266" s="1"/>
      <c r="N266" s="1"/>
      <c r="O266" s="1"/>
      <c r="P266" s="1"/>
    </row>
    <row r="267">
      <c r="A267" s="1"/>
      <c r="B267" s="6" t="s">
        <v>144</v>
      </c>
      <c r="C267" s="21"/>
      <c r="D267" s="21">
        <f>IF(AND(ISNUMBER(D265),ISNUMBER(C265)),IF(C265&lt;=0,"n.m.",IFERROR(D265/C265-1,"n.a.")),"n.a.")</f>
        <v>0.525179856115108</v>
      </c>
      <c r="E267" s="21">
        <f>IF(AND(ISNUMBER(E265),ISNUMBER(D265)),IF(D265&lt;=0,"n.m.",IFERROR(E265/D265-1,"n.a.")),"n.a.")</f>
        <v>-0.06603773584905659</v>
      </c>
      <c r="F267" s="21">
        <f>IF(AND(ISNUMBER(F265),ISNUMBER(E265)),IF(E265&lt;=0,"n.m.",IFERROR(F265/E265-1,"n.a.")),"n.a.")</f>
        <v>0.13131313131313127</v>
      </c>
      <c r="G267" s="21"/>
      <c r="H267" s="21">
        <f>IF(AND(ISNUMBER(H265),ISNUMBER(F265)),IF(F265&lt;=0,"n.m.",IFERROR(H265/F265-1,"n.a.")),"n.a.")</f>
        <v>-0.5669642857142857</v>
      </c>
      <c r="I267" s="21">
        <f>IF(AND(ISNUMBER(I265),ISNUMBER(H265)),IF(H265&lt;=0,"n.m.",IFERROR(I265/H265-1,"n.a.")),"n.a.")</f>
        <v>0.8556701030927836</v>
      </c>
      <c r="J267" s="29">
        <f>IF(AND(ISNUMBER(J265),ISNUMBER(I265)),IF(I265&lt;=0,"n.m.",IFERROR(J265/I265-1,"n.a.")),"n.a.")</f>
        <v>-0.05555555555555558</v>
      </c>
      <c r="K267" s="1"/>
      <c r="L267" s="1"/>
      <c r="M267" s="1"/>
      <c r="N267" s="1"/>
      <c r="O267" s="1"/>
      <c r="P267" s="1"/>
    </row>
    <row r="268" ht="41.25">
      <c r="A268" s="1"/>
      <c r="B268" s="6" t="s">
        <v>145</v>
      </c>
      <c r="C268" s="21"/>
      <c r="D268" s="21"/>
      <c r="E268" s="21"/>
      <c r="F268" s="21"/>
      <c r="G268" s="21"/>
      <c r="H268" s="67" t="s">
        <v>129</v>
      </c>
      <c r="I268" s="67" t="s">
        <v>129</v>
      </c>
      <c r="J268" s="28" t="s">
        <v>129</v>
      </c>
      <c r="K268" s="134" t="s">
        <v>146</v>
      </c>
      <c r="L268" s="1"/>
      <c r="M268" s="1"/>
      <c r="N268" s="1"/>
      <c r="O268" s="1"/>
      <c r="P268" s="1"/>
    </row>
    <row r="269" ht="28.5">
      <c r="A269" s="1"/>
      <c r="B269" s="6" t="s">
        <v>147</v>
      </c>
      <c r="C269" s="21"/>
      <c r="D269" s="21"/>
      <c r="E269" s="21"/>
      <c r="F269" s="21"/>
      <c r="G269" s="21"/>
      <c r="H269" s="67" t="s">
        <v>129</v>
      </c>
      <c r="I269" s="67" t="s">
        <v>129</v>
      </c>
      <c r="J269" s="28" t="s">
        <v>129</v>
      </c>
      <c r="K269" s="134" t="s">
        <v>148</v>
      </c>
      <c r="L269" s="1"/>
      <c r="M269" s="1"/>
      <c r="N269" s="1"/>
      <c r="O269" s="1"/>
      <c r="P269" s="1"/>
    </row>
    <row r="270">
      <c r="A270" s="1"/>
      <c r="B270" s="6" t="s">
        <v>149</v>
      </c>
      <c r="C270" s="21"/>
      <c r="D270" s="21"/>
      <c r="E270" s="21"/>
      <c r="F270" s="21"/>
      <c r="G270" s="21"/>
      <c r="H270" s="21" t="str">
        <f>IF(AND(ISNUMBER(H266),ISNUMBER(H268),ISNUMBER(H269)),(1+H266)/((1+H268)*(1+H269))-1,"n.a.")</f>
        <v>n.a.</v>
      </c>
      <c r="I270" s="21" t="str">
        <f>IF(AND(ISNUMBER(I266),ISNUMBER(I268),ISNUMBER(I269)),(1+I266)/((1+I268)*(1+I269))-1,"n.a.")</f>
        <v>n.a.</v>
      </c>
      <c r="J270" s="29" t="str">
        <f>IF(AND(ISNUMBER(J266),ISNUMBER(J268),ISNUMBER(J269)),(1+J266)/((1+J268)*(1+J269))-1,"n.a.")</f>
        <v>n.a.</v>
      </c>
      <c r="K270" s="1"/>
      <c r="L270" s="1"/>
      <c r="M270" s="1"/>
      <c r="N270" s="1"/>
      <c r="O270" s="1"/>
      <c r="P270" s="1"/>
    </row>
    <row r="271">
      <c r="A271" s="1"/>
      <c r="B271" s="7" t="s">
        <v>251</v>
      </c>
      <c r="C271" s="22">
        <f>C253+C259+C265</f>
        <v>137</v>
      </c>
      <c r="D271" s="22">
        <f>D253+D259+D265</f>
        <v>212</v>
      </c>
      <c r="E271" s="22">
        <f>E253+E259+E265</f>
        <v>198</v>
      </c>
      <c r="F271" s="22">
        <f>F253+F259+F265</f>
        <v>217</v>
      </c>
      <c r="G271" s="22">
        <f>G253+G259+G265</f>
        <v>764</v>
      </c>
      <c r="H271" s="22">
        <f>H253+H259+H265</f>
        <v>125</v>
      </c>
      <c r="I271" s="22">
        <f>I253+I259+I265</f>
        <v>489</v>
      </c>
      <c r="J271" s="23">
        <f>J253+J259+J265</f>
        <v>170</v>
      </c>
      <c r="K271" s="1"/>
      <c r="L271" s="1"/>
      <c r="M271" s="1"/>
      <c r="N271" s="1"/>
      <c r="O271" s="1"/>
      <c r="P271" s="1"/>
    </row>
    <row r="272">
      <c r="A272" s="1"/>
      <c r="B272" s="6" t="s">
        <v>143</v>
      </c>
      <c r="C272" s="21"/>
      <c r="D272" s="21"/>
      <c r="E272" s="21"/>
      <c r="F272" s="21"/>
      <c r="G272" s="21"/>
      <c r="H272" s="21">
        <f>IF(AND(ISNUMBER(H271),ISNUMBER(C271)),IF(C271&lt;=0,"n.m.",IFERROR(H271/C271-1,"n.a.")),"n.a.")</f>
        <v>-0.08759124087591241</v>
      </c>
      <c r="I272" s="21">
        <f>IF(AND(ISNUMBER(I271),ISNUMBER(D271)),IF(D271&lt;=0,"n.m.",IFERROR(I271/D271-1,"n.a.")),"n.a.")</f>
        <v>1.3066037735849059</v>
      </c>
      <c r="J272" s="29">
        <f>IF(AND(ISNUMBER(J271),ISNUMBER(E271)),IF(E271&lt;=0,"n.m.",IFERROR(J271/E271-1,"n.a.")),"n.a.")</f>
        <v>-0.14141414141414144</v>
      </c>
      <c r="K272" s="1"/>
      <c r="L272" s="1"/>
      <c r="M272" s="1"/>
      <c r="N272" s="1"/>
      <c r="O272" s="1"/>
      <c r="P272" s="1"/>
    </row>
    <row r="273">
      <c r="A273" s="1"/>
      <c r="B273" s="6" t="s">
        <v>144</v>
      </c>
      <c r="C273" s="21"/>
      <c r="D273" s="21">
        <f>IF(AND(ISNUMBER(D271),ISNUMBER(C271)),IF(C271&lt;=0,"n.m.",IFERROR(D271/C271-1,"n.a.")),"n.a.")</f>
        <v>0.5474452554744527</v>
      </c>
      <c r="E273" s="21">
        <f>IF(AND(ISNUMBER(E271),ISNUMBER(D271)),IF(D271&lt;=0,"n.m.",IFERROR(E271/D271-1,"n.a.")),"n.a.")</f>
        <v>-0.06603773584905659</v>
      </c>
      <c r="F273" s="21">
        <f>IF(AND(ISNUMBER(F271),ISNUMBER(E271)),IF(E271&lt;=0,"n.m.",IFERROR(F271/E271-1,"n.a.")),"n.a.")</f>
        <v>0.09595959595959602</v>
      </c>
      <c r="G273" s="21"/>
      <c r="H273" s="21">
        <f>IF(AND(ISNUMBER(H271),ISNUMBER(F271)),IF(F271&lt;=0,"n.m.",IFERROR(H271/F271-1,"n.a.")),"n.a.")</f>
        <v>-0.42396313364055305</v>
      </c>
      <c r="I273" s="21">
        <f>IF(AND(ISNUMBER(I271),ISNUMBER(H271)),IF(H271&lt;=0,"n.m.",IFERROR(I271/H271-1,"n.a.")),"n.a.")</f>
        <v>2.912</v>
      </c>
      <c r="J273" s="29">
        <f>IF(AND(ISNUMBER(J271),ISNUMBER(I271)),IF(I271&lt;=0,"n.m.",IFERROR(J271/I271-1,"n.a.")),"n.a.")</f>
        <v>-0.6523517382413089</v>
      </c>
      <c r="K273" s="1"/>
      <c r="L273" s="1"/>
      <c r="M273" s="1"/>
      <c r="N273" s="1"/>
      <c r="O273" s="1"/>
      <c r="P273" s="1"/>
    </row>
    <row r="274" ht="41.25">
      <c r="A274" s="1"/>
      <c r="B274" s="6" t="s">
        <v>145</v>
      </c>
      <c r="C274" s="21"/>
      <c r="D274" s="21"/>
      <c r="E274" s="21"/>
      <c r="F274" s="21"/>
      <c r="G274" s="21"/>
      <c r="H274" s="67" t="s">
        <v>129</v>
      </c>
      <c r="I274" s="67" t="s">
        <v>129</v>
      </c>
      <c r="J274" s="28" t="s">
        <v>129</v>
      </c>
      <c r="K274" s="134" t="s">
        <v>146</v>
      </c>
      <c r="L274" s="1"/>
      <c r="M274" s="1"/>
      <c r="N274" s="1"/>
      <c r="O274" s="1"/>
      <c r="P274" s="1"/>
    </row>
    <row r="275" ht="28.5">
      <c r="A275" s="1"/>
      <c r="B275" s="6" t="s">
        <v>147</v>
      </c>
      <c r="C275" s="21"/>
      <c r="D275" s="21"/>
      <c r="E275" s="21"/>
      <c r="F275" s="21"/>
      <c r="G275" s="21"/>
      <c r="H275" s="67" t="s">
        <v>129</v>
      </c>
      <c r="I275" s="67" t="s">
        <v>129</v>
      </c>
      <c r="J275" s="28" t="s">
        <v>129</v>
      </c>
      <c r="K275" s="134" t="s">
        <v>148</v>
      </c>
      <c r="L275" s="1"/>
      <c r="M275" s="1"/>
      <c r="N275" s="1"/>
      <c r="O275" s="1"/>
      <c r="P275" s="1"/>
    </row>
    <row r="276">
      <c r="A276" s="1"/>
      <c r="B276" s="6" t="s">
        <v>149</v>
      </c>
      <c r="C276" s="21"/>
      <c r="D276" s="21"/>
      <c r="E276" s="21"/>
      <c r="F276" s="21"/>
      <c r="G276" s="21"/>
      <c r="H276" s="21" t="str">
        <f>IF(AND(ISNUMBER(H272),ISNUMBER(H274),ISNUMBER(H275)),(1+H272)/((1+H274)*(1+H275))-1,"n.a.")</f>
        <v>n.a.</v>
      </c>
      <c r="I276" s="21" t="str">
        <f>IF(AND(ISNUMBER(I272),ISNUMBER(I274),ISNUMBER(I275)),(1+I272)/((1+I274)*(1+I275))-1,"n.a.")</f>
        <v>n.a.</v>
      </c>
      <c r="J276" s="29" t="str">
        <f>IF(AND(ISNUMBER(J272),ISNUMBER(J274),ISNUMBER(J275)),(1+J272)/((1+J274)*(1+J275))-1,"n.a.")</f>
        <v>n.a.</v>
      </c>
      <c r="K276" s="1"/>
      <c r="L276" s="1"/>
      <c r="M276" s="1"/>
      <c r="N276" s="1"/>
      <c r="O276" s="1"/>
      <c r="P276" s="1"/>
    </row>
    <row r="277" ht="28.5">
      <c r="A277" s="1"/>
      <c r="B277" s="1" t="s">
        <v>252</v>
      </c>
      <c r="C277" s="18">
        <v>-40</v>
      </c>
      <c r="D277" s="18">
        <v>2</v>
      </c>
      <c r="E277" s="18">
        <v>-35</v>
      </c>
      <c r="F277" s="18">
        <v>-41</v>
      </c>
      <c r="G277" s="14">
        <f>SUM(C277:F277)</f>
        <v>-114</v>
      </c>
      <c r="H277" s="18">
        <v>-32</v>
      </c>
      <c r="I277" s="18">
        <v>-85</v>
      </c>
      <c r="J277" s="27">
        <v>-45</v>
      </c>
      <c r="K277" s="134" t="s">
        <v>253</v>
      </c>
      <c r="L277" s="1"/>
      <c r="M277" s="1"/>
      <c r="N277" s="1"/>
      <c r="O277" s="1"/>
      <c r="P277" s="1"/>
    </row>
    <row r="278">
      <c r="A278" s="1"/>
      <c r="B278" s="7" t="s">
        <v>254</v>
      </c>
      <c r="C278" s="22">
        <f>C244+C271</f>
        <v>1976</v>
      </c>
      <c r="D278" s="22">
        <f>D244+D271</f>
        <v>2106</v>
      </c>
      <c r="E278" s="22">
        <f>E244+E271</f>
        <v>2267</v>
      </c>
      <c r="F278" s="22">
        <f>F244+F271</f>
        <v>2340</v>
      </c>
      <c r="G278" s="22">
        <f>G244+G271</f>
        <v>8689</v>
      </c>
      <c r="H278" s="22">
        <f>H244+H271</f>
        <v>2204</v>
      </c>
      <c r="I278" s="22">
        <f>I244+I271</f>
        <v>2768</v>
      </c>
      <c r="J278" s="23">
        <f>J244+J271</f>
        <v>2370.079</v>
      </c>
      <c r="K278" s="1"/>
      <c r="L278" s="1"/>
      <c r="M278" s="1"/>
      <c r="N278" s="1"/>
      <c r="O278" s="1"/>
      <c r="P278" s="1"/>
    </row>
    <row r="279">
      <c r="A279" s="1"/>
      <c r="B279" s="6" t="s">
        <v>143</v>
      </c>
      <c r="C279" s="21"/>
      <c r="D279" s="21"/>
      <c r="E279" s="21"/>
      <c r="F279" s="21"/>
      <c r="G279" s="21"/>
      <c r="H279" s="21">
        <f>IF(AND(ISNUMBER(H278),ISNUMBER(C278)),IF(C278&lt;=0,"n.m.",IFERROR(H278/C278-1,"n.a.")),"n.a.")</f>
        <v>0.11538461538461542</v>
      </c>
      <c r="I279" s="21">
        <f>IF(AND(ISNUMBER(I278),ISNUMBER(D278)),IF(D278&lt;=0,"n.m.",IFERROR(I278/D278-1,"n.a.")),"n.a.")</f>
        <v>0.3143399810066476</v>
      </c>
      <c r="J279" s="29">
        <f>IF(AND(ISNUMBER(J278),ISNUMBER(E278)),IF(E278&lt;=0,"n.m.",IFERROR(J278/E278-1,"n.a.")),"n.a.")</f>
        <v>0.04546934274371428</v>
      </c>
      <c r="K279" s="1"/>
      <c r="L279" s="1"/>
      <c r="M279" s="1"/>
      <c r="N279" s="1"/>
      <c r="O279" s="1"/>
      <c r="P279" s="1"/>
    </row>
    <row r="280">
      <c r="A280" s="1"/>
      <c r="B280" s="6" t="s">
        <v>144</v>
      </c>
      <c r="C280" s="21"/>
      <c r="D280" s="21">
        <f>IF(AND(ISNUMBER(D278),ISNUMBER(C278)),IF(C278&lt;=0,"n.m.",IFERROR(D278/C278-1,"n.a.")),"n.a.")</f>
        <v>0.06578947368421062</v>
      </c>
      <c r="E280" s="21">
        <f>IF(AND(ISNUMBER(E278),ISNUMBER(D278)),IF(D278&lt;=0,"n.m.",IFERROR(E278/D278-1,"n.a.")),"n.a.")</f>
        <v>0.07644824311490983</v>
      </c>
      <c r="F280" s="21">
        <f>IF(AND(ISNUMBER(F278),ISNUMBER(E278)),IF(E278&lt;=0,"n.m.",IFERROR(F278/E278-1,"n.a.")),"n.a.")</f>
        <v>0.03220114689016329</v>
      </c>
      <c r="G280" s="21"/>
      <c r="H280" s="21">
        <f>IF(AND(ISNUMBER(H278),ISNUMBER(F278)),IF(F278&lt;=0,"n.m.",IFERROR(H278/F278-1,"n.a.")),"n.a.")</f>
        <v>-0.058119658119658135</v>
      </c>
      <c r="I280" s="21">
        <f>IF(AND(ISNUMBER(I278),ISNUMBER(H278)),IF(H278&lt;=0,"n.m.",IFERROR(I278/H278-1,"n.a.")),"n.a.")</f>
        <v>0.2558983666061705</v>
      </c>
      <c r="J280" s="29">
        <f>IF(AND(ISNUMBER(J278),ISNUMBER(I278)),IF(I278&lt;=0,"n.m.",IFERROR(J278/I278-1,"n.a.")),"n.a.")</f>
        <v>-0.14375758670520222</v>
      </c>
      <c r="K280" s="1"/>
      <c r="L280" s="1"/>
      <c r="M280" s="1"/>
      <c r="N280" s="1"/>
      <c r="O280" s="1"/>
      <c r="P280" s="1"/>
    </row>
    <row r="281">
      <c r="A281" s="1"/>
      <c r="B281" s="6" t="s">
        <v>151</v>
      </c>
      <c r="C281" s="21">
        <f>IFERROR(C278/C10,"")</f>
        <v>0.36243580337490827</v>
      </c>
      <c r="D281" s="21">
        <f>IFERROR(D278/D10,"")</f>
        <v>0.37201907790143085</v>
      </c>
      <c r="E281" s="21">
        <f>IFERROR(E278/E10,"")</f>
        <v>0.38326289095519867</v>
      </c>
      <c r="F281" s="21">
        <f>IFERROR(F278/F10,"")</f>
        <v>0.3854389721627409</v>
      </c>
      <c r="G281" s="21">
        <f>IFERROR(G278/G10,"")</f>
        <v>0.3761634702800987</v>
      </c>
      <c r="H281" s="21">
        <f>IFERROR(H278/H10,"")</f>
        <v>0.35750202757502025</v>
      </c>
      <c r="I281" s="21">
        <f>IFERROR(I278/I10,"")</f>
        <v>0.4026181818181818</v>
      </c>
      <c r="J281" s="29">
        <f>IFERROR(J278/J10,"")</f>
        <v>0.35828287061550945</v>
      </c>
      <c r="K281" s="1"/>
      <c r="L281" s="1"/>
      <c r="M281" s="1"/>
      <c r="N281" s="1"/>
      <c r="O281" s="1"/>
      <c r="P281" s="1"/>
    </row>
    <row r="282" ht="41.25">
      <c r="A282" s="1"/>
      <c r="B282" s="6" t="s">
        <v>145</v>
      </c>
      <c r="C282" s="21"/>
      <c r="D282" s="21"/>
      <c r="E282" s="21"/>
      <c r="F282" s="21"/>
      <c r="G282" s="21"/>
      <c r="H282" s="67" t="s">
        <v>129</v>
      </c>
      <c r="I282" s="67" t="s">
        <v>129</v>
      </c>
      <c r="J282" s="28" t="s">
        <v>129</v>
      </c>
      <c r="K282" s="134" t="s">
        <v>146</v>
      </c>
      <c r="L282" s="1"/>
      <c r="M282" s="1"/>
      <c r="N282" s="1"/>
      <c r="O282" s="1"/>
      <c r="P282" s="1"/>
    </row>
    <row r="283" ht="28.5">
      <c r="A283" s="1"/>
      <c r="B283" s="6" t="s">
        <v>147</v>
      </c>
      <c r="C283" s="21"/>
      <c r="D283" s="21"/>
      <c r="E283" s="21"/>
      <c r="F283" s="21"/>
      <c r="G283" s="21"/>
      <c r="H283" s="67" t="s">
        <v>129</v>
      </c>
      <c r="I283" s="67" t="s">
        <v>129</v>
      </c>
      <c r="J283" s="28" t="s">
        <v>129</v>
      </c>
      <c r="K283" s="134" t="s">
        <v>148</v>
      </c>
      <c r="L283" s="1"/>
      <c r="M283" s="1"/>
      <c r="N283" s="1"/>
      <c r="O283" s="1"/>
      <c r="P283" s="1"/>
    </row>
    <row r="284">
      <c r="A284" s="1"/>
      <c r="B284" s="6" t="s">
        <v>149</v>
      </c>
      <c r="C284" s="21"/>
      <c r="D284" s="21"/>
      <c r="E284" s="21"/>
      <c r="F284" s="21"/>
      <c r="G284" s="21"/>
      <c r="H284" s="21" t="str">
        <f>IF(AND(ISNUMBER(H279),ISNUMBER(H282),ISNUMBER(H283)),(1+H279)/((1+H282)*(1+H283))-1,"n.a.")</f>
        <v>n.a.</v>
      </c>
      <c r="I284" s="21" t="str">
        <f>IF(AND(ISNUMBER(I279),ISNUMBER(I282),ISNUMBER(I283)),(1+I279)/((1+I282)*(1+I283))-1,"n.a.")</f>
        <v>n.a.</v>
      </c>
      <c r="J284" s="29" t="str">
        <f>IF(AND(ISNUMBER(J279),ISNUMBER(J282),ISNUMBER(J283)),(1+J279)/((1+J282)*(1+J283))-1,"n.a.")</f>
        <v>n.a.</v>
      </c>
      <c r="K284" s="1"/>
      <c r="L284" s="1"/>
      <c r="M284" s="1"/>
      <c r="N284" s="1"/>
      <c r="O284" s="1"/>
      <c r="P284" s="1"/>
    </row>
    <row r="285">
      <c r="A285" s="1"/>
      <c r="B285" s="7" t="s">
        <v>255</v>
      </c>
      <c r="C285" s="22">
        <f>C197+C278</f>
        <v>5452</v>
      </c>
      <c r="D285" s="22">
        <f>D197+D278</f>
        <v>5661</v>
      </c>
      <c r="E285" s="22">
        <f>E197+E278</f>
        <v>5915</v>
      </c>
      <c r="F285" s="22">
        <f>F197+F278</f>
        <v>6071</v>
      </c>
      <c r="G285" s="22">
        <f>G197+G278</f>
        <v>23099</v>
      </c>
      <c r="H285" s="22">
        <f>H197+H278</f>
        <v>6165</v>
      </c>
      <c r="I285" s="22">
        <f>I197+I278</f>
        <v>6875</v>
      </c>
      <c r="J285" s="23">
        <f>J197+J278</f>
        <v>6615.105533592328</v>
      </c>
      <c r="K285" s="1"/>
      <c r="L285" s="1"/>
      <c r="M285" s="1"/>
      <c r="N285" s="1"/>
      <c r="O285" s="1"/>
      <c r="P285" s="1"/>
    </row>
    <row r="286" ht="28.5">
      <c r="A286" s="1"/>
      <c r="B286" s="1" t="s">
        <v>256</v>
      </c>
      <c r="C286" s="14">
        <f>C285-C10</f>
        <v>0</v>
      </c>
      <c r="D286" s="14">
        <f>D285-D10</f>
        <v>0</v>
      </c>
      <c r="E286" s="14">
        <f>E285-E10</f>
        <v>0</v>
      </c>
      <c r="F286" s="14">
        <f>F285-F10</f>
        <v>0</v>
      </c>
      <c r="G286" s="14">
        <f>G285-G10</f>
        <v>0</v>
      </c>
      <c r="H286" s="14">
        <f>H285-H10</f>
        <v>0</v>
      </c>
      <c r="I286" s="14">
        <f>I285-I10</f>
        <v>0</v>
      </c>
      <c r="J286" s="10">
        <f>J285-J10</f>
        <v>0</v>
      </c>
      <c r="K286" s="134" t="s">
        <v>257</v>
      </c>
      <c r="L286" s="1"/>
      <c r="M286" s="1"/>
      <c r="N286" s="1"/>
      <c r="O286" s="1"/>
      <c r="P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P19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258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259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1" t="s">
        <v>260</v>
      </c>
      <c r="C10" s="18">
        <v>35197</v>
      </c>
      <c r="D10" s="18">
        <v>34647</v>
      </c>
      <c r="E10" s="18">
        <v>34043</v>
      </c>
      <c r="F10" s="18">
        <v>33336</v>
      </c>
      <c r="G10" s="14">
        <f>SUMPRODUCT(C10:F10,C$7:F$7)/G$7</f>
        <v>34299.931506849316</v>
      </c>
      <c r="H10" s="18">
        <v>38939</v>
      </c>
      <c r="I10" s="18">
        <v>38348</v>
      </c>
      <c r="J10" s="27">
        <v>38000</v>
      </c>
      <c r="K10" s="1"/>
      <c r="L10" s="1"/>
      <c r="M10" s="1"/>
      <c r="N10" s="1"/>
      <c r="O10" s="1"/>
      <c r="P10" s="1"/>
    </row>
    <row r="11">
      <c r="A11" s="1"/>
      <c r="B11" s="6" t="s">
        <v>143</v>
      </c>
      <c r="C11" s="21"/>
      <c r="D11" s="21"/>
      <c r="E11" s="21"/>
      <c r="F11" s="21"/>
      <c r="G11" s="21"/>
      <c r="H11" s="21">
        <f>IF(AND(ISNUMBER(H10),ISNUMBER(C10)),IF(C10&lt;=0,"n.m.",IFERROR(H10/C10-1,"n.a.")),"n.a.")</f>
        <v>0.10631587919424956</v>
      </c>
      <c r="I11" s="21">
        <f>IF(AND(ISNUMBER(I10),ISNUMBER(D10)),IF(D10&lt;=0,"n.m.",IFERROR(I10/D10-1,"n.a.")),"n.a.")</f>
        <v>0.10682021531445729</v>
      </c>
      <c r="J11" s="29">
        <f>IF(AND(ISNUMBER(J10),ISNUMBER(E10)),IF(E10&lt;=0,"n.m.",IFERROR(J10/E10-1,"n.a.")),"n.a.")</f>
        <v>0.11623534941103908</v>
      </c>
      <c r="K11" s="1"/>
      <c r="L11" s="1"/>
      <c r="M11" s="1"/>
      <c r="N11" s="1"/>
      <c r="O11" s="1"/>
      <c r="P11" s="1"/>
    </row>
    <row r="12">
      <c r="A12" s="1"/>
      <c r="B12" s="1" t="s">
        <v>162</v>
      </c>
      <c r="C12" s="14"/>
      <c r="D12" s="14">
        <f>IF(AND(ISNUMBER(D10),ISNUMBER(C10)),D10-C10,"n.a.")</f>
        <v>-550</v>
      </c>
      <c r="E12" s="14">
        <f>IF(AND(ISNUMBER(E10),ISNUMBER(D10)),E10-D10,"n.a.")</f>
        <v>-604</v>
      </c>
      <c r="F12" s="14">
        <f>IF(AND(ISNUMBER(F10),ISNUMBER(E10)),F10-E10,"n.a.")</f>
        <v>-707</v>
      </c>
      <c r="G12" s="14"/>
      <c r="H12" s="14">
        <f>IF(AND(ISNUMBER(H10),ISNUMBER(F10)),H10-F10,"n.a.")</f>
        <v>5603</v>
      </c>
      <c r="I12" s="14">
        <f>IF(AND(ISNUMBER(I10),ISNUMBER(H10)),I10-H10,"n.a.")</f>
        <v>-591</v>
      </c>
      <c r="J12" s="10">
        <f>IF(AND(ISNUMBER(J10),ISNUMBER(I10)),J10-I10,"n.a.")</f>
        <v>-348</v>
      </c>
      <c r="K12" s="1"/>
      <c r="L12" s="1"/>
      <c r="M12" s="1"/>
      <c r="N12" s="1"/>
      <c r="O12" s="1"/>
      <c r="P12" s="1"/>
    </row>
    <row r="13">
      <c r="A13" s="1"/>
      <c r="B13" s="1" t="s">
        <v>261</v>
      </c>
      <c r="C13" s="18">
        <v>24549</v>
      </c>
      <c r="D13" s="18">
        <v>24551</v>
      </c>
      <c r="E13" s="18">
        <v>24551</v>
      </c>
      <c r="F13" s="18">
        <v>24559</v>
      </c>
      <c r="G13" s="14">
        <f>SUMPRODUCT(C13:F13,C$7:F$7)/G$7</f>
        <v>24552.523287671233</v>
      </c>
      <c r="H13" s="18">
        <v>24913</v>
      </c>
      <c r="I13" s="18">
        <v>24859</v>
      </c>
      <c r="J13" s="27">
        <v>24850</v>
      </c>
      <c r="K13" s="1"/>
      <c r="L13" s="1"/>
      <c r="M13" s="1"/>
      <c r="N13" s="1"/>
      <c r="O13" s="1"/>
      <c r="P13" s="1"/>
    </row>
    <row r="14">
      <c r="A14" s="1"/>
      <c r="B14" s="6" t="s">
        <v>143</v>
      </c>
      <c r="C14" s="21"/>
      <c r="D14" s="21"/>
      <c r="E14" s="21"/>
      <c r="F14" s="21"/>
      <c r="G14" s="21"/>
      <c r="H14" s="21">
        <f>IF(AND(ISNUMBER(H13),ISNUMBER(C13)),IF(C13&lt;=0,"n.m.",IFERROR(H13/C13-1,"n.a.")),"n.a.")</f>
        <v>0.014827487881380108</v>
      </c>
      <c r="I14" s="21">
        <f>IF(AND(ISNUMBER(I13),ISNUMBER(D13)),IF(D13&lt;=0,"n.m.",IFERROR(I13/D13-1,"n.a.")),"n.a.")</f>
        <v>0.012545313836503702</v>
      </c>
      <c r="J14" s="29">
        <f>IF(AND(ISNUMBER(J13),ISNUMBER(E13)),IF(E13&lt;=0,"n.m.",IFERROR(J13/E13-1,"n.a.")),"n.a.")</f>
        <v>0.012178729990631743</v>
      </c>
      <c r="K14" s="1"/>
      <c r="L14" s="1"/>
      <c r="M14" s="1"/>
      <c r="N14" s="1"/>
      <c r="O14" s="1"/>
      <c r="P14" s="1"/>
    </row>
    <row r="15">
      <c r="A15" s="1"/>
      <c r="B15" s="1" t="s">
        <v>162</v>
      </c>
      <c r="C15" s="14"/>
      <c r="D15" s="14">
        <f>IF(AND(ISNUMBER(D13),ISNUMBER(C13)),D13-C13,"n.a.")</f>
        <v>2</v>
      </c>
      <c r="E15" s="14">
        <f>IF(AND(ISNUMBER(E13),ISNUMBER(D13)),E13-D13,"n.a.")</f>
        <v>0</v>
      </c>
      <c r="F15" s="14">
        <f>IF(AND(ISNUMBER(F13),ISNUMBER(E13)),F13-E13,"n.a.")</f>
        <v>8</v>
      </c>
      <c r="G15" s="14"/>
      <c r="H15" s="14">
        <f>IF(AND(ISNUMBER(H13),ISNUMBER(F13)),H13-F13,"n.a.")</f>
        <v>354</v>
      </c>
      <c r="I15" s="14">
        <f>IF(AND(ISNUMBER(I13),ISNUMBER(H13)),I13-H13,"n.a.")</f>
        <v>-54</v>
      </c>
      <c r="J15" s="10">
        <f>IF(AND(ISNUMBER(J13),ISNUMBER(I13)),J13-I13,"n.a.")</f>
        <v>-9</v>
      </c>
      <c r="K15" s="1"/>
      <c r="L15" s="1"/>
      <c r="M15" s="1"/>
      <c r="N15" s="1"/>
      <c r="O15" s="1"/>
      <c r="P15" s="1"/>
    </row>
    <row r="16">
      <c r="A16" s="1"/>
      <c r="B16" s="1" t="s">
        <v>262</v>
      </c>
      <c r="C16" s="18">
        <v>15240</v>
      </c>
      <c r="D16" s="18">
        <v>15738</v>
      </c>
      <c r="E16" s="18">
        <v>16035</v>
      </c>
      <c r="F16" s="18">
        <v>16403</v>
      </c>
      <c r="G16" s="14">
        <f>SUMPRODUCT(C16:F16,C$7:F$7)/G$7</f>
        <v>15857.682191780821</v>
      </c>
      <c r="H16" s="18">
        <v>16499</v>
      </c>
      <c r="I16" s="18">
        <v>16058</v>
      </c>
      <c r="J16" s="27">
        <v>15800</v>
      </c>
      <c r="K16" s="114" t="s">
        <v>263</v>
      </c>
      <c r="L16" s="1"/>
      <c r="M16" s="1"/>
      <c r="N16" s="1"/>
      <c r="O16" s="1"/>
      <c r="P16" s="1"/>
    </row>
    <row r="17">
      <c r="A17" s="1"/>
      <c r="B17" s="6" t="s">
        <v>143</v>
      </c>
      <c r="C17" s="21"/>
      <c r="D17" s="21"/>
      <c r="E17" s="21"/>
      <c r="F17" s="21"/>
      <c r="G17" s="21"/>
      <c r="H17" s="21">
        <f>IF(AND(ISNUMBER(H16),ISNUMBER(C16)),IF(C16&lt;=0,"n.m.",IFERROR(H16/C16-1,"n.a.")),"n.a.")</f>
        <v>0.08261154855643049</v>
      </c>
      <c r="I17" s="21">
        <f>IF(AND(ISNUMBER(I16),ISNUMBER(D16)),IF(D16&lt;=0,"n.m.",IFERROR(I16/D16-1,"n.a.")),"n.a.")</f>
        <v>0.020332952090481582</v>
      </c>
      <c r="J17" s="29">
        <f>IF(AND(ISNUMBER(J16),ISNUMBER(E16)),IF(E16&lt;=0,"n.m.",IFERROR(J16/E16-1,"n.a.")),"n.a.")</f>
        <v>-0.014655441222326204</v>
      </c>
      <c r="K17" s="1"/>
      <c r="L17" s="1"/>
      <c r="M17" s="1"/>
      <c r="N17" s="1"/>
      <c r="O17" s="1"/>
      <c r="P17" s="1"/>
    </row>
    <row r="18">
      <c r="A18" s="1"/>
      <c r="B18" s="1" t="s">
        <v>162</v>
      </c>
      <c r="C18" s="14"/>
      <c r="D18" s="14">
        <f>IF(AND(ISNUMBER(D16),ISNUMBER(C16)),D16-C16,"n.a.")</f>
        <v>498</v>
      </c>
      <c r="E18" s="14">
        <f>IF(AND(ISNUMBER(E16),ISNUMBER(D16)),E16-D16,"n.a.")</f>
        <v>297</v>
      </c>
      <c r="F18" s="14">
        <f>IF(AND(ISNUMBER(F16),ISNUMBER(E16)),F16-E16,"n.a.")</f>
        <v>368</v>
      </c>
      <c r="G18" s="14"/>
      <c r="H18" s="14">
        <f>IF(AND(ISNUMBER(H16),ISNUMBER(F16)),H16-F16,"n.a.")</f>
        <v>96</v>
      </c>
      <c r="I18" s="14">
        <f>IF(AND(ISNUMBER(I16),ISNUMBER(H16)),I16-H16,"n.a.")</f>
        <v>-441</v>
      </c>
      <c r="J18" s="10">
        <f>IF(AND(ISNUMBER(J16),ISNUMBER(I16)),J16-I16,"n.a.")</f>
        <v>-258</v>
      </c>
      <c r="K18" s="1"/>
      <c r="L18" s="1"/>
      <c r="M18" s="1"/>
      <c r="N18" s="1"/>
      <c r="O18" s="1"/>
      <c r="P18" s="1"/>
    </row>
    <row r="19">
      <c r="A19" s="1"/>
      <c r="B19" s="1" t="s">
        <v>264</v>
      </c>
      <c r="C19" s="18">
        <v>6568</v>
      </c>
      <c r="D19" s="18">
        <v>6483</v>
      </c>
      <c r="E19" s="18">
        <v>6561</v>
      </c>
      <c r="F19" s="18">
        <v>6754</v>
      </c>
      <c r="G19" s="14">
        <f>SUMPRODUCT(C19:F19,C$7:F$7)/G$7</f>
        <v>6591.92602739726</v>
      </c>
      <c r="H19" s="18">
        <v>6912</v>
      </c>
      <c r="I19" s="18">
        <v>7128</v>
      </c>
      <c r="J19" s="27">
        <v>7250</v>
      </c>
      <c r="K19" s="114" t="s">
        <v>265</v>
      </c>
      <c r="L19" s="1"/>
      <c r="M19" s="1"/>
      <c r="N19" s="1"/>
      <c r="O19" s="1"/>
      <c r="P19" s="1"/>
    </row>
    <row r="20">
      <c r="A20" s="1"/>
      <c r="B20" s="6" t="s">
        <v>143</v>
      </c>
      <c r="C20" s="21"/>
      <c r="D20" s="21"/>
      <c r="E20" s="21"/>
      <c r="F20" s="21"/>
      <c r="G20" s="21"/>
      <c r="H20" s="21">
        <f>IF(AND(ISNUMBER(H19),ISNUMBER(C19)),IF(C19&lt;=0,"n.m.",IFERROR(H19/C19-1,"n.a.")),"n.a.")</f>
        <v>0.052375152253349544</v>
      </c>
      <c r="I20" s="21">
        <f>IF(AND(ISNUMBER(I19),ISNUMBER(D19)),IF(D19&lt;=0,"n.m.",IFERROR(I19/D19-1,"n.a.")),"n.a.")</f>
        <v>0.09949097639981486</v>
      </c>
      <c r="J20" s="29">
        <f>IF(AND(ISNUMBER(J19),ISNUMBER(E19)),IF(E19&lt;=0,"n.m.",IFERROR(J19/E19-1,"n.a.")),"n.a.")</f>
        <v>0.10501447950007625</v>
      </c>
      <c r="K20" s="1"/>
      <c r="L20" s="1"/>
      <c r="M20" s="1"/>
      <c r="N20" s="1"/>
      <c r="O20" s="1"/>
      <c r="P20" s="1"/>
    </row>
    <row r="21">
      <c r="A21" s="1"/>
      <c r="B21" s="1" t="s">
        <v>162</v>
      </c>
      <c r="C21" s="14"/>
      <c r="D21" s="14">
        <f>IF(AND(ISNUMBER(D19),ISNUMBER(C19)),D19-C19,"n.a.")</f>
        <v>-85</v>
      </c>
      <c r="E21" s="14">
        <f>IF(AND(ISNUMBER(E19),ISNUMBER(D19)),E19-D19,"n.a.")</f>
        <v>78</v>
      </c>
      <c r="F21" s="14">
        <f>IF(AND(ISNUMBER(F19),ISNUMBER(E19)),F19-E19,"n.a.")</f>
        <v>193</v>
      </c>
      <c r="G21" s="14"/>
      <c r="H21" s="14">
        <f>IF(AND(ISNUMBER(H19),ISNUMBER(F19)),H19-F19,"n.a.")</f>
        <v>158</v>
      </c>
      <c r="I21" s="14">
        <f>IF(AND(ISNUMBER(I19),ISNUMBER(H19)),I19-H19,"n.a.")</f>
        <v>216</v>
      </c>
      <c r="J21" s="10">
        <f>IF(AND(ISNUMBER(J19),ISNUMBER(I19)),J19-I19,"n.a.")</f>
        <v>122</v>
      </c>
      <c r="K21" s="1"/>
      <c r="L21" s="1"/>
      <c r="M21" s="1"/>
      <c r="N21" s="1"/>
      <c r="O21" s="1"/>
      <c r="P21" s="1"/>
    </row>
    <row r="22">
      <c r="A22" s="1"/>
      <c r="B22" s="1" t="s">
        <v>266</v>
      </c>
      <c r="C22" s="18">
        <v>3391</v>
      </c>
      <c r="D22" s="18">
        <v>3342</v>
      </c>
      <c r="E22" s="18">
        <v>3334</v>
      </c>
      <c r="F22" s="18">
        <v>3320</v>
      </c>
      <c r="G22" s="14">
        <f>SUMPRODUCT(C22:F22,C$7:F$7)/G$7</f>
        <v>3346.5205479452056</v>
      </c>
      <c r="H22" s="18">
        <v>3257</v>
      </c>
      <c r="I22" s="18">
        <v>3164</v>
      </c>
      <c r="J22" s="27">
        <v>3150</v>
      </c>
      <c r="K22" s="1"/>
      <c r="L22" s="1"/>
      <c r="M22" s="1"/>
      <c r="N22" s="1"/>
      <c r="O22" s="1"/>
      <c r="P22" s="1"/>
    </row>
    <row r="23">
      <c r="A23" s="1"/>
      <c r="B23" s="6" t="s">
        <v>143</v>
      </c>
      <c r="C23" s="21"/>
      <c r="D23" s="21"/>
      <c r="E23" s="21"/>
      <c r="F23" s="21"/>
      <c r="G23" s="21"/>
      <c r="H23" s="21">
        <f>IF(AND(ISNUMBER(H22),ISNUMBER(C22)),IF(C22&lt;=0,"n.m.",IFERROR(H22/C22-1,"n.a.")),"n.a.")</f>
        <v>-0.039516366853435514</v>
      </c>
      <c r="I23" s="21">
        <f>IF(AND(ISNUMBER(I22),ISNUMBER(D22)),IF(D22&lt;=0,"n.m.",IFERROR(I22/D22-1,"n.a.")),"n.a.")</f>
        <v>-0.053261520047875544</v>
      </c>
      <c r="J23" s="29">
        <f>IF(AND(ISNUMBER(J22),ISNUMBER(E22)),IF(E22&lt;=0,"n.m.",IFERROR(J22/E22-1,"n.a.")),"n.a.")</f>
        <v>-0.055188962207558534</v>
      </c>
      <c r="K23" s="1"/>
      <c r="L23" s="1"/>
      <c r="M23" s="1"/>
      <c r="N23" s="1"/>
      <c r="O23" s="1"/>
      <c r="P23" s="1"/>
    </row>
    <row r="24">
      <c r="A24" s="1"/>
      <c r="B24" s="1" t="s">
        <v>162</v>
      </c>
      <c r="C24" s="14"/>
      <c r="D24" s="14">
        <f>IF(AND(ISNUMBER(D22),ISNUMBER(C22)),D22-C22,"n.a.")</f>
        <v>-49</v>
      </c>
      <c r="E24" s="14">
        <f>IF(AND(ISNUMBER(E22),ISNUMBER(D22)),E22-D22,"n.a.")</f>
        <v>-8</v>
      </c>
      <c r="F24" s="14">
        <f>IF(AND(ISNUMBER(F22),ISNUMBER(E22)),F22-E22,"n.a.")</f>
        <v>-14</v>
      </c>
      <c r="G24" s="14"/>
      <c r="H24" s="14">
        <f>IF(AND(ISNUMBER(H22),ISNUMBER(F22)),H22-F22,"n.a.")</f>
        <v>-63</v>
      </c>
      <c r="I24" s="14">
        <f>IF(AND(ISNUMBER(I22),ISNUMBER(H22)),I22-H22,"n.a.")</f>
        <v>-93</v>
      </c>
      <c r="J24" s="10">
        <f>IF(AND(ISNUMBER(J22),ISNUMBER(I22)),J22-I22,"n.a.")</f>
        <v>-14</v>
      </c>
      <c r="K24" s="1"/>
      <c r="L24" s="1"/>
      <c r="M24" s="1"/>
      <c r="N24" s="1"/>
      <c r="O24" s="1"/>
      <c r="P24" s="1"/>
    </row>
    <row r="25">
      <c r="A25" s="1"/>
      <c r="B25" s="7" t="s">
        <v>267</v>
      </c>
      <c r="C25" s="22">
        <f>C10+C13+C16+C19+C22</f>
        <v>84945</v>
      </c>
      <c r="D25" s="22">
        <f>D10+D13+D16+D19+D22</f>
        <v>84761</v>
      </c>
      <c r="E25" s="22">
        <f>E10+E13+E16+E19+E22</f>
        <v>84524</v>
      </c>
      <c r="F25" s="22">
        <f>F10+F13+F16+F19+F22</f>
        <v>84372</v>
      </c>
      <c r="G25" s="22">
        <f>G10+G13+G16+G19+G22</f>
        <v>84648.58356164384</v>
      </c>
      <c r="H25" s="22">
        <f>H10+H13+H16+H19+H22</f>
        <v>90520</v>
      </c>
      <c r="I25" s="22">
        <f>I10+I13+I16+I19+I22</f>
        <v>89557</v>
      </c>
      <c r="J25" s="23">
        <f>J10+J13+J16+J19+J22</f>
        <v>89050</v>
      </c>
      <c r="K25" s="1"/>
      <c r="L25" s="1"/>
      <c r="M25" s="1"/>
      <c r="N25" s="1"/>
      <c r="O25" s="1"/>
      <c r="P25" s="1"/>
    </row>
    <row r="26">
      <c r="A26" s="1"/>
      <c r="B26" s="6" t="s">
        <v>143</v>
      </c>
      <c r="C26" s="21"/>
      <c r="D26" s="21"/>
      <c r="E26" s="21"/>
      <c r="F26" s="21"/>
      <c r="G26" s="21"/>
      <c r="H26" s="21">
        <f>IF(AND(ISNUMBER(H25),ISNUMBER(C25)),IF(C25&lt;=0,"n.m.",IFERROR(H25/C25-1,"n.a.")),"n.a.")</f>
        <v>0.06563070221908296</v>
      </c>
      <c r="I26" s="21">
        <f>IF(AND(ISNUMBER(I25),ISNUMBER(D25)),IF(D25&lt;=0,"n.m.",IFERROR(I25/D25-1,"n.a.")),"n.a.")</f>
        <v>0.05658262644376544</v>
      </c>
      <c r="J26" s="29">
        <f>IF(AND(ISNUMBER(J25),ISNUMBER(E25)),IF(E25&lt;=0,"n.m.",IFERROR(J25/E25-1,"n.a.")),"n.a.")</f>
        <v>0.053546921584401996</v>
      </c>
      <c r="K26" s="1"/>
      <c r="L26" s="1"/>
      <c r="M26" s="1"/>
      <c r="N26" s="1"/>
      <c r="O26" s="1"/>
      <c r="P26" s="1"/>
    </row>
    <row r="27">
      <c r="A27" s="1"/>
      <c r="B27" s="1" t="s">
        <v>162</v>
      </c>
      <c r="C27" s="14"/>
      <c r="D27" s="14">
        <f>IF(AND(ISNUMBER(D25),ISNUMBER(C25)),D25-C25,"n.a.")</f>
        <v>-184</v>
      </c>
      <c r="E27" s="14">
        <f>IF(AND(ISNUMBER(E25),ISNUMBER(D25)),E25-D25,"n.a.")</f>
        <v>-237</v>
      </c>
      <c r="F27" s="14">
        <f>IF(AND(ISNUMBER(F25),ISNUMBER(E25)),F25-E25,"n.a.")</f>
        <v>-152</v>
      </c>
      <c r="G27" s="14"/>
      <c r="H27" s="14">
        <f>IF(AND(ISNUMBER(H25),ISNUMBER(F25)),H25-F25,"n.a.")</f>
        <v>6148</v>
      </c>
      <c r="I27" s="14">
        <f>IF(AND(ISNUMBER(I25),ISNUMBER(H25)),I25-H25,"n.a.")</f>
        <v>-963</v>
      </c>
      <c r="J27" s="10">
        <f>IF(AND(ISNUMBER(J25),ISNUMBER(I25)),J25-I25,"n.a.")</f>
        <v>-507</v>
      </c>
      <c r="K27" s="1"/>
      <c r="L27" s="1"/>
      <c r="M27" s="1"/>
      <c r="N27" s="1"/>
      <c r="O27" s="1"/>
      <c r="P27" s="1"/>
    </row>
    <row r="28">
      <c r="A28" s="1"/>
      <c r="B28" s="1" t="s">
        <v>268</v>
      </c>
      <c r="C28" s="18">
        <v>12841</v>
      </c>
      <c r="D28" s="18">
        <v>12725</v>
      </c>
      <c r="E28" s="18">
        <v>12353</v>
      </c>
      <c r="F28" s="18">
        <v>12603</v>
      </c>
      <c r="G28" s="14">
        <f>SUMPRODUCT(C28:F28,C$7:F$7)/G$7</f>
        <v>12629.087671232877</v>
      </c>
      <c r="H28" s="18">
        <v>20423</v>
      </c>
      <c r="I28" s="18">
        <v>20989</v>
      </c>
      <c r="J28" s="27">
        <v>21100</v>
      </c>
      <c r="K28" s="1"/>
      <c r="L28" s="1"/>
      <c r="M28" s="1"/>
      <c r="N28" s="1"/>
      <c r="O28" s="1"/>
      <c r="P28" s="1"/>
    </row>
    <row r="29">
      <c r="A29" s="1"/>
      <c r="B29" s="6" t="s">
        <v>143</v>
      </c>
      <c r="C29" s="21"/>
      <c r="D29" s="21"/>
      <c r="E29" s="21"/>
      <c r="F29" s="21"/>
      <c r="G29" s="21"/>
      <c r="H29" s="21">
        <f>IF(AND(ISNUMBER(H28),ISNUMBER(C28)),IF(C28&lt;=0,"n.m.",IFERROR(H28/C28-1,"n.a.")),"n.a.")</f>
        <v>0.5904524569737559</v>
      </c>
      <c r="I29" s="21">
        <f>IF(AND(ISNUMBER(I28),ISNUMBER(D28)),IF(D28&lt;=0,"n.m.",IFERROR(I28/D28-1,"n.a.")),"n.a.")</f>
        <v>0.6494302554027505</v>
      </c>
      <c r="J29" s="29">
        <f>IF(AND(ISNUMBER(J28),ISNUMBER(E28)),IF(E28&lt;=0,"n.m.",IFERROR(J28/E28-1,"n.a.")),"n.a.")</f>
        <v>0.7080871043471222</v>
      </c>
      <c r="K29" s="1"/>
      <c r="L29" s="1"/>
      <c r="M29" s="1"/>
      <c r="N29" s="1"/>
      <c r="O29" s="1"/>
      <c r="P29" s="1"/>
    </row>
    <row r="30">
      <c r="A30" s="1"/>
      <c r="B30" s="1" t="s">
        <v>162</v>
      </c>
      <c r="C30" s="14"/>
      <c r="D30" s="14">
        <f>IF(AND(ISNUMBER(D28),ISNUMBER(C28)),D28-C28,"n.a.")</f>
        <v>-116</v>
      </c>
      <c r="E30" s="14">
        <f>IF(AND(ISNUMBER(E28),ISNUMBER(D28)),E28-D28,"n.a.")</f>
        <v>-372</v>
      </c>
      <c r="F30" s="14">
        <f>IF(AND(ISNUMBER(F28),ISNUMBER(E28)),F28-E28,"n.a.")</f>
        <v>250</v>
      </c>
      <c r="G30" s="14"/>
      <c r="H30" s="14">
        <f>IF(AND(ISNUMBER(H28),ISNUMBER(F28)),H28-F28,"n.a.")</f>
        <v>7820</v>
      </c>
      <c r="I30" s="14">
        <f>IF(AND(ISNUMBER(I28),ISNUMBER(H28)),I28-H28,"n.a.")</f>
        <v>566</v>
      </c>
      <c r="J30" s="10">
        <f>IF(AND(ISNUMBER(J28),ISNUMBER(I28)),J28-I28,"n.a.")</f>
        <v>111</v>
      </c>
      <c r="K30" s="1"/>
      <c r="L30" s="1"/>
      <c r="M30" s="1"/>
      <c r="N30" s="1"/>
      <c r="O30" s="1"/>
      <c r="P30" s="1"/>
    </row>
    <row r="31">
      <c r="A31" s="1"/>
      <c r="B31" s="7" t="s">
        <v>269</v>
      </c>
      <c r="C31" s="22">
        <f>C25+C28</f>
        <v>97786</v>
      </c>
      <c r="D31" s="22">
        <f>D25+D28</f>
        <v>97486</v>
      </c>
      <c r="E31" s="22">
        <f>E25+E28</f>
        <v>96877</v>
      </c>
      <c r="F31" s="22">
        <f>F25+F28</f>
        <v>96975</v>
      </c>
      <c r="G31" s="22">
        <f>G25+G28</f>
        <v>97277.67123287672</v>
      </c>
      <c r="H31" s="22">
        <f>H25+H28</f>
        <v>110943</v>
      </c>
      <c r="I31" s="22">
        <f>I25+I28</f>
        <v>110546</v>
      </c>
      <c r="J31" s="23">
        <f>J25+J28</f>
        <v>110150</v>
      </c>
      <c r="K31" s="1"/>
      <c r="L31" s="1"/>
      <c r="M31" s="1"/>
      <c r="N31" s="1"/>
      <c r="O31" s="1"/>
      <c r="P31" s="1"/>
    </row>
    <row r="32">
      <c r="A32" s="1"/>
      <c r="B32" s="6" t="s">
        <v>143</v>
      </c>
      <c r="C32" s="21"/>
      <c r="D32" s="21"/>
      <c r="E32" s="21"/>
      <c r="F32" s="21"/>
      <c r="G32" s="21"/>
      <c r="H32" s="21">
        <f>IF(AND(ISNUMBER(H31),ISNUMBER(C31)),IF(C31&lt;=0,"n.m.",IFERROR(H31/C31-1,"n.a.")),"n.a.")</f>
        <v>0.13454891293232163</v>
      </c>
      <c r="I32" s="21">
        <f>IF(AND(ISNUMBER(I31),ISNUMBER(D31)),IF(D31&lt;=0,"n.m.",IFERROR(I31/D31-1,"n.a.")),"n.a.")</f>
        <v>0.13396795437293552</v>
      </c>
      <c r="J32" s="29">
        <f>IF(AND(ISNUMBER(J31),ISNUMBER(E31)),IF(E31&lt;=0,"n.m.",IFERROR(J31/E31-1,"n.a.")),"n.a.")</f>
        <v>0.13700878433477492</v>
      </c>
      <c r="K32" s="1"/>
      <c r="L32" s="1"/>
      <c r="M32" s="1"/>
      <c r="N32" s="1"/>
      <c r="O32" s="1"/>
      <c r="P32" s="1"/>
    </row>
    <row r="33">
      <c r="A33" s="1"/>
      <c r="B33" s="6" t="s">
        <v>144</v>
      </c>
      <c r="C33" s="21"/>
      <c r="D33" s="21">
        <f>IF(AND(ISNUMBER(D31),ISNUMBER(C31)),IF(C31&lt;=0,"n.m.",IFERROR(D31/C31-1,"n.a.")),"n.a.")</f>
        <v>-0.0030679238336775994</v>
      </c>
      <c r="E33" s="21">
        <f>IF(AND(ISNUMBER(E31),ISNUMBER(D31)),IF(D31&lt;=0,"n.m.",IFERROR(E31/D31-1,"n.a.")),"n.a.")</f>
        <v>-0.006247050858584791</v>
      </c>
      <c r="F33" s="21">
        <f>IF(AND(ISNUMBER(F31),ISNUMBER(E31)),IF(E31&lt;=0,"n.m.",IFERROR(F31/E31-1,"n.a.")),"n.a.")</f>
        <v>0.0010115920187454552</v>
      </c>
      <c r="G33" s="21"/>
      <c r="H33" s="21">
        <f>IF(AND(ISNUMBER(H31),ISNUMBER(F31)),IF(F31&lt;=0,"n.m.",IFERROR(H31/F31-1,"n.a.")),"n.a.")</f>
        <v>0.14403712296983762</v>
      </c>
      <c r="I33" s="21">
        <f>IF(AND(ISNUMBER(I31),ISNUMBER(H31)),IF(H31&lt;=0,"n.m.",IFERROR(I31/H31-1,"n.a.")),"n.a.")</f>
        <v>-0.0035784141405946768</v>
      </c>
      <c r="J33" s="29">
        <f>IF(AND(ISNUMBER(J31),ISNUMBER(I31)),IF(I31&lt;=0,"n.m.",IFERROR(J31/I31-1,"n.a.")),"n.a.")</f>
        <v>-0.003582219166681777</v>
      </c>
      <c r="K33" s="1"/>
      <c r="L33" s="1"/>
      <c r="M33" s="1"/>
      <c r="N33" s="1"/>
      <c r="O33" s="1"/>
      <c r="P33" s="1"/>
    </row>
    <row r="34">
      <c r="A34" s="1"/>
      <c r="B34" s="1" t="s">
        <v>162</v>
      </c>
      <c r="C34" s="14"/>
      <c r="D34" s="14">
        <f>IF(AND(ISNUMBER(D31),ISNUMBER(C31)),D31-C31,"n.a.")</f>
        <v>-300</v>
      </c>
      <c r="E34" s="14">
        <f>IF(AND(ISNUMBER(E31),ISNUMBER(D31)),E31-D31,"n.a.")</f>
        <v>-609</v>
      </c>
      <c r="F34" s="14">
        <f>IF(AND(ISNUMBER(F31),ISNUMBER(E31)),F31-E31,"n.a.")</f>
        <v>98</v>
      </c>
      <c r="G34" s="14"/>
      <c r="H34" s="14">
        <f>IF(AND(ISNUMBER(H31),ISNUMBER(F31)),H31-F31,"n.a.")</f>
        <v>13968</v>
      </c>
      <c r="I34" s="14">
        <f>IF(AND(ISNUMBER(I31),ISNUMBER(H31)),I31-H31,"n.a.")</f>
        <v>-397</v>
      </c>
      <c r="J34" s="10">
        <f>IF(AND(ISNUMBER(J31),ISNUMBER(I31)),J31-I31,"n.a.")</f>
        <v>-396</v>
      </c>
      <c r="K34" s="1"/>
      <c r="L34" s="1"/>
      <c r="M34" s="1"/>
      <c r="N34" s="1"/>
      <c r="O34" s="1"/>
      <c r="P34" s="1"/>
    </row>
    <row r="35">
      <c r="A35" s="1"/>
      <c r="B35" s="32" t="s">
        <v>270</v>
      </c>
      <c r="C35" s="11"/>
      <c r="D35" s="11"/>
      <c r="E35" s="11"/>
      <c r="F35" s="11"/>
      <c r="G35" s="11"/>
      <c r="H35" s="11"/>
      <c r="I35" s="11"/>
      <c r="J35" s="30"/>
      <c r="K35" s="1"/>
      <c r="L35" s="1"/>
      <c r="M35" s="1"/>
      <c r="N35" s="1"/>
      <c r="O35" s="1"/>
      <c r="P35" s="1"/>
    </row>
    <row r="36">
      <c r="A36" s="1"/>
      <c r="B36" s="1" t="s">
        <v>271</v>
      </c>
      <c r="C36" s="18">
        <v>51307</v>
      </c>
      <c r="D36" s="18">
        <v>52353</v>
      </c>
      <c r="E36" s="18">
        <v>52604</v>
      </c>
      <c r="F36" s="18">
        <v>52125</v>
      </c>
      <c r="G36" s="14">
        <f>SUMPRODUCT(C36:F36,C$7:F$7)/G$7</f>
        <v>52100.879452054796</v>
      </c>
      <c r="H36" s="18">
        <v>58714</v>
      </c>
      <c r="I36" s="18">
        <v>60547</v>
      </c>
      <c r="J36" s="27">
        <v>60800</v>
      </c>
      <c r="K36" s="1"/>
      <c r="L36" s="1"/>
      <c r="M36" s="1"/>
      <c r="N36" s="1"/>
      <c r="O36" s="1"/>
      <c r="P36" s="1"/>
    </row>
    <row r="37">
      <c r="A37" s="1"/>
      <c r="B37" s="6" t="s">
        <v>143</v>
      </c>
      <c r="C37" s="21"/>
      <c r="D37" s="21"/>
      <c r="E37" s="21"/>
      <c r="F37" s="21"/>
      <c r="G37" s="21"/>
      <c r="H37" s="21">
        <f>IF(AND(ISNUMBER(H36),ISNUMBER(C36)),IF(C36&lt;=0,"n.m.",IFERROR(H36/C36-1,"n.a.")),"n.a.")</f>
        <v>0.14436626581168266</v>
      </c>
      <c r="I37" s="21">
        <f>IF(AND(ISNUMBER(I36),ISNUMBER(D36)),IF(D36&lt;=0,"n.m.",IFERROR(I36/D36-1,"n.a.")),"n.a.")</f>
        <v>0.15651443088266204</v>
      </c>
      <c r="J37" s="29">
        <f>IF(AND(ISNUMBER(J36),ISNUMBER(E36)),IF(E36&lt;=0,"n.m.",IFERROR(J36/E36-1,"n.a.")),"n.a.")</f>
        <v>0.15580564215648995</v>
      </c>
      <c r="K37" s="1"/>
      <c r="L37" s="1"/>
      <c r="M37" s="1"/>
      <c r="N37" s="1"/>
      <c r="O37" s="1"/>
      <c r="P37" s="1"/>
    </row>
    <row r="38">
      <c r="A38" s="1"/>
      <c r="B38" s="1" t="s">
        <v>162</v>
      </c>
      <c r="C38" s="14"/>
      <c r="D38" s="14">
        <f>IF(AND(ISNUMBER(D36),ISNUMBER(C36)),D36-C36,"n.a.")</f>
        <v>1046</v>
      </c>
      <c r="E38" s="14">
        <f>IF(AND(ISNUMBER(E36),ISNUMBER(D36)),E36-D36,"n.a.")</f>
        <v>251</v>
      </c>
      <c r="F38" s="14">
        <f>IF(AND(ISNUMBER(F36),ISNUMBER(E36)),F36-E36,"n.a.")</f>
        <v>-479</v>
      </c>
      <c r="G38" s="14"/>
      <c r="H38" s="14">
        <f>IF(AND(ISNUMBER(H36),ISNUMBER(F36)),H36-F36,"n.a.")</f>
        <v>6589</v>
      </c>
      <c r="I38" s="14">
        <f>IF(AND(ISNUMBER(I36),ISNUMBER(H36)),I36-H36,"n.a.")</f>
        <v>1833</v>
      </c>
      <c r="J38" s="10">
        <f>IF(AND(ISNUMBER(J36),ISNUMBER(I36)),J36-I36,"n.a.")</f>
        <v>253</v>
      </c>
      <c r="K38" s="1"/>
      <c r="L38" s="1"/>
      <c r="M38" s="1"/>
      <c r="N38" s="1"/>
      <c r="O38" s="1"/>
      <c r="P38" s="1"/>
    </row>
    <row r="39">
      <c r="A39" s="1"/>
      <c r="B39" s="1" t="s">
        <v>272</v>
      </c>
      <c r="C39" s="18">
        <v>189563</v>
      </c>
      <c r="D39" s="18">
        <v>191190</v>
      </c>
      <c r="E39" s="18">
        <v>190652</v>
      </c>
      <c r="F39" s="18">
        <v>191941</v>
      </c>
      <c r="G39" s="14">
        <f>SUMPRODUCT(C39:F39,C$7:F$7)/G$7</f>
        <v>190842.5095890411</v>
      </c>
      <c r="H39" s="18">
        <v>209519</v>
      </c>
      <c r="I39" s="18">
        <v>211055</v>
      </c>
      <c r="J39" s="27">
        <v>211500</v>
      </c>
      <c r="K39" s="1"/>
      <c r="L39" s="1"/>
      <c r="M39" s="1"/>
      <c r="N39" s="1"/>
      <c r="O39" s="1"/>
      <c r="P39" s="1"/>
    </row>
    <row r="40">
      <c r="A40" s="1"/>
      <c r="B40" s="6" t="s">
        <v>143</v>
      </c>
      <c r="C40" s="21"/>
      <c r="D40" s="21"/>
      <c r="E40" s="21"/>
      <c r="F40" s="21"/>
      <c r="G40" s="21"/>
      <c r="H40" s="21">
        <f>IF(AND(ISNUMBER(H39),ISNUMBER(C39)),IF(C39&lt;=0,"n.m.",IFERROR(H39/C39-1,"n.a.")),"n.a.")</f>
        <v>0.10527370847686512</v>
      </c>
      <c r="I40" s="21">
        <f>IF(AND(ISNUMBER(I39),ISNUMBER(D39)),IF(D39&lt;=0,"n.m.",IFERROR(I39/D39-1,"n.a.")),"n.a.")</f>
        <v>0.10390187771326942</v>
      </c>
      <c r="J40" s="29">
        <f>IF(AND(ISNUMBER(J39),ISNUMBER(E39)),IF(E39&lt;=0,"n.m.",IFERROR(J39/E39-1,"n.a.")),"n.a.")</f>
        <v>0.10935106896334679</v>
      </c>
      <c r="K40" s="1"/>
      <c r="L40" s="1"/>
      <c r="M40" s="1"/>
      <c r="N40" s="1"/>
      <c r="O40" s="1"/>
      <c r="P40" s="1"/>
    </row>
    <row r="41">
      <c r="A41" s="1"/>
      <c r="B41" s="1" t="s">
        <v>162</v>
      </c>
      <c r="C41" s="14"/>
      <c r="D41" s="14">
        <f>IF(AND(ISNUMBER(D39),ISNUMBER(C39)),D39-C39,"n.a.")</f>
        <v>1627</v>
      </c>
      <c r="E41" s="14">
        <f>IF(AND(ISNUMBER(E39),ISNUMBER(D39)),E39-D39,"n.a.")</f>
        <v>-538</v>
      </c>
      <c r="F41" s="14">
        <f>IF(AND(ISNUMBER(F39),ISNUMBER(E39)),F39-E39,"n.a.")</f>
        <v>1289</v>
      </c>
      <c r="G41" s="14"/>
      <c r="H41" s="14">
        <f>IF(AND(ISNUMBER(H39),ISNUMBER(F39)),H39-F39,"n.a.")</f>
        <v>17578</v>
      </c>
      <c r="I41" s="14">
        <f>IF(AND(ISNUMBER(I39),ISNUMBER(H39)),I39-H39,"n.a.")</f>
        <v>1536</v>
      </c>
      <c r="J41" s="10">
        <f>IF(AND(ISNUMBER(J39),ISNUMBER(I39)),J39-I39,"n.a.")</f>
        <v>445</v>
      </c>
      <c r="K41" s="1"/>
      <c r="L41" s="1"/>
      <c r="M41" s="1"/>
      <c r="N41" s="1"/>
      <c r="O41" s="1"/>
      <c r="P41" s="1"/>
    </row>
    <row r="42">
      <c r="A42" s="1"/>
      <c r="B42" s="7" t="s">
        <v>273</v>
      </c>
      <c r="C42" s="22">
        <f>C36+C39</f>
        <v>240870</v>
      </c>
      <c r="D42" s="22">
        <f>D36+D39</f>
        <v>243543</v>
      </c>
      <c r="E42" s="22">
        <f>E36+E39</f>
        <v>243256</v>
      </c>
      <c r="F42" s="22">
        <f>F36+F39</f>
        <v>244066</v>
      </c>
      <c r="G42" s="22">
        <f>G36+G39</f>
        <v>242943.38904109588</v>
      </c>
      <c r="H42" s="22">
        <f>H36+H39</f>
        <v>268233</v>
      </c>
      <c r="I42" s="22">
        <f>I36+I39</f>
        <v>271602</v>
      </c>
      <c r="J42" s="23">
        <f>J36+J39</f>
        <v>272300</v>
      </c>
      <c r="K42" s="1"/>
      <c r="L42" s="1"/>
      <c r="M42" s="1"/>
      <c r="N42" s="1"/>
      <c r="O42" s="1"/>
      <c r="P42" s="1"/>
    </row>
    <row r="43">
      <c r="A43" s="1"/>
      <c r="B43" s="6" t="s">
        <v>143</v>
      </c>
      <c r="C43" s="21"/>
      <c r="D43" s="21"/>
      <c r="E43" s="21"/>
      <c r="F43" s="21"/>
      <c r="G43" s="21"/>
      <c r="H43" s="21">
        <f>IF(AND(ISNUMBER(H42),ISNUMBER(C42)),IF(C42&lt;=0,"n.m.",IFERROR(H42/C42-1,"n.a.")),"n.a.")</f>
        <v>0.11360069747166524</v>
      </c>
      <c r="I43" s="21">
        <f>IF(AND(ISNUMBER(I42),ISNUMBER(D42)),IF(D42&lt;=0,"n.m.",IFERROR(I42/D42-1,"n.a.")),"n.a.")</f>
        <v>0.11521168746381538</v>
      </c>
      <c r="J43" s="29">
        <f>IF(AND(ISNUMBER(J42),ISNUMBER(E42)),IF(E42&lt;=0,"n.m.",IFERROR(J42/E42-1,"n.a.")),"n.a.")</f>
        <v>0.11939684940967532</v>
      </c>
      <c r="K43" s="1"/>
      <c r="L43" s="1"/>
      <c r="M43" s="1"/>
      <c r="N43" s="1"/>
      <c r="O43" s="1"/>
      <c r="P43" s="1"/>
    </row>
    <row r="44">
      <c r="A44" s="1"/>
      <c r="B44" s="6" t="s">
        <v>144</v>
      </c>
      <c r="C44" s="21"/>
      <c r="D44" s="21">
        <f>IF(AND(ISNUMBER(D42),ISNUMBER(C42)),IF(C42&lt;=0,"n.m.",IFERROR(D42/C42-1,"n.a.")),"n.a.")</f>
        <v>0.011097272387595059</v>
      </c>
      <c r="E44" s="21">
        <f>IF(AND(ISNUMBER(E42),ISNUMBER(D42)),IF(D42&lt;=0,"n.m.",IFERROR(E42/D42-1,"n.a.")),"n.a.")</f>
        <v>-0.0011784366621089282</v>
      </c>
      <c r="F44" s="21">
        <f>IF(AND(ISNUMBER(F42),ISNUMBER(E42)),IF(E42&lt;=0,"n.m.",IFERROR(F42/E42-1,"n.a.")),"n.a.")</f>
        <v>0.00332982536915849</v>
      </c>
      <c r="G44" s="21"/>
      <c r="H44" s="21">
        <f>IF(AND(ISNUMBER(H42),ISNUMBER(F42)),IF(F42&lt;=0,"n.m.",IFERROR(H42/F42-1,"n.a.")),"n.a.")</f>
        <v>0.09901829832914055</v>
      </c>
      <c r="I44" s="21">
        <f>IF(AND(ISNUMBER(I42),ISNUMBER(H42)),IF(H42&lt;=0,"n.m.",IFERROR(I42/H42-1,"n.a.")),"n.a.")</f>
        <v>0.012559975841898607</v>
      </c>
      <c r="J44" s="29">
        <f>IF(AND(ISNUMBER(J42),ISNUMBER(I42)),IF(I42&lt;=0,"n.m.",IFERROR(J42/I42-1,"n.a.")),"n.a.")</f>
        <v>0.002569936892953706</v>
      </c>
      <c r="K44" s="1"/>
      <c r="L44" s="1"/>
      <c r="M44" s="1"/>
      <c r="N44" s="1"/>
      <c r="O44" s="1"/>
      <c r="P44" s="1"/>
    </row>
    <row r="45">
      <c r="A45" s="1"/>
      <c r="B45" s="1" t="s">
        <v>162</v>
      </c>
      <c r="C45" s="14"/>
      <c r="D45" s="14">
        <f>IF(AND(ISNUMBER(D42),ISNUMBER(C42)),D42-C42,"n.a.")</f>
        <v>2673</v>
      </c>
      <c r="E45" s="14">
        <f>IF(AND(ISNUMBER(E42),ISNUMBER(D42)),E42-D42,"n.a.")</f>
        <v>-287</v>
      </c>
      <c r="F45" s="14">
        <f>IF(AND(ISNUMBER(F42),ISNUMBER(E42)),F42-E42,"n.a.")</f>
        <v>810</v>
      </c>
      <c r="G45" s="14"/>
      <c r="H45" s="14">
        <f>IF(AND(ISNUMBER(H42),ISNUMBER(F42)),H42-F42,"n.a.")</f>
        <v>24167</v>
      </c>
      <c r="I45" s="14">
        <f>IF(AND(ISNUMBER(I42),ISNUMBER(H42)),I42-H42,"n.a.")</f>
        <v>3369</v>
      </c>
      <c r="J45" s="10">
        <f>IF(AND(ISNUMBER(J42),ISNUMBER(I42)),J42-I42,"n.a.")</f>
        <v>698</v>
      </c>
      <c r="K45" s="1"/>
      <c r="L45" s="1"/>
      <c r="M45" s="1"/>
      <c r="N45" s="1"/>
      <c r="O45" s="1"/>
      <c r="P45" s="1"/>
    </row>
    <row r="46">
      <c r="A46" s="1"/>
      <c r="B46" s="6" t="s">
        <v>274</v>
      </c>
      <c r="C46" s="21">
        <f>C36/C42</f>
        <v>0.21300701623282267</v>
      </c>
      <c r="D46" s="21">
        <f>D36/D42</f>
        <v>0.21496409258323992</v>
      </c>
      <c r="E46" s="21">
        <f>E36/E42</f>
        <v>0.21624954780149308</v>
      </c>
      <c r="F46" s="21">
        <f>F36/F42</f>
        <v>0.21356928044053658</v>
      </c>
      <c r="G46" s="21">
        <f>G36/G42</f>
        <v>0.21445687268008556</v>
      </c>
      <c r="H46" s="21">
        <f>H36/H42</f>
        <v>0.21889178438148924</v>
      </c>
      <c r="I46" s="21">
        <f>I36/I42</f>
        <v>0.22292545710267228</v>
      </c>
      <c r="J46" s="29">
        <f>J36/J42</f>
        <v>0.22328314359162688</v>
      </c>
      <c r="K46" s="1"/>
      <c r="L46" s="1"/>
      <c r="M46" s="1"/>
      <c r="N46" s="1"/>
      <c r="O46" s="1"/>
      <c r="P46" s="1"/>
    </row>
    <row r="47">
      <c r="A47" s="1"/>
      <c r="B47" s="6" t="s">
        <v>186</v>
      </c>
      <c r="C47" s="20"/>
      <c r="D47" s="20">
        <f>IF(AND(ISNUMBER(D46),ISNUMBER(C46)),(D46-C46)*10000,"n.a.")</f>
        <v>19.57076350417253</v>
      </c>
      <c r="E47" s="20">
        <f>IF(AND(ISNUMBER(E46),ISNUMBER(D46)),(E46-D46)*10000,"n.a.")</f>
        <v>12.854552182531565</v>
      </c>
      <c r="F47" s="20">
        <f>IF(AND(ISNUMBER(F46),ISNUMBER(E46)),(F46-E46)*10000,"n.a.")</f>
        <v>-26.80267360956501</v>
      </c>
      <c r="G47" s="20"/>
      <c r="H47" s="20">
        <f>IF(AND(ISNUMBER(H46),ISNUMBER(F46)),(H46-F46)*10000,"n.a.")</f>
        <v>53.22503940952655</v>
      </c>
      <c r="I47" s="20">
        <f>IF(AND(ISNUMBER(I46),ISNUMBER(H46)),(I46-H46)*10000,"n.a.")</f>
        <v>40.33672721183046</v>
      </c>
      <c r="J47" s="48">
        <f>IF(AND(ISNUMBER(J46),ISNUMBER(I46)),(J46-I46)*10000,"n.a.")</f>
        <v>3.57686488954595</v>
      </c>
      <c r="K47" s="1"/>
      <c r="L47" s="1"/>
      <c r="M47" s="1"/>
      <c r="N47" s="1"/>
      <c r="O47" s="1"/>
      <c r="P47" s="1"/>
    </row>
    <row r="48">
      <c r="A48" s="1"/>
      <c r="B48" s="6" t="s">
        <v>187</v>
      </c>
      <c r="C48" s="20"/>
      <c r="D48" s="20"/>
      <c r="E48" s="20"/>
      <c r="F48" s="20"/>
      <c r="G48" s="20"/>
      <c r="H48" s="20">
        <f>IF(AND(ISNUMBER(H46),ISNUMBER(C46)),(H46-C46)*10000,"n.a.")</f>
        <v>58.847681486665635</v>
      </c>
      <c r="I48" s="20">
        <f>IF(AND(ISNUMBER(I46),ISNUMBER(D46)),(I46-D46)*10000,"n.a.")</f>
        <v>79.61364519432357</v>
      </c>
      <c r="J48" s="48">
        <f>IF(AND(ISNUMBER(J46),ISNUMBER(E46)),(J46-E46)*10000,"n.a.")</f>
        <v>70.33595790133795</v>
      </c>
      <c r="K48" s="1"/>
      <c r="L48" s="1"/>
      <c r="M48" s="1"/>
      <c r="N48" s="1"/>
      <c r="O48" s="1"/>
      <c r="P48" s="1"/>
    </row>
    <row r="49">
      <c r="A49" s="1"/>
      <c r="B49" s="7" t="s">
        <v>275</v>
      </c>
      <c r="C49" s="22">
        <f>C31+C42</f>
        <v>338656</v>
      </c>
      <c r="D49" s="22">
        <f>D31+D42</f>
        <v>341029</v>
      </c>
      <c r="E49" s="22">
        <f>E31+E42</f>
        <v>340133</v>
      </c>
      <c r="F49" s="22">
        <f>F31+F42</f>
        <v>341041</v>
      </c>
      <c r="G49" s="22">
        <f>G31+G42</f>
        <v>340221.0602739726</v>
      </c>
      <c r="H49" s="22">
        <f>H31+H42</f>
        <v>379176</v>
      </c>
      <c r="I49" s="22">
        <f>I31+I42</f>
        <v>382148</v>
      </c>
      <c r="J49" s="23">
        <f>J31+J42</f>
        <v>382450</v>
      </c>
      <c r="K49" s="1"/>
      <c r="L49" s="1"/>
      <c r="M49" s="1"/>
      <c r="N49" s="1"/>
      <c r="O49" s="1"/>
      <c r="P49" s="1"/>
    </row>
    <row r="50">
      <c r="A50" s="1"/>
      <c r="B50" s="6" t="s">
        <v>143</v>
      </c>
      <c r="C50" s="21"/>
      <c r="D50" s="21"/>
      <c r="E50" s="21"/>
      <c r="F50" s="21"/>
      <c r="G50" s="21"/>
      <c r="H50" s="21">
        <f>IF(AND(ISNUMBER(H49),ISNUMBER(C49)),IF(C49&lt;=0,"n.m.",IFERROR(H49/C49-1,"n.a.")),"n.a.")</f>
        <v>0.11964943777756787</v>
      </c>
      <c r="I50" s="21">
        <f>IF(AND(ISNUMBER(I49),ISNUMBER(D49)),IF(D49&lt;=0,"n.m.",IFERROR(I49/D49-1,"n.a.")),"n.a.")</f>
        <v>0.1205733236762856</v>
      </c>
      <c r="J50" s="29">
        <f>IF(AND(ISNUMBER(J49),ISNUMBER(E49)),IF(E49&lt;=0,"n.m.",IFERROR(J49/E49-1,"n.a.")),"n.a.")</f>
        <v>0.12441309722961313</v>
      </c>
      <c r="K50" s="1"/>
      <c r="L50" s="1"/>
      <c r="M50" s="1"/>
      <c r="N50" s="1"/>
      <c r="O50" s="1"/>
      <c r="P50" s="1"/>
    </row>
    <row r="51">
      <c r="A51" s="1"/>
      <c r="B51" s="1" t="s">
        <v>162</v>
      </c>
      <c r="C51" s="14"/>
      <c r="D51" s="14">
        <f>IF(AND(ISNUMBER(D49),ISNUMBER(C49)),D49-C49,"n.a.")</f>
        <v>2373</v>
      </c>
      <c r="E51" s="14">
        <f>IF(AND(ISNUMBER(E49),ISNUMBER(D49)),E49-D49,"n.a.")</f>
        <v>-896</v>
      </c>
      <c r="F51" s="14">
        <f>IF(AND(ISNUMBER(F49),ISNUMBER(E49)),F49-E49,"n.a.")</f>
        <v>908</v>
      </c>
      <c r="G51" s="14"/>
      <c r="H51" s="14">
        <f>IF(AND(ISNUMBER(H49),ISNUMBER(F49)),H49-F49,"n.a.")</f>
        <v>38135</v>
      </c>
      <c r="I51" s="14">
        <f>IF(AND(ISNUMBER(I49),ISNUMBER(H49)),I49-H49,"n.a.")</f>
        <v>2972</v>
      </c>
      <c r="J51" s="10">
        <f>IF(AND(ISNUMBER(J49),ISNUMBER(I49)),J49-I49,"n.a.")</f>
        <v>302</v>
      </c>
      <c r="K51" s="1"/>
      <c r="L51" s="1"/>
      <c r="M51" s="1"/>
      <c r="N51" s="1"/>
      <c r="O51" s="1"/>
      <c r="P51" s="1"/>
    </row>
    <row r="52">
      <c r="A52" s="1"/>
      <c r="B52" s="32" t="s">
        <v>227</v>
      </c>
      <c r="C52" s="11"/>
      <c r="D52" s="11"/>
      <c r="E52" s="11"/>
      <c r="F52" s="11"/>
      <c r="G52" s="11"/>
      <c r="H52" s="11"/>
      <c r="I52" s="11"/>
      <c r="J52" s="30"/>
      <c r="K52" s="1"/>
      <c r="L52" s="1"/>
      <c r="M52" s="1"/>
      <c r="N52" s="1"/>
      <c r="O52" s="1"/>
      <c r="P52" s="1"/>
    </row>
    <row r="53" ht="28.5">
      <c r="A53" s="1"/>
      <c r="B53" s="6" t="s">
        <v>276</v>
      </c>
      <c r="C53" s="26">
        <f>C56/C49*365/C$7</f>
        <v>0.034405447153191174</v>
      </c>
      <c r="D53" s="26">
        <f>D56/D49*365/D$7</f>
        <v>0.035401906943623336</v>
      </c>
      <c r="E53" s="26">
        <f>E56/E49*365/E$7</f>
        <v>0.035575917297824285</v>
      </c>
      <c r="F53" s="26">
        <f>F56/F49*365/F$7</f>
        <v>0.035155469640715135</v>
      </c>
      <c r="G53" s="26">
        <f>G56/G49*365/G$7</f>
        <v>0.035138918179764944</v>
      </c>
      <c r="H53" s="26">
        <f>H56/H49*365/H$7</f>
        <v>0.034622004908890155</v>
      </c>
      <c r="I53" s="26">
        <f>I56/I49*365/I$7</f>
        <v>0.03454202255452033</v>
      </c>
      <c r="J53" s="54">
        <f>I53+J54/10000</f>
        <v>0.03469202255452033</v>
      </c>
      <c r="K53" s="134" t="s">
        <v>277</v>
      </c>
      <c r="L53" s="1"/>
      <c r="M53" s="1"/>
      <c r="N53" s="1"/>
      <c r="O53" s="1"/>
      <c r="P53" s="1"/>
    </row>
    <row r="54">
      <c r="A54" s="1"/>
      <c r="B54" s="6" t="s">
        <v>186</v>
      </c>
      <c r="C54" s="20"/>
      <c r="D54" s="20">
        <f>IF(AND(ISNUMBER(D53),ISNUMBER(C53)),(D53-C53)*10000,"n.a.")</f>
        <v>9.964597904321623</v>
      </c>
      <c r="E54" s="20">
        <f>IF(AND(ISNUMBER(E53),ISNUMBER(D53)),(E53-D53)*10000,"n.a.")</f>
        <v>1.7401035420094857</v>
      </c>
      <c r="F54" s="20">
        <f>IF(AND(ISNUMBER(F53),ISNUMBER(E53)),(F53-E53)*10000,"n.a.")</f>
        <v>-4.204476571091492</v>
      </c>
      <c r="G54" s="20"/>
      <c r="H54" s="20">
        <f>IF(AND(ISNUMBER(H53),ISNUMBER(F53)),(H53-F53)*10000,"n.a.")</f>
        <v>-5.334647318249799</v>
      </c>
      <c r="I54" s="20">
        <f>IF(AND(ISNUMBER(I53),ISNUMBER(H53)),(I53-H53)*10000,"n.a.")</f>
        <v>-0.7998235436982443</v>
      </c>
      <c r="J54" s="72">
        <v>1.5</v>
      </c>
      <c r="K54" s="1"/>
      <c r="L54" s="1"/>
      <c r="M54" s="1"/>
      <c r="N54" s="1"/>
      <c r="O54" s="1"/>
      <c r="P54" s="1"/>
    </row>
    <row r="55">
      <c r="A55" s="1"/>
      <c r="B55" s="6" t="s">
        <v>187</v>
      </c>
      <c r="C55" s="20"/>
      <c r="D55" s="20"/>
      <c r="E55" s="20"/>
      <c r="F55" s="20"/>
      <c r="G55" s="20"/>
      <c r="H55" s="20">
        <f>IF(AND(ISNUMBER(H53),ISNUMBER(C53)),(H53-C53)*10000,"n.a.")</f>
        <v>2.1655775569898172</v>
      </c>
      <c r="I55" s="20">
        <f>IF(AND(ISNUMBER(I53),ISNUMBER(D53)),(I53-D53)*10000,"n.a.")</f>
        <v>-8.59884389103005</v>
      </c>
      <c r="J55" s="48">
        <f>IF(AND(ISNUMBER(J53),ISNUMBER(E53)),(J53-E53)*10000,"n.a.")</f>
        <v>-8.838947433039563</v>
      </c>
      <c r="K55" s="1"/>
      <c r="L55" s="1"/>
      <c r="M55" s="1"/>
      <c r="N55" s="1"/>
      <c r="O55" s="1"/>
      <c r="P55" s="1"/>
    </row>
    <row r="56" ht="28.5">
      <c r="A56" s="1"/>
      <c r="B56" s="7" t="s">
        <v>227</v>
      </c>
      <c r="C56" s="74">
        <f>Inputs!C144-D56</f>
        <v>2873</v>
      </c>
      <c r="D56" s="31">
        <v>3010</v>
      </c>
      <c r="E56" s="31">
        <v>3050</v>
      </c>
      <c r="F56" s="31">
        <v>3022</v>
      </c>
      <c r="G56" s="24">
        <f>SUM(C56:F56)</f>
        <v>11955</v>
      </c>
      <c r="H56" s="31">
        <v>3237</v>
      </c>
      <c r="I56" s="31">
        <v>3291</v>
      </c>
      <c r="J56" s="51">
        <f>J49*J53*J$7/365</f>
        <v>3344.2539462734785</v>
      </c>
      <c r="K56" s="134" t="s">
        <v>278</v>
      </c>
      <c r="L56" s="1"/>
      <c r="M56" s="1"/>
      <c r="N56" s="1"/>
      <c r="O56" s="1"/>
      <c r="P56" s="1"/>
    </row>
    <row r="57">
      <c r="A57" s="1"/>
      <c r="B57" s="6" t="s">
        <v>143</v>
      </c>
      <c r="C57" s="21"/>
      <c r="D57" s="21"/>
      <c r="E57" s="21"/>
      <c r="F57" s="21"/>
      <c r="G57" s="21"/>
      <c r="H57" s="21">
        <f>IF(AND(ISNUMBER(H56),ISNUMBER(C56)),IF(C56&lt;=0,"n.m.",IFERROR(H56/C56-1,"n.a.")),"n.a.")</f>
        <v>0.12669683257918551</v>
      </c>
      <c r="I57" s="21">
        <f>IF(AND(ISNUMBER(I56),ISNUMBER(D56)),IF(D56&lt;=0,"n.m.",IFERROR(I56/D56-1,"n.a.")),"n.a.")</f>
        <v>0.0933554817275748</v>
      </c>
      <c r="J57" s="29">
        <f>IF(AND(ISNUMBER(J56),ISNUMBER(E56)),IF(E56&lt;=0,"n.m.",IFERROR(J56/E56-1,"n.a.")),"n.a.")</f>
        <v>0.09647670369622241</v>
      </c>
      <c r="K57" s="1"/>
      <c r="L57" s="1"/>
      <c r="M57" s="1"/>
      <c r="N57" s="1"/>
      <c r="O57" s="1"/>
      <c r="P57" s="1"/>
    </row>
    <row r="58">
      <c r="A58" s="1"/>
      <c r="B58" s="6" t="s">
        <v>144</v>
      </c>
      <c r="C58" s="21"/>
      <c r="D58" s="21">
        <f>IF(AND(ISNUMBER(D56),ISNUMBER(C56)),IF(C56&lt;=0,"n.m.",IFERROR(D56/C56-1,"n.a.")),"n.a.")</f>
        <v>0.04768534632788035</v>
      </c>
      <c r="E58" s="21">
        <f>IF(AND(ISNUMBER(E56),ISNUMBER(D56)),IF(D56&lt;=0,"n.m.",IFERROR(E56/D56-1,"n.a.")),"n.a.")</f>
        <v>0.013289036544850585</v>
      </c>
      <c r="F58" s="21">
        <f>IF(AND(ISNUMBER(F56),ISNUMBER(E56)),IF(E56&lt;=0,"n.m.",IFERROR(F56/E56-1,"n.a.")),"n.a.")</f>
        <v>-0.009180327868852478</v>
      </c>
      <c r="G58" s="21"/>
      <c r="H58" s="21">
        <f>IF(AND(ISNUMBER(H56),ISNUMBER(F56)),IF(F56&lt;=0,"n.m.",IFERROR(H56/F56-1,"n.a.")),"n.a.")</f>
        <v>0.07114493712772996</v>
      </c>
      <c r="I58" s="21">
        <f>IF(AND(ISNUMBER(I56),ISNUMBER(H56)),IF(H56&lt;=0,"n.m.",IFERROR(I56/H56-1,"n.a.")),"n.a.")</f>
        <v>0.016682113067655324</v>
      </c>
      <c r="J58" s="29">
        <f>IF(AND(ISNUMBER(J56),ISNUMBER(I56)),IF(I56&lt;=0,"n.m.",IFERROR(J56/I56-1,"n.a.")),"n.a.")</f>
        <v>0.016181691362345374</v>
      </c>
      <c r="K58" s="1"/>
      <c r="L58" s="1"/>
      <c r="M58" s="1"/>
      <c r="N58" s="1"/>
      <c r="O58" s="1"/>
      <c r="P58" s="1"/>
    </row>
    <row r="59" ht="41.25">
      <c r="A59" s="1"/>
      <c r="B59" s="6" t="s">
        <v>145</v>
      </c>
      <c r="C59" s="21"/>
      <c r="D59" s="21"/>
      <c r="E59" s="21"/>
      <c r="F59" s="21"/>
      <c r="G59" s="21"/>
      <c r="H59" s="67" t="s">
        <v>129</v>
      </c>
      <c r="I59" s="67" t="s">
        <v>129</v>
      </c>
      <c r="J59" s="28" t="s">
        <v>129</v>
      </c>
      <c r="K59" s="134" t="s">
        <v>146</v>
      </c>
      <c r="L59" s="1"/>
      <c r="M59" s="1"/>
      <c r="N59" s="1"/>
      <c r="O59" s="1"/>
      <c r="P59" s="1"/>
    </row>
    <row r="60" ht="28.5">
      <c r="A60" s="1"/>
      <c r="B60" s="6" t="s">
        <v>147</v>
      </c>
      <c r="C60" s="21"/>
      <c r="D60" s="21"/>
      <c r="E60" s="21"/>
      <c r="F60" s="21"/>
      <c r="G60" s="21"/>
      <c r="H60" s="67" t="s">
        <v>129</v>
      </c>
      <c r="I60" s="67" t="s">
        <v>129</v>
      </c>
      <c r="J60" s="28" t="s">
        <v>129</v>
      </c>
      <c r="K60" s="134" t="s">
        <v>148</v>
      </c>
      <c r="L60" s="1"/>
      <c r="M60" s="1"/>
      <c r="N60" s="1"/>
      <c r="O60" s="1"/>
      <c r="P60" s="1"/>
    </row>
    <row r="61">
      <c r="A61" s="1"/>
      <c r="B61" s="6" t="s">
        <v>149</v>
      </c>
      <c r="C61" s="21"/>
      <c r="D61" s="21"/>
      <c r="E61" s="21"/>
      <c r="F61" s="21"/>
      <c r="G61" s="21"/>
      <c r="H61" s="21" t="str">
        <f>IF(AND(ISNUMBER(H57),ISNUMBER(H59),ISNUMBER(H60)),(1+H57)/((1+H59)*(1+H60))-1,"n.a.")</f>
        <v>n.a.</v>
      </c>
      <c r="I61" s="21" t="str">
        <f>IF(AND(ISNUMBER(I57),ISNUMBER(I59),ISNUMBER(I60)),(1+I57)/((1+I59)*(1+I60))-1,"n.a.")</f>
        <v>n.a.</v>
      </c>
      <c r="J61" s="29" t="str">
        <f>IF(AND(ISNUMBER(J57),ISNUMBER(J59),ISNUMBER(J60)),(1+J57)/((1+J59)*(1+J60))-1,"n.a.")</f>
        <v>n.a.</v>
      </c>
      <c r="K61" s="1"/>
      <c r="L61" s="1"/>
      <c r="M61" s="1"/>
      <c r="N61" s="1"/>
      <c r="O61" s="1"/>
      <c r="P61" s="1"/>
    </row>
    <row r="62">
      <c r="A62" s="1"/>
      <c r="B62" s="32" t="s">
        <v>279</v>
      </c>
      <c r="C62" s="11"/>
      <c r="D62" s="11"/>
      <c r="E62" s="11"/>
      <c r="F62" s="11"/>
      <c r="G62" s="11"/>
      <c r="H62" s="11"/>
      <c r="I62" s="11"/>
      <c r="J62" s="30"/>
      <c r="K62" s="1"/>
      <c r="L62" s="1"/>
      <c r="M62" s="1"/>
      <c r="N62" s="1"/>
      <c r="O62" s="1"/>
      <c r="P62" s="1"/>
    </row>
    <row r="63">
      <c r="A63" s="1"/>
      <c r="B63" s="1" t="s">
        <v>234</v>
      </c>
      <c r="C63" s="12">
        <f>Inputs!C153-D63</f>
        <v>152</v>
      </c>
      <c r="D63" s="18">
        <v>150</v>
      </c>
      <c r="E63" s="18">
        <v>154</v>
      </c>
      <c r="F63" s="18">
        <v>155</v>
      </c>
      <c r="G63" s="14">
        <f>SUM(C63:F63)</f>
        <v>611</v>
      </c>
      <c r="H63" s="18">
        <v>161</v>
      </c>
      <c r="I63" s="18">
        <v>172</v>
      </c>
      <c r="J63" s="10">
        <f>I63*(1+J64)</f>
        <v>176.00760000000002</v>
      </c>
      <c r="K63" s="1"/>
      <c r="L63" s="1"/>
      <c r="M63" s="1"/>
      <c r="N63" s="1"/>
      <c r="O63" s="1"/>
      <c r="P63" s="1"/>
    </row>
    <row r="64">
      <c r="A64" s="1"/>
      <c r="B64" s="6" t="s">
        <v>144</v>
      </c>
      <c r="C64" s="21"/>
      <c r="D64" s="21">
        <f>IF(AND(ISNUMBER(D63),ISNUMBER(C63)),IF(C63&lt;=0,"n.m.",IFERROR(D63/C63-1,"n.a.")),"n.a.")</f>
        <v>-0.013157894736842146</v>
      </c>
      <c r="E64" s="21">
        <f>IF(AND(ISNUMBER(E63),ISNUMBER(D63)),IF(D63&lt;=0,"n.m.",IFERROR(E63/D63-1,"n.a.")),"n.a.")</f>
        <v>0.026666666666666616</v>
      </c>
      <c r="F64" s="21">
        <f>IF(AND(ISNUMBER(F63),ISNUMBER(E63)),IF(E63&lt;=0,"n.m.",IFERROR(F63/E63-1,"n.a.")),"n.a.")</f>
        <v>0.006493506493506551</v>
      </c>
      <c r="G64" s="21"/>
      <c r="H64" s="21">
        <f>IF(AND(ISNUMBER(H63),ISNUMBER(F63)),IF(F63&lt;=0,"n.m.",IFERROR(H63/F63-1,"n.a.")),"n.a.")</f>
        <v>0.03870967741935494</v>
      </c>
      <c r="I64" s="21">
        <f>IF(AND(ISNUMBER(I63),ISNUMBER(H63)),IF(H63&lt;=0,"n.m.",IFERROR(I63/H63-1,"n.a.")),"n.a.")</f>
        <v>0.06832298136645965</v>
      </c>
      <c r="J64" s="28">
        <v>0.0233</v>
      </c>
      <c r="K64" s="1"/>
      <c r="L64" s="1"/>
      <c r="M64" s="1"/>
      <c r="N64" s="1"/>
      <c r="O64" s="1"/>
      <c r="P64" s="1"/>
    </row>
    <row r="65">
      <c r="A65" s="1"/>
      <c r="B65" s="6" t="s">
        <v>143</v>
      </c>
      <c r="C65" s="21"/>
      <c r="D65" s="21"/>
      <c r="E65" s="21"/>
      <c r="F65" s="21"/>
      <c r="G65" s="21"/>
      <c r="H65" s="21">
        <f>IF(AND(ISNUMBER(H63),ISNUMBER(C63)),IF(C63&lt;=0,"n.m.",IFERROR(H63/C63-1,"n.a.")),"n.a.")</f>
        <v>0.05921052631578938</v>
      </c>
      <c r="I65" s="21">
        <f>IF(AND(ISNUMBER(I63),ISNUMBER(D63)),IF(D63&lt;=0,"n.m.",IFERROR(I63/D63-1,"n.a.")),"n.a.")</f>
        <v>0.14666666666666672</v>
      </c>
      <c r="J65" s="29">
        <f>IF(AND(ISNUMBER(J63),ISNUMBER(E63)),IF(E63&lt;=0,"n.m.",IFERROR(J63/E63-1,"n.a.")),"n.a.")</f>
        <v>0.14290649350649365</v>
      </c>
      <c r="K65" s="1"/>
      <c r="L65" s="1"/>
      <c r="M65" s="1"/>
      <c r="N65" s="1"/>
      <c r="O65" s="1"/>
      <c r="P65" s="1"/>
    </row>
    <row r="66" ht="41.25">
      <c r="A66" s="1"/>
      <c r="B66" s="6" t="s">
        <v>145</v>
      </c>
      <c r="C66" s="21"/>
      <c r="D66" s="21"/>
      <c r="E66" s="21"/>
      <c r="F66" s="21"/>
      <c r="G66" s="21"/>
      <c r="H66" s="67" t="s">
        <v>129</v>
      </c>
      <c r="I66" s="67" t="s">
        <v>129</v>
      </c>
      <c r="J66" s="28" t="s">
        <v>129</v>
      </c>
      <c r="K66" s="134" t="s">
        <v>146</v>
      </c>
      <c r="L66" s="1"/>
      <c r="M66" s="1"/>
      <c r="N66" s="1"/>
      <c r="O66" s="1"/>
      <c r="P66" s="1"/>
    </row>
    <row r="67" ht="28.5">
      <c r="A67" s="1"/>
      <c r="B67" s="6" t="s">
        <v>147</v>
      </c>
      <c r="C67" s="21"/>
      <c r="D67" s="21"/>
      <c r="E67" s="21"/>
      <c r="F67" s="21"/>
      <c r="G67" s="21"/>
      <c r="H67" s="67" t="s">
        <v>129</v>
      </c>
      <c r="I67" s="67" t="s">
        <v>129</v>
      </c>
      <c r="J67" s="28" t="s">
        <v>129</v>
      </c>
      <c r="K67" s="134" t="s">
        <v>148</v>
      </c>
      <c r="L67" s="1"/>
      <c r="M67" s="1"/>
      <c r="N67" s="1"/>
      <c r="O67" s="1"/>
      <c r="P67" s="1"/>
    </row>
    <row r="68">
      <c r="A68" s="1"/>
      <c r="B68" s="6" t="s">
        <v>149</v>
      </c>
      <c r="C68" s="21"/>
      <c r="D68" s="21"/>
      <c r="E68" s="21"/>
      <c r="F68" s="21"/>
      <c r="G68" s="21"/>
      <c r="H68" s="21" t="str">
        <f>IF(AND(ISNUMBER(H65),ISNUMBER(H66),ISNUMBER(H67)),(1+H65)/((1+H66)*(1+H67))-1,"n.a.")</f>
        <v>n.a.</v>
      </c>
      <c r="I68" s="21" t="str">
        <f>IF(AND(ISNUMBER(I65),ISNUMBER(I66),ISNUMBER(I67)),(1+I65)/((1+I66)*(1+I67))-1,"n.a.")</f>
        <v>n.a.</v>
      </c>
      <c r="J68" s="29" t="str">
        <f>IF(AND(ISNUMBER(J65),ISNUMBER(J66),ISNUMBER(J67)),(1+J65)/((1+J66)*(1+J67))-1,"n.a.")</f>
        <v>n.a.</v>
      </c>
      <c r="K68" s="1"/>
      <c r="L68" s="1"/>
      <c r="M68" s="1"/>
      <c r="N68" s="1"/>
      <c r="O68" s="1"/>
      <c r="P68" s="1"/>
    </row>
    <row r="69">
      <c r="A69" s="1"/>
      <c r="B69" s="1" t="s">
        <v>238</v>
      </c>
      <c r="C69" s="12">
        <f>Inputs!C154-D69</f>
        <v>296</v>
      </c>
      <c r="D69" s="18">
        <v>328</v>
      </c>
      <c r="E69" s="18">
        <v>334</v>
      </c>
      <c r="F69" s="18">
        <v>328</v>
      </c>
      <c r="G69" s="14">
        <f>SUM(C69:F69)</f>
        <v>1286</v>
      </c>
      <c r="H69" s="18">
        <v>322</v>
      </c>
      <c r="I69" s="18">
        <v>350</v>
      </c>
      <c r="J69" s="10">
        <f>I69*(1+J70)</f>
        <v>351.995</v>
      </c>
      <c r="K69" s="1"/>
      <c r="L69" s="1"/>
      <c r="M69" s="1"/>
      <c r="N69" s="1"/>
      <c r="O69" s="1"/>
      <c r="P69" s="1"/>
    </row>
    <row r="70">
      <c r="A70" s="1"/>
      <c r="B70" s="6" t="s">
        <v>144</v>
      </c>
      <c r="C70" s="21"/>
      <c r="D70" s="21">
        <f>IF(AND(ISNUMBER(D69),ISNUMBER(C69)),IF(C69&lt;=0,"n.m.",IFERROR(D69/C69-1,"n.a.")),"n.a.")</f>
        <v>0.10810810810810811</v>
      </c>
      <c r="E70" s="21">
        <f>IF(AND(ISNUMBER(E69),ISNUMBER(D69)),IF(D69&lt;=0,"n.m.",IFERROR(E69/D69-1,"n.a.")),"n.a.")</f>
        <v>0.018292682926829285</v>
      </c>
      <c r="F70" s="21">
        <f>IF(AND(ISNUMBER(F69),ISNUMBER(E69)),IF(E69&lt;=0,"n.m.",IFERROR(F69/E69-1,"n.a.")),"n.a.")</f>
        <v>-0.017964071856287456</v>
      </c>
      <c r="G70" s="21"/>
      <c r="H70" s="21">
        <f>IF(AND(ISNUMBER(H69),ISNUMBER(F69)),IF(F69&lt;=0,"n.m.",IFERROR(H69/F69-1,"n.a.")),"n.a.")</f>
        <v>-0.018292682926829285</v>
      </c>
      <c r="I70" s="21">
        <f>IF(AND(ISNUMBER(I69),ISNUMBER(H69)),IF(H69&lt;=0,"n.m.",IFERROR(I69/H69-1,"n.a.")),"n.a.")</f>
        <v>0.08695652173913038</v>
      </c>
      <c r="J70" s="28">
        <v>0.0057</v>
      </c>
      <c r="K70" s="1"/>
      <c r="L70" s="1"/>
      <c r="M70" s="1"/>
      <c r="N70" s="1"/>
      <c r="O70" s="1"/>
      <c r="P70" s="1"/>
    </row>
    <row r="71">
      <c r="A71" s="1"/>
      <c r="B71" s="6" t="s">
        <v>143</v>
      </c>
      <c r="C71" s="21"/>
      <c r="D71" s="21"/>
      <c r="E71" s="21"/>
      <c r="F71" s="21"/>
      <c r="G71" s="21"/>
      <c r="H71" s="21">
        <f>IF(AND(ISNUMBER(H69),ISNUMBER(C69)),IF(C69&lt;=0,"n.m.",IFERROR(H69/C69-1,"n.a.")),"n.a.")</f>
        <v>0.08783783783783794</v>
      </c>
      <c r="I71" s="21">
        <f>IF(AND(ISNUMBER(I69),ISNUMBER(D69)),IF(D69&lt;=0,"n.m.",IFERROR(I69/D69-1,"n.a.")),"n.a.")</f>
        <v>0.06707317073170738</v>
      </c>
      <c r="J71" s="29">
        <f>IF(AND(ISNUMBER(J69),ISNUMBER(E69)),IF(E69&lt;=0,"n.m.",IFERROR(J69/E69-1,"n.a.")),"n.a.")</f>
        <v>0.053877245508981986</v>
      </c>
      <c r="K71" s="1"/>
      <c r="L71" s="1"/>
      <c r="M71" s="1"/>
      <c r="N71" s="1"/>
      <c r="O71" s="1"/>
      <c r="P71" s="1"/>
    </row>
    <row r="72" ht="41.25">
      <c r="A72" s="1"/>
      <c r="B72" s="6" t="s">
        <v>145</v>
      </c>
      <c r="C72" s="21"/>
      <c r="D72" s="21"/>
      <c r="E72" s="21"/>
      <c r="F72" s="21"/>
      <c r="G72" s="21"/>
      <c r="H72" s="67" t="s">
        <v>129</v>
      </c>
      <c r="I72" s="67" t="s">
        <v>129</v>
      </c>
      <c r="J72" s="28" t="s">
        <v>129</v>
      </c>
      <c r="K72" s="134" t="s">
        <v>146</v>
      </c>
      <c r="L72" s="1"/>
      <c r="M72" s="1"/>
      <c r="N72" s="1"/>
      <c r="O72" s="1"/>
      <c r="P72" s="1"/>
    </row>
    <row r="73" ht="28.5">
      <c r="A73" s="1"/>
      <c r="B73" s="6" t="s">
        <v>147</v>
      </c>
      <c r="C73" s="21"/>
      <c r="D73" s="21"/>
      <c r="E73" s="21"/>
      <c r="F73" s="21"/>
      <c r="G73" s="21"/>
      <c r="H73" s="67" t="s">
        <v>129</v>
      </c>
      <c r="I73" s="67" t="s">
        <v>129</v>
      </c>
      <c r="J73" s="28" t="s">
        <v>129</v>
      </c>
      <c r="K73" s="134" t="s">
        <v>148</v>
      </c>
      <c r="L73" s="1"/>
      <c r="M73" s="1"/>
      <c r="N73" s="1"/>
      <c r="O73" s="1"/>
      <c r="P73" s="1"/>
    </row>
    <row r="74">
      <c r="A74" s="1"/>
      <c r="B74" s="6" t="s">
        <v>149</v>
      </c>
      <c r="C74" s="21"/>
      <c r="D74" s="21"/>
      <c r="E74" s="21"/>
      <c r="F74" s="21"/>
      <c r="G74" s="21"/>
      <c r="H74" s="21" t="str">
        <f>IF(AND(ISNUMBER(H71),ISNUMBER(H72),ISNUMBER(H73)),(1+H71)/((1+H72)*(1+H73))-1,"n.a.")</f>
        <v>n.a.</v>
      </c>
      <c r="I74" s="21" t="str">
        <f>IF(AND(ISNUMBER(I71),ISNUMBER(I72),ISNUMBER(I73)),(1+I71)/((1+I72)*(1+I73))-1,"n.a.")</f>
        <v>n.a.</v>
      </c>
      <c r="J74" s="29" t="str">
        <f>IF(AND(ISNUMBER(J71),ISNUMBER(J72),ISNUMBER(J73)),(1+J71)/((1+J72)*(1+J73))-1,"n.a.")</f>
        <v>n.a.</v>
      </c>
      <c r="K74" s="1"/>
      <c r="L74" s="1"/>
      <c r="M74" s="1"/>
      <c r="N74" s="1"/>
      <c r="O74" s="1"/>
      <c r="P74" s="1"/>
    </row>
    <row r="75">
      <c r="A75" s="1"/>
      <c r="B75" s="1" t="s">
        <v>240</v>
      </c>
      <c r="C75" s="12">
        <f>Inputs!C155-D75</f>
        <v>184</v>
      </c>
      <c r="D75" s="18">
        <v>190</v>
      </c>
      <c r="E75" s="18">
        <v>199</v>
      </c>
      <c r="F75" s="18">
        <v>199</v>
      </c>
      <c r="G75" s="14">
        <f>SUM(C75:F75)</f>
        <v>772</v>
      </c>
      <c r="H75" s="18">
        <v>200</v>
      </c>
      <c r="I75" s="18">
        <v>204</v>
      </c>
      <c r="J75" s="10">
        <f>I75*(1+J76)</f>
        <v>205.9992</v>
      </c>
      <c r="K75" s="1"/>
      <c r="L75" s="1"/>
      <c r="M75" s="1"/>
      <c r="N75" s="1"/>
      <c r="O75" s="1"/>
      <c r="P75" s="1"/>
    </row>
    <row r="76">
      <c r="A76" s="1"/>
      <c r="B76" s="6" t="s">
        <v>144</v>
      </c>
      <c r="C76" s="21"/>
      <c r="D76" s="21">
        <f>IF(AND(ISNUMBER(D75),ISNUMBER(C75)),IF(C75&lt;=0,"n.m.",IFERROR(D75/C75-1,"n.a.")),"n.a.")</f>
        <v>0.032608695652173836</v>
      </c>
      <c r="E76" s="21">
        <f>IF(AND(ISNUMBER(E75),ISNUMBER(D75)),IF(D75&lt;=0,"n.m.",IFERROR(E75/D75-1,"n.a.")),"n.a.")</f>
        <v>0.047368421052631504</v>
      </c>
      <c r="F76" s="21">
        <f>IF(AND(ISNUMBER(F75),ISNUMBER(E75)),IF(E75&lt;=0,"n.m.",IFERROR(F75/E75-1,"n.a.")),"n.a.")</f>
        <v>0</v>
      </c>
      <c r="G76" s="21"/>
      <c r="H76" s="21">
        <f>IF(AND(ISNUMBER(H75),ISNUMBER(F75)),IF(F75&lt;=0,"n.m.",IFERROR(H75/F75-1,"n.a.")),"n.a.")</f>
        <v>0.005025125628140614</v>
      </c>
      <c r="I76" s="21">
        <f>IF(AND(ISNUMBER(I75),ISNUMBER(H75)),IF(H75&lt;=0,"n.m.",IFERROR(I75/H75-1,"n.a.")),"n.a.")</f>
        <v>0.020000000000000018</v>
      </c>
      <c r="J76" s="28">
        <v>0.0098</v>
      </c>
      <c r="K76" s="1"/>
      <c r="L76" s="1"/>
      <c r="M76" s="1"/>
      <c r="N76" s="1"/>
      <c r="O76" s="1"/>
      <c r="P76" s="1"/>
    </row>
    <row r="77">
      <c r="A77" s="1"/>
      <c r="B77" s="6" t="s">
        <v>143</v>
      </c>
      <c r="C77" s="21"/>
      <c r="D77" s="21"/>
      <c r="E77" s="21"/>
      <c r="F77" s="21"/>
      <c r="G77" s="21"/>
      <c r="H77" s="21">
        <f>IF(AND(ISNUMBER(H75),ISNUMBER(C75)),IF(C75&lt;=0,"n.m.",IFERROR(H75/C75-1,"n.a.")),"n.a.")</f>
        <v>0.08695652173913038</v>
      </c>
      <c r="I77" s="21">
        <f>IF(AND(ISNUMBER(I75),ISNUMBER(D75)),IF(D75&lt;=0,"n.m.",IFERROR(I75/D75-1,"n.a.")),"n.a.")</f>
        <v>0.0736842105263158</v>
      </c>
      <c r="J77" s="29">
        <f>IF(AND(ISNUMBER(J75),ISNUMBER(E75)),IF(E75&lt;=0,"n.m.",IFERROR(J75/E75-1,"n.a.")),"n.a.")</f>
        <v>0.03517185929648248</v>
      </c>
      <c r="K77" s="1"/>
      <c r="L77" s="1"/>
      <c r="M77" s="1"/>
      <c r="N77" s="1"/>
      <c r="O77" s="1"/>
      <c r="P77" s="1"/>
    </row>
    <row r="78" ht="41.25">
      <c r="A78" s="1"/>
      <c r="B78" s="6" t="s">
        <v>145</v>
      </c>
      <c r="C78" s="21"/>
      <c r="D78" s="21"/>
      <c r="E78" s="21"/>
      <c r="F78" s="21"/>
      <c r="G78" s="21"/>
      <c r="H78" s="67" t="s">
        <v>129</v>
      </c>
      <c r="I78" s="67" t="s">
        <v>129</v>
      </c>
      <c r="J78" s="28" t="s">
        <v>129</v>
      </c>
      <c r="K78" s="134" t="s">
        <v>146</v>
      </c>
      <c r="L78" s="1"/>
      <c r="M78" s="1"/>
      <c r="N78" s="1"/>
      <c r="O78" s="1"/>
      <c r="P78" s="1"/>
    </row>
    <row r="79" ht="28.5">
      <c r="A79" s="1"/>
      <c r="B79" s="6" t="s">
        <v>147</v>
      </c>
      <c r="C79" s="21"/>
      <c r="D79" s="21"/>
      <c r="E79" s="21"/>
      <c r="F79" s="21"/>
      <c r="G79" s="21"/>
      <c r="H79" s="67" t="s">
        <v>129</v>
      </c>
      <c r="I79" s="67" t="s">
        <v>129</v>
      </c>
      <c r="J79" s="28" t="s">
        <v>129</v>
      </c>
      <c r="K79" s="134" t="s">
        <v>148</v>
      </c>
      <c r="L79" s="1"/>
      <c r="M79" s="1"/>
      <c r="N79" s="1"/>
      <c r="O79" s="1"/>
      <c r="P79" s="1"/>
    </row>
    <row r="80">
      <c r="A80" s="1"/>
      <c r="B80" s="6" t="s">
        <v>149</v>
      </c>
      <c r="C80" s="21"/>
      <c r="D80" s="21"/>
      <c r="E80" s="21"/>
      <c r="F80" s="21"/>
      <c r="G80" s="21"/>
      <c r="H80" s="21" t="str">
        <f>IF(AND(ISNUMBER(H77),ISNUMBER(H78),ISNUMBER(H79)),(1+H77)/((1+H78)*(1+H79))-1,"n.a.")</f>
        <v>n.a.</v>
      </c>
      <c r="I80" s="21" t="str">
        <f>IF(AND(ISNUMBER(I77),ISNUMBER(I78),ISNUMBER(I79)),(1+I77)/((1+I78)*(1+I79))-1,"n.a.")</f>
        <v>n.a.</v>
      </c>
      <c r="J80" s="29" t="str">
        <f>IF(AND(ISNUMBER(J77),ISNUMBER(J78),ISNUMBER(J79)),(1+J77)/((1+J78)*(1+J79))-1,"n.a.")</f>
        <v>n.a.</v>
      </c>
      <c r="K80" s="1"/>
      <c r="L80" s="1"/>
      <c r="M80" s="1"/>
      <c r="N80" s="1"/>
      <c r="O80" s="1"/>
      <c r="P80" s="1"/>
    </row>
    <row r="81">
      <c r="A81" s="1"/>
      <c r="B81" s="1" t="s">
        <v>241</v>
      </c>
      <c r="C81" s="12">
        <f>Inputs!C156-D81</f>
        <v>65</v>
      </c>
      <c r="D81" s="18">
        <v>61</v>
      </c>
      <c r="E81" s="18">
        <v>89</v>
      </c>
      <c r="F81" s="18">
        <v>78</v>
      </c>
      <c r="G81" s="14">
        <f>SUM(C81:F81)</f>
        <v>293</v>
      </c>
      <c r="H81" s="18">
        <v>63</v>
      </c>
      <c r="I81" s="18">
        <v>83</v>
      </c>
      <c r="J81" s="10">
        <f>I81*(1+J82)</f>
        <v>74.9988</v>
      </c>
      <c r="K81" s="1"/>
      <c r="L81" s="1"/>
      <c r="M81" s="1"/>
      <c r="N81" s="1"/>
      <c r="O81" s="1"/>
      <c r="P81" s="1"/>
    </row>
    <row r="82">
      <c r="A82" s="1"/>
      <c r="B82" s="6" t="s">
        <v>144</v>
      </c>
      <c r="C82" s="21"/>
      <c r="D82" s="21">
        <f>IF(AND(ISNUMBER(D81),ISNUMBER(C81)),IF(C81&lt;=0,"n.m.",IFERROR(D81/C81-1,"n.a.")),"n.a.")</f>
        <v>-0.06153846153846154</v>
      </c>
      <c r="E82" s="21">
        <f>IF(AND(ISNUMBER(E81),ISNUMBER(D81)),IF(D81&lt;=0,"n.m.",IFERROR(E81/D81-1,"n.a.")),"n.a.")</f>
        <v>0.459016393442623</v>
      </c>
      <c r="F82" s="21">
        <f>IF(AND(ISNUMBER(F81),ISNUMBER(E81)),IF(E81&lt;=0,"n.m.",IFERROR(F81/E81-1,"n.a.")),"n.a.")</f>
        <v>-0.1235955056179775</v>
      </c>
      <c r="G82" s="21"/>
      <c r="H82" s="21">
        <f>IF(AND(ISNUMBER(H81),ISNUMBER(F81)),IF(F81&lt;=0,"n.m.",IFERROR(H81/F81-1,"n.a.")),"n.a.")</f>
        <v>-0.1923076923076923</v>
      </c>
      <c r="I82" s="21">
        <f>IF(AND(ISNUMBER(I81),ISNUMBER(H81)),IF(H81&lt;=0,"n.m.",IFERROR(I81/H81-1,"n.a.")),"n.a.")</f>
        <v>0.31746031746031744</v>
      </c>
      <c r="J82" s="28">
        <v>-0.0964</v>
      </c>
      <c r="K82" s="1"/>
      <c r="L82" s="1"/>
      <c r="M82" s="1"/>
      <c r="N82" s="1"/>
      <c r="O82" s="1"/>
      <c r="P82" s="1"/>
    </row>
    <row r="83">
      <c r="A83" s="1"/>
      <c r="B83" s="6" t="s">
        <v>143</v>
      </c>
      <c r="C83" s="21"/>
      <c r="D83" s="21"/>
      <c r="E83" s="21"/>
      <c r="F83" s="21"/>
      <c r="G83" s="21"/>
      <c r="H83" s="21">
        <f>IF(AND(ISNUMBER(H81),ISNUMBER(C81)),IF(C81&lt;=0,"n.m.",IFERROR(H81/C81-1,"n.a.")),"n.a.")</f>
        <v>-0.03076923076923077</v>
      </c>
      <c r="I83" s="21">
        <f>IF(AND(ISNUMBER(I81),ISNUMBER(D81)),IF(D81&lt;=0,"n.m.",IFERROR(I81/D81-1,"n.a.")),"n.a.")</f>
        <v>0.360655737704918</v>
      </c>
      <c r="J83" s="29">
        <f>IF(AND(ISNUMBER(J81),ISNUMBER(E81)),IF(E81&lt;=0,"n.m.",IFERROR(J81/E81-1,"n.a.")),"n.a.")</f>
        <v>-0.1573168539325842</v>
      </c>
      <c r="K83" s="1"/>
      <c r="L83" s="1"/>
      <c r="M83" s="1"/>
      <c r="N83" s="1"/>
      <c r="O83" s="1"/>
      <c r="P83" s="1"/>
    </row>
    <row r="84" ht="41.25">
      <c r="A84" s="1"/>
      <c r="B84" s="6" t="s">
        <v>145</v>
      </c>
      <c r="C84" s="21"/>
      <c r="D84" s="21"/>
      <c r="E84" s="21"/>
      <c r="F84" s="21"/>
      <c r="G84" s="21"/>
      <c r="H84" s="67" t="s">
        <v>129</v>
      </c>
      <c r="I84" s="67" t="s">
        <v>129</v>
      </c>
      <c r="J84" s="28" t="s">
        <v>129</v>
      </c>
      <c r="K84" s="134" t="s">
        <v>146</v>
      </c>
      <c r="L84" s="1"/>
      <c r="M84" s="1"/>
      <c r="N84" s="1"/>
      <c r="O84" s="1"/>
      <c r="P84" s="1"/>
    </row>
    <row r="85" ht="28.5">
      <c r="A85" s="1"/>
      <c r="B85" s="6" t="s">
        <v>147</v>
      </c>
      <c r="C85" s="21"/>
      <c r="D85" s="21"/>
      <c r="E85" s="21"/>
      <c r="F85" s="21"/>
      <c r="G85" s="21"/>
      <c r="H85" s="67" t="s">
        <v>129</v>
      </c>
      <c r="I85" s="67" t="s">
        <v>129</v>
      </c>
      <c r="J85" s="28" t="s">
        <v>129</v>
      </c>
      <c r="K85" s="134" t="s">
        <v>148</v>
      </c>
      <c r="L85" s="1"/>
      <c r="M85" s="1"/>
      <c r="N85" s="1"/>
      <c r="O85" s="1"/>
      <c r="P85" s="1"/>
    </row>
    <row r="86">
      <c r="A86" s="1"/>
      <c r="B86" s="6" t="s">
        <v>149</v>
      </c>
      <c r="C86" s="21"/>
      <c r="D86" s="21"/>
      <c r="E86" s="21"/>
      <c r="F86" s="21"/>
      <c r="G86" s="21"/>
      <c r="H86" s="21" t="str">
        <f>IF(AND(ISNUMBER(H83),ISNUMBER(H84),ISNUMBER(H85)),(1+H83)/((1+H84)*(1+H85))-1,"n.a.")</f>
        <v>n.a.</v>
      </c>
      <c r="I86" s="21" t="str">
        <f>IF(AND(ISNUMBER(I83),ISNUMBER(I84),ISNUMBER(I85)),(1+I83)/((1+I84)*(1+I85))-1,"n.a.")</f>
        <v>n.a.</v>
      </c>
      <c r="J86" s="29" t="str">
        <f>IF(AND(ISNUMBER(J83),ISNUMBER(J84),ISNUMBER(J85)),(1+J83)/((1+J84)*(1+J85))-1,"n.a.")</f>
        <v>n.a.</v>
      </c>
      <c r="K86" s="1"/>
      <c r="L86" s="1"/>
      <c r="M86" s="1"/>
      <c r="N86" s="1"/>
      <c r="O86" s="1"/>
      <c r="P86" s="1"/>
    </row>
    <row r="87">
      <c r="A87" s="1"/>
      <c r="B87" s="1" t="s">
        <v>246</v>
      </c>
      <c r="C87" s="12">
        <f>Inputs!C157-D87</f>
        <v>0</v>
      </c>
      <c r="D87" s="18">
        <v>0</v>
      </c>
      <c r="E87" s="18">
        <v>0</v>
      </c>
      <c r="F87" s="18">
        <v>0</v>
      </c>
      <c r="G87" s="14">
        <f>SUM(C87:F87)</f>
        <v>0</v>
      </c>
      <c r="H87" s="18">
        <v>0</v>
      </c>
      <c r="I87" s="18">
        <v>448</v>
      </c>
      <c r="J87" s="27">
        <v>0</v>
      </c>
      <c r="K87" s="1"/>
      <c r="L87" s="1"/>
      <c r="M87" s="1"/>
      <c r="N87" s="1"/>
      <c r="O87" s="1"/>
      <c r="P87" s="1"/>
    </row>
    <row r="88">
      <c r="A88" s="1"/>
      <c r="B88" s="6" t="s">
        <v>143</v>
      </c>
      <c r="C88" s="21"/>
      <c r="D88" s="21"/>
      <c r="E88" s="21"/>
      <c r="F88" s="21"/>
      <c r="G88" s="21"/>
      <c r="H88" s="21" t="str">
        <f>IF(AND(ISNUMBER(H87),ISNUMBER(C87)),IF(C87&lt;=0,"n.m.",IFERROR(H87/C87-1,"n.a.")),"n.a.")</f>
        <v>n.m.</v>
      </c>
      <c r="I88" s="21" t="str">
        <f>IF(AND(ISNUMBER(I87),ISNUMBER(D87)),IF(D87&lt;=0,"n.m.",IFERROR(I87/D87-1,"n.a.")),"n.a.")</f>
        <v>n.m.</v>
      </c>
      <c r="J88" s="29" t="str">
        <f>IF(AND(ISNUMBER(J87),ISNUMBER(E87)),IF(E87&lt;=0,"n.m.",IFERROR(J87/E87-1,"n.a.")),"n.a.")</f>
        <v>n.m.</v>
      </c>
      <c r="K88" s="1"/>
      <c r="L88" s="1"/>
      <c r="M88" s="1"/>
      <c r="N88" s="1"/>
      <c r="O88" s="1"/>
      <c r="P88" s="1"/>
    </row>
    <row r="89">
      <c r="A89" s="1"/>
      <c r="B89" s="6" t="s">
        <v>144</v>
      </c>
      <c r="C89" s="21"/>
      <c r="D89" s="21" t="str">
        <f>IF(AND(ISNUMBER(D87),ISNUMBER(C87)),IF(C87&lt;=0,"n.m.",IFERROR(D87/C87-1,"n.a.")),"n.a.")</f>
        <v>n.m.</v>
      </c>
      <c r="E89" s="21" t="str">
        <f>IF(AND(ISNUMBER(E87),ISNUMBER(D87)),IF(D87&lt;=0,"n.m.",IFERROR(E87/D87-1,"n.a.")),"n.a.")</f>
        <v>n.m.</v>
      </c>
      <c r="F89" s="21" t="str">
        <f>IF(AND(ISNUMBER(F87),ISNUMBER(E87)),IF(E87&lt;=0,"n.m.",IFERROR(F87/E87-1,"n.a.")),"n.a.")</f>
        <v>n.m.</v>
      </c>
      <c r="G89" s="21"/>
      <c r="H89" s="21" t="str">
        <f>IF(AND(ISNUMBER(H87),ISNUMBER(F87)),IF(F87&lt;=0,"n.m.",IFERROR(H87/F87-1,"n.a.")),"n.a.")</f>
        <v>n.m.</v>
      </c>
      <c r="I89" s="21" t="str">
        <f>IF(AND(ISNUMBER(I87),ISNUMBER(H87)),IF(H87&lt;=0,"n.m.",IFERROR(I87/H87-1,"n.a.")),"n.a.")</f>
        <v>n.m.</v>
      </c>
      <c r="J89" s="29">
        <f>IF(AND(ISNUMBER(J87),ISNUMBER(I87)),IF(I87&lt;=0,"n.m.",IFERROR(J87/I87-1,"n.a.")),"n.a.")</f>
        <v>-1</v>
      </c>
      <c r="K89" s="1"/>
      <c r="L89" s="1"/>
      <c r="M89" s="1"/>
      <c r="N89" s="1"/>
      <c r="O89" s="1"/>
      <c r="P89" s="1"/>
    </row>
    <row r="90" ht="41.25">
      <c r="A90" s="1"/>
      <c r="B90" s="6" t="s">
        <v>145</v>
      </c>
      <c r="C90" s="21"/>
      <c r="D90" s="21"/>
      <c r="E90" s="21"/>
      <c r="F90" s="21"/>
      <c r="G90" s="21"/>
      <c r="H90" s="67" t="s">
        <v>129</v>
      </c>
      <c r="I90" s="67" t="s">
        <v>129</v>
      </c>
      <c r="J90" s="28" t="s">
        <v>129</v>
      </c>
      <c r="K90" s="134" t="s">
        <v>146</v>
      </c>
      <c r="L90" s="1"/>
      <c r="M90" s="1"/>
      <c r="N90" s="1"/>
      <c r="O90" s="1"/>
      <c r="P90" s="1"/>
    </row>
    <row r="91" ht="28.5">
      <c r="A91" s="1"/>
      <c r="B91" s="6" t="s">
        <v>147</v>
      </c>
      <c r="C91" s="21"/>
      <c r="D91" s="21"/>
      <c r="E91" s="21"/>
      <c r="F91" s="21"/>
      <c r="G91" s="21"/>
      <c r="H91" s="67" t="s">
        <v>129</v>
      </c>
      <c r="I91" s="67" t="s">
        <v>129</v>
      </c>
      <c r="J91" s="28" t="s">
        <v>129</v>
      </c>
      <c r="K91" s="134" t="s">
        <v>148</v>
      </c>
      <c r="L91" s="1"/>
      <c r="M91" s="1"/>
      <c r="N91" s="1"/>
      <c r="O91" s="1"/>
      <c r="P91" s="1"/>
    </row>
    <row r="92">
      <c r="A92" s="1"/>
      <c r="B92" s="6" t="s">
        <v>149</v>
      </c>
      <c r="C92" s="21"/>
      <c r="D92" s="21"/>
      <c r="E92" s="21"/>
      <c r="F92" s="21"/>
      <c r="G92" s="21"/>
      <c r="H92" s="21" t="str">
        <f>IF(AND(ISNUMBER(H88),ISNUMBER(H90),ISNUMBER(H91)),(1+H88)/((1+H90)*(1+H91))-1,"n.a.")</f>
        <v>n.a.</v>
      </c>
      <c r="I92" s="21" t="str">
        <f>IF(AND(ISNUMBER(I88),ISNUMBER(I90),ISNUMBER(I91)),(1+I88)/((1+I90)*(1+I91))-1,"n.a.")</f>
        <v>n.a.</v>
      </c>
      <c r="J92" s="29" t="str">
        <f>IF(AND(ISNUMBER(J88),ISNUMBER(J90),ISNUMBER(J91)),(1+J88)/((1+J90)*(1+J91))-1,"n.a.")</f>
        <v>n.a.</v>
      </c>
      <c r="K92" s="1"/>
      <c r="L92" s="1"/>
      <c r="M92" s="1"/>
      <c r="N92" s="1"/>
      <c r="O92" s="1"/>
      <c r="P92" s="1"/>
    </row>
    <row r="93">
      <c r="A93" s="1"/>
      <c r="B93" s="1" t="s">
        <v>280</v>
      </c>
      <c r="C93" s="12">
        <f>Inputs!C145-D93</f>
        <v>706</v>
      </c>
      <c r="D93" s="18">
        <v>782</v>
      </c>
      <c r="E93" s="18">
        <v>790</v>
      </c>
      <c r="F93" s="18">
        <v>770</v>
      </c>
      <c r="G93" s="14">
        <f>SUM(C93:F93)</f>
        <v>3048</v>
      </c>
      <c r="H93" s="18">
        <v>770</v>
      </c>
      <c r="I93" s="18">
        <v>1227</v>
      </c>
      <c r="J93" s="10"/>
      <c r="K93" s="1"/>
      <c r="L93" s="1"/>
      <c r="M93" s="1"/>
      <c r="N93" s="1"/>
      <c r="O93" s="1"/>
      <c r="P93" s="1"/>
    </row>
    <row r="94" ht="41.25">
      <c r="A94" s="1"/>
      <c r="B94" s="1" t="s">
        <v>281</v>
      </c>
      <c r="C94" s="14">
        <f>C93-C63-C69-C75-C81-C87</f>
        <v>9</v>
      </c>
      <c r="D94" s="14">
        <f>D93-D63-D69-D75-D81-D87</f>
        <v>53</v>
      </c>
      <c r="E94" s="14">
        <f>E93-E63-E69-E75-E81-E87</f>
        <v>14</v>
      </c>
      <c r="F94" s="14">
        <f>F93-F63-F69-F75-F81-F87</f>
        <v>10</v>
      </c>
      <c r="G94" s="14">
        <f>G93-G63-G69-G75-G81-G87</f>
        <v>86</v>
      </c>
      <c r="H94" s="14">
        <f>H93-H63-H69-H75-H81-H87</f>
        <v>24</v>
      </c>
      <c r="I94" s="14">
        <f>I93-I63-I69-I75-I81-I87</f>
        <v>-30</v>
      </c>
      <c r="J94" s="27">
        <v>-10</v>
      </c>
      <c r="K94" s="134" t="s">
        <v>282</v>
      </c>
      <c r="L94" s="1"/>
      <c r="M94" s="1"/>
      <c r="N94" s="1"/>
      <c r="O94" s="1"/>
      <c r="P94" s="1"/>
    </row>
    <row r="95" ht="28.5">
      <c r="A95" s="1"/>
      <c r="B95" s="6" t="s">
        <v>143</v>
      </c>
      <c r="C95" s="21"/>
      <c r="D95" s="21"/>
      <c r="E95" s="21"/>
      <c r="F95" s="21"/>
      <c r="G95" s="21"/>
      <c r="H95" s="21">
        <f>IF(AND(ISNUMBER(H94),ISNUMBER(C94)),IF(OR(C94&lt;=0,H94&lt;0),"n.m.",IFERROR(H94/C94-1,"n.a.")),"n.a.")</f>
        <v>1.6666666666666665</v>
      </c>
      <c r="I95" s="21" t="str">
        <f>IF(AND(ISNUMBER(I94),ISNUMBER(D94)),IF(OR(D94&lt;=0,I94&lt;0),"n.m.",IFERROR(I94/D94-1,"n.a.")),"n.a.")</f>
        <v>n.m.</v>
      </c>
      <c r="J95" s="29" t="str">
        <f>IF(AND(ISNUMBER(J94),ISNUMBER(E94)),IF(OR(E94&lt;=0,J94&lt;0),"n.m.",IFERROR(J94/E94-1,"n.a.")),"n.a.")</f>
        <v>n.m.</v>
      </c>
      <c r="K95" s="134" t="s">
        <v>248</v>
      </c>
      <c r="L95" s="1"/>
      <c r="M95" s="1"/>
      <c r="N95" s="1"/>
      <c r="O95" s="1"/>
      <c r="P95" s="1"/>
    </row>
    <row r="96">
      <c r="A96" s="1"/>
      <c r="B96" s="6" t="s">
        <v>144</v>
      </c>
      <c r="C96" s="21"/>
      <c r="D96" s="21">
        <f>IF(AND(ISNUMBER(D94),ISNUMBER(C94)),IF(OR(C94&lt;=0,D94&lt;0),"n.m.",IFERROR(D94/C94-1,"n.a.")),"n.a.")</f>
        <v>4.888888888888889</v>
      </c>
      <c r="E96" s="21">
        <f>IF(AND(ISNUMBER(E94),ISNUMBER(D94)),IF(OR(D94&lt;=0,E94&lt;0),"n.m.",IFERROR(E94/D94-1,"n.a.")),"n.a.")</f>
        <v>-0.7358490566037736</v>
      </c>
      <c r="F96" s="21">
        <f>IF(AND(ISNUMBER(F94),ISNUMBER(E94)),IF(OR(E94&lt;=0,F94&lt;0),"n.m.",IFERROR(F94/E94-1,"n.a.")),"n.a.")</f>
        <v>-0.2857142857142857</v>
      </c>
      <c r="G96" s="21"/>
      <c r="H96" s="21">
        <f>IF(AND(ISNUMBER(H94),ISNUMBER(F94)),IF(OR(F94&lt;=0,H94&lt;0),"n.m.",IFERROR(H94/F94-1,"n.a.")),"n.a.")</f>
        <v>1.4</v>
      </c>
      <c r="I96" s="21" t="str">
        <f>IF(AND(ISNUMBER(I94),ISNUMBER(H94)),IF(OR(H94&lt;=0,I94&lt;0),"n.m.",IFERROR(I94/H94-1,"n.a.")),"n.a.")</f>
        <v>n.m.</v>
      </c>
      <c r="J96" s="29" t="str">
        <f>IF(AND(ISNUMBER(J94),ISNUMBER(I94)),IF(OR(I94&lt;=0,J94&lt;0),"n.m.",IFERROR(J94/I94-1,"n.a.")),"n.a.")</f>
        <v>n.m.</v>
      </c>
      <c r="K96" s="1"/>
      <c r="L96" s="1"/>
      <c r="M96" s="1"/>
      <c r="N96" s="1"/>
      <c r="O96" s="1"/>
      <c r="P96" s="1"/>
    </row>
    <row r="97" ht="41.25">
      <c r="A97" s="1"/>
      <c r="B97" s="6" t="s">
        <v>145</v>
      </c>
      <c r="C97" s="21"/>
      <c r="D97" s="21"/>
      <c r="E97" s="21"/>
      <c r="F97" s="21"/>
      <c r="G97" s="21"/>
      <c r="H97" s="67" t="s">
        <v>129</v>
      </c>
      <c r="I97" s="67" t="s">
        <v>129</v>
      </c>
      <c r="J97" s="28" t="s">
        <v>129</v>
      </c>
      <c r="K97" s="134" t="s">
        <v>146</v>
      </c>
      <c r="L97" s="1"/>
      <c r="M97" s="1"/>
      <c r="N97" s="1"/>
      <c r="O97" s="1"/>
      <c r="P97" s="1"/>
    </row>
    <row r="98" ht="28.5">
      <c r="A98" s="1"/>
      <c r="B98" s="6" t="s">
        <v>147</v>
      </c>
      <c r="C98" s="21"/>
      <c r="D98" s="21"/>
      <c r="E98" s="21"/>
      <c r="F98" s="21"/>
      <c r="G98" s="21"/>
      <c r="H98" s="67" t="s">
        <v>129</v>
      </c>
      <c r="I98" s="67" t="s">
        <v>129</v>
      </c>
      <c r="J98" s="28" t="s">
        <v>129</v>
      </c>
      <c r="K98" s="134" t="s">
        <v>148</v>
      </c>
      <c r="L98" s="1"/>
      <c r="M98" s="1"/>
      <c r="N98" s="1"/>
      <c r="O98" s="1"/>
      <c r="P98" s="1"/>
    </row>
    <row r="99">
      <c r="A99" s="1"/>
      <c r="B99" s="6" t="s">
        <v>149</v>
      </c>
      <c r="C99" s="21"/>
      <c r="D99" s="21"/>
      <c r="E99" s="21"/>
      <c r="F99" s="21"/>
      <c r="G99" s="21"/>
      <c r="H99" s="21" t="str">
        <f>IF(AND(ISNUMBER(H95),ISNUMBER(H97),ISNUMBER(H98)),(1+H95)/((1+H97)*(1+H98))-1,"n.a.")</f>
        <v>n.a.</v>
      </c>
      <c r="I99" s="21" t="str">
        <f>IF(AND(ISNUMBER(I95),ISNUMBER(I97),ISNUMBER(I98)),(1+I95)/((1+I97)*(1+I98))-1,"n.a.")</f>
        <v>n.a.</v>
      </c>
      <c r="J99" s="29" t="str">
        <f>IF(AND(ISNUMBER(J95),ISNUMBER(J97),ISNUMBER(J98)),(1+J95)/((1+J97)*(1+J98))-1,"n.a.")</f>
        <v>n.a.</v>
      </c>
      <c r="K99" s="1"/>
      <c r="L99" s="1"/>
      <c r="M99" s="1"/>
      <c r="N99" s="1"/>
      <c r="O99" s="1"/>
      <c r="P99" s="1"/>
    </row>
    <row r="100">
      <c r="A100" s="1"/>
      <c r="B100" s="7" t="s">
        <v>254</v>
      </c>
      <c r="C100" s="22">
        <f>C63+C69+C75+C81+C87+C94</f>
        <v>706</v>
      </c>
      <c r="D100" s="22">
        <f>D63+D69+D75+D81+D87+D94</f>
        <v>782</v>
      </c>
      <c r="E100" s="22">
        <f>E63+E69+E75+E81+E87+E94</f>
        <v>790</v>
      </c>
      <c r="F100" s="22">
        <f>F63+F69+F75+F81+F87+F94</f>
        <v>770</v>
      </c>
      <c r="G100" s="22">
        <f>G63+G69+G75+G81+G87+G94</f>
        <v>3048</v>
      </c>
      <c r="H100" s="22">
        <f>H63+H69+H75+H81+H87+H94</f>
        <v>770</v>
      </c>
      <c r="I100" s="22">
        <f>I63+I69+I75+I81+I87+I94</f>
        <v>1227</v>
      </c>
      <c r="J100" s="23">
        <f>J63+J69+J75+J81+J87+J94</f>
        <v>799.0006</v>
      </c>
      <c r="K100" s="1"/>
      <c r="L100" s="1"/>
      <c r="M100" s="1"/>
      <c r="N100" s="1"/>
      <c r="O100" s="1"/>
      <c r="P100" s="1"/>
    </row>
    <row r="101">
      <c r="A101" s="1"/>
      <c r="B101" s="6" t="s">
        <v>143</v>
      </c>
      <c r="C101" s="21"/>
      <c r="D101" s="21"/>
      <c r="E101" s="21"/>
      <c r="F101" s="21"/>
      <c r="G101" s="21"/>
      <c r="H101" s="21">
        <f>IF(AND(ISNUMBER(H100),ISNUMBER(C100)),IF(C100&lt;=0,"n.m.",IFERROR(H100/C100-1,"n.a.")),"n.a.")</f>
        <v>0.09065155807365444</v>
      </c>
      <c r="I101" s="21">
        <f>IF(AND(ISNUMBER(I100),ISNUMBER(D100)),IF(D100&lt;=0,"n.m.",IFERROR(I100/D100-1,"n.a.")),"n.a.")</f>
        <v>0.5690537084398977</v>
      </c>
      <c r="J101" s="29">
        <f>IF(AND(ISNUMBER(J100),ISNUMBER(E100)),IF(E100&lt;=0,"n.m.",IFERROR(J100/E100-1,"n.a.")),"n.a.")</f>
        <v>0.011393164556962043</v>
      </c>
      <c r="K101" s="1"/>
      <c r="L101" s="1"/>
      <c r="M101" s="1"/>
      <c r="N101" s="1"/>
      <c r="O101" s="1"/>
      <c r="P101" s="1"/>
    </row>
    <row r="102">
      <c r="A102" s="1"/>
      <c r="B102" s="6" t="s">
        <v>144</v>
      </c>
      <c r="C102" s="21"/>
      <c r="D102" s="21">
        <f>IF(AND(ISNUMBER(D100),ISNUMBER(C100)),IF(C100&lt;=0,"n.m.",IFERROR(D100/C100-1,"n.a.")),"n.a.")</f>
        <v>0.10764872521246449</v>
      </c>
      <c r="E102" s="21">
        <f>IF(AND(ISNUMBER(E100),ISNUMBER(D100)),IF(D100&lt;=0,"n.m.",IFERROR(E100/D100-1,"n.a.")),"n.a.")</f>
        <v>0.010230179028132946</v>
      </c>
      <c r="F102" s="21">
        <f>IF(AND(ISNUMBER(F100),ISNUMBER(E100)),IF(E100&lt;=0,"n.m.",IFERROR(F100/E100-1,"n.a.")),"n.a.")</f>
        <v>-0.025316455696202556</v>
      </c>
      <c r="G102" s="21"/>
      <c r="H102" s="21">
        <f>IF(AND(ISNUMBER(H100),ISNUMBER(F100)),IF(F100&lt;=0,"n.m.",IFERROR(H100/F100-1,"n.a.")),"n.a.")</f>
        <v>0</v>
      </c>
      <c r="I102" s="21">
        <f>IF(AND(ISNUMBER(I100),ISNUMBER(H100)),IF(H100&lt;=0,"n.m.",IFERROR(I100/H100-1,"n.a.")),"n.a.")</f>
        <v>0.5935064935064935</v>
      </c>
      <c r="J102" s="29">
        <f>IF(AND(ISNUMBER(J100),ISNUMBER(I100)),IF(I100&lt;=0,"n.m.",IFERROR(J100/I100-1,"n.a.")),"n.a.")</f>
        <v>-0.3488177669111655</v>
      </c>
      <c r="K102" s="1"/>
      <c r="L102" s="1"/>
      <c r="M102" s="1"/>
      <c r="N102" s="1"/>
      <c r="O102" s="1"/>
      <c r="P102" s="1"/>
    </row>
    <row r="103" ht="41.25">
      <c r="A103" s="1"/>
      <c r="B103" s="6" t="s">
        <v>145</v>
      </c>
      <c r="C103" s="21"/>
      <c r="D103" s="21"/>
      <c r="E103" s="21"/>
      <c r="F103" s="21"/>
      <c r="G103" s="21"/>
      <c r="H103" s="67" t="s">
        <v>129</v>
      </c>
      <c r="I103" s="67" t="s">
        <v>129</v>
      </c>
      <c r="J103" s="28" t="s">
        <v>129</v>
      </c>
      <c r="K103" s="134" t="s">
        <v>146</v>
      </c>
      <c r="L103" s="1"/>
      <c r="M103" s="1"/>
      <c r="N103" s="1"/>
      <c r="O103" s="1"/>
      <c r="P103" s="1"/>
    </row>
    <row r="104" ht="28.5">
      <c r="A104" s="1"/>
      <c r="B104" s="6" t="s">
        <v>147</v>
      </c>
      <c r="C104" s="21"/>
      <c r="D104" s="21"/>
      <c r="E104" s="21"/>
      <c r="F104" s="21"/>
      <c r="G104" s="21"/>
      <c r="H104" s="67" t="s">
        <v>129</v>
      </c>
      <c r="I104" s="67" t="s">
        <v>129</v>
      </c>
      <c r="J104" s="28" t="s">
        <v>129</v>
      </c>
      <c r="K104" s="134" t="s">
        <v>148</v>
      </c>
      <c r="L104" s="1"/>
      <c r="M104" s="1"/>
      <c r="N104" s="1"/>
      <c r="O104" s="1"/>
      <c r="P104" s="1"/>
    </row>
    <row r="105">
      <c r="A105" s="1"/>
      <c r="B105" s="6" t="s">
        <v>149</v>
      </c>
      <c r="C105" s="21"/>
      <c r="D105" s="21"/>
      <c r="E105" s="21"/>
      <c r="F105" s="21"/>
      <c r="G105" s="21"/>
      <c r="H105" s="21" t="str">
        <f>IF(AND(ISNUMBER(H101),ISNUMBER(H103),ISNUMBER(H104)),(1+H101)/((1+H103)*(1+H104))-1,"n.a.")</f>
        <v>n.a.</v>
      </c>
      <c r="I105" s="21" t="str">
        <f>IF(AND(ISNUMBER(I101),ISNUMBER(I103),ISNUMBER(I104)),(1+I101)/((1+I103)*(1+I104))-1,"n.a.")</f>
        <v>n.a.</v>
      </c>
      <c r="J105" s="29" t="str">
        <f>IF(AND(ISNUMBER(J101),ISNUMBER(J103),ISNUMBER(J104)),(1+J101)/((1+J103)*(1+J104))-1,"n.a.")</f>
        <v>n.a.</v>
      </c>
      <c r="K105" s="1"/>
      <c r="L105" s="1"/>
      <c r="M105" s="1"/>
      <c r="N105" s="1"/>
      <c r="O105" s="1"/>
      <c r="P105" s="1"/>
    </row>
    <row r="106">
      <c r="A106" s="1"/>
      <c r="B106" s="7" t="s">
        <v>283</v>
      </c>
      <c r="C106" s="22">
        <f>C56+C100</f>
        <v>3579</v>
      </c>
      <c r="D106" s="22">
        <f>D56+D100</f>
        <v>3792</v>
      </c>
      <c r="E106" s="22">
        <f>E56+E100</f>
        <v>3840</v>
      </c>
      <c r="F106" s="22">
        <f>F56+F100</f>
        <v>3792</v>
      </c>
      <c r="G106" s="22">
        <f>G56+G100</f>
        <v>15003</v>
      </c>
      <c r="H106" s="22">
        <f>H56+H100</f>
        <v>4007</v>
      </c>
      <c r="I106" s="22">
        <f>I56+I100</f>
        <v>4518</v>
      </c>
      <c r="J106" s="23">
        <f>J56+J100</f>
        <v>4143.254546273479</v>
      </c>
      <c r="K106" s="1"/>
      <c r="L106" s="1"/>
      <c r="M106" s="1"/>
      <c r="N106" s="1"/>
      <c r="O106" s="1"/>
      <c r="P106" s="1"/>
    </row>
    <row r="107">
      <c r="A107" s="1"/>
      <c r="B107" s="6" t="s">
        <v>143</v>
      </c>
      <c r="C107" s="21"/>
      <c r="D107" s="21"/>
      <c r="E107" s="21"/>
      <c r="F107" s="21"/>
      <c r="G107" s="21"/>
      <c r="H107" s="21">
        <f>IF(AND(ISNUMBER(H106),ISNUMBER(C106)),IF(C106&lt;=0,"n.m.",IFERROR(H106/C106-1,"n.a.")),"n.a.")</f>
        <v>0.11958647666946076</v>
      </c>
      <c r="I107" s="21">
        <f>IF(AND(ISNUMBER(I106),ISNUMBER(D106)),IF(D106&lt;=0,"n.m.",IFERROR(I106/D106-1,"n.a.")),"n.a.")</f>
        <v>0.19145569620253156</v>
      </c>
      <c r="J107" s="29">
        <f>IF(AND(ISNUMBER(J106),ISNUMBER(E106)),IF(E106&lt;=0,"n.m.",IFERROR(J106/E106-1,"n.a.")),"n.a.")</f>
        <v>0.07897253809205185</v>
      </c>
      <c r="K107" s="1"/>
      <c r="L107" s="1"/>
      <c r="M107" s="1"/>
      <c r="N107" s="1"/>
      <c r="O107" s="1"/>
      <c r="P107" s="1"/>
    </row>
    <row r="108">
      <c r="A108" s="1"/>
      <c r="B108" s="6" t="s">
        <v>144</v>
      </c>
      <c r="C108" s="21"/>
      <c r="D108" s="21">
        <f>IF(AND(ISNUMBER(D106),ISNUMBER(C106)),IF(C106&lt;=0,"n.m.",IFERROR(D106/C106-1,"n.a.")),"n.a.")</f>
        <v>0.059513830678960655</v>
      </c>
      <c r="E108" s="21">
        <f>IF(AND(ISNUMBER(E106),ISNUMBER(D106)),IF(D106&lt;=0,"n.m.",IFERROR(E106/D106-1,"n.a.")),"n.a.")</f>
        <v>0.012658227848101333</v>
      </c>
      <c r="F108" s="21">
        <f>IF(AND(ISNUMBER(F106),ISNUMBER(E106)),IF(E106&lt;=0,"n.m.",IFERROR(F106/E106-1,"n.a.")),"n.a.")</f>
        <v>-0.012499999999999956</v>
      </c>
      <c r="G108" s="21"/>
      <c r="H108" s="21">
        <f>IF(AND(ISNUMBER(H106),ISNUMBER(F106)),IF(F106&lt;=0,"n.m.",IFERROR(H106/F106-1,"n.a.")),"n.a.")</f>
        <v>0.05669831223628696</v>
      </c>
      <c r="I108" s="21">
        <f>IF(AND(ISNUMBER(I106),ISNUMBER(H106)),IF(H106&lt;=0,"n.m.",IFERROR(I106/H106-1,"n.a.")),"n.a.")</f>
        <v>0.12752682805091098</v>
      </c>
      <c r="J108" s="29">
        <f>IF(AND(ISNUMBER(J106),ISNUMBER(I106)),IF(I106&lt;=0,"n.m.",IFERROR(J106/I106-1,"n.a.")),"n.a.")</f>
        <v>-0.08294498754460411</v>
      </c>
      <c r="K108" s="1"/>
      <c r="L108" s="1"/>
      <c r="M108" s="1"/>
      <c r="N108" s="1"/>
      <c r="O108" s="1"/>
      <c r="P108" s="1"/>
    </row>
    <row r="109">
      <c r="A109" s="1"/>
      <c r="B109" s="6" t="s">
        <v>284</v>
      </c>
      <c r="C109" s="69">
        <f>IFERROR(C106/'Income Statement'!C33,"")</f>
        <v>0.6564563462949377</v>
      </c>
      <c r="D109" s="69">
        <f>IFERROR(D106/'Income Statement'!D33,"")</f>
        <v>0.6698463169051404</v>
      </c>
      <c r="E109" s="69">
        <f>IFERROR(E106/'Income Statement'!E33,"")</f>
        <v>0.6491969568892646</v>
      </c>
      <c r="F109" s="69">
        <f>IFERROR(F106/'Income Statement'!F33,"")</f>
        <v>0.6246087959150057</v>
      </c>
      <c r="G109" s="69">
        <f>IFERROR(G106/'Income Statement'!G33,"")</f>
        <v>0.6495086367375211</v>
      </c>
      <c r="H109" s="69">
        <f>IFERROR(H106/'Income Statement'!H33,"")</f>
        <v>0.6499594484995945</v>
      </c>
      <c r="I109" s="69">
        <f>IFERROR(I106/'Income Statement'!I33,"")</f>
        <v>0.6571636363636364</v>
      </c>
      <c r="J109" s="84">
        <f>IFERROR(J106/'Income Statement'!J33,"")</f>
        <v>0.626332342731876</v>
      </c>
      <c r="K109" s="1"/>
      <c r="L109" s="1"/>
      <c r="M109" s="1"/>
      <c r="N109" s="1"/>
      <c r="O109" s="1"/>
      <c r="P109" s="1"/>
    </row>
    <row r="110" ht="41.25">
      <c r="A110" s="1"/>
      <c r="B110" s="6" t="s">
        <v>145</v>
      </c>
      <c r="C110" s="21"/>
      <c r="D110" s="21"/>
      <c r="E110" s="21"/>
      <c r="F110" s="21"/>
      <c r="G110" s="21"/>
      <c r="H110" s="67" t="s">
        <v>129</v>
      </c>
      <c r="I110" s="67" t="s">
        <v>129</v>
      </c>
      <c r="J110" s="28" t="s">
        <v>129</v>
      </c>
      <c r="K110" s="134" t="s">
        <v>146</v>
      </c>
      <c r="L110" s="1"/>
      <c r="M110" s="1"/>
      <c r="N110" s="1"/>
      <c r="O110" s="1"/>
      <c r="P110" s="1"/>
    </row>
    <row r="111" ht="28.5">
      <c r="A111" s="1"/>
      <c r="B111" s="6" t="s">
        <v>147</v>
      </c>
      <c r="C111" s="21"/>
      <c r="D111" s="21"/>
      <c r="E111" s="21"/>
      <c r="F111" s="21"/>
      <c r="G111" s="21"/>
      <c r="H111" s="67" t="s">
        <v>129</v>
      </c>
      <c r="I111" s="67" t="s">
        <v>129</v>
      </c>
      <c r="J111" s="28" t="s">
        <v>129</v>
      </c>
      <c r="K111" s="134" t="s">
        <v>148</v>
      </c>
      <c r="L111" s="1"/>
      <c r="M111" s="1"/>
      <c r="N111" s="1"/>
      <c r="O111" s="1"/>
      <c r="P111" s="1"/>
    </row>
    <row r="112">
      <c r="A112" s="1"/>
      <c r="B112" s="6" t="s">
        <v>149</v>
      </c>
      <c r="C112" s="21"/>
      <c r="D112" s="21"/>
      <c r="E112" s="21"/>
      <c r="F112" s="21"/>
      <c r="G112" s="21"/>
      <c r="H112" s="21" t="str">
        <f>IF(AND(ISNUMBER(H107),ISNUMBER(H110),ISNUMBER(H111)),(1+H107)/((1+H110)*(1+H111))-1,"n.a.")</f>
        <v>n.a.</v>
      </c>
      <c r="I112" s="21" t="str">
        <f>IF(AND(ISNUMBER(I107),ISNUMBER(I110),ISNUMBER(I111)),(1+I107)/((1+I110)*(1+I111))-1,"n.a.")</f>
        <v>n.a.</v>
      </c>
      <c r="J112" s="29" t="str">
        <f>IF(AND(ISNUMBER(J107),ISNUMBER(J110),ISNUMBER(J111)),(1+J107)/((1+J110)*(1+J111))-1,"n.a.")</f>
        <v>n.a.</v>
      </c>
      <c r="K112" s="1"/>
      <c r="L112" s="1"/>
      <c r="M112" s="1"/>
      <c r="N112" s="1"/>
      <c r="O112" s="1"/>
      <c r="P112" s="1"/>
    </row>
    <row r="113">
      <c r="A113" s="1"/>
      <c r="B113" s="32" t="s">
        <v>285</v>
      </c>
      <c r="C113" s="11"/>
      <c r="D113" s="11"/>
      <c r="E113" s="11"/>
      <c r="F113" s="11"/>
      <c r="G113" s="11"/>
      <c r="H113" s="11"/>
      <c r="I113" s="11"/>
      <c r="J113" s="30"/>
      <c r="K113" s="1"/>
      <c r="L113" s="1"/>
      <c r="M113" s="1"/>
      <c r="N113" s="1"/>
      <c r="O113" s="1"/>
      <c r="P113" s="1"/>
    </row>
    <row r="114">
      <c r="A114" s="1"/>
      <c r="B114" s="1" t="s">
        <v>286</v>
      </c>
      <c r="C114" s="18">
        <v>193</v>
      </c>
      <c r="D114" s="18">
        <v>189</v>
      </c>
      <c r="E114" s="18">
        <v>199</v>
      </c>
      <c r="F114" s="18">
        <v>198</v>
      </c>
      <c r="G114" s="14">
        <f>F114</f>
        <v>198</v>
      </c>
      <c r="H114" s="18">
        <v>212</v>
      </c>
      <c r="I114" s="18">
        <v>209</v>
      </c>
      <c r="J114" s="27">
        <v>208</v>
      </c>
      <c r="K114" s="1"/>
      <c r="L114" s="1"/>
      <c r="M114" s="1"/>
      <c r="N114" s="1"/>
      <c r="O114" s="1"/>
      <c r="P114" s="1"/>
    </row>
    <row r="115">
      <c r="A115" s="1"/>
      <c r="B115" s="6" t="s">
        <v>143</v>
      </c>
      <c r="C115" s="21"/>
      <c r="D115" s="21"/>
      <c r="E115" s="21"/>
      <c r="F115" s="21"/>
      <c r="G115" s="21"/>
      <c r="H115" s="21">
        <f>IF(AND(ISNUMBER(H114),ISNUMBER(C114)),IF(C114&lt;=0,"n.m.",IFERROR(H114/C114-1,"n.a.")),"n.a.")</f>
        <v>0.09844559585492219</v>
      </c>
      <c r="I115" s="21">
        <f>IF(AND(ISNUMBER(I114),ISNUMBER(D114)),IF(D114&lt;=0,"n.m.",IFERROR(I114/D114-1,"n.a.")),"n.a.")</f>
        <v>0.10582010582010581</v>
      </c>
      <c r="J115" s="29">
        <f>IF(AND(ISNUMBER(J114),ISNUMBER(E114)),IF(E114&lt;=0,"n.m.",IFERROR(J114/E114-1,"n.a.")),"n.a.")</f>
        <v>0.045226130653266416</v>
      </c>
      <c r="K115" s="1"/>
      <c r="L115" s="1"/>
      <c r="M115" s="1"/>
      <c r="N115" s="1"/>
      <c r="O115" s="1"/>
      <c r="P115" s="1"/>
    </row>
    <row r="116">
      <c r="A116" s="1"/>
      <c r="B116" s="1" t="s">
        <v>162</v>
      </c>
      <c r="C116" s="14"/>
      <c r="D116" s="14">
        <f>IF(AND(ISNUMBER(D114),ISNUMBER(C114)),D114-C114,"n.a.")</f>
        <v>-4</v>
      </c>
      <c r="E116" s="14">
        <f>IF(AND(ISNUMBER(E114),ISNUMBER(D114)),E114-D114,"n.a.")</f>
        <v>10</v>
      </c>
      <c r="F116" s="14">
        <f>IF(AND(ISNUMBER(F114),ISNUMBER(E114)),F114-E114,"n.a.")</f>
        <v>-1</v>
      </c>
      <c r="G116" s="14"/>
      <c r="H116" s="14">
        <f>IF(AND(ISNUMBER(H114),ISNUMBER(F114)),H114-F114,"n.a.")</f>
        <v>14</v>
      </c>
      <c r="I116" s="14">
        <f>IF(AND(ISNUMBER(I114),ISNUMBER(H114)),I114-H114,"n.a.")</f>
        <v>-3</v>
      </c>
      <c r="J116" s="10">
        <f>IF(AND(ISNUMBER(J114),ISNUMBER(I114)),J114-I114,"n.a.")</f>
        <v>-1</v>
      </c>
      <c r="K116" s="1"/>
      <c r="L116" s="1"/>
      <c r="M116" s="1"/>
      <c r="N116" s="1"/>
      <c r="O116" s="1"/>
      <c r="P116" s="1"/>
    </row>
    <row r="117" ht="15.75">
      <c r="A117" s="1"/>
      <c r="B117" s="1" t="s">
        <v>287</v>
      </c>
      <c r="C117" s="18">
        <v>2523</v>
      </c>
      <c r="D117" s="18">
        <v>2457</v>
      </c>
      <c r="E117" s="18">
        <v>2622</v>
      </c>
      <c r="F117" s="18">
        <v>2638</v>
      </c>
      <c r="G117" s="14">
        <f>F117</f>
        <v>2638</v>
      </c>
      <c r="H117" s="18">
        <v>2786</v>
      </c>
      <c r="I117" s="18">
        <v>2762</v>
      </c>
      <c r="J117" s="27">
        <v>2850</v>
      </c>
      <c r="K117" s="134" t="s">
        <v>288</v>
      </c>
      <c r="L117" s="1"/>
      <c r="M117" s="1"/>
      <c r="N117" s="1"/>
      <c r="O117" s="1"/>
      <c r="P117" s="1"/>
    </row>
    <row r="118">
      <c r="A118" s="1"/>
      <c r="B118" s="6" t="s">
        <v>143</v>
      </c>
      <c r="C118" s="21"/>
      <c r="D118" s="21"/>
      <c r="E118" s="21"/>
      <c r="F118" s="21"/>
      <c r="G118" s="21"/>
      <c r="H118" s="21">
        <f>IF(AND(ISNUMBER(H117),ISNUMBER(C117)),IF(C117&lt;=0,"n.m.",IFERROR(H117/C117-1,"n.a.")),"n.a.")</f>
        <v>0.1042409829567974</v>
      </c>
      <c r="I118" s="21">
        <f>IF(AND(ISNUMBER(I117),ISNUMBER(D117)),IF(D117&lt;=0,"n.m.",IFERROR(I117/D117-1,"n.a.")),"n.a.")</f>
        <v>0.12413512413512406</v>
      </c>
      <c r="J118" s="29">
        <f>IF(AND(ISNUMBER(J117),ISNUMBER(E117)),IF(E117&lt;=0,"n.m.",IFERROR(J117/E117-1,"n.a.")),"n.a.")</f>
        <v>0.08695652173913038</v>
      </c>
      <c r="K118" s="1"/>
      <c r="L118" s="1"/>
      <c r="M118" s="1"/>
      <c r="N118" s="1"/>
      <c r="O118" s="1"/>
      <c r="P118" s="1"/>
    </row>
    <row r="119">
      <c r="A119" s="1"/>
      <c r="B119" s="1" t="s">
        <v>162</v>
      </c>
      <c r="C119" s="14"/>
      <c r="D119" s="14">
        <f>IF(AND(ISNUMBER(D117),ISNUMBER(C117)),D117-C117,"n.a.")</f>
        <v>-66</v>
      </c>
      <c r="E119" s="14">
        <f>IF(AND(ISNUMBER(E117),ISNUMBER(D117)),E117-D117,"n.a.")</f>
        <v>165</v>
      </c>
      <c r="F119" s="14">
        <f>IF(AND(ISNUMBER(F117),ISNUMBER(E117)),F117-E117,"n.a.")</f>
        <v>16</v>
      </c>
      <c r="G119" s="14"/>
      <c r="H119" s="14">
        <f>IF(AND(ISNUMBER(H117),ISNUMBER(F117)),H117-F117,"n.a.")</f>
        <v>148</v>
      </c>
      <c r="I119" s="14">
        <f>IF(AND(ISNUMBER(I117),ISNUMBER(H117)),I117-H117,"n.a.")</f>
        <v>-24</v>
      </c>
      <c r="J119" s="10">
        <f>IF(AND(ISNUMBER(J117),ISNUMBER(I117)),J117-I117,"n.a.")</f>
        <v>88</v>
      </c>
      <c r="K119" s="1"/>
      <c r="L119" s="1"/>
      <c r="M119" s="1"/>
      <c r="N119" s="1"/>
      <c r="O119" s="1"/>
      <c r="P119" s="1"/>
    </row>
    <row r="120">
      <c r="A120" s="1"/>
      <c r="B120" s="1" t="s">
        <v>289</v>
      </c>
      <c r="C120" s="12">
        <f>Inputs!C158-D120</f>
        <v>71</v>
      </c>
      <c r="D120" s="18">
        <v>60</v>
      </c>
      <c r="E120" s="18">
        <v>60</v>
      </c>
      <c r="F120" s="18">
        <v>63</v>
      </c>
      <c r="G120" s="14">
        <f>SUM(C120:F120)</f>
        <v>254</v>
      </c>
      <c r="H120" s="18">
        <v>68</v>
      </c>
      <c r="I120" s="18">
        <v>61</v>
      </c>
      <c r="J120" s="27">
        <v>62</v>
      </c>
      <c r="K120" s="1"/>
      <c r="L120" s="1"/>
      <c r="M120" s="1"/>
      <c r="N120" s="1"/>
      <c r="O120" s="1"/>
      <c r="P120" s="1"/>
    </row>
    <row r="121">
      <c r="A121" s="1"/>
      <c r="B121" s="6" t="s">
        <v>143</v>
      </c>
      <c r="C121" s="21"/>
      <c r="D121" s="21"/>
      <c r="E121" s="21"/>
      <c r="F121" s="21"/>
      <c r="G121" s="21"/>
      <c r="H121" s="21">
        <f>IF(AND(ISNUMBER(H120),ISNUMBER(C120)),IF(C120&lt;=0,"n.m.",IFERROR(H120/C120-1,"n.a.")),"n.a.")</f>
        <v>-0.04225352112676062</v>
      </c>
      <c r="I121" s="21">
        <f>IF(AND(ISNUMBER(I120),ISNUMBER(D120)),IF(D120&lt;=0,"n.m.",IFERROR(I120/D120-1,"n.a.")),"n.a.")</f>
        <v>0.016666666666666607</v>
      </c>
      <c r="J121" s="29">
        <f>IF(AND(ISNUMBER(J120),ISNUMBER(E120)),IF(E120&lt;=0,"n.m.",IFERROR(J120/E120-1,"n.a.")),"n.a.")</f>
        <v>0.03333333333333344</v>
      </c>
      <c r="K121" s="1"/>
      <c r="L121" s="1"/>
      <c r="M121" s="1"/>
      <c r="N121" s="1"/>
      <c r="O121" s="1"/>
      <c r="P121" s="1"/>
    </row>
    <row r="122">
      <c r="A122" s="1"/>
      <c r="B122" s="1" t="s">
        <v>162</v>
      </c>
      <c r="C122" s="14"/>
      <c r="D122" s="14">
        <f>IF(AND(ISNUMBER(D120),ISNUMBER(C120)),D120-C120,"n.a.")</f>
        <v>-11</v>
      </c>
      <c r="E122" s="14">
        <f>IF(AND(ISNUMBER(E120),ISNUMBER(D120)),E120-D120,"n.a.")</f>
        <v>0</v>
      </c>
      <c r="F122" s="14">
        <f>IF(AND(ISNUMBER(F120),ISNUMBER(E120)),F120-E120,"n.a.")</f>
        <v>3</v>
      </c>
      <c r="G122" s="14"/>
      <c r="H122" s="14">
        <f>IF(AND(ISNUMBER(H120),ISNUMBER(F120)),H120-F120,"n.a.")</f>
        <v>5</v>
      </c>
      <c r="I122" s="14">
        <f>IF(AND(ISNUMBER(I120),ISNUMBER(H120)),I120-H120,"n.a.")</f>
        <v>-7</v>
      </c>
      <c r="J122" s="10">
        <f>IF(AND(ISNUMBER(J120),ISNUMBER(I120)),J120-I120,"n.a.")</f>
        <v>1</v>
      </c>
      <c r="K122" s="1"/>
      <c r="L122" s="1"/>
      <c r="M122" s="1"/>
      <c r="N122" s="1"/>
      <c r="O122" s="1"/>
      <c r="P122" s="1"/>
    </row>
    <row r="123">
      <c r="A123" s="1"/>
      <c r="B123" s="1" t="s">
        <v>290</v>
      </c>
      <c r="C123" s="12">
        <f>Inputs!C159-D123</f>
        <v>-4</v>
      </c>
      <c r="D123" s="18">
        <v>2</v>
      </c>
      <c r="E123" s="18">
        <v>18</v>
      </c>
      <c r="F123" s="18">
        <v>-5</v>
      </c>
      <c r="G123" s="14">
        <f>SUM(C123:F123)</f>
        <v>11</v>
      </c>
      <c r="H123" s="18">
        <v>-27</v>
      </c>
      <c r="I123" s="18">
        <v>3</v>
      </c>
      <c r="J123" s="27">
        <v>0</v>
      </c>
      <c r="K123" s="1"/>
      <c r="L123" s="1"/>
      <c r="M123" s="1"/>
      <c r="N123" s="1"/>
      <c r="O123" s="1"/>
      <c r="P123" s="1"/>
    </row>
    <row r="124">
      <c r="A124" s="1"/>
      <c r="B124" s="1" t="s">
        <v>162</v>
      </c>
      <c r="C124" s="14"/>
      <c r="D124" s="14">
        <f>IF(AND(ISNUMBER(D123),ISNUMBER(C123)),D123-C123,"n.a.")</f>
        <v>6</v>
      </c>
      <c r="E124" s="14">
        <f>IF(AND(ISNUMBER(E123),ISNUMBER(D123)),E123-D123,"n.a.")</f>
        <v>16</v>
      </c>
      <c r="F124" s="14">
        <f>IF(AND(ISNUMBER(F123),ISNUMBER(E123)),F123-E123,"n.a.")</f>
        <v>-23</v>
      </c>
      <c r="G124" s="14"/>
      <c r="H124" s="14">
        <f>IF(AND(ISNUMBER(H123),ISNUMBER(F123)),H123-F123,"n.a.")</f>
        <v>-22</v>
      </c>
      <c r="I124" s="14">
        <f>IF(AND(ISNUMBER(I123),ISNUMBER(H123)),I123-H123,"n.a.")</f>
        <v>30</v>
      </c>
      <c r="J124" s="10">
        <f>IF(AND(ISNUMBER(J123),ISNUMBER(I123)),J123-I123,"n.a.")</f>
        <v>-3</v>
      </c>
      <c r="K124" s="1"/>
      <c r="L124" s="1"/>
      <c r="M124" s="1"/>
      <c r="N124" s="1"/>
      <c r="O124" s="1"/>
      <c r="P124" s="1"/>
    </row>
    <row r="125">
      <c r="A125" s="1"/>
      <c r="B125" s="1" t="s">
        <v>291</v>
      </c>
      <c r="C125" s="12">
        <f>Inputs!C160-D125</f>
        <v>1.0000000000000002</v>
      </c>
      <c r="D125" s="18">
        <v>1.7</v>
      </c>
      <c r="E125" s="18">
        <v>1.5</v>
      </c>
      <c r="F125" s="18">
        <v>1.6</v>
      </c>
      <c r="G125" s="14">
        <f>SUM(C125:F125)</f>
        <v>5.800000000000001</v>
      </c>
      <c r="H125" s="18">
        <v>1.5</v>
      </c>
      <c r="I125" s="18">
        <v>1.7</v>
      </c>
      <c r="J125" s="27">
        <v>1.6</v>
      </c>
      <c r="K125" s="1"/>
      <c r="L125" s="1"/>
      <c r="M125" s="1"/>
      <c r="N125" s="1"/>
      <c r="O125" s="1"/>
      <c r="P125" s="1"/>
    </row>
    <row r="126">
      <c r="A126" s="1"/>
      <c r="B126" s="6" t="s">
        <v>143</v>
      </c>
      <c r="C126" s="21"/>
      <c r="D126" s="21"/>
      <c r="E126" s="21"/>
      <c r="F126" s="21"/>
      <c r="G126" s="21"/>
      <c r="H126" s="21">
        <f>IF(AND(ISNUMBER(H125),ISNUMBER(C125)),IF(C125&lt;=0,"n.m.",IFERROR(H125/C125-1,"n.a.")),"n.a.")</f>
        <v>0.4999999999999998</v>
      </c>
      <c r="I126" s="21">
        <f>IF(AND(ISNUMBER(I125),ISNUMBER(D125)),IF(D125&lt;=0,"n.m.",IFERROR(I125/D125-1,"n.a.")),"n.a.")</f>
        <v>0</v>
      </c>
      <c r="J126" s="29">
        <f>IF(AND(ISNUMBER(J125),ISNUMBER(E125)),IF(E125&lt;=0,"n.m.",IFERROR(J125/E125-1,"n.a.")),"n.a.")</f>
        <v>0.06666666666666665</v>
      </c>
      <c r="K126" s="1"/>
      <c r="L126" s="1"/>
      <c r="M126" s="1"/>
      <c r="N126" s="1"/>
      <c r="O126" s="1"/>
      <c r="P126" s="1"/>
    </row>
    <row r="127">
      <c r="A127" s="1"/>
      <c r="B127" s="1" t="s">
        <v>162</v>
      </c>
      <c r="C127" s="14"/>
      <c r="D127" s="14">
        <f>IF(AND(ISNUMBER(D125),ISNUMBER(C125)),D125-C125,"n.a.")</f>
        <v>0.6999999999999997</v>
      </c>
      <c r="E127" s="14">
        <f>IF(AND(ISNUMBER(E125),ISNUMBER(D125)),E125-D125,"n.a.")</f>
        <v>-0.19999999999999996</v>
      </c>
      <c r="F127" s="14">
        <f>IF(AND(ISNUMBER(F125),ISNUMBER(E125)),F125-E125,"n.a.")</f>
        <v>0.10000000000000009</v>
      </c>
      <c r="G127" s="14"/>
      <c r="H127" s="14">
        <f>IF(AND(ISNUMBER(H125),ISNUMBER(F125)),H125-F125,"n.a.")</f>
        <v>-0.10000000000000009</v>
      </c>
      <c r="I127" s="14">
        <f>IF(AND(ISNUMBER(I125),ISNUMBER(H125)),I125-H125,"n.a.")</f>
        <v>0.19999999999999996</v>
      </c>
      <c r="J127" s="10">
        <f>IF(AND(ISNUMBER(J125),ISNUMBER(I125)),J125-I125,"n.a.")</f>
        <v>-0.09999999999999987</v>
      </c>
      <c r="K127" s="1"/>
      <c r="L127" s="1"/>
      <c r="M127" s="1"/>
      <c r="N127" s="1"/>
      <c r="O127" s="1"/>
      <c r="P127" s="1"/>
    </row>
    <row r="128">
      <c r="A128" s="1"/>
      <c r="B128" s="6" t="s">
        <v>292</v>
      </c>
      <c r="C128" s="85">
        <v>0.0058</v>
      </c>
      <c r="D128" s="85">
        <v>0.0091</v>
      </c>
      <c r="E128" s="85">
        <v>0.0167</v>
      </c>
      <c r="F128" s="85">
        <v>0.0188</v>
      </c>
      <c r="G128" s="26"/>
      <c r="H128" s="85">
        <v>0.0225</v>
      </c>
      <c r="I128" s="85">
        <v>0.0201</v>
      </c>
      <c r="J128" s="54">
        <f>I128+J129/10000</f>
        <v>0.0191</v>
      </c>
      <c r="K128" s="1"/>
      <c r="L128" s="1"/>
      <c r="M128" s="1"/>
      <c r="N128" s="1"/>
      <c r="O128" s="1"/>
      <c r="P128" s="1"/>
    </row>
    <row r="129">
      <c r="A129" s="1"/>
      <c r="B129" s="6" t="s">
        <v>186</v>
      </c>
      <c r="C129" s="20"/>
      <c r="D129" s="20">
        <f>IF(AND(ISNUMBER(D128),ISNUMBER(C128)),(D128-C128)*10000,"n.a.")</f>
        <v>33.00000000000001</v>
      </c>
      <c r="E129" s="20">
        <f>IF(AND(ISNUMBER(E128),ISNUMBER(D128)),(E128-D128)*10000,"n.a.")</f>
        <v>75.99999999999999</v>
      </c>
      <c r="F129" s="20">
        <f>IF(AND(ISNUMBER(F128),ISNUMBER(E128)),(F128-E128)*10000,"n.a.")</f>
        <v>21.00000000000001</v>
      </c>
      <c r="G129" s="20"/>
      <c r="H129" s="20">
        <f>IF(AND(ISNUMBER(H128),ISNUMBER(F128)),(H128-F128)*10000,"n.a.")</f>
        <v>36.999999999999986</v>
      </c>
      <c r="I129" s="20">
        <f>IF(AND(ISNUMBER(I128),ISNUMBER(H128)),(I128-H128)*10000,"n.a.")</f>
        <v>-23.999999999999993</v>
      </c>
      <c r="J129" s="72">
        <v>-10</v>
      </c>
      <c r="K129" s="1"/>
      <c r="L129" s="1"/>
      <c r="M129" s="1"/>
      <c r="N129" s="1"/>
      <c r="O129" s="1"/>
      <c r="P129" s="1"/>
    </row>
    <row r="130">
      <c r="A130" s="1"/>
      <c r="B130" s="6" t="s">
        <v>187</v>
      </c>
      <c r="C130" s="20"/>
      <c r="D130" s="20"/>
      <c r="E130" s="20"/>
      <c r="F130" s="20"/>
      <c r="G130" s="20"/>
      <c r="H130" s="20">
        <f>IF(AND(ISNUMBER(H128),ISNUMBER(C128)),(H128-C128)*10000,"n.a.")</f>
        <v>167</v>
      </c>
      <c r="I130" s="20">
        <f>IF(AND(ISNUMBER(I128),ISNUMBER(D128)),(I128-D128)*10000,"n.a.")</f>
        <v>110</v>
      </c>
      <c r="J130" s="48">
        <f>IF(AND(ISNUMBER(J128),ISNUMBER(E128)),(J128-E128)*10000,"n.a.")</f>
        <v>23.999999999999993</v>
      </c>
      <c r="K130" s="1"/>
      <c r="L130" s="1"/>
      <c r="M130" s="1"/>
      <c r="N130" s="1"/>
      <c r="O130" s="1"/>
      <c r="P130" s="1"/>
    </row>
    <row r="131">
      <c r="A131" s="1"/>
      <c r="B131" s="32" t="s">
        <v>293</v>
      </c>
      <c r="C131" s="11"/>
      <c r="D131" s="11"/>
      <c r="E131" s="11"/>
      <c r="F131" s="11"/>
      <c r="G131" s="11"/>
      <c r="H131" s="11"/>
      <c r="I131" s="11"/>
      <c r="J131" s="30"/>
      <c r="K131" s="1"/>
      <c r="L131" s="1"/>
      <c r="M131" s="1"/>
      <c r="N131" s="1"/>
      <c r="O131" s="1"/>
      <c r="P131" s="1"/>
    </row>
    <row r="132">
      <c r="A132" s="1"/>
      <c r="B132" s="1" t="s">
        <v>294</v>
      </c>
      <c r="C132" s="38" t="s">
        <v>40</v>
      </c>
      <c r="D132" s="62">
        <f>C136</f>
        <v>2217</v>
      </c>
      <c r="E132" s="62">
        <f>D136</f>
        <v>2218</v>
      </c>
      <c r="F132" s="62">
        <f>E136</f>
        <v>2219</v>
      </c>
      <c r="G132" s="38" t="s">
        <v>40</v>
      </c>
      <c r="H132" s="62">
        <f>F136</f>
        <v>2224</v>
      </c>
      <c r="I132" s="62">
        <f>H136</f>
        <v>2315</v>
      </c>
      <c r="J132" s="90">
        <f>I136</f>
        <v>2304</v>
      </c>
      <c r="K132" s="1"/>
      <c r="L132" s="1"/>
      <c r="M132" s="1"/>
      <c r="N132" s="1"/>
      <c r="O132" s="1"/>
      <c r="P132" s="1"/>
    </row>
    <row r="133" ht="28.5">
      <c r="A133" s="1"/>
      <c r="B133" s="1" t="s">
        <v>295</v>
      </c>
      <c r="C133" s="38" t="s">
        <v>129</v>
      </c>
      <c r="D133" s="38" t="s">
        <v>129</v>
      </c>
      <c r="E133" s="38" t="s">
        <v>129</v>
      </c>
      <c r="F133" s="38" t="s">
        <v>129</v>
      </c>
      <c r="G133" s="38" t="s">
        <v>129</v>
      </c>
      <c r="H133" s="38" t="s">
        <v>129</v>
      </c>
      <c r="I133" s="38" t="s">
        <v>129</v>
      </c>
      <c r="J133" s="86" t="s">
        <v>129</v>
      </c>
      <c r="K133" s="134" t="s">
        <v>296</v>
      </c>
      <c r="L133" s="1"/>
      <c r="M133" s="1"/>
      <c r="N133" s="1"/>
      <c r="O133" s="1"/>
      <c r="P133" s="1"/>
    </row>
    <row r="134">
      <c r="A134" s="1"/>
      <c r="B134" s="1" t="s">
        <v>297</v>
      </c>
      <c r="C134" s="38" t="s">
        <v>129</v>
      </c>
      <c r="D134" s="38" t="s">
        <v>129</v>
      </c>
      <c r="E134" s="38" t="s">
        <v>129</v>
      </c>
      <c r="F134" s="38" t="s">
        <v>129</v>
      </c>
      <c r="G134" s="38" t="s">
        <v>129</v>
      </c>
      <c r="H134" s="38" t="s">
        <v>129</v>
      </c>
      <c r="I134" s="38" t="s">
        <v>129</v>
      </c>
      <c r="J134" s="86" t="s">
        <v>129</v>
      </c>
      <c r="K134" s="1"/>
      <c r="L134" s="1"/>
      <c r="M134" s="1"/>
      <c r="N134" s="1"/>
      <c r="O134" s="1"/>
      <c r="P134" s="1"/>
    </row>
    <row r="135" ht="41.25">
      <c r="A135" s="1"/>
      <c r="B135" s="1" t="s">
        <v>298</v>
      </c>
      <c r="C135" s="38" t="s">
        <v>40</v>
      </c>
      <c r="D135" s="62">
        <f>D136-D132</f>
        <v>1</v>
      </c>
      <c r="E135" s="62">
        <f>E136-E132</f>
        <v>1</v>
      </c>
      <c r="F135" s="62">
        <f>F136-F132</f>
        <v>5</v>
      </c>
      <c r="G135" s="38" t="s">
        <v>40</v>
      </c>
      <c r="H135" s="62">
        <f>H136-H132</f>
        <v>91</v>
      </c>
      <c r="I135" s="62">
        <f>I136-I132</f>
        <v>-11</v>
      </c>
      <c r="J135" s="86">
        <v>11</v>
      </c>
      <c r="K135" s="134" t="s">
        <v>299</v>
      </c>
      <c r="L135" s="1"/>
      <c r="M135" s="1"/>
      <c r="N135" s="1"/>
      <c r="O135" s="1"/>
      <c r="P135" s="1"/>
    </row>
    <row r="136">
      <c r="A136" s="1"/>
      <c r="B136" s="7" t="s">
        <v>300</v>
      </c>
      <c r="C136" s="87">
        <v>2217</v>
      </c>
      <c r="D136" s="87">
        <v>2218</v>
      </c>
      <c r="E136" s="87">
        <v>2219</v>
      </c>
      <c r="F136" s="87">
        <v>2224</v>
      </c>
      <c r="G136" s="92">
        <f>F136</f>
        <v>2224</v>
      </c>
      <c r="H136" s="87">
        <v>2315</v>
      </c>
      <c r="I136" s="87">
        <v>2304</v>
      </c>
      <c r="J136" s="91">
        <f>J132+J135</f>
        <v>2315</v>
      </c>
      <c r="K136" s="1"/>
      <c r="L136" s="1"/>
      <c r="M136" s="1"/>
      <c r="N136" s="1"/>
      <c r="O136" s="1"/>
      <c r="P136" s="1"/>
    </row>
    <row r="137">
      <c r="A137" s="1"/>
      <c r="B137" s="6" t="s">
        <v>143</v>
      </c>
      <c r="C137" s="21"/>
      <c r="D137" s="21"/>
      <c r="E137" s="21"/>
      <c r="F137" s="21"/>
      <c r="G137" s="21"/>
      <c r="H137" s="21">
        <f>IF(AND(ISNUMBER(H136),ISNUMBER(C136)),IF(C136&lt;=0,"n.m.",IFERROR(H136/C136-1,"n.a.")),"n.a.")</f>
        <v>0.044203879115922495</v>
      </c>
      <c r="I137" s="21">
        <f>IF(AND(ISNUMBER(I136),ISNUMBER(D136)),IF(D136&lt;=0,"n.m.",IFERROR(I136/D136-1,"n.a.")),"n.a.")</f>
        <v>0.03877366997294862</v>
      </c>
      <c r="J137" s="29">
        <f>IF(AND(ISNUMBER(J136),ISNUMBER(E136)),IF(E136&lt;=0,"n.m.",IFERROR(J136/E136-1,"n.a.")),"n.a.")</f>
        <v>0.04326273095989186</v>
      </c>
      <c r="K137" s="1"/>
      <c r="L137" s="1"/>
      <c r="M137" s="1"/>
      <c r="N137" s="1"/>
      <c r="O137" s="1"/>
      <c r="P137" s="1"/>
    </row>
    <row r="138">
      <c r="A138" s="1"/>
      <c r="B138" s="1" t="s">
        <v>301</v>
      </c>
      <c r="C138" s="38" t="s">
        <v>40</v>
      </c>
      <c r="D138" s="62">
        <f>AVERAGE(D132,D136)</f>
        <v>2217.5</v>
      </c>
      <c r="E138" s="62">
        <f>AVERAGE(E132,E136)</f>
        <v>2218.5</v>
      </c>
      <c r="F138" s="62">
        <f>AVERAGE(F132,F136)</f>
        <v>2221.5</v>
      </c>
      <c r="G138" s="38" t="s">
        <v>40</v>
      </c>
      <c r="H138" s="62">
        <f>AVERAGE(H132,H136)</f>
        <v>2269.5</v>
      </c>
      <c r="I138" s="62">
        <f>AVERAGE(I132,I136)</f>
        <v>2309.5</v>
      </c>
      <c r="J138" s="90">
        <f>AVERAGE(J132,J136)</f>
        <v>2309.5</v>
      </c>
      <c r="K138" s="1"/>
      <c r="L138" s="1"/>
      <c r="M138" s="1"/>
      <c r="N138" s="1"/>
      <c r="O138" s="1"/>
      <c r="P138" s="1"/>
    </row>
    <row r="139" ht="28.5">
      <c r="A139" s="1"/>
      <c r="B139" s="1" t="s">
        <v>302</v>
      </c>
      <c r="C139" s="14">
        <f>C42/C136</f>
        <v>108.6468200270636</v>
      </c>
      <c r="D139" s="14">
        <f>D42/D136</f>
        <v>109.80297565374211</v>
      </c>
      <c r="E139" s="14">
        <f>E42/E136</f>
        <v>109.62415502478594</v>
      </c>
      <c r="F139" s="14">
        <f>F42/F136</f>
        <v>109.74190647482014</v>
      </c>
      <c r="G139" s="14">
        <f>G42/G136</f>
        <v>109.23713536020499</v>
      </c>
      <c r="H139" s="14">
        <f>H42/H136</f>
        <v>115.86738660907127</v>
      </c>
      <c r="I139" s="14">
        <f>I42/I136</f>
        <v>117.8828125</v>
      </c>
      <c r="J139" s="10">
        <f>J42/J136</f>
        <v>117.62419006479482</v>
      </c>
      <c r="K139" s="134" t="s">
        <v>303</v>
      </c>
      <c r="L139" s="1"/>
      <c r="M139" s="1"/>
      <c r="N139" s="1"/>
      <c r="O139" s="1"/>
      <c r="P139" s="1"/>
    </row>
    <row r="140">
      <c r="A140" s="1"/>
      <c r="B140" s="6" t="s">
        <v>143</v>
      </c>
      <c r="C140" s="21"/>
      <c r="D140" s="21"/>
      <c r="E140" s="21"/>
      <c r="F140" s="21"/>
      <c r="G140" s="21"/>
      <c r="H140" s="21">
        <f>IF(AND(ISNUMBER(H139),ISNUMBER(C139)),IF(C139&lt;=0,"n.m.",IFERROR(H139/C139-1,"n.a.")),"n.a.")</f>
        <v>0.06645906967372861</v>
      </c>
      <c r="I140" s="21">
        <f>IF(AND(ISNUMBER(I139),ISNUMBER(D139)),IF(D139&lt;=0,"n.m.",IFERROR(I139/D139-1,"n.a.")),"n.a.")</f>
        <v>0.0735848623241071</v>
      </c>
      <c r="J140" s="29">
        <f>IF(AND(ISNUMBER(J139),ISNUMBER(E139)),IF(E139&lt;=0,"n.m.",IFERROR(J139/E139-1,"n.a.")),"n.a.")</f>
        <v>0.072976936863961</v>
      </c>
      <c r="K140" s="1"/>
      <c r="L140" s="1"/>
      <c r="M140" s="1"/>
      <c r="N140" s="1"/>
      <c r="O140" s="1"/>
      <c r="P140" s="1"/>
    </row>
    <row r="141">
      <c r="A141" s="1"/>
      <c r="B141" s="1" t="s">
        <v>304</v>
      </c>
      <c r="C141" s="18">
        <v>84</v>
      </c>
      <c r="D141" s="18">
        <v>87</v>
      </c>
      <c r="E141" s="18">
        <v>89</v>
      </c>
      <c r="F141" s="18">
        <v>91</v>
      </c>
      <c r="G141" s="14">
        <f>F141</f>
        <v>91</v>
      </c>
      <c r="H141" s="18">
        <v>91</v>
      </c>
      <c r="I141" s="18">
        <v>97</v>
      </c>
      <c r="J141" s="27">
        <v>100</v>
      </c>
      <c r="K141" s="1"/>
      <c r="L141" s="1"/>
      <c r="M141" s="1"/>
      <c r="N141" s="1"/>
      <c r="O141" s="1"/>
      <c r="P141" s="1"/>
    </row>
    <row r="142">
      <c r="A142" s="1"/>
      <c r="B142" s="6" t="s">
        <v>143</v>
      </c>
      <c r="C142" s="21"/>
      <c r="D142" s="21"/>
      <c r="E142" s="21"/>
      <c r="F142" s="21"/>
      <c r="G142" s="21"/>
      <c r="H142" s="21">
        <f>IF(AND(ISNUMBER(H141),ISNUMBER(C141)),IF(C141&lt;=0,"n.m.",IFERROR(H141/C141-1,"n.a.")),"n.a.")</f>
        <v>0.08333333333333326</v>
      </c>
      <c r="I142" s="21">
        <f>IF(AND(ISNUMBER(I141),ISNUMBER(D141)),IF(D141&lt;=0,"n.m.",IFERROR(I141/D141-1,"n.a.")),"n.a.")</f>
        <v>0.11494252873563227</v>
      </c>
      <c r="J142" s="29">
        <f>IF(AND(ISNUMBER(J141),ISNUMBER(E141)),IF(E141&lt;=0,"n.m.",IFERROR(J141/E141-1,"n.a.")),"n.a.")</f>
        <v>0.12359550561797761</v>
      </c>
      <c r="K142" s="1"/>
      <c r="L142" s="1"/>
      <c r="M142" s="1"/>
      <c r="N142" s="1"/>
      <c r="O142" s="1"/>
      <c r="P142" s="1"/>
    </row>
    <row r="143">
      <c r="A143" s="1"/>
      <c r="B143" s="1" t="s">
        <v>162</v>
      </c>
      <c r="C143" s="14"/>
      <c r="D143" s="14">
        <f>IF(AND(ISNUMBER(D141),ISNUMBER(C141)),D141-C141,"n.a.")</f>
        <v>3</v>
      </c>
      <c r="E143" s="14">
        <f>IF(AND(ISNUMBER(E141),ISNUMBER(D141)),E141-D141,"n.a.")</f>
        <v>2</v>
      </c>
      <c r="F143" s="14">
        <f>IF(AND(ISNUMBER(F141),ISNUMBER(E141)),F141-E141,"n.a.")</f>
        <v>2</v>
      </c>
      <c r="G143" s="14"/>
      <c r="H143" s="14">
        <f>IF(AND(ISNUMBER(H141),ISNUMBER(F141)),H141-F141,"n.a.")</f>
        <v>0</v>
      </c>
      <c r="I143" s="14">
        <f>IF(AND(ISNUMBER(I141),ISNUMBER(H141)),I141-H141,"n.a.")</f>
        <v>6</v>
      </c>
      <c r="J143" s="10">
        <f>IF(AND(ISNUMBER(J141),ISNUMBER(I141)),J141-I141,"n.a.")</f>
        <v>3</v>
      </c>
      <c r="K143" s="1"/>
      <c r="L143" s="1"/>
      <c r="M143" s="1"/>
      <c r="N143" s="1"/>
      <c r="O143" s="1"/>
      <c r="P143" s="1"/>
    </row>
    <row r="144">
      <c r="A144" s="1"/>
      <c r="B144" s="1" t="s">
        <v>305</v>
      </c>
      <c r="C144" s="62"/>
      <c r="D144" s="38">
        <v>26291</v>
      </c>
      <c r="E144" s="38">
        <v>26126</v>
      </c>
      <c r="F144" s="38">
        <v>26168</v>
      </c>
      <c r="G144" s="62">
        <f>F144</f>
        <v>26168</v>
      </c>
      <c r="H144" s="38">
        <v>28046</v>
      </c>
      <c r="I144" s="38">
        <v>26611</v>
      </c>
      <c r="J144" s="86">
        <v>26600</v>
      </c>
      <c r="K144" s="114" t="s">
        <v>306</v>
      </c>
      <c r="L144" s="1"/>
      <c r="M144" s="1"/>
      <c r="N144" s="1"/>
      <c r="O144" s="1"/>
      <c r="P144" s="1"/>
    </row>
    <row r="145">
      <c r="A145" s="1"/>
      <c r="B145" s="6" t="s">
        <v>143</v>
      </c>
      <c r="C145" s="21"/>
      <c r="D145" s="21"/>
      <c r="E145" s="21"/>
      <c r="F145" s="21"/>
      <c r="G145" s="21"/>
      <c r="H145" s="21" t="str">
        <f>IF(AND(ISNUMBER(H144),ISNUMBER(C144)),IF(C144&lt;=0,"n.m.",IFERROR(H144/C144-1,"n.a.")),"n.a.")</f>
        <v>n.a.</v>
      </c>
      <c r="I145" s="21">
        <f>IF(AND(ISNUMBER(I144),ISNUMBER(D144)),IF(D144&lt;=0,"n.m.",IFERROR(I144/D144-1,"n.a.")),"n.a.")</f>
        <v>0.012171465520520286</v>
      </c>
      <c r="J145" s="29">
        <f>IF(AND(ISNUMBER(J144),ISNUMBER(E144)),IF(E144&lt;=0,"n.m.",IFERROR(J144/E144-1,"n.a.")),"n.a.")</f>
        <v>0.01814284620684381</v>
      </c>
      <c r="K145" s="1"/>
      <c r="L145" s="1"/>
      <c r="M145" s="1"/>
      <c r="N145" s="1"/>
      <c r="O145" s="1"/>
      <c r="P145" s="1"/>
    </row>
    <row r="146">
      <c r="A146" s="1"/>
      <c r="B146" s="1" t="s">
        <v>162</v>
      </c>
      <c r="C146" s="14"/>
      <c r="D146" s="14" t="str">
        <f>IF(AND(ISNUMBER(D144),ISNUMBER(C144)),D144-C144,"n.a.")</f>
        <v>n.a.</v>
      </c>
      <c r="E146" s="14">
        <f>IF(AND(ISNUMBER(E144),ISNUMBER(D144)),E144-D144,"n.a.")</f>
        <v>-165</v>
      </c>
      <c r="F146" s="14">
        <f>IF(AND(ISNUMBER(F144),ISNUMBER(E144)),F144-E144,"n.a.")</f>
        <v>42</v>
      </c>
      <c r="G146" s="14"/>
      <c r="H146" s="14">
        <f>IF(AND(ISNUMBER(H144),ISNUMBER(F144)),H144-F144,"n.a.")</f>
        <v>1878</v>
      </c>
      <c r="I146" s="14">
        <f>IF(AND(ISNUMBER(I144),ISNUMBER(H144)),I144-H144,"n.a.")</f>
        <v>-1435</v>
      </c>
      <c r="J146" s="10">
        <f>IF(AND(ISNUMBER(J144),ISNUMBER(I144)),J144-I144,"n.a.")</f>
        <v>-11</v>
      </c>
      <c r="K146" s="1"/>
      <c r="L146" s="1"/>
      <c r="M146" s="1"/>
      <c r="N146" s="1"/>
      <c r="O146" s="1"/>
      <c r="P146" s="1"/>
    </row>
    <row r="147">
      <c r="A147" s="1"/>
      <c r="B147" s="1" t="s">
        <v>307</v>
      </c>
      <c r="C147" s="62"/>
      <c r="D147" s="38">
        <v>1465</v>
      </c>
      <c r="E147" s="38">
        <v>1367</v>
      </c>
      <c r="F147" s="38">
        <v>1427</v>
      </c>
      <c r="G147" s="62">
        <f>F147</f>
        <v>1427</v>
      </c>
      <c r="H147" s="38">
        <v>1389</v>
      </c>
      <c r="I147" s="38">
        <v>1429</v>
      </c>
      <c r="J147" s="86">
        <v>1430</v>
      </c>
      <c r="K147" s="1"/>
      <c r="L147" s="1"/>
      <c r="M147" s="1"/>
      <c r="N147" s="1"/>
      <c r="O147" s="1"/>
      <c r="P147" s="1"/>
    </row>
    <row r="148">
      <c r="A148" s="1"/>
      <c r="B148" s="6" t="s">
        <v>143</v>
      </c>
      <c r="C148" s="21"/>
      <c r="D148" s="21"/>
      <c r="E148" s="21"/>
      <c r="F148" s="21"/>
      <c r="G148" s="21"/>
      <c r="H148" s="21" t="str">
        <f>IF(AND(ISNUMBER(H147),ISNUMBER(C147)),IF(C147&lt;=0,"n.m.",IFERROR(H147/C147-1,"n.a.")),"n.a.")</f>
        <v>n.a.</v>
      </c>
      <c r="I148" s="21">
        <f>IF(AND(ISNUMBER(I147),ISNUMBER(D147)),IF(D147&lt;=0,"n.m.",IFERROR(I147/D147-1,"n.a.")),"n.a.")</f>
        <v>-0.024573378839590432</v>
      </c>
      <c r="J148" s="29">
        <f>IF(AND(ISNUMBER(J147),ISNUMBER(E147)),IF(E147&lt;=0,"n.m.",IFERROR(J147/E147-1,"n.a.")),"n.a.")</f>
        <v>0.04608632040965621</v>
      </c>
      <c r="K148" s="1"/>
      <c r="L148" s="1"/>
      <c r="M148" s="1"/>
      <c r="N148" s="1"/>
      <c r="O148" s="1"/>
      <c r="P148" s="1"/>
    </row>
    <row r="149">
      <c r="A149" s="1"/>
      <c r="B149" s="1" t="s">
        <v>162</v>
      </c>
      <c r="C149" s="14"/>
      <c r="D149" s="14" t="str">
        <f>IF(AND(ISNUMBER(D147),ISNUMBER(C147)),D147-C147,"n.a.")</f>
        <v>n.a.</v>
      </c>
      <c r="E149" s="14">
        <f>IF(AND(ISNUMBER(E147),ISNUMBER(D147)),E147-D147,"n.a.")</f>
        <v>-98</v>
      </c>
      <c r="F149" s="14">
        <f>IF(AND(ISNUMBER(F147),ISNUMBER(E147)),F147-E147,"n.a.")</f>
        <v>60</v>
      </c>
      <c r="G149" s="14"/>
      <c r="H149" s="14">
        <f>IF(AND(ISNUMBER(H147),ISNUMBER(F147)),H147-F147,"n.a.")</f>
        <v>-38</v>
      </c>
      <c r="I149" s="14">
        <f>IF(AND(ISNUMBER(I147),ISNUMBER(H147)),I147-H147,"n.a.")</f>
        <v>40</v>
      </c>
      <c r="J149" s="10">
        <f>IF(AND(ISNUMBER(J147),ISNUMBER(I147)),J147-I147,"n.a.")</f>
        <v>1</v>
      </c>
      <c r="K149" s="1"/>
      <c r="L149" s="1"/>
      <c r="M149" s="1"/>
      <c r="N149" s="1"/>
      <c r="O149" s="1"/>
      <c r="P149" s="1"/>
    </row>
    <row r="150">
      <c r="A150" s="1"/>
      <c r="B150" s="32" t="s">
        <v>308</v>
      </c>
      <c r="C150" s="11"/>
      <c r="D150" s="11"/>
      <c r="E150" s="11"/>
      <c r="F150" s="11"/>
      <c r="G150" s="11"/>
      <c r="H150" s="11"/>
      <c r="I150" s="11"/>
      <c r="J150" s="30"/>
      <c r="K150" s="1"/>
      <c r="L150" s="1"/>
      <c r="M150" s="1"/>
      <c r="N150" s="1"/>
      <c r="O150" s="1"/>
      <c r="P150" s="1"/>
    </row>
    <row r="151">
      <c r="A151" s="1"/>
      <c r="B151" s="1" t="s">
        <v>309</v>
      </c>
      <c r="C151" s="12">
        <f>Inputs!C146-D151</f>
        <v>168</v>
      </c>
      <c r="D151" s="18">
        <v>83</v>
      </c>
      <c r="E151" s="18">
        <v>126</v>
      </c>
      <c r="F151" s="18">
        <v>155</v>
      </c>
      <c r="G151" s="14">
        <f>SUM(C151:F151)</f>
        <v>532</v>
      </c>
      <c r="H151" s="18">
        <v>124</v>
      </c>
      <c r="I151" s="18">
        <v>120</v>
      </c>
      <c r="J151" s="27">
        <v>120</v>
      </c>
      <c r="K151" s="1"/>
      <c r="L151" s="1"/>
      <c r="M151" s="1"/>
      <c r="N151" s="1"/>
      <c r="O151" s="1"/>
      <c r="P151" s="1"/>
    </row>
    <row r="152">
      <c r="A152" s="1"/>
      <c r="B152" s="6" t="s">
        <v>143</v>
      </c>
      <c r="C152" s="21"/>
      <c r="D152" s="21"/>
      <c r="E152" s="21"/>
      <c r="F152" s="21"/>
      <c r="G152" s="21"/>
      <c r="H152" s="21">
        <f>IF(AND(ISNUMBER(H151),ISNUMBER(C151)),IF(C151&lt;=0,"n.m.",IFERROR(H151/C151-1,"n.a.")),"n.a.")</f>
        <v>-0.26190476190476186</v>
      </c>
      <c r="I152" s="21">
        <f>IF(AND(ISNUMBER(I151),ISNUMBER(D151)),IF(D151&lt;=0,"n.m.",IFERROR(I151/D151-1,"n.a.")),"n.a.")</f>
        <v>0.4457831325301205</v>
      </c>
      <c r="J152" s="29">
        <f>IF(AND(ISNUMBER(J151),ISNUMBER(E151)),IF(E151&lt;=0,"n.m.",IFERROR(J151/E151-1,"n.a.")),"n.a.")</f>
        <v>-0.04761904761904767</v>
      </c>
      <c r="K152" s="1"/>
      <c r="L152" s="1"/>
      <c r="M152" s="1"/>
      <c r="N152" s="1"/>
      <c r="O152" s="1"/>
      <c r="P152" s="1"/>
    </row>
    <row r="153">
      <c r="A153" s="1"/>
      <c r="B153" s="1" t="s">
        <v>162</v>
      </c>
      <c r="C153" s="14"/>
      <c r="D153" s="14">
        <f>IF(AND(ISNUMBER(D151),ISNUMBER(C151)),D151-C151,"n.a.")</f>
        <v>-85</v>
      </c>
      <c r="E153" s="14">
        <f>IF(AND(ISNUMBER(E151),ISNUMBER(D151)),E151-D151,"n.a.")</f>
        <v>43</v>
      </c>
      <c r="F153" s="14">
        <f>IF(AND(ISNUMBER(F151),ISNUMBER(E151)),F151-E151,"n.a.")</f>
        <v>29</v>
      </c>
      <c r="G153" s="14"/>
      <c r="H153" s="14">
        <f>IF(AND(ISNUMBER(H151),ISNUMBER(F151)),H151-F151,"n.a.")</f>
        <v>-31</v>
      </c>
      <c r="I153" s="14">
        <f>IF(AND(ISNUMBER(I151),ISNUMBER(H151)),I151-H151,"n.a.")</f>
        <v>-4</v>
      </c>
      <c r="J153" s="10">
        <f>IF(AND(ISNUMBER(J151),ISNUMBER(I151)),J151-I151,"n.a.")</f>
        <v>0</v>
      </c>
      <c r="K153" s="1"/>
      <c r="L153" s="1"/>
      <c r="M153" s="1"/>
      <c r="N153" s="1"/>
      <c r="O153" s="1"/>
      <c r="P153" s="1"/>
    </row>
    <row r="154">
      <c r="A154" s="1"/>
      <c r="B154" s="1" t="s">
        <v>310</v>
      </c>
      <c r="C154" s="12">
        <f>Inputs!C147-D154</f>
        <v>538</v>
      </c>
      <c r="D154" s="18">
        <v>539</v>
      </c>
      <c r="E154" s="18">
        <v>529</v>
      </c>
      <c r="F154" s="18">
        <v>535</v>
      </c>
      <c r="G154" s="14">
        <f>SUM(C154:F154)</f>
        <v>2141</v>
      </c>
      <c r="H154" s="18">
        <v>571</v>
      </c>
      <c r="I154" s="18">
        <v>551</v>
      </c>
      <c r="J154" s="27">
        <v>555</v>
      </c>
      <c r="K154" s="1"/>
      <c r="L154" s="1"/>
      <c r="M154" s="1"/>
      <c r="N154" s="1"/>
      <c r="O154" s="1"/>
      <c r="P154" s="1"/>
    </row>
    <row r="155">
      <c r="A155" s="1"/>
      <c r="B155" s="6" t="s">
        <v>143</v>
      </c>
      <c r="C155" s="21"/>
      <c r="D155" s="21"/>
      <c r="E155" s="21"/>
      <c r="F155" s="21"/>
      <c r="G155" s="21"/>
      <c r="H155" s="21">
        <f>IF(AND(ISNUMBER(H154),ISNUMBER(C154)),IF(C154&lt;=0,"n.m.",IFERROR(H154/C154-1,"n.a.")),"n.a.")</f>
        <v>0.0613382899628252</v>
      </c>
      <c r="I155" s="21">
        <f>IF(AND(ISNUMBER(I154),ISNUMBER(D154)),IF(D154&lt;=0,"n.m.",IFERROR(I154/D154-1,"n.a.")),"n.a.")</f>
        <v>0.02226345083487935</v>
      </c>
      <c r="J155" s="29">
        <f>IF(AND(ISNUMBER(J154),ISNUMBER(E154)),IF(E154&lt;=0,"n.m.",IFERROR(J154/E154-1,"n.a.")),"n.a.")</f>
        <v>0.04914933837429114</v>
      </c>
      <c r="K155" s="1"/>
      <c r="L155" s="1"/>
      <c r="M155" s="1"/>
      <c r="N155" s="1"/>
      <c r="O155" s="1"/>
      <c r="P155" s="1"/>
    </row>
    <row r="156">
      <c r="A156" s="1"/>
      <c r="B156" s="1" t="s">
        <v>162</v>
      </c>
      <c r="C156" s="14"/>
      <c r="D156" s="14">
        <f>IF(AND(ISNUMBER(D154),ISNUMBER(C154)),D154-C154,"n.a.")</f>
        <v>1</v>
      </c>
      <c r="E156" s="14">
        <f>IF(AND(ISNUMBER(E154),ISNUMBER(D154)),E154-D154,"n.a.")</f>
        <v>-10</v>
      </c>
      <c r="F156" s="14">
        <f>IF(AND(ISNUMBER(F154),ISNUMBER(E154)),F154-E154,"n.a.")</f>
        <v>6</v>
      </c>
      <c r="G156" s="14"/>
      <c r="H156" s="14">
        <f>IF(AND(ISNUMBER(H154),ISNUMBER(F154)),H154-F154,"n.a.")</f>
        <v>36</v>
      </c>
      <c r="I156" s="14">
        <f>IF(AND(ISNUMBER(I154),ISNUMBER(H154)),I154-H154,"n.a.")</f>
        <v>-20</v>
      </c>
      <c r="J156" s="10">
        <f>IF(AND(ISNUMBER(J154),ISNUMBER(I154)),J154-I154,"n.a.")</f>
        <v>4</v>
      </c>
      <c r="K156" s="1"/>
      <c r="L156" s="1"/>
      <c r="M156" s="1"/>
      <c r="N156" s="1"/>
      <c r="O156" s="1"/>
      <c r="P156" s="1"/>
    </row>
    <row r="157">
      <c r="A157" s="1"/>
      <c r="B157" s="1" t="s">
        <v>311</v>
      </c>
      <c r="C157" s="12">
        <f>Inputs!C148-D157</f>
        <v>967</v>
      </c>
      <c r="D157" s="18">
        <v>978</v>
      </c>
      <c r="E157" s="18">
        <v>979</v>
      </c>
      <c r="F157" s="18">
        <v>1020</v>
      </c>
      <c r="G157" s="14">
        <f>SUM(C157:F157)</f>
        <v>3944</v>
      </c>
      <c r="H157" s="18">
        <v>1088</v>
      </c>
      <c r="I157" s="18">
        <v>1090</v>
      </c>
      <c r="J157" s="27">
        <v>1085</v>
      </c>
      <c r="K157" s="1"/>
      <c r="L157" s="1"/>
      <c r="M157" s="1"/>
      <c r="N157" s="1"/>
      <c r="O157" s="1"/>
      <c r="P157" s="1"/>
    </row>
    <row r="158">
      <c r="A158" s="1"/>
      <c r="B158" s="6" t="s">
        <v>143</v>
      </c>
      <c r="C158" s="21"/>
      <c r="D158" s="21"/>
      <c r="E158" s="21"/>
      <c r="F158" s="21"/>
      <c r="G158" s="21"/>
      <c r="H158" s="21">
        <f>IF(AND(ISNUMBER(H157),ISNUMBER(C157)),IF(C157&lt;=0,"n.m.",IFERROR(H157/C157-1,"n.a.")),"n.a.")</f>
        <v>0.12512926577042394</v>
      </c>
      <c r="I158" s="21">
        <f>IF(AND(ISNUMBER(I157),ISNUMBER(D157)),IF(D157&lt;=0,"n.m.",IFERROR(I157/D157-1,"n.a.")),"n.a.")</f>
        <v>0.11451942740286292</v>
      </c>
      <c r="J158" s="29">
        <f>IF(AND(ISNUMBER(J157),ISNUMBER(E157)),IF(E157&lt;=0,"n.m.",IFERROR(J157/E157-1,"n.a.")),"n.a.")</f>
        <v>0.10827374872318685</v>
      </c>
      <c r="K158" s="1"/>
      <c r="L158" s="1"/>
      <c r="M158" s="1"/>
      <c r="N158" s="1"/>
      <c r="O158" s="1"/>
      <c r="P158" s="1"/>
    </row>
    <row r="159">
      <c r="A159" s="1"/>
      <c r="B159" s="1" t="s">
        <v>162</v>
      </c>
      <c r="C159" s="14"/>
      <c r="D159" s="14">
        <f>IF(AND(ISNUMBER(D157),ISNUMBER(C157)),D157-C157,"n.a.")</f>
        <v>11</v>
      </c>
      <c r="E159" s="14">
        <f>IF(AND(ISNUMBER(E157),ISNUMBER(D157)),E157-D157,"n.a.")</f>
        <v>1</v>
      </c>
      <c r="F159" s="14">
        <f>IF(AND(ISNUMBER(F157),ISNUMBER(E157)),F157-E157,"n.a.")</f>
        <v>41</v>
      </c>
      <c r="G159" s="14"/>
      <c r="H159" s="14">
        <f>IF(AND(ISNUMBER(H157),ISNUMBER(F157)),H157-F157,"n.a.")</f>
        <v>68</v>
      </c>
      <c r="I159" s="14">
        <f>IF(AND(ISNUMBER(I157),ISNUMBER(H157)),I157-H157,"n.a.")</f>
        <v>2</v>
      </c>
      <c r="J159" s="10">
        <f>IF(AND(ISNUMBER(J157),ISNUMBER(I157)),J157-I157,"n.a.")</f>
        <v>-5</v>
      </c>
      <c r="K159" s="1"/>
      <c r="L159" s="1"/>
      <c r="M159" s="1"/>
      <c r="N159" s="1"/>
      <c r="O159" s="1"/>
      <c r="P159" s="1"/>
    </row>
    <row r="160">
      <c r="A160" s="1"/>
      <c r="B160" s="1" t="s">
        <v>312</v>
      </c>
      <c r="C160" s="12">
        <f>Inputs!C149-D160</f>
        <v>86</v>
      </c>
      <c r="D160" s="18">
        <v>87</v>
      </c>
      <c r="E160" s="18">
        <v>97</v>
      </c>
      <c r="F160" s="18">
        <v>95</v>
      </c>
      <c r="G160" s="14">
        <f>SUM(C160:F160)</f>
        <v>365</v>
      </c>
      <c r="H160" s="18">
        <v>132</v>
      </c>
      <c r="I160" s="18">
        <v>138</v>
      </c>
      <c r="J160" s="27">
        <v>140</v>
      </c>
      <c r="K160" s="1"/>
      <c r="L160" s="1"/>
      <c r="M160" s="1"/>
      <c r="N160" s="1"/>
      <c r="O160" s="1"/>
      <c r="P160" s="1"/>
    </row>
    <row r="161">
      <c r="A161" s="1"/>
      <c r="B161" s="6" t="s">
        <v>143</v>
      </c>
      <c r="C161" s="21"/>
      <c r="D161" s="21"/>
      <c r="E161" s="21"/>
      <c r="F161" s="21"/>
      <c r="G161" s="21"/>
      <c r="H161" s="21">
        <f>IF(AND(ISNUMBER(H160),ISNUMBER(C160)),IF(C160&lt;=0,"n.m.",IFERROR(H160/C160-1,"n.a.")),"n.a.")</f>
        <v>0.5348837209302326</v>
      </c>
      <c r="I161" s="21">
        <f>IF(AND(ISNUMBER(I160),ISNUMBER(D160)),IF(D160&lt;=0,"n.m.",IFERROR(I160/D160-1,"n.a.")),"n.a.")</f>
        <v>0.5862068965517242</v>
      </c>
      <c r="J161" s="29">
        <f>IF(AND(ISNUMBER(J160),ISNUMBER(E160)),IF(E160&lt;=0,"n.m.",IFERROR(J160/E160-1,"n.a.")),"n.a.")</f>
        <v>0.44329896907216493</v>
      </c>
      <c r="K161" s="1"/>
      <c r="L161" s="1"/>
      <c r="M161" s="1"/>
      <c r="N161" s="1"/>
      <c r="O161" s="1"/>
      <c r="P161" s="1"/>
    </row>
    <row r="162">
      <c r="A162" s="1"/>
      <c r="B162" s="1" t="s">
        <v>162</v>
      </c>
      <c r="C162" s="14"/>
      <c r="D162" s="14">
        <f>IF(AND(ISNUMBER(D160),ISNUMBER(C160)),D160-C160,"n.a.")</f>
        <v>1</v>
      </c>
      <c r="E162" s="14">
        <f>IF(AND(ISNUMBER(E160),ISNUMBER(D160)),E160-D160,"n.a.")</f>
        <v>10</v>
      </c>
      <c r="F162" s="14">
        <f>IF(AND(ISNUMBER(F160),ISNUMBER(E160)),F160-E160,"n.a.")</f>
        <v>-2</v>
      </c>
      <c r="G162" s="14"/>
      <c r="H162" s="14">
        <f>IF(AND(ISNUMBER(H160),ISNUMBER(F160)),H160-F160,"n.a.")</f>
        <v>37</v>
      </c>
      <c r="I162" s="14">
        <f>IF(AND(ISNUMBER(I160),ISNUMBER(H160)),I160-H160,"n.a.")</f>
        <v>6</v>
      </c>
      <c r="J162" s="10">
        <f>IF(AND(ISNUMBER(J160),ISNUMBER(I160)),J160-I160,"n.a.")</f>
        <v>2</v>
      </c>
      <c r="K162" s="1"/>
      <c r="L162" s="1"/>
      <c r="M162" s="1"/>
      <c r="N162" s="1"/>
      <c r="O162" s="1"/>
      <c r="P162" s="1"/>
    </row>
    <row r="163">
      <c r="A163" s="1"/>
      <c r="B163" s="1" t="s">
        <v>313</v>
      </c>
      <c r="C163" s="12">
        <f>Inputs!C150-D163</f>
        <v>311</v>
      </c>
      <c r="D163" s="18">
        <v>286</v>
      </c>
      <c r="E163" s="18">
        <v>336</v>
      </c>
      <c r="F163" s="18">
        <v>327</v>
      </c>
      <c r="G163" s="14">
        <f>SUM(C163:F163)</f>
        <v>1260</v>
      </c>
      <c r="H163" s="18">
        <v>324</v>
      </c>
      <c r="I163" s="18">
        <v>332</v>
      </c>
      <c r="J163" s="27">
        <v>330</v>
      </c>
      <c r="K163" s="1"/>
      <c r="L163" s="1"/>
      <c r="M163" s="1"/>
      <c r="N163" s="1"/>
      <c r="O163" s="1"/>
      <c r="P163" s="1"/>
    </row>
    <row r="164">
      <c r="A164" s="1"/>
      <c r="B164" s="6" t="s">
        <v>143</v>
      </c>
      <c r="C164" s="21"/>
      <c r="D164" s="21"/>
      <c r="E164" s="21"/>
      <c r="F164" s="21"/>
      <c r="G164" s="21"/>
      <c r="H164" s="21">
        <f>IF(AND(ISNUMBER(H163),ISNUMBER(C163)),IF(C163&lt;=0,"n.m.",IFERROR(H163/C163-1,"n.a.")),"n.a.")</f>
        <v>0.04180064308681675</v>
      </c>
      <c r="I164" s="21">
        <f>IF(AND(ISNUMBER(I163),ISNUMBER(D163)),IF(D163&lt;=0,"n.m.",IFERROR(I163/D163-1,"n.a.")),"n.a.")</f>
        <v>0.16083916083916083</v>
      </c>
      <c r="J164" s="29">
        <f>IF(AND(ISNUMBER(J163),ISNUMBER(E163)),IF(E163&lt;=0,"n.m.",IFERROR(J163/E163-1,"n.a.")),"n.a.")</f>
        <v>-0.017857142857142905</v>
      </c>
      <c r="K164" s="1"/>
      <c r="L164" s="1"/>
      <c r="M164" s="1"/>
      <c r="N164" s="1"/>
      <c r="O164" s="1"/>
      <c r="P164" s="1"/>
    </row>
    <row r="165">
      <c r="A165" s="1"/>
      <c r="B165" s="1" t="s">
        <v>162</v>
      </c>
      <c r="C165" s="14"/>
      <c r="D165" s="14">
        <f>IF(AND(ISNUMBER(D163),ISNUMBER(C163)),D163-C163,"n.a.")</f>
        <v>-25</v>
      </c>
      <c r="E165" s="14">
        <f>IF(AND(ISNUMBER(E163),ISNUMBER(D163)),E163-D163,"n.a.")</f>
        <v>50</v>
      </c>
      <c r="F165" s="14">
        <f>IF(AND(ISNUMBER(F163),ISNUMBER(E163)),F163-E163,"n.a.")</f>
        <v>-9</v>
      </c>
      <c r="G165" s="14"/>
      <c r="H165" s="14">
        <f>IF(AND(ISNUMBER(H163),ISNUMBER(F163)),H163-F163,"n.a.")</f>
        <v>-3</v>
      </c>
      <c r="I165" s="14">
        <f>IF(AND(ISNUMBER(I163),ISNUMBER(H163)),I163-H163,"n.a.")</f>
        <v>8</v>
      </c>
      <c r="J165" s="10">
        <f>IF(AND(ISNUMBER(J163),ISNUMBER(I163)),J163-I163,"n.a.")</f>
        <v>-2</v>
      </c>
      <c r="K165" s="1"/>
      <c r="L165" s="1"/>
      <c r="M165" s="1"/>
      <c r="N165" s="1"/>
      <c r="O165" s="1"/>
      <c r="P165" s="1"/>
    </row>
    <row r="166">
      <c r="A166" s="1"/>
      <c r="B166" s="7" t="s">
        <v>314</v>
      </c>
      <c r="C166" s="22">
        <f>C154+C157+C160+C163</f>
        <v>1902</v>
      </c>
      <c r="D166" s="22">
        <f>D154+D157+D160+D163</f>
        <v>1890</v>
      </c>
      <c r="E166" s="22">
        <f>E154+E157+E160+E163</f>
        <v>1941</v>
      </c>
      <c r="F166" s="22">
        <f>F154+F157+F160+F163</f>
        <v>1977</v>
      </c>
      <c r="G166" s="22">
        <f>G154+G157+G160+G163</f>
        <v>7710</v>
      </c>
      <c r="H166" s="22">
        <f>H154+H157+H160+H163</f>
        <v>2115</v>
      </c>
      <c r="I166" s="22">
        <f>I154+I157+I160+I163</f>
        <v>2111</v>
      </c>
      <c r="J166" s="23">
        <f>J154+J157+J160+J163</f>
        <v>2110</v>
      </c>
      <c r="K166" s="1"/>
      <c r="L166" s="1"/>
      <c r="M166" s="1"/>
      <c r="N166" s="1"/>
      <c r="O166" s="1"/>
      <c r="P166" s="1"/>
    </row>
    <row r="167">
      <c r="A167" s="1"/>
      <c r="B167" s="6" t="s">
        <v>143</v>
      </c>
      <c r="C167" s="21"/>
      <c r="D167" s="21"/>
      <c r="E167" s="21"/>
      <c r="F167" s="21"/>
      <c r="G167" s="21"/>
      <c r="H167" s="21">
        <f>IF(AND(ISNUMBER(H166),ISNUMBER(C166)),IF(C166&lt;=0,"n.m.",IFERROR(H166/C166-1,"n.a.")),"n.a.")</f>
        <v>0.11198738170347</v>
      </c>
      <c r="I167" s="21">
        <f>IF(AND(ISNUMBER(I166),ISNUMBER(D166)),IF(D166&lt;=0,"n.m.",IFERROR(I166/D166-1,"n.a.")),"n.a.")</f>
        <v>0.11693121693121689</v>
      </c>
      <c r="J167" s="29">
        <f>IF(AND(ISNUMBER(J166),ISNUMBER(E166)),IF(E166&lt;=0,"n.m.",IFERROR(J166/E166-1,"n.a.")),"n.a.")</f>
        <v>0.08706852138073162</v>
      </c>
      <c r="K167" s="1"/>
      <c r="L167" s="1"/>
      <c r="M167" s="1"/>
      <c r="N167" s="1"/>
      <c r="O167" s="1"/>
      <c r="P167" s="1"/>
    </row>
    <row r="168">
      <c r="A168" s="1"/>
      <c r="B168" s="6" t="s">
        <v>144</v>
      </c>
      <c r="C168" s="21"/>
      <c r="D168" s="21">
        <f>IF(AND(ISNUMBER(D166),ISNUMBER(C166)),IF(C166&lt;=0,"n.m.",IFERROR(D166/C166-1,"n.a.")),"n.a.")</f>
        <v>-0.006309148264984188</v>
      </c>
      <c r="E168" s="21">
        <f>IF(AND(ISNUMBER(E166),ISNUMBER(D166)),IF(D166&lt;=0,"n.m.",IFERROR(E166/D166-1,"n.a.")),"n.a.")</f>
        <v>0.026984126984126888</v>
      </c>
      <c r="F168" s="21">
        <f>IF(AND(ISNUMBER(F166),ISNUMBER(E166)),IF(E166&lt;=0,"n.m.",IFERROR(F166/E166-1,"n.a.")),"n.a.")</f>
        <v>0.018547140649149974</v>
      </c>
      <c r="G168" s="21"/>
      <c r="H168" s="21">
        <f>IF(AND(ISNUMBER(H166),ISNUMBER(F166)),IF(F166&lt;=0,"n.m.",IFERROR(H166/F166-1,"n.a.")),"n.a.")</f>
        <v>0.06980273141122906</v>
      </c>
      <c r="I168" s="21">
        <f>IF(AND(ISNUMBER(I166),ISNUMBER(H166)),IF(H166&lt;=0,"n.m.",IFERROR(I166/H166-1,"n.a.")),"n.a.")</f>
        <v>-0.001891252955082745</v>
      </c>
      <c r="J168" s="29">
        <f>IF(AND(ISNUMBER(J166),ISNUMBER(I166)),IF(I166&lt;=0,"n.m.",IFERROR(J166/I166-1,"n.a.")),"n.a.")</f>
        <v>-0.000473709142586487</v>
      </c>
      <c r="K168" s="1"/>
      <c r="L168" s="1"/>
      <c r="M168" s="1"/>
      <c r="N168" s="1"/>
      <c r="O168" s="1"/>
      <c r="P168" s="1"/>
    </row>
    <row r="169">
      <c r="A169" s="1"/>
      <c r="B169" s="6" t="s">
        <v>315</v>
      </c>
      <c r="C169" s="21">
        <f>C166/C106</f>
        <v>0.5314333612740989</v>
      </c>
      <c r="D169" s="21">
        <f>D166/D106</f>
        <v>0.49841772151898733</v>
      </c>
      <c r="E169" s="21">
        <f>E166/E106</f>
        <v>0.50546875</v>
      </c>
      <c r="F169" s="21">
        <f>F166/F106</f>
        <v>0.5213607594936709</v>
      </c>
      <c r="G169" s="21">
        <f>G166/G106</f>
        <v>0.5138972205558888</v>
      </c>
      <c r="H169" s="21">
        <f>H166/H106</f>
        <v>0.5278263039680559</v>
      </c>
      <c r="I169" s="21">
        <f>I166/I106</f>
        <v>0.4672421425409473</v>
      </c>
      <c r="J169" s="29">
        <f>J166/J106</f>
        <v>0.509261493937845</v>
      </c>
      <c r="K169" s="1"/>
      <c r="L169" s="1"/>
      <c r="M169" s="1"/>
      <c r="N169" s="1"/>
      <c r="O169" s="1"/>
      <c r="P169" s="1"/>
    </row>
    <row r="170">
      <c r="A170" s="1"/>
      <c r="B170" s="6" t="s">
        <v>186</v>
      </c>
      <c r="C170" s="20"/>
      <c r="D170" s="20">
        <f>IF(AND(ISNUMBER(D169),ISNUMBER(C169)),(D169-C169)*10000,"n.a.")</f>
        <v>-330.1563975511157</v>
      </c>
      <c r="E170" s="20">
        <f>IF(AND(ISNUMBER(E169),ISNUMBER(D169)),(E169-D169)*10000,"n.a.")</f>
        <v>70.51028481012689</v>
      </c>
      <c r="F170" s="20">
        <f>IF(AND(ISNUMBER(F169),ISNUMBER(E169)),(F169-E169)*10000,"n.a.")</f>
        <v>158.92009493670867</v>
      </c>
      <c r="G170" s="20"/>
      <c r="H170" s="20">
        <f>IF(AND(ISNUMBER(H169),ISNUMBER(F169)),(H169-F169)*10000,"n.a.")</f>
        <v>64.65544474384966</v>
      </c>
      <c r="I170" s="20">
        <f>IF(AND(ISNUMBER(I169),ISNUMBER(H169)),(I169-H169)*10000,"n.a.")</f>
        <v>-605.8416142710854</v>
      </c>
      <c r="J170" s="48">
        <f>IF(AND(ISNUMBER(J169),ISNUMBER(I169)),(J169-I169)*10000,"n.a.")</f>
        <v>420.1935139689772</v>
      </c>
      <c r="K170" s="1"/>
      <c r="L170" s="1"/>
      <c r="M170" s="1"/>
      <c r="N170" s="1"/>
      <c r="O170" s="1"/>
      <c r="P170" s="1"/>
    </row>
    <row r="171">
      <c r="A171" s="1"/>
      <c r="B171" s="6" t="s">
        <v>187</v>
      </c>
      <c r="C171" s="20"/>
      <c r="D171" s="20"/>
      <c r="E171" s="20"/>
      <c r="F171" s="20"/>
      <c r="G171" s="20"/>
      <c r="H171" s="20">
        <f>IF(AND(ISNUMBER(H169),ISNUMBER(C169)),(H169-C169)*10000,"n.a.")</f>
        <v>-36.07057306043049</v>
      </c>
      <c r="I171" s="20">
        <f>IF(AND(ISNUMBER(I169),ISNUMBER(D169)),(I169-D169)*10000,"n.a.")</f>
        <v>-311.7557897804002</v>
      </c>
      <c r="J171" s="48">
        <f>IF(AND(ISNUMBER(J169),ISNUMBER(E169)),(J169-E169)*10000,"n.a.")</f>
        <v>37.92743937845011</v>
      </c>
      <c r="K171" s="1"/>
      <c r="L171" s="1"/>
      <c r="M171" s="1"/>
      <c r="N171" s="1"/>
      <c r="O171" s="1"/>
      <c r="P171" s="1"/>
    </row>
    <row r="172">
      <c r="A172" s="1"/>
      <c r="B172" s="7" t="s">
        <v>316</v>
      </c>
      <c r="C172" s="22">
        <f>C106-C151-C166</f>
        <v>1509</v>
      </c>
      <c r="D172" s="22">
        <f>D106-D151-D166</f>
        <v>1819</v>
      </c>
      <c r="E172" s="22">
        <f>E106-E151-E166</f>
        <v>1773</v>
      </c>
      <c r="F172" s="22">
        <f>F106-F151-F166</f>
        <v>1660</v>
      </c>
      <c r="G172" s="22">
        <f>G106-G151-G166</f>
        <v>6761</v>
      </c>
      <c r="H172" s="22">
        <f>H106-H151-H166</f>
        <v>1768</v>
      </c>
      <c r="I172" s="22">
        <f>I106-I151-I166</f>
        <v>2287</v>
      </c>
      <c r="J172" s="23">
        <f>J106-J151-J166</f>
        <v>1913.2545462734788</v>
      </c>
      <c r="K172" s="1"/>
      <c r="L172" s="1"/>
      <c r="M172" s="1"/>
      <c r="N172" s="1"/>
      <c r="O172" s="1"/>
      <c r="P172" s="1"/>
    </row>
    <row r="173">
      <c r="A173" s="1"/>
      <c r="B173" s="6" t="s">
        <v>143</v>
      </c>
      <c r="C173" s="21"/>
      <c r="D173" s="21"/>
      <c r="E173" s="21"/>
      <c r="F173" s="21"/>
      <c r="G173" s="21"/>
      <c r="H173" s="21">
        <f>IF(AND(ISNUMBER(H172),ISNUMBER(C172)),IF(C172&lt;=0,"n.m.",IFERROR(H172/C172-1,"n.a.")),"n.a.")</f>
        <v>0.1716368455931081</v>
      </c>
      <c r="I173" s="21">
        <f>IF(AND(ISNUMBER(I172),ISNUMBER(D172)),IF(D172&lt;=0,"n.m.",IFERROR(I172/D172-1,"n.a.")),"n.a.")</f>
        <v>0.2572842221000551</v>
      </c>
      <c r="J173" s="29">
        <f>IF(AND(ISNUMBER(J172),ISNUMBER(E172)),IF(E172&lt;=0,"n.m.",IFERROR(J172/E172-1,"n.a.")),"n.a.")</f>
        <v>0.07910577906005578</v>
      </c>
      <c r="K173" s="1"/>
      <c r="L173" s="1"/>
      <c r="M173" s="1"/>
      <c r="N173" s="1"/>
      <c r="O173" s="1"/>
      <c r="P173" s="1"/>
    </row>
    <row r="174">
      <c r="A174" s="1"/>
      <c r="B174" s="1" t="s">
        <v>317</v>
      </c>
      <c r="C174" s="12">
        <f>Inputs!C151-D174</f>
        <v>352</v>
      </c>
      <c r="D174" s="18">
        <v>423</v>
      </c>
      <c r="E174" s="18">
        <v>413</v>
      </c>
      <c r="F174" s="18">
        <v>387</v>
      </c>
      <c r="G174" s="14">
        <f>SUM(C174:F174)</f>
        <v>1575</v>
      </c>
      <c r="H174" s="18">
        <v>412</v>
      </c>
      <c r="I174" s="18">
        <v>532</v>
      </c>
      <c r="J174" s="10">
        <f>J172*J175</f>
        <v>445.7883092817206</v>
      </c>
      <c r="K174" s="1"/>
      <c r="L174" s="1"/>
      <c r="M174" s="1"/>
      <c r="N174" s="1"/>
      <c r="O174" s="1"/>
      <c r="P174" s="1"/>
    </row>
    <row r="175">
      <c r="A175" s="1"/>
      <c r="B175" s="6" t="s">
        <v>318</v>
      </c>
      <c r="C175" s="21">
        <f>C174/C172</f>
        <v>0.2332670642809808</v>
      </c>
      <c r="D175" s="21">
        <f>D174/D172</f>
        <v>0.2325453545904343</v>
      </c>
      <c r="E175" s="21">
        <f>E174/E172</f>
        <v>0.2329385222786238</v>
      </c>
      <c r="F175" s="21">
        <f>F174/F172</f>
        <v>0.23313253012048193</v>
      </c>
      <c r="G175" s="21">
        <f>G174/G172</f>
        <v>0.23295370507321403</v>
      </c>
      <c r="H175" s="21">
        <f>H174/H172</f>
        <v>0.2330316742081448</v>
      </c>
      <c r="I175" s="21">
        <f>I174/I172</f>
        <v>0.23261915172715347</v>
      </c>
      <c r="J175" s="28">
        <v>0.233</v>
      </c>
      <c r="K175" s="1"/>
      <c r="L175" s="1"/>
      <c r="M175" s="1"/>
      <c r="N175" s="1"/>
      <c r="O175" s="1"/>
      <c r="P175" s="1"/>
    </row>
    <row r="176">
      <c r="A176" s="1"/>
      <c r="B176" s="6" t="s">
        <v>186</v>
      </c>
      <c r="C176" s="20"/>
      <c r="D176" s="20">
        <f>IF(AND(ISNUMBER(D175),ISNUMBER(C175)),(D175-C175)*10000,"n.a.")</f>
        <v>-7.21709690546496</v>
      </c>
      <c r="E176" s="20">
        <f>IF(AND(ISNUMBER(E175),ISNUMBER(D175)),(E175-D175)*10000,"n.a.")</f>
        <v>3.931676881895052</v>
      </c>
      <c r="F176" s="20">
        <f>IF(AND(ISNUMBER(F175),ISNUMBER(E175)),(F175-E175)*10000,"n.a.")</f>
        <v>1.940078418581348</v>
      </c>
      <c r="G176" s="20"/>
      <c r="H176" s="20">
        <f>IF(AND(ISNUMBER(H175),ISNUMBER(F175)),(H175-F175)*10000,"n.a.")</f>
        <v>-1.0085591233713331</v>
      </c>
      <c r="I176" s="20">
        <f>IF(AND(ISNUMBER(I175),ISNUMBER(H175)),(I175-H175)*10000,"n.a.")</f>
        <v>-4.125224809913286</v>
      </c>
      <c r="J176" s="48">
        <f>IF(AND(ISNUMBER(J175),ISNUMBER(I175)),(J175-I175)*10000,"n.a.")</f>
        <v>3.808482728465401</v>
      </c>
      <c r="K176" s="1"/>
      <c r="L176" s="1"/>
      <c r="M176" s="1"/>
      <c r="N176" s="1"/>
      <c r="O176" s="1"/>
      <c r="P176" s="1"/>
    </row>
    <row r="177">
      <c r="A177" s="1"/>
      <c r="B177" s="6" t="s">
        <v>187</v>
      </c>
      <c r="C177" s="20"/>
      <c r="D177" s="20"/>
      <c r="E177" s="20"/>
      <c r="F177" s="20"/>
      <c r="G177" s="20"/>
      <c r="H177" s="20">
        <f>IF(AND(ISNUMBER(H175),ISNUMBER(C175)),(H175-C175)*10000,"n.a.")</f>
        <v>-2.3539007283598923</v>
      </c>
      <c r="I177" s="20">
        <f>IF(AND(ISNUMBER(I175),ISNUMBER(D175)),(I175-D175)*10000,"n.a.")</f>
        <v>0.7379713671917809</v>
      </c>
      <c r="J177" s="48">
        <f>IF(AND(ISNUMBER(J175),ISNUMBER(E175)),(J175-E175)*10000,"n.a.")</f>
        <v>0.6147772137621299</v>
      </c>
      <c r="K177" s="1"/>
      <c r="L177" s="1"/>
      <c r="M177" s="1"/>
      <c r="N177" s="1"/>
      <c r="O177" s="1"/>
      <c r="P177" s="1"/>
    </row>
    <row r="178">
      <c r="A178" s="1"/>
      <c r="B178" s="1" t="s">
        <v>319</v>
      </c>
      <c r="C178" s="12">
        <f>Inputs!C152-D178</f>
        <v>9</v>
      </c>
      <c r="D178" s="18">
        <v>10</v>
      </c>
      <c r="E178" s="18">
        <v>9</v>
      </c>
      <c r="F178" s="18">
        <v>7</v>
      </c>
      <c r="G178" s="14">
        <f>SUM(C178:F178)</f>
        <v>35</v>
      </c>
      <c r="H178" s="18">
        <v>7</v>
      </c>
      <c r="I178" s="18">
        <v>8</v>
      </c>
      <c r="J178" s="27">
        <v>8</v>
      </c>
      <c r="K178" s="1"/>
      <c r="L178" s="1"/>
      <c r="M178" s="1"/>
      <c r="N178" s="1"/>
      <c r="O178" s="1"/>
      <c r="P178" s="1"/>
    </row>
    <row r="179">
      <c r="A179" s="1"/>
      <c r="B179" s="7" t="s">
        <v>320</v>
      </c>
      <c r="C179" s="22">
        <f>C172-C174-C178</f>
        <v>1148</v>
      </c>
      <c r="D179" s="22">
        <f>D172-D174-D178</f>
        <v>1386</v>
      </c>
      <c r="E179" s="22">
        <f>E172-E174-E178</f>
        <v>1351</v>
      </c>
      <c r="F179" s="22">
        <f>F172-F174-F178</f>
        <v>1266</v>
      </c>
      <c r="G179" s="22">
        <f>G172-G174-G178</f>
        <v>5151</v>
      </c>
      <c r="H179" s="22">
        <f>H172-H174-H178</f>
        <v>1349</v>
      </c>
      <c r="I179" s="22">
        <f>I172-I174-I178</f>
        <v>1747</v>
      </c>
      <c r="J179" s="23">
        <f>J172-J174-J178</f>
        <v>1459.4662369917583</v>
      </c>
      <c r="K179" s="1"/>
      <c r="L179" s="1"/>
      <c r="M179" s="1"/>
      <c r="N179" s="1"/>
      <c r="O179" s="1"/>
      <c r="P179" s="1"/>
    </row>
    <row r="180">
      <c r="A180" s="1"/>
      <c r="B180" s="6" t="s">
        <v>143</v>
      </c>
      <c r="C180" s="21"/>
      <c r="D180" s="21"/>
      <c r="E180" s="21"/>
      <c r="F180" s="21"/>
      <c r="G180" s="21"/>
      <c r="H180" s="21">
        <f>IF(AND(ISNUMBER(H179),ISNUMBER(C179)),IF(C179&lt;=0,"n.m.",IFERROR(H179/C179-1,"n.a.")),"n.a.")</f>
        <v>0.17508710801393734</v>
      </c>
      <c r="I180" s="21">
        <f>IF(AND(ISNUMBER(I179),ISNUMBER(D179)),IF(D179&lt;=0,"n.m.",IFERROR(I179/D179-1,"n.a.")),"n.a.")</f>
        <v>0.2604617604617605</v>
      </c>
      <c r="J180" s="29">
        <f>IF(AND(ISNUMBER(J179),ISNUMBER(E179)),IF(E179&lt;=0,"n.m.",IFERROR(J179/E179-1,"n.a.")),"n.a.")</f>
        <v>0.08028588970522454</v>
      </c>
      <c r="K180" s="1"/>
      <c r="L180" s="1"/>
      <c r="M180" s="1"/>
      <c r="N180" s="1"/>
      <c r="O180" s="1"/>
      <c r="P180" s="1"/>
    </row>
    <row r="181">
      <c r="A181" s="1"/>
      <c r="B181" s="6" t="s">
        <v>144</v>
      </c>
      <c r="C181" s="21"/>
      <c r="D181" s="21">
        <f>IF(AND(ISNUMBER(D179),ISNUMBER(C179)),IF(C179&lt;=0,"n.m.",IFERROR(D179/C179-1,"n.a.")),"n.a.")</f>
        <v>0.20731707317073167</v>
      </c>
      <c r="E181" s="21">
        <f>IF(AND(ISNUMBER(E179),ISNUMBER(D179)),IF(D179&lt;=0,"n.m.",IFERROR(E179/D179-1,"n.a.")),"n.a.")</f>
        <v>-0.025252525252525304</v>
      </c>
      <c r="F181" s="21">
        <f>IF(AND(ISNUMBER(F179),ISNUMBER(E179)),IF(E179&lt;=0,"n.m.",IFERROR(F179/E179-1,"n.a.")),"n.a.")</f>
        <v>-0.06291635825314579</v>
      </c>
      <c r="G181" s="21"/>
      <c r="H181" s="21">
        <f>IF(AND(ISNUMBER(H179),ISNUMBER(F179)),IF(F179&lt;=0,"n.m.",IFERROR(H179/F179-1,"n.a.")),"n.a.")</f>
        <v>0.0655608214849921</v>
      </c>
      <c r="I181" s="21">
        <f>IF(AND(ISNUMBER(I179),ISNUMBER(H179)),IF(H179&lt;=0,"n.m.",IFERROR(I179/H179-1,"n.a.")),"n.a.")</f>
        <v>0.2950333580429949</v>
      </c>
      <c r="J181" s="29">
        <f>IF(AND(ISNUMBER(J179),ISNUMBER(I179)),IF(I179&lt;=0,"n.m.",IFERROR(J179/I179-1,"n.a.")),"n.a.")</f>
        <v>-0.16458715684501535</v>
      </c>
      <c r="K181" s="1"/>
      <c r="L181" s="1"/>
      <c r="M181" s="1"/>
      <c r="N181" s="1"/>
      <c r="O181" s="1"/>
      <c r="P181" s="1"/>
    </row>
    <row r="182">
      <c r="A182" s="1"/>
      <c r="B182" s="6" t="s">
        <v>321</v>
      </c>
      <c r="C182" s="21">
        <f>C172/C106</f>
        <v>0.42162615255658004</v>
      </c>
      <c r="D182" s="21">
        <f>D172/D106</f>
        <v>0.4796940928270042</v>
      </c>
      <c r="E182" s="21">
        <f>E172/E106</f>
        <v>0.46171875</v>
      </c>
      <c r="F182" s="21">
        <f>F172/F106</f>
        <v>0.43776371308016876</v>
      </c>
      <c r="G182" s="21">
        <f>G172/G106</f>
        <v>0.4506432046923948</v>
      </c>
      <c r="H182" s="21">
        <f>H172/H106</f>
        <v>0.44122785126029446</v>
      </c>
      <c r="I182" s="21">
        <f>I172/I106</f>
        <v>0.5061974324922532</v>
      </c>
      <c r="J182" s="29">
        <f>J172/J106</f>
        <v>0.4617757670704292</v>
      </c>
      <c r="K182" s="1"/>
      <c r="L182" s="1"/>
      <c r="M182" s="1"/>
      <c r="N182" s="1"/>
      <c r="O182" s="1"/>
      <c r="P182" s="1"/>
    </row>
    <row r="183">
      <c r="A183" s="1"/>
      <c r="B183" s="6" t="s">
        <v>186</v>
      </c>
      <c r="C183" s="20"/>
      <c r="D183" s="20">
        <f>IF(AND(ISNUMBER(D182),ISNUMBER(C182)),(D182-C182)*10000,"n.a.")</f>
        <v>580.6794027042416</v>
      </c>
      <c r="E183" s="20">
        <f>IF(AND(ISNUMBER(E182),ISNUMBER(D182)),(E182-D182)*10000,"n.a.")</f>
        <v>-179.75342827004192</v>
      </c>
      <c r="F183" s="20">
        <f>IF(AND(ISNUMBER(F182),ISNUMBER(E182)),(F182-E182)*10000,"n.a.")</f>
        <v>-239.55036919831252</v>
      </c>
      <c r="G183" s="20"/>
      <c r="H183" s="20">
        <f>IF(AND(ISNUMBER(H182),ISNUMBER(F182)),(H182-F182)*10000,"n.a.")</f>
        <v>34.641381801256976</v>
      </c>
      <c r="I183" s="20">
        <f>IF(AND(ISNUMBER(I182),ISNUMBER(H182)),(I182-H182)*10000,"n.a.")</f>
        <v>649.6958123195878</v>
      </c>
      <c r="J183" s="48">
        <f>IF(AND(ISNUMBER(J182),ISNUMBER(I182)),(J182-I182)*10000,"n.a.")</f>
        <v>-444.2166542182402</v>
      </c>
      <c r="K183" s="1"/>
      <c r="L183" s="1"/>
      <c r="M183" s="1"/>
      <c r="N183" s="1"/>
      <c r="O183" s="1"/>
      <c r="P183" s="1"/>
    </row>
    <row r="184">
      <c r="A184" s="1"/>
      <c r="B184" s="6" t="s">
        <v>187</v>
      </c>
      <c r="C184" s="20"/>
      <c r="D184" s="20"/>
      <c r="E184" s="20"/>
      <c r="F184" s="20"/>
      <c r="G184" s="20"/>
      <c r="H184" s="20">
        <f>IF(AND(ISNUMBER(H182),ISNUMBER(C182)),(H182-C182)*10000,"n.a.")</f>
        <v>196.01698703714422</v>
      </c>
      <c r="I184" s="20">
        <f>IF(AND(ISNUMBER(I182),ISNUMBER(D182)),(I182-D182)*10000,"n.a.")</f>
        <v>265.03339665249035</v>
      </c>
      <c r="J184" s="48">
        <f>IF(AND(ISNUMBER(J182),ISNUMBER(E182)),(J182-E182)*10000,"n.a.")</f>
        <v>0.5701707042921056</v>
      </c>
      <c r="K184" s="1"/>
      <c r="L184" s="1"/>
      <c r="M184" s="1"/>
      <c r="N184" s="1"/>
      <c r="O184" s="1"/>
      <c r="P184" s="1"/>
    </row>
    <row r="185">
      <c r="A185" s="1"/>
      <c r="B185" s="32" t="s">
        <v>322</v>
      </c>
      <c r="C185" s="11"/>
      <c r="D185" s="11"/>
      <c r="E185" s="11"/>
      <c r="F185" s="11"/>
      <c r="G185" s="11"/>
      <c r="H185" s="11"/>
      <c r="I185" s="11"/>
      <c r="J185" s="30"/>
      <c r="K185" s="1"/>
      <c r="L185" s="1"/>
      <c r="M185" s="1"/>
      <c r="N185" s="1"/>
      <c r="O185" s="1"/>
      <c r="P185" s="1"/>
    </row>
    <row r="186">
      <c r="A186" s="1"/>
      <c r="B186" s="1" t="s">
        <v>323</v>
      </c>
      <c r="C186" s="18">
        <v>804</v>
      </c>
      <c r="D186" s="18">
        <v>812</v>
      </c>
      <c r="E186" s="18">
        <v>827</v>
      </c>
      <c r="F186" s="18">
        <v>840</v>
      </c>
      <c r="G186" s="14">
        <f>F186</f>
        <v>840</v>
      </c>
      <c r="H186" s="18">
        <v>932</v>
      </c>
      <c r="I186" s="18">
        <v>944</v>
      </c>
      <c r="J186" s="27">
        <v>940</v>
      </c>
      <c r="K186" s="1"/>
      <c r="L186" s="1"/>
      <c r="M186" s="1"/>
      <c r="N186" s="1"/>
      <c r="O186" s="1"/>
      <c r="P186" s="1"/>
    </row>
    <row r="187">
      <c r="A187" s="1"/>
      <c r="B187" s="6" t="s">
        <v>143</v>
      </c>
      <c r="C187" s="21"/>
      <c r="D187" s="21"/>
      <c r="E187" s="21"/>
      <c r="F187" s="21"/>
      <c r="G187" s="21"/>
      <c r="H187" s="21">
        <f>IF(AND(ISNUMBER(H186),ISNUMBER(C186)),IF(C186&lt;=0,"n.m.",IFERROR(H186/C186-1,"n.a.")),"n.a.")</f>
        <v>0.15920398009950243</v>
      </c>
      <c r="I187" s="21">
        <f>IF(AND(ISNUMBER(I186),ISNUMBER(D186)),IF(D186&lt;=0,"n.m.",IFERROR(I186/D186-1,"n.a.")),"n.a.")</f>
        <v>0.16256157635467972</v>
      </c>
      <c r="J187" s="29">
        <f>IF(AND(ISNUMBER(J186),ISNUMBER(E186)),IF(E186&lt;=0,"n.m.",IFERROR(J186/E186-1,"n.a.")),"n.a.")</f>
        <v>0.13663845223700122</v>
      </c>
      <c r="K187" s="1"/>
      <c r="L187" s="1"/>
      <c r="M187" s="1"/>
      <c r="N187" s="1"/>
      <c r="O187" s="1"/>
      <c r="P187" s="1"/>
    </row>
    <row r="188">
      <c r="A188" s="1"/>
      <c r="B188" s="1" t="s">
        <v>162</v>
      </c>
      <c r="C188" s="14"/>
      <c r="D188" s="14">
        <f>IF(AND(ISNUMBER(D186),ISNUMBER(C186)),D186-C186,"n.a.")</f>
        <v>8</v>
      </c>
      <c r="E188" s="14">
        <f>IF(AND(ISNUMBER(E186),ISNUMBER(D186)),E186-D186,"n.a.")</f>
        <v>15</v>
      </c>
      <c r="F188" s="14">
        <f>IF(AND(ISNUMBER(F186),ISNUMBER(E186)),F186-E186,"n.a.")</f>
        <v>13</v>
      </c>
      <c r="G188" s="14"/>
      <c r="H188" s="14">
        <f>IF(AND(ISNUMBER(H186),ISNUMBER(F186)),H186-F186,"n.a.")</f>
        <v>92</v>
      </c>
      <c r="I188" s="14">
        <f>IF(AND(ISNUMBER(I186),ISNUMBER(H186)),I186-H186,"n.a.")</f>
        <v>12</v>
      </c>
      <c r="J188" s="10">
        <f>IF(AND(ISNUMBER(J186),ISNUMBER(I186)),J186-I186,"n.a.")</f>
        <v>-4</v>
      </c>
      <c r="K188" s="1"/>
      <c r="L188" s="1"/>
      <c r="M188" s="1"/>
      <c r="N188" s="1"/>
      <c r="O188" s="1"/>
      <c r="P188" s="1"/>
    </row>
    <row r="189">
      <c r="A189" s="1"/>
      <c r="B189" s="1" t="s">
        <v>324</v>
      </c>
      <c r="C189" s="12">
        <f>Inputs!C161-D189</f>
        <v>144</v>
      </c>
      <c r="D189" s="18">
        <v>120</v>
      </c>
      <c r="E189" s="18">
        <v>126</v>
      </c>
      <c r="F189" s="18">
        <v>116</v>
      </c>
      <c r="G189" s="14">
        <f>SUM(C189:F189)</f>
        <v>506</v>
      </c>
      <c r="H189" s="18">
        <v>118</v>
      </c>
      <c r="I189" s="18">
        <v>123</v>
      </c>
      <c r="J189" s="27">
        <v>120</v>
      </c>
      <c r="K189" s="1"/>
      <c r="L189" s="1"/>
      <c r="M189" s="1"/>
      <c r="N189" s="1"/>
      <c r="O189" s="1"/>
      <c r="P189" s="1"/>
    </row>
    <row r="190">
      <c r="A190" s="1"/>
      <c r="B190" s="6" t="s">
        <v>143</v>
      </c>
      <c r="C190" s="21"/>
      <c r="D190" s="21"/>
      <c r="E190" s="21"/>
      <c r="F190" s="21"/>
      <c r="G190" s="21"/>
      <c r="H190" s="21">
        <f>IF(AND(ISNUMBER(H189),ISNUMBER(C189)),IF(C189&lt;=0,"n.m.",IFERROR(H189/C189-1,"n.a.")),"n.a.")</f>
        <v>-0.18055555555555558</v>
      </c>
      <c r="I190" s="21">
        <f>IF(AND(ISNUMBER(I189),ISNUMBER(D189)),IF(D189&lt;=0,"n.m.",IFERROR(I189/D189-1,"n.a.")),"n.a.")</f>
        <v>0.02499999999999991</v>
      </c>
      <c r="J190" s="29">
        <f>IF(AND(ISNUMBER(J189),ISNUMBER(E189)),IF(E189&lt;=0,"n.m.",IFERROR(J189/E189-1,"n.a.")),"n.a.")</f>
        <v>-0.04761904761904767</v>
      </c>
      <c r="K190" s="1"/>
      <c r="L190" s="1"/>
      <c r="M190" s="1"/>
      <c r="N190" s="1"/>
      <c r="O190" s="1"/>
      <c r="P190" s="1"/>
    </row>
    <row r="191">
      <c r="A191" s="1"/>
      <c r="B191" s="1" t="s">
        <v>162</v>
      </c>
      <c r="C191" s="14"/>
      <c r="D191" s="14">
        <f>IF(AND(ISNUMBER(D189),ISNUMBER(C189)),D189-C189,"n.a.")</f>
        <v>-24</v>
      </c>
      <c r="E191" s="14">
        <f>IF(AND(ISNUMBER(E189),ISNUMBER(D189)),E189-D189,"n.a.")</f>
        <v>6</v>
      </c>
      <c r="F191" s="14">
        <f>IF(AND(ISNUMBER(F189),ISNUMBER(E189)),F189-E189,"n.a.")</f>
        <v>-10</v>
      </c>
      <c r="G191" s="14"/>
      <c r="H191" s="14">
        <f>IF(AND(ISNUMBER(H189),ISNUMBER(F189)),H189-F189,"n.a.")</f>
        <v>2</v>
      </c>
      <c r="I191" s="14">
        <f>IF(AND(ISNUMBER(I189),ISNUMBER(H189)),I189-H189,"n.a.")</f>
        <v>5</v>
      </c>
      <c r="J191" s="10">
        <f>IF(AND(ISNUMBER(J189),ISNUMBER(I189)),J189-I189,"n.a.")</f>
        <v>-3</v>
      </c>
      <c r="K191" s="1"/>
      <c r="L191" s="1"/>
      <c r="M191" s="1"/>
      <c r="N191" s="1"/>
      <c r="O191" s="1"/>
      <c r="P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P17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325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326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 ht="28.5">
      <c r="A10" s="1"/>
      <c r="B10" s="1" t="s">
        <v>327</v>
      </c>
      <c r="C10" s="14"/>
      <c r="D10" s="18">
        <v>114607</v>
      </c>
      <c r="E10" s="18">
        <v>118445</v>
      </c>
      <c r="F10" s="18">
        <v>121379</v>
      </c>
      <c r="G10" s="14"/>
      <c r="H10" s="18">
        <v>128837</v>
      </c>
      <c r="I10" s="18">
        <v>139370</v>
      </c>
      <c r="J10" s="27">
        <v>143000</v>
      </c>
      <c r="K10" s="134" t="s">
        <v>328</v>
      </c>
      <c r="L10" s="1"/>
      <c r="M10" s="1"/>
      <c r="N10" s="1"/>
      <c r="O10" s="1"/>
      <c r="P10" s="1"/>
    </row>
    <row r="11">
      <c r="A11" s="1"/>
      <c r="B11" s="6" t="s">
        <v>143</v>
      </c>
      <c r="C11" s="21"/>
      <c r="D11" s="21"/>
      <c r="E11" s="21"/>
      <c r="F11" s="21"/>
      <c r="G11" s="21"/>
      <c r="H11" s="21" t="str">
        <f>IF(AND(ISNUMBER(H10),ISNUMBER(C10)),IF(C10&lt;=0,"n.m.",IFERROR(H10/C10-1,"n.a.")),"n.a.")</f>
        <v>n.a.</v>
      </c>
      <c r="I11" s="21">
        <f>IF(AND(ISNUMBER(I10),ISNUMBER(D10)),IF(D10&lt;=0,"n.m.",IFERROR(I10/D10-1,"n.a.")),"n.a.")</f>
        <v>0.21606882651146964</v>
      </c>
      <c r="J11" s="29">
        <f>IF(AND(ISNUMBER(J10),ISNUMBER(E10)),IF(E10&lt;=0,"n.m.",IFERROR(J10/E10-1,"n.a.")),"n.a.")</f>
        <v>0.2073114103592384</v>
      </c>
      <c r="K11" s="1"/>
      <c r="L11" s="1"/>
      <c r="M11" s="1"/>
      <c r="N11" s="1"/>
      <c r="O11" s="1"/>
      <c r="P11" s="1"/>
    </row>
    <row r="12">
      <c r="A12" s="1"/>
      <c r="B12" s="1" t="s">
        <v>162</v>
      </c>
      <c r="C12" s="14"/>
      <c r="D12" s="14" t="str">
        <f>IF(AND(ISNUMBER(D10),ISNUMBER(C10)),D10-C10,"n.a.")</f>
        <v>n.a.</v>
      </c>
      <c r="E12" s="14">
        <f>IF(AND(ISNUMBER(E10),ISNUMBER(D10)),E10-D10,"n.a.")</f>
        <v>3838</v>
      </c>
      <c r="F12" s="14">
        <f>IF(AND(ISNUMBER(F10),ISNUMBER(E10)),F10-E10,"n.a.")</f>
        <v>2934</v>
      </c>
      <c r="G12" s="14"/>
      <c r="H12" s="14">
        <f>IF(AND(ISNUMBER(H10),ISNUMBER(F10)),H10-F10,"n.a.")</f>
        <v>7458</v>
      </c>
      <c r="I12" s="14">
        <f>IF(AND(ISNUMBER(I10),ISNUMBER(H10)),I10-H10,"n.a.")</f>
        <v>10533</v>
      </c>
      <c r="J12" s="10">
        <f>IF(AND(ISNUMBER(J10),ISNUMBER(I10)),J10-I10,"n.a.")</f>
        <v>3630</v>
      </c>
      <c r="K12" s="1"/>
      <c r="L12" s="1"/>
      <c r="M12" s="1"/>
      <c r="N12" s="1"/>
      <c r="O12" s="1"/>
      <c r="P12" s="1"/>
    </row>
    <row r="13">
      <c r="A13" s="1"/>
      <c r="B13" s="1" t="s">
        <v>329</v>
      </c>
      <c r="C13" s="14"/>
      <c r="D13" s="18">
        <v>42533</v>
      </c>
      <c r="E13" s="18">
        <v>41863</v>
      </c>
      <c r="F13" s="18">
        <v>40836</v>
      </c>
      <c r="G13" s="14"/>
      <c r="H13" s="18">
        <v>41074</v>
      </c>
      <c r="I13" s="18">
        <v>41002</v>
      </c>
      <c r="J13" s="27">
        <v>41600</v>
      </c>
      <c r="K13" s="1"/>
      <c r="L13" s="1"/>
      <c r="M13" s="1"/>
      <c r="N13" s="1"/>
      <c r="O13" s="1"/>
      <c r="P13" s="1"/>
    </row>
    <row r="14">
      <c r="A14" s="1"/>
      <c r="B14" s="6" t="s">
        <v>143</v>
      </c>
      <c r="C14" s="21"/>
      <c r="D14" s="21"/>
      <c r="E14" s="21"/>
      <c r="F14" s="21"/>
      <c r="G14" s="21"/>
      <c r="H14" s="21" t="str">
        <f>IF(AND(ISNUMBER(H13),ISNUMBER(C13)),IF(C13&lt;=0,"n.m.",IFERROR(H13/C13-1,"n.a.")),"n.a.")</f>
        <v>n.a.</v>
      </c>
      <c r="I14" s="21">
        <f>IF(AND(ISNUMBER(I13),ISNUMBER(D13)),IF(D13&lt;=0,"n.m.",IFERROR(I13/D13-1,"n.a.")),"n.a.")</f>
        <v>-0.03599557990266378</v>
      </c>
      <c r="J14" s="29">
        <f>IF(AND(ISNUMBER(J13),ISNUMBER(E13)),IF(E13&lt;=0,"n.m.",IFERROR(J13/E13-1,"n.a.")),"n.a.")</f>
        <v>-0.006282397343716384</v>
      </c>
      <c r="K14" s="1"/>
      <c r="L14" s="1"/>
      <c r="M14" s="1"/>
      <c r="N14" s="1"/>
      <c r="O14" s="1"/>
      <c r="P14" s="1"/>
    </row>
    <row r="15">
      <c r="A15" s="1"/>
      <c r="B15" s="1" t="s">
        <v>162</v>
      </c>
      <c r="C15" s="14"/>
      <c r="D15" s="14" t="str">
        <f>IF(AND(ISNUMBER(D13),ISNUMBER(C13)),D13-C13,"n.a.")</f>
        <v>n.a.</v>
      </c>
      <c r="E15" s="14">
        <f>IF(AND(ISNUMBER(E13),ISNUMBER(D13)),E13-D13,"n.a.")</f>
        <v>-670</v>
      </c>
      <c r="F15" s="14">
        <f>IF(AND(ISNUMBER(F13),ISNUMBER(E13)),F13-E13,"n.a.")</f>
        <v>-1027</v>
      </c>
      <c r="G15" s="14"/>
      <c r="H15" s="14">
        <f>IF(AND(ISNUMBER(H13),ISNUMBER(F13)),H13-F13,"n.a.")</f>
        <v>238</v>
      </c>
      <c r="I15" s="14">
        <f>IF(AND(ISNUMBER(I13),ISNUMBER(H13)),I13-H13,"n.a.")</f>
        <v>-72</v>
      </c>
      <c r="J15" s="10">
        <f>IF(AND(ISNUMBER(J13),ISNUMBER(I13)),J13-I13,"n.a.")</f>
        <v>598</v>
      </c>
      <c r="K15" s="1"/>
      <c r="L15" s="1"/>
      <c r="M15" s="1"/>
      <c r="N15" s="1"/>
      <c r="O15" s="1"/>
      <c r="P15" s="1"/>
    </row>
    <row r="16">
      <c r="A16" s="1"/>
      <c r="B16" s="1" t="s">
        <v>330</v>
      </c>
      <c r="C16" s="14"/>
      <c r="D16" s="18">
        <v>31544</v>
      </c>
      <c r="E16" s="18">
        <v>32412</v>
      </c>
      <c r="F16" s="18">
        <v>32552</v>
      </c>
      <c r="G16" s="14"/>
      <c r="H16" s="18">
        <v>33944</v>
      </c>
      <c r="I16" s="18">
        <v>36012</v>
      </c>
      <c r="J16" s="27">
        <v>36600</v>
      </c>
      <c r="K16" s="1"/>
      <c r="L16" s="1"/>
      <c r="M16" s="1"/>
      <c r="N16" s="1"/>
      <c r="O16" s="1"/>
      <c r="P16" s="1"/>
    </row>
    <row r="17">
      <c r="A17" s="1"/>
      <c r="B17" s="6" t="s">
        <v>143</v>
      </c>
      <c r="C17" s="21"/>
      <c r="D17" s="21"/>
      <c r="E17" s="21"/>
      <c r="F17" s="21"/>
      <c r="G17" s="21"/>
      <c r="H17" s="21" t="str">
        <f>IF(AND(ISNUMBER(H16),ISNUMBER(C16)),IF(C16&lt;=0,"n.m.",IFERROR(H16/C16-1,"n.a.")),"n.a.")</f>
        <v>n.a.</v>
      </c>
      <c r="I17" s="21">
        <f>IF(AND(ISNUMBER(I16),ISNUMBER(D16)),IF(D16&lt;=0,"n.m.",IFERROR(I16/D16-1,"n.a.")),"n.a.")</f>
        <v>0.14164341871671327</v>
      </c>
      <c r="J17" s="29">
        <f>IF(AND(ISNUMBER(J16),ISNUMBER(E16)),IF(E16&lt;=0,"n.m.",IFERROR(J16/E16-1,"n.a.")),"n.a.")</f>
        <v>0.12921140318400592</v>
      </c>
      <c r="K17" s="1"/>
      <c r="L17" s="1"/>
      <c r="M17" s="1"/>
      <c r="N17" s="1"/>
      <c r="O17" s="1"/>
      <c r="P17" s="1"/>
    </row>
    <row r="18">
      <c r="A18" s="1"/>
      <c r="B18" s="1" t="s">
        <v>162</v>
      </c>
      <c r="C18" s="14"/>
      <c r="D18" s="14" t="str">
        <f>IF(AND(ISNUMBER(D16),ISNUMBER(C16)),D16-C16,"n.a.")</f>
        <v>n.a.</v>
      </c>
      <c r="E18" s="14">
        <f>IF(AND(ISNUMBER(E16),ISNUMBER(D16)),E16-D16,"n.a.")</f>
        <v>868</v>
      </c>
      <c r="F18" s="14">
        <f>IF(AND(ISNUMBER(F16),ISNUMBER(E16)),F16-E16,"n.a.")</f>
        <v>140</v>
      </c>
      <c r="G18" s="14"/>
      <c r="H18" s="14">
        <f>IF(AND(ISNUMBER(H16),ISNUMBER(F16)),H16-F16,"n.a.")</f>
        <v>1392</v>
      </c>
      <c r="I18" s="14">
        <f>IF(AND(ISNUMBER(I16),ISNUMBER(H16)),I16-H16,"n.a.")</f>
        <v>2068</v>
      </c>
      <c r="J18" s="10">
        <f>IF(AND(ISNUMBER(J16),ISNUMBER(I16)),J16-I16,"n.a.")</f>
        <v>588</v>
      </c>
      <c r="K18" s="1"/>
      <c r="L18" s="1"/>
      <c r="M18" s="1"/>
      <c r="N18" s="1"/>
      <c r="O18" s="1"/>
      <c r="P18" s="1"/>
    </row>
    <row r="19">
      <c r="A19" s="1"/>
      <c r="B19" s="1" t="s">
        <v>331</v>
      </c>
      <c r="C19" s="14"/>
      <c r="D19" s="18">
        <v>10422</v>
      </c>
      <c r="E19" s="18">
        <v>10476</v>
      </c>
      <c r="F19" s="18">
        <v>10551</v>
      </c>
      <c r="G19" s="14"/>
      <c r="H19" s="18">
        <v>10595</v>
      </c>
      <c r="I19" s="18">
        <v>10717</v>
      </c>
      <c r="J19" s="27">
        <v>10800</v>
      </c>
      <c r="K19" s="1"/>
      <c r="L19" s="1"/>
      <c r="M19" s="1"/>
      <c r="N19" s="1"/>
      <c r="O19" s="1"/>
      <c r="P19" s="1"/>
    </row>
    <row r="20">
      <c r="A20" s="1"/>
      <c r="B20" s="6" t="s">
        <v>143</v>
      </c>
      <c r="C20" s="21"/>
      <c r="D20" s="21"/>
      <c r="E20" s="21"/>
      <c r="F20" s="21"/>
      <c r="G20" s="21"/>
      <c r="H20" s="21" t="str">
        <f>IF(AND(ISNUMBER(H19),ISNUMBER(C19)),IF(C19&lt;=0,"n.m.",IFERROR(H19/C19-1,"n.a.")),"n.a.")</f>
        <v>n.a.</v>
      </c>
      <c r="I20" s="21">
        <f>IF(AND(ISNUMBER(I19),ISNUMBER(D19)),IF(D19&lt;=0,"n.m.",IFERROR(I19/D19-1,"n.a.")),"n.a.")</f>
        <v>0.02830550758011907</v>
      </c>
      <c r="J20" s="29">
        <f>IF(AND(ISNUMBER(J19),ISNUMBER(E19)),IF(E19&lt;=0,"n.m.",IFERROR(J19/E19-1,"n.a.")),"n.a.")</f>
        <v>0.030927835051546282</v>
      </c>
      <c r="K20" s="1"/>
      <c r="L20" s="1"/>
      <c r="M20" s="1"/>
      <c r="N20" s="1"/>
      <c r="O20" s="1"/>
      <c r="P20" s="1"/>
    </row>
    <row r="21">
      <c r="A21" s="1"/>
      <c r="B21" s="1" t="s">
        <v>162</v>
      </c>
      <c r="C21" s="14"/>
      <c r="D21" s="14" t="str">
        <f>IF(AND(ISNUMBER(D19),ISNUMBER(C19)),D19-C19,"n.a.")</f>
        <v>n.a.</v>
      </c>
      <c r="E21" s="14">
        <f>IF(AND(ISNUMBER(E19),ISNUMBER(D19)),E19-D19,"n.a.")</f>
        <v>54</v>
      </c>
      <c r="F21" s="14">
        <f>IF(AND(ISNUMBER(F19),ISNUMBER(E19)),F19-E19,"n.a.")</f>
        <v>75</v>
      </c>
      <c r="G21" s="14"/>
      <c r="H21" s="14">
        <f>IF(AND(ISNUMBER(H19),ISNUMBER(F19)),H19-F19,"n.a.")</f>
        <v>44</v>
      </c>
      <c r="I21" s="14">
        <f>IF(AND(ISNUMBER(I19),ISNUMBER(H19)),I19-H19,"n.a.")</f>
        <v>122</v>
      </c>
      <c r="J21" s="10">
        <f>IF(AND(ISNUMBER(J19),ISNUMBER(I19)),J19-I19,"n.a.")</f>
        <v>83</v>
      </c>
      <c r="K21" s="1"/>
      <c r="L21" s="1"/>
      <c r="M21" s="1"/>
      <c r="N21" s="1"/>
      <c r="O21" s="1"/>
      <c r="P21" s="1"/>
    </row>
    <row r="22">
      <c r="A22" s="1"/>
      <c r="B22" s="1" t="s">
        <v>332</v>
      </c>
      <c r="C22" s="14"/>
      <c r="D22" s="18">
        <v>6194</v>
      </c>
      <c r="E22" s="18">
        <v>6063</v>
      </c>
      <c r="F22" s="18">
        <v>5904</v>
      </c>
      <c r="G22" s="14"/>
      <c r="H22" s="18">
        <v>5976</v>
      </c>
      <c r="I22" s="18">
        <v>5944</v>
      </c>
      <c r="J22" s="27">
        <v>5950</v>
      </c>
      <c r="K22" s="1"/>
      <c r="L22" s="1"/>
      <c r="M22" s="1"/>
      <c r="N22" s="1"/>
      <c r="O22" s="1"/>
      <c r="P22" s="1"/>
    </row>
    <row r="23">
      <c r="A23" s="1"/>
      <c r="B23" s="6" t="s">
        <v>143</v>
      </c>
      <c r="C23" s="21"/>
      <c r="D23" s="21"/>
      <c r="E23" s="21"/>
      <c r="F23" s="21"/>
      <c r="G23" s="21"/>
      <c r="H23" s="21" t="str">
        <f>IF(AND(ISNUMBER(H22),ISNUMBER(C22)),IF(C22&lt;=0,"n.m.",IFERROR(H22/C22-1,"n.a.")),"n.a.")</f>
        <v>n.a.</v>
      </c>
      <c r="I23" s="21">
        <f>IF(AND(ISNUMBER(I22),ISNUMBER(D22)),IF(D22&lt;=0,"n.m.",IFERROR(I22/D22-1,"n.a.")),"n.a.")</f>
        <v>-0.040361640297061685</v>
      </c>
      <c r="J23" s="29">
        <f>IF(AND(ISNUMBER(J22),ISNUMBER(E22)),IF(E22&lt;=0,"n.m.",IFERROR(J22/E22-1,"n.a.")),"n.a.")</f>
        <v>-0.018637638132937506</v>
      </c>
      <c r="K23" s="1"/>
      <c r="L23" s="1"/>
      <c r="M23" s="1"/>
      <c r="N23" s="1"/>
      <c r="O23" s="1"/>
      <c r="P23" s="1"/>
    </row>
    <row r="24">
      <c r="A24" s="1"/>
      <c r="B24" s="1" t="s">
        <v>162</v>
      </c>
      <c r="C24" s="14"/>
      <c r="D24" s="14" t="str">
        <f>IF(AND(ISNUMBER(D22),ISNUMBER(C22)),D22-C22,"n.a.")</f>
        <v>n.a.</v>
      </c>
      <c r="E24" s="14">
        <f>IF(AND(ISNUMBER(E22),ISNUMBER(D22)),E22-D22,"n.a.")</f>
        <v>-131</v>
      </c>
      <c r="F24" s="14">
        <f>IF(AND(ISNUMBER(F22),ISNUMBER(E22)),F22-E22,"n.a.")</f>
        <v>-159</v>
      </c>
      <c r="G24" s="14"/>
      <c r="H24" s="14">
        <f>IF(AND(ISNUMBER(H22),ISNUMBER(F22)),H22-F22,"n.a.")</f>
        <v>72</v>
      </c>
      <c r="I24" s="14">
        <f>IF(AND(ISNUMBER(I22),ISNUMBER(H22)),I22-H22,"n.a.")</f>
        <v>-32</v>
      </c>
      <c r="J24" s="10">
        <f>IF(AND(ISNUMBER(J22),ISNUMBER(I22)),J22-I22,"n.a.")</f>
        <v>6</v>
      </c>
      <c r="K24" s="1"/>
      <c r="L24" s="1"/>
      <c r="M24" s="1"/>
      <c r="N24" s="1"/>
      <c r="O24" s="1"/>
      <c r="P24" s="1"/>
    </row>
    <row r="25">
      <c r="A25" s="1"/>
      <c r="B25" s="1" t="s">
        <v>333</v>
      </c>
      <c r="C25" s="14"/>
      <c r="D25" s="18">
        <v>3296</v>
      </c>
      <c r="E25" s="18">
        <v>3259</v>
      </c>
      <c r="F25" s="18">
        <v>3349</v>
      </c>
      <c r="G25" s="14"/>
      <c r="H25" s="18">
        <v>3090</v>
      </c>
      <c r="I25" s="18">
        <v>3012</v>
      </c>
      <c r="J25" s="27">
        <v>3000</v>
      </c>
      <c r="K25" s="1"/>
      <c r="L25" s="1"/>
      <c r="M25" s="1"/>
      <c r="N25" s="1"/>
      <c r="O25" s="1"/>
      <c r="P25" s="1"/>
    </row>
    <row r="26">
      <c r="A26" s="1"/>
      <c r="B26" s="6" t="s">
        <v>143</v>
      </c>
      <c r="C26" s="21"/>
      <c r="D26" s="21"/>
      <c r="E26" s="21"/>
      <c r="F26" s="21"/>
      <c r="G26" s="21"/>
      <c r="H26" s="21" t="str">
        <f>IF(AND(ISNUMBER(H25),ISNUMBER(C25)),IF(C25&lt;=0,"n.m.",IFERROR(H25/C25-1,"n.a.")),"n.a.")</f>
        <v>n.a.</v>
      </c>
      <c r="I26" s="21">
        <f>IF(AND(ISNUMBER(I25),ISNUMBER(D25)),IF(D25&lt;=0,"n.m.",IFERROR(I25/D25-1,"n.a.")),"n.a.")</f>
        <v>-0.08616504854368934</v>
      </c>
      <c r="J26" s="29">
        <f>IF(AND(ISNUMBER(J25),ISNUMBER(E25)),IF(E25&lt;=0,"n.m.",IFERROR(J25/E25-1,"n.a.")),"n.a.")</f>
        <v>-0.07947223074562748</v>
      </c>
      <c r="K26" s="1"/>
      <c r="L26" s="1"/>
      <c r="M26" s="1"/>
      <c r="N26" s="1"/>
      <c r="O26" s="1"/>
      <c r="P26" s="1"/>
    </row>
    <row r="27">
      <c r="A27" s="1"/>
      <c r="B27" s="1" t="s">
        <v>162</v>
      </c>
      <c r="C27" s="14"/>
      <c r="D27" s="14" t="str">
        <f>IF(AND(ISNUMBER(D25),ISNUMBER(C25)),D25-C25,"n.a.")</f>
        <v>n.a.</v>
      </c>
      <c r="E27" s="14">
        <f>IF(AND(ISNUMBER(E25),ISNUMBER(D25)),E25-D25,"n.a.")</f>
        <v>-37</v>
      </c>
      <c r="F27" s="14">
        <f>IF(AND(ISNUMBER(F25),ISNUMBER(E25)),F25-E25,"n.a.")</f>
        <v>90</v>
      </c>
      <c r="G27" s="14"/>
      <c r="H27" s="14">
        <f>IF(AND(ISNUMBER(H25),ISNUMBER(F25)),H25-F25,"n.a.")</f>
        <v>-259</v>
      </c>
      <c r="I27" s="14">
        <f>IF(AND(ISNUMBER(I25),ISNUMBER(H25)),I25-H25,"n.a.")</f>
        <v>-78</v>
      </c>
      <c r="J27" s="10">
        <f>IF(AND(ISNUMBER(J25),ISNUMBER(I25)),J25-I25,"n.a.")</f>
        <v>-12</v>
      </c>
      <c r="K27" s="1"/>
      <c r="L27" s="1"/>
      <c r="M27" s="1"/>
      <c r="N27" s="1"/>
      <c r="O27" s="1"/>
      <c r="P27" s="1"/>
    </row>
    <row r="28">
      <c r="A28" s="1"/>
      <c r="B28" s="7" t="s">
        <v>334</v>
      </c>
      <c r="C28" s="36" t="s">
        <v>40</v>
      </c>
      <c r="D28" s="22">
        <f>D10+D13+D16+D19+D22+D25</f>
        <v>208596</v>
      </c>
      <c r="E28" s="22">
        <f>E10+E13+E16+E19+E22+E25</f>
        <v>212518</v>
      </c>
      <c r="F28" s="22">
        <f>F10+F13+F16+F19+F22+F25</f>
        <v>214571</v>
      </c>
      <c r="G28" s="36" t="s">
        <v>40</v>
      </c>
      <c r="H28" s="22">
        <f>H10+H13+H16+H19+H22+H25</f>
        <v>223516</v>
      </c>
      <c r="I28" s="22">
        <f>I10+I13+I16+I19+I22+I25</f>
        <v>236057</v>
      </c>
      <c r="J28" s="23">
        <f>J10+J13+J16+J19+J22+J25</f>
        <v>240950</v>
      </c>
      <c r="K28" s="1"/>
      <c r="L28" s="1"/>
      <c r="M28" s="1"/>
      <c r="N28" s="1"/>
      <c r="O28" s="1"/>
      <c r="P28" s="1"/>
    </row>
    <row r="29">
      <c r="A29" s="1"/>
      <c r="B29" s="6" t="s">
        <v>143</v>
      </c>
      <c r="C29" s="21"/>
      <c r="D29" s="21"/>
      <c r="E29" s="21"/>
      <c r="F29" s="21"/>
      <c r="G29" s="21"/>
      <c r="H29" s="21" t="str">
        <f>IF(AND(ISNUMBER(H28),ISNUMBER(C28)),IF(C28&lt;=0,"n.m.",IFERROR(H28/C28-1,"n.a.")),"n.a.")</f>
        <v>n.a.</v>
      </c>
      <c r="I29" s="21">
        <f>IF(AND(ISNUMBER(I28),ISNUMBER(D28)),IF(D28&lt;=0,"n.m.",IFERROR(I28/D28-1,"n.a.")),"n.a.")</f>
        <v>0.13164681968973513</v>
      </c>
      <c r="J29" s="29">
        <f>IF(AND(ISNUMBER(J28),ISNUMBER(E28)),IF(E28&lt;=0,"n.m.",IFERROR(J28/E28-1,"n.a.")),"n.a.")</f>
        <v>0.13378631457100099</v>
      </c>
      <c r="K29" s="1"/>
      <c r="L29" s="1"/>
      <c r="M29" s="1"/>
      <c r="N29" s="1"/>
      <c r="O29" s="1"/>
      <c r="P29" s="1"/>
    </row>
    <row r="30">
      <c r="A30" s="1"/>
      <c r="B30" s="6" t="s">
        <v>144</v>
      </c>
      <c r="C30" s="21"/>
      <c r="D30" s="21" t="str">
        <f>IF(AND(ISNUMBER(D28),ISNUMBER(C28)),IF(C28&lt;=0,"n.m.",IFERROR(D28/C28-1,"n.a.")),"n.a.")</f>
        <v>n.a.</v>
      </c>
      <c r="E30" s="21">
        <f>IF(AND(ISNUMBER(E28),ISNUMBER(D28)),IF(D28&lt;=0,"n.m.",IFERROR(E28/D28-1,"n.a.")),"n.a.")</f>
        <v>0.018801894571324418</v>
      </c>
      <c r="F30" s="21">
        <f>IF(AND(ISNUMBER(F28),ISNUMBER(E28)),IF(E28&lt;=0,"n.m.",IFERROR(F28/E28-1,"n.a.")),"n.a.")</f>
        <v>0.009660358181424522</v>
      </c>
      <c r="G30" s="21"/>
      <c r="H30" s="21">
        <f>IF(AND(ISNUMBER(H28),ISNUMBER(F28)),IF(F28&lt;=0,"n.m.",IFERROR(H28/F28-1,"n.a.")),"n.a.")</f>
        <v>0.04168783293175693</v>
      </c>
      <c r="I30" s="21">
        <f>IF(AND(ISNUMBER(I28),ISNUMBER(H28)),IF(H28&lt;=0,"n.m.",IFERROR(I28/H28-1,"n.a.")),"n.a.")</f>
        <v>0.05610784015461978</v>
      </c>
      <c r="J30" s="29">
        <f>IF(AND(ISNUMBER(J28),ISNUMBER(I28)),IF(I28&lt;=0,"n.m.",IFERROR(J28/I28-1,"n.a.")),"n.a.")</f>
        <v>0.02072804449772714</v>
      </c>
      <c r="K30" s="1"/>
      <c r="L30" s="1"/>
      <c r="M30" s="1"/>
      <c r="N30" s="1"/>
      <c r="O30" s="1"/>
      <c r="P30" s="1"/>
    </row>
    <row r="31">
      <c r="A31" s="1"/>
      <c r="B31" s="1" t="s">
        <v>162</v>
      </c>
      <c r="C31" s="14"/>
      <c r="D31" s="14" t="str">
        <f>IF(AND(ISNUMBER(D28),ISNUMBER(C28)),D28-C28,"n.a.")</f>
        <v>n.a.</v>
      </c>
      <c r="E31" s="14">
        <f>IF(AND(ISNUMBER(E28),ISNUMBER(D28)),E28-D28,"n.a.")</f>
        <v>3922</v>
      </c>
      <c r="F31" s="14">
        <f>IF(AND(ISNUMBER(F28),ISNUMBER(E28)),F28-E28,"n.a.")</f>
        <v>2053</v>
      </c>
      <c r="G31" s="14"/>
      <c r="H31" s="14">
        <f>IF(AND(ISNUMBER(H28),ISNUMBER(F28)),H28-F28,"n.a.")</f>
        <v>8945</v>
      </c>
      <c r="I31" s="14">
        <f>IF(AND(ISNUMBER(I28),ISNUMBER(H28)),I28-H28,"n.a.")</f>
        <v>12541</v>
      </c>
      <c r="J31" s="10">
        <f>IF(AND(ISNUMBER(J28),ISNUMBER(I28)),J28-I28,"n.a.")</f>
        <v>4893</v>
      </c>
      <c r="K31" s="1"/>
      <c r="L31" s="1"/>
      <c r="M31" s="1"/>
      <c r="N31" s="1"/>
      <c r="O31" s="1"/>
      <c r="P31" s="1"/>
    </row>
    <row r="32">
      <c r="A32" s="1"/>
      <c r="B32" s="32" t="s">
        <v>335</v>
      </c>
      <c r="C32" s="11"/>
      <c r="D32" s="11"/>
      <c r="E32" s="11"/>
      <c r="F32" s="11"/>
      <c r="G32" s="11"/>
      <c r="H32" s="11"/>
      <c r="I32" s="11"/>
      <c r="J32" s="30"/>
      <c r="K32" s="1"/>
      <c r="L32" s="1"/>
      <c r="M32" s="1"/>
      <c r="N32" s="1"/>
      <c r="O32" s="1"/>
      <c r="P32" s="1"/>
    </row>
    <row r="33">
      <c r="A33" s="1"/>
      <c r="B33" s="1" t="s">
        <v>336</v>
      </c>
      <c r="C33" s="18">
        <v>170071</v>
      </c>
      <c r="D33" s="18">
        <v>177630</v>
      </c>
      <c r="E33" s="18">
        <v>182484</v>
      </c>
      <c r="F33" s="18">
        <v>185195</v>
      </c>
      <c r="G33" s="14">
        <f>SUMPRODUCT(C33:F33,C$7:F$7)/G$7</f>
        <v>178896.40547945205</v>
      </c>
      <c r="H33" s="18">
        <v>194711</v>
      </c>
      <c r="I33" s="18">
        <v>207046</v>
      </c>
      <c r="J33" s="10">
        <f>J28-J36-J42</f>
        <v>211350</v>
      </c>
      <c r="K33" s="1"/>
      <c r="L33" s="1"/>
      <c r="M33" s="1"/>
      <c r="N33" s="1"/>
      <c r="O33" s="1"/>
      <c r="P33" s="1"/>
    </row>
    <row r="34">
      <c r="A34" s="1"/>
      <c r="B34" s="6" t="s">
        <v>143</v>
      </c>
      <c r="C34" s="21"/>
      <c r="D34" s="21"/>
      <c r="E34" s="21"/>
      <c r="F34" s="21"/>
      <c r="G34" s="21"/>
      <c r="H34" s="21">
        <f>IF(AND(ISNUMBER(H33),ISNUMBER(C33)),IF(C33&lt;=0,"n.m.",IFERROR(H33/C33-1,"n.a.")),"n.a.")</f>
        <v>0.14488066748593242</v>
      </c>
      <c r="I34" s="21">
        <f>IF(AND(ISNUMBER(I33),ISNUMBER(D33)),IF(D33&lt;=0,"n.m.",IFERROR(I33/D33-1,"n.a.")),"n.a.")</f>
        <v>0.16560265720880474</v>
      </c>
      <c r="J34" s="29">
        <f>IF(AND(ISNUMBER(J33),ISNUMBER(E33)),IF(E33&lt;=0,"n.m.",IFERROR(J33/E33-1,"n.a.")),"n.a.")</f>
        <v>0.1581837311764318</v>
      </c>
      <c r="K34" s="1"/>
      <c r="L34" s="1"/>
      <c r="M34" s="1"/>
      <c r="N34" s="1"/>
      <c r="O34" s="1"/>
      <c r="P34" s="1"/>
    </row>
    <row r="35">
      <c r="A35" s="1"/>
      <c r="B35" s="1" t="s">
        <v>162</v>
      </c>
      <c r="C35" s="14"/>
      <c r="D35" s="14">
        <f>IF(AND(ISNUMBER(D33),ISNUMBER(C33)),D33-C33,"n.a.")</f>
        <v>7559</v>
      </c>
      <c r="E35" s="14">
        <f>IF(AND(ISNUMBER(E33),ISNUMBER(D33)),E33-D33,"n.a.")</f>
        <v>4854</v>
      </c>
      <c r="F35" s="14">
        <f>IF(AND(ISNUMBER(F33),ISNUMBER(E33)),F33-E33,"n.a.")</f>
        <v>2711</v>
      </c>
      <c r="G35" s="14"/>
      <c r="H35" s="14">
        <f>IF(AND(ISNUMBER(H33),ISNUMBER(F33)),H33-F33,"n.a.")</f>
        <v>9516</v>
      </c>
      <c r="I35" s="14">
        <f>IF(AND(ISNUMBER(I33),ISNUMBER(H33)),I33-H33,"n.a.")</f>
        <v>12335</v>
      </c>
      <c r="J35" s="10">
        <f>IF(AND(ISNUMBER(J33),ISNUMBER(I33)),J33-I33,"n.a.")</f>
        <v>4304</v>
      </c>
      <c r="K35" s="1"/>
      <c r="L35" s="1"/>
      <c r="M35" s="1"/>
      <c r="N35" s="1"/>
      <c r="O35" s="1"/>
      <c r="P35" s="1"/>
    </row>
    <row r="36">
      <c r="A36" s="1"/>
      <c r="B36" s="1" t="s">
        <v>337</v>
      </c>
      <c r="C36" s="18">
        <v>32151</v>
      </c>
      <c r="D36" s="18">
        <v>30962</v>
      </c>
      <c r="E36" s="18">
        <v>30032</v>
      </c>
      <c r="F36" s="18">
        <v>29374</v>
      </c>
      <c r="G36" s="14">
        <f>SUMPRODUCT(C36:F36,C$7:F$7)/G$7</f>
        <v>30620.50410958904</v>
      </c>
      <c r="H36" s="18">
        <v>28802</v>
      </c>
      <c r="I36" s="18">
        <v>29008</v>
      </c>
      <c r="J36" s="27">
        <v>29597</v>
      </c>
      <c r="K36" s="114" t="s">
        <v>338</v>
      </c>
      <c r="L36" s="1"/>
      <c r="M36" s="1"/>
      <c r="N36" s="1"/>
      <c r="O36" s="1"/>
      <c r="P36" s="1"/>
    </row>
    <row r="37">
      <c r="A37" s="1"/>
      <c r="B37" s="6" t="s">
        <v>143</v>
      </c>
      <c r="C37" s="21"/>
      <c r="D37" s="21"/>
      <c r="E37" s="21"/>
      <c r="F37" s="21"/>
      <c r="G37" s="21"/>
      <c r="H37" s="21">
        <f>IF(AND(ISNUMBER(H36),ISNUMBER(C36)),IF(C36&lt;=0,"n.m.",IFERROR(H36/C36-1,"n.a.")),"n.a.")</f>
        <v>-0.10416472271469002</v>
      </c>
      <c r="I37" s="21">
        <f>IF(AND(ISNUMBER(I36),ISNUMBER(D36)),IF(D36&lt;=0,"n.m.",IFERROR(I36/D36-1,"n.a.")),"n.a.")</f>
        <v>-0.06310961824171568</v>
      </c>
      <c r="J37" s="29">
        <f>IF(AND(ISNUMBER(J36),ISNUMBER(E36)),IF(E36&lt;=0,"n.m.",IFERROR(J36/E36-1,"n.a.")),"n.a.")</f>
        <v>-0.0144845498135322</v>
      </c>
      <c r="K37" s="1"/>
      <c r="L37" s="1"/>
      <c r="M37" s="1"/>
      <c r="N37" s="1"/>
      <c r="O37" s="1"/>
      <c r="P37" s="1"/>
    </row>
    <row r="38">
      <c r="A38" s="1"/>
      <c r="B38" s="1" t="s">
        <v>162</v>
      </c>
      <c r="C38" s="14"/>
      <c r="D38" s="14">
        <f>IF(AND(ISNUMBER(D36),ISNUMBER(C36)),D36-C36,"n.a.")</f>
        <v>-1189</v>
      </c>
      <c r="E38" s="14">
        <f>IF(AND(ISNUMBER(E36),ISNUMBER(D36)),E36-D36,"n.a.")</f>
        <v>-930</v>
      </c>
      <c r="F38" s="14">
        <f>IF(AND(ISNUMBER(F36),ISNUMBER(E36)),F36-E36,"n.a.")</f>
        <v>-658</v>
      </c>
      <c r="G38" s="14"/>
      <c r="H38" s="14">
        <f>IF(AND(ISNUMBER(H36),ISNUMBER(F36)),H36-F36,"n.a.")</f>
        <v>-572</v>
      </c>
      <c r="I38" s="14">
        <f>IF(AND(ISNUMBER(I36),ISNUMBER(H36)),I36-H36,"n.a.")</f>
        <v>206</v>
      </c>
      <c r="J38" s="10">
        <f>IF(AND(ISNUMBER(J36),ISNUMBER(I36)),J36-I36,"n.a.")</f>
        <v>589</v>
      </c>
      <c r="K38" s="1"/>
      <c r="L38" s="1"/>
      <c r="M38" s="1"/>
      <c r="N38" s="1"/>
      <c r="O38" s="1"/>
      <c r="P38" s="1"/>
    </row>
    <row r="39">
      <c r="A39" s="1"/>
      <c r="B39" s="7" t="s">
        <v>339</v>
      </c>
      <c r="C39" s="22">
        <f>C33+C36</f>
        <v>202222</v>
      </c>
      <c r="D39" s="22">
        <f>D33+D36</f>
        <v>208592</v>
      </c>
      <c r="E39" s="22">
        <f>E33+E36</f>
        <v>212516</v>
      </c>
      <c r="F39" s="22">
        <f>F33+F36</f>
        <v>214569</v>
      </c>
      <c r="G39" s="22">
        <f>G33+G36</f>
        <v>209516.90958904108</v>
      </c>
      <c r="H39" s="22">
        <f>H33+H36</f>
        <v>223513</v>
      </c>
      <c r="I39" s="22">
        <f>I33+I36</f>
        <v>236054</v>
      </c>
      <c r="J39" s="23">
        <f>J33+J36</f>
        <v>240947</v>
      </c>
      <c r="K39" s="1"/>
      <c r="L39" s="1"/>
      <c r="M39" s="1"/>
      <c r="N39" s="1"/>
      <c r="O39" s="1"/>
      <c r="P39" s="1"/>
    </row>
    <row r="40">
      <c r="A40" s="1"/>
      <c r="B40" s="6" t="s">
        <v>143</v>
      </c>
      <c r="C40" s="21"/>
      <c r="D40" s="21"/>
      <c r="E40" s="21"/>
      <c r="F40" s="21"/>
      <c r="G40" s="21"/>
      <c r="H40" s="21">
        <f>IF(AND(ISNUMBER(H39),ISNUMBER(C39)),IF(C39&lt;=0,"n.m.",IFERROR(H39/C39-1,"n.a.")),"n.a.")</f>
        <v>0.10528528053327535</v>
      </c>
      <c r="I40" s="21">
        <f>IF(AND(ISNUMBER(I39),ISNUMBER(D39)),IF(D39&lt;=0,"n.m.",IFERROR(I39/D39-1,"n.a.")),"n.a.")</f>
        <v>0.13165413822198357</v>
      </c>
      <c r="J40" s="29">
        <f>IF(AND(ISNUMBER(J39),ISNUMBER(E39)),IF(E39&lt;=0,"n.m.",IFERROR(J39/E39-1,"n.a.")),"n.a.")</f>
        <v>0.13378286811345963</v>
      </c>
      <c r="K40" s="1"/>
      <c r="L40" s="1"/>
      <c r="M40" s="1"/>
      <c r="N40" s="1"/>
      <c r="O40" s="1"/>
      <c r="P40" s="1"/>
    </row>
    <row r="41">
      <c r="A41" s="1"/>
      <c r="B41" s="1" t="s">
        <v>162</v>
      </c>
      <c r="C41" s="14"/>
      <c r="D41" s="14">
        <f>IF(AND(ISNUMBER(D39),ISNUMBER(C39)),D39-C39,"n.a.")</f>
        <v>6370</v>
      </c>
      <c r="E41" s="14">
        <f>IF(AND(ISNUMBER(E39),ISNUMBER(D39)),E39-D39,"n.a.")</f>
        <v>3924</v>
      </c>
      <c r="F41" s="14">
        <f>IF(AND(ISNUMBER(F39),ISNUMBER(E39)),F39-E39,"n.a.")</f>
        <v>2053</v>
      </c>
      <c r="G41" s="14"/>
      <c r="H41" s="14">
        <f>IF(AND(ISNUMBER(H39),ISNUMBER(F39)),H39-F39,"n.a.")</f>
        <v>8944</v>
      </c>
      <c r="I41" s="14">
        <f>IF(AND(ISNUMBER(I39),ISNUMBER(H39)),I39-H39,"n.a.")</f>
        <v>12541</v>
      </c>
      <c r="J41" s="10">
        <f>IF(AND(ISNUMBER(J39),ISNUMBER(I39)),J39-I39,"n.a.")</f>
        <v>4893</v>
      </c>
      <c r="K41" s="1"/>
      <c r="L41" s="1"/>
      <c r="M41" s="1"/>
      <c r="N41" s="1"/>
      <c r="O41" s="1"/>
      <c r="P41" s="1"/>
    </row>
    <row r="42">
      <c r="A42" s="1"/>
      <c r="B42" s="1" t="s">
        <v>340</v>
      </c>
      <c r="C42" s="18">
        <v>3</v>
      </c>
      <c r="D42" s="18">
        <v>4</v>
      </c>
      <c r="E42" s="18">
        <v>2</v>
      </c>
      <c r="F42" s="18">
        <v>2</v>
      </c>
      <c r="G42" s="14">
        <f>SUMPRODUCT(C42:F42,C$7:F$7)/G$7</f>
        <v>2.745205479452055</v>
      </c>
      <c r="H42" s="18">
        <v>3</v>
      </c>
      <c r="I42" s="18">
        <v>3</v>
      </c>
      <c r="J42" s="27">
        <v>3</v>
      </c>
      <c r="K42" s="1"/>
      <c r="L42" s="1"/>
      <c r="M42" s="1"/>
      <c r="N42" s="1"/>
      <c r="O42" s="1"/>
      <c r="P42" s="1"/>
    </row>
    <row r="43">
      <c r="A43" s="1"/>
      <c r="B43" s="6" t="s">
        <v>143</v>
      </c>
      <c r="C43" s="21"/>
      <c r="D43" s="21"/>
      <c r="E43" s="21"/>
      <c r="F43" s="21"/>
      <c r="G43" s="21"/>
      <c r="H43" s="21">
        <f>IF(AND(ISNUMBER(H42),ISNUMBER(C42)),IF(C42&lt;=0,"n.m.",IFERROR(H42/C42-1,"n.a.")),"n.a.")</f>
        <v>0</v>
      </c>
      <c r="I43" s="21">
        <f>IF(AND(ISNUMBER(I42),ISNUMBER(D42)),IF(D42&lt;=0,"n.m.",IFERROR(I42/D42-1,"n.a.")),"n.a.")</f>
        <v>-0.25</v>
      </c>
      <c r="J43" s="29">
        <f>IF(AND(ISNUMBER(J42),ISNUMBER(E42)),IF(E42&lt;=0,"n.m.",IFERROR(J42/E42-1,"n.a.")),"n.a.")</f>
        <v>0.5</v>
      </c>
      <c r="K43" s="1"/>
      <c r="L43" s="1"/>
      <c r="M43" s="1"/>
      <c r="N43" s="1"/>
      <c r="O43" s="1"/>
      <c r="P43" s="1"/>
    </row>
    <row r="44">
      <c r="A44" s="1"/>
      <c r="B44" s="1" t="s">
        <v>162</v>
      </c>
      <c r="C44" s="14"/>
      <c r="D44" s="14">
        <f>IF(AND(ISNUMBER(D42),ISNUMBER(C42)),D42-C42,"n.a.")</f>
        <v>1</v>
      </c>
      <c r="E44" s="14">
        <f>IF(AND(ISNUMBER(E42),ISNUMBER(D42)),E42-D42,"n.a.")</f>
        <v>-2</v>
      </c>
      <c r="F44" s="14">
        <f>IF(AND(ISNUMBER(F42),ISNUMBER(E42)),F42-E42,"n.a.")</f>
        <v>0</v>
      </c>
      <c r="G44" s="14"/>
      <c r="H44" s="14">
        <f>IF(AND(ISNUMBER(H42),ISNUMBER(F42)),H42-F42,"n.a.")</f>
        <v>1</v>
      </c>
      <c r="I44" s="14">
        <f>IF(AND(ISNUMBER(I42),ISNUMBER(H42)),I42-H42,"n.a.")</f>
        <v>0</v>
      </c>
      <c r="J44" s="10">
        <f>IF(AND(ISNUMBER(J42),ISNUMBER(I42)),J42-I42,"n.a.")</f>
        <v>0</v>
      </c>
      <c r="K44" s="1"/>
      <c r="L44" s="1"/>
      <c r="M44" s="1"/>
      <c r="N44" s="1"/>
      <c r="O44" s="1"/>
      <c r="P44" s="1"/>
    </row>
    <row r="45">
      <c r="A45" s="1"/>
      <c r="B45" s="7" t="s">
        <v>269</v>
      </c>
      <c r="C45" s="22">
        <f>C39+C42</f>
        <v>202225</v>
      </c>
      <c r="D45" s="22">
        <f>D39+D42</f>
        <v>208596</v>
      </c>
      <c r="E45" s="22">
        <f>E39+E42</f>
        <v>212518</v>
      </c>
      <c r="F45" s="22">
        <f>F39+F42</f>
        <v>214571</v>
      </c>
      <c r="G45" s="22">
        <f>G39+G42</f>
        <v>209519.65479452052</v>
      </c>
      <c r="H45" s="22">
        <f>H39+H42</f>
        <v>223516</v>
      </c>
      <c r="I45" s="22">
        <f>I39+I42</f>
        <v>236057</v>
      </c>
      <c r="J45" s="23">
        <f>J39+J42</f>
        <v>240950</v>
      </c>
      <c r="K45" s="1"/>
      <c r="L45" s="1"/>
      <c r="M45" s="1"/>
      <c r="N45" s="1"/>
      <c r="O45" s="1"/>
      <c r="P45" s="1"/>
    </row>
    <row r="46">
      <c r="A46" s="1"/>
      <c r="B46" s="6" t="s">
        <v>143</v>
      </c>
      <c r="C46" s="21"/>
      <c r="D46" s="21"/>
      <c r="E46" s="21"/>
      <c r="F46" s="21"/>
      <c r="G46" s="21"/>
      <c r="H46" s="21">
        <f>IF(AND(ISNUMBER(H45),ISNUMBER(C45)),IF(C45&lt;=0,"n.m.",IFERROR(H45/C45-1,"n.a.")),"n.a.")</f>
        <v>0.10528371863023867</v>
      </c>
      <c r="I46" s="21">
        <f>IF(AND(ISNUMBER(I45),ISNUMBER(D45)),IF(D45&lt;=0,"n.m.",IFERROR(I45/D45-1,"n.a.")),"n.a.")</f>
        <v>0.13164681968973513</v>
      </c>
      <c r="J46" s="29">
        <f>IF(AND(ISNUMBER(J45),ISNUMBER(E45)),IF(E45&lt;=0,"n.m.",IFERROR(J45/E45-1,"n.a.")),"n.a.")</f>
        <v>0.13378631457100099</v>
      </c>
      <c r="K46" s="1"/>
      <c r="L46" s="1"/>
      <c r="M46" s="1"/>
      <c r="N46" s="1"/>
      <c r="O46" s="1"/>
      <c r="P46" s="1"/>
    </row>
    <row r="47">
      <c r="A47" s="1"/>
      <c r="B47" s="6" t="s">
        <v>144</v>
      </c>
      <c r="C47" s="21"/>
      <c r="D47" s="21">
        <f>IF(AND(ISNUMBER(D45),ISNUMBER(C45)),IF(C45&lt;=0,"n.m.",IFERROR(D45/C45-1,"n.a.")),"n.a.")</f>
        <v>0.03150451230065521</v>
      </c>
      <c r="E47" s="21">
        <f>IF(AND(ISNUMBER(E45),ISNUMBER(D45)),IF(D45&lt;=0,"n.m.",IFERROR(E45/D45-1,"n.a.")),"n.a.")</f>
        <v>0.018801894571324418</v>
      </c>
      <c r="F47" s="21">
        <f>IF(AND(ISNUMBER(F45),ISNUMBER(E45)),IF(E45&lt;=0,"n.m.",IFERROR(F45/E45-1,"n.a.")),"n.a.")</f>
        <v>0.009660358181424522</v>
      </c>
      <c r="G47" s="21"/>
      <c r="H47" s="21">
        <f>IF(AND(ISNUMBER(H45),ISNUMBER(F45)),IF(F45&lt;=0,"n.m.",IFERROR(H45/F45-1,"n.a.")),"n.a.")</f>
        <v>0.04168783293175693</v>
      </c>
      <c r="I47" s="21">
        <f>IF(AND(ISNUMBER(I45),ISNUMBER(H45)),IF(H45&lt;=0,"n.m.",IFERROR(I45/H45-1,"n.a.")),"n.a.")</f>
        <v>0.05610784015461978</v>
      </c>
      <c r="J47" s="29">
        <f>IF(AND(ISNUMBER(J45),ISNUMBER(I45)),IF(I45&lt;=0,"n.m.",IFERROR(J45/I45-1,"n.a.")),"n.a.")</f>
        <v>0.02072804449772714</v>
      </c>
      <c r="K47" s="1"/>
      <c r="L47" s="1"/>
      <c r="M47" s="1"/>
      <c r="N47" s="1"/>
      <c r="O47" s="1"/>
      <c r="P47" s="1"/>
    </row>
    <row r="48" ht="41.25">
      <c r="A48" s="1"/>
      <c r="B48" s="1" t="s">
        <v>341</v>
      </c>
      <c r="C48" s="14"/>
      <c r="D48" s="14">
        <f>D45-D28</f>
        <v>0</v>
      </c>
      <c r="E48" s="14">
        <f>E45-E28</f>
        <v>0</v>
      </c>
      <c r="F48" s="14">
        <f>F45-F28</f>
        <v>0</v>
      </c>
      <c r="G48" s="14"/>
      <c r="H48" s="14">
        <f>H45-H28</f>
        <v>0</v>
      </c>
      <c r="I48" s="14">
        <f>I45-I28</f>
        <v>0</v>
      </c>
      <c r="J48" s="10">
        <f>J45-J28</f>
        <v>0</v>
      </c>
      <c r="K48" s="134" t="s">
        <v>342</v>
      </c>
      <c r="L48" s="1"/>
      <c r="M48" s="1"/>
      <c r="N48" s="1"/>
      <c r="O48" s="1"/>
      <c r="P48" s="1"/>
    </row>
    <row r="49">
      <c r="A49" s="1"/>
      <c r="B49" s="32" t="s">
        <v>270</v>
      </c>
      <c r="C49" s="11"/>
      <c r="D49" s="11"/>
      <c r="E49" s="11"/>
      <c r="F49" s="11"/>
      <c r="G49" s="11"/>
      <c r="H49" s="11"/>
      <c r="I49" s="11"/>
      <c r="J49" s="30"/>
      <c r="K49" s="1"/>
      <c r="L49" s="1"/>
      <c r="M49" s="1"/>
      <c r="N49" s="1"/>
      <c r="O49" s="1"/>
      <c r="P49" s="1"/>
    </row>
    <row r="50">
      <c r="A50" s="1"/>
      <c r="B50" s="1" t="s">
        <v>271</v>
      </c>
      <c r="C50" s="18">
        <v>39501</v>
      </c>
      <c r="D50" s="18">
        <v>39196</v>
      </c>
      <c r="E50" s="18">
        <v>38732</v>
      </c>
      <c r="F50" s="18">
        <v>41308</v>
      </c>
      <c r="G50" s="14">
        <f>SUMPRODUCT(C50:F50,C$7:F$7)/G$7</f>
        <v>39686.59178082192</v>
      </c>
      <c r="H50" s="18">
        <v>38959</v>
      </c>
      <c r="I50" s="18">
        <v>41441</v>
      </c>
      <c r="J50" s="27">
        <v>42500</v>
      </c>
      <c r="K50" s="1"/>
      <c r="L50" s="1"/>
      <c r="M50" s="1"/>
      <c r="N50" s="1"/>
      <c r="O50" s="1"/>
      <c r="P50" s="1"/>
    </row>
    <row r="51">
      <c r="A51" s="1"/>
      <c r="B51" s="6" t="s">
        <v>143</v>
      </c>
      <c r="C51" s="21"/>
      <c r="D51" s="21"/>
      <c r="E51" s="21"/>
      <c r="F51" s="21"/>
      <c r="G51" s="21"/>
      <c r="H51" s="21">
        <f>IF(AND(ISNUMBER(H50),ISNUMBER(C50)),IF(C50&lt;=0,"n.m.",IFERROR(H50/C50-1,"n.a.")),"n.a.")</f>
        <v>-0.013721171615908467</v>
      </c>
      <c r="I51" s="21">
        <f>IF(AND(ISNUMBER(I50),ISNUMBER(D50)),IF(D50&lt;=0,"n.m.",IFERROR(I50/D50-1,"n.a.")),"n.a.")</f>
        <v>0.05727625267884484</v>
      </c>
      <c r="J51" s="29">
        <f>IF(AND(ISNUMBER(J50),ISNUMBER(E50)),IF(E50&lt;=0,"n.m.",IFERROR(J50/E50-1,"n.a.")),"n.a.")</f>
        <v>0.09728389961788708</v>
      </c>
      <c r="K51" s="1"/>
      <c r="L51" s="1"/>
      <c r="M51" s="1"/>
      <c r="N51" s="1"/>
      <c r="O51" s="1"/>
      <c r="P51" s="1"/>
    </row>
    <row r="52">
      <c r="A52" s="1"/>
      <c r="B52" s="1" t="s">
        <v>162</v>
      </c>
      <c r="C52" s="14"/>
      <c r="D52" s="14">
        <f>IF(AND(ISNUMBER(D50),ISNUMBER(C50)),D50-C50,"n.a.")</f>
        <v>-305</v>
      </c>
      <c r="E52" s="14">
        <f>IF(AND(ISNUMBER(E50),ISNUMBER(D50)),E50-D50,"n.a.")</f>
        <v>-464</v>
      </c>
      <c r="F52" s="14">
        <f>IF(AND(ISNUMBER(F50),ISNUMBER(E50)),F50-E50,"n.a.")</f>
        <v>2576</v>
      </c>
      <c r="G52" s="14"/>
      <c r="H52" s="14">
        <f>IF(AND(ISNUMBER(H50),ISNUMBER(F50)),H50-F50,"n.a.")</f>
        <v>-2349</v>
      </c>
      <c r="I52" s="14">
        <f>IF(AND(ISNUMBER(I50),ISNUMBER(H50)),I50-H50,"n.a.")</f>
        <v>2482</v>
      </c>
      <c r="J52" s="10">
        <f>IF(AND(ISNUMBER(J50),ISNUMBER(I50)),J50-I50,"n.a.")</f>
        <v>1059</v>
      </c>
      <c r="K52" s="1"/>
      <c r="L52" s="1"/>
      <c r="M52" s="1"/>
      <c r="N52" s="1"/>
      <c r="O52" s="1"/>
      <c r="P52" s="1"/>
    </row>
    <row r="53">
      <c r="A53" s="1"/>
      <c r="B53" s="1" t="s">
        <v>272</v>
      </c>
      <c r="C53" s="18">
        <v>108503</v>
      </c>
      <c r="D53" s="18">
        <v>107275</v>
      </c>
      <c r="E53" s="18">
        <v>116460</v>
      </c>
      <c r="F53" s="18">
        <v>122457</v>
      </c>
      <c r="G53" s="14">
        <f>SUMPRODUCT(C53:F53,C$7:F$7)/G$7</f>
        <v>113719.61369863014</v>
      </c>
      <c r="H53" s="18">
        <v>122219</v>
      </c>
      <c r="I53" s="18">
        <v>117169</v>
      </c>
      <c r="J53" s="27">
        <v>120000</v>
      </c>
      <c r="K53" s="114" t="s">
        <v>343</v>
      </c>
      <c r="L53" s="1"/>
      <c r="M53" s="1"/>
      <c r="N53" s="1"/>
      <c r="O53" s="1"/>
      <c r="P53" s="1"/>
    </row>
    <row r="54">
      <c r="A54" s="1"/>
      <c r="B54" s="6" t="s">
        <v>143</v>
      </c>
      <c r="C54" s="21"/>
      <c r="D54" s="21"/>
      <c r="E54" s="21"/>
      <c r="F54" s="21"/>
      <c r="G54" s="21"/>
      <c r="H54" s="21">
        <f>IF(AND(ISNUMBER(H53),ISNUMBER(C53)),IF(C53&lt;=0,"n.m.",IFERROR(H53/C53-1,"n.a.")),"n.a.")</f>
        <v>0.12641125130180741</v>
      </c>
      <c r="I54" s="21">
        <f>IF(AND(ISNUMBER(I53),ISNUMBER(D53)),IF(D53&lt;=0,"n.m.",IFERROR(I53/D53-1,"n.a.")),"n.a.")</f>
        <v>0.09223024935912383</v>
      </c>
      <c r="J54" s="29">
        <f>IF(AND(ISNUMBER(J53),ISNUMBER(E53)),IF(E53&lt;=0,"n.m.",IFERROR(J53/E53-1,"n.a.")),"n.a.")</f>
        <v>0.030396702730551173</v>
      </c>
      <c r="K54" s="1"/>
      <c r="L54" s="1"/>
      <c r="M54" s="1"/>
      <c r="N54" s="1"/>
      <c r="O54" s="1"/>
      <c r="P54" s="1"/>
    </row>
    <row r="55">
      <c r="A55" s="1"/>
      <c r="B55" s="1" t="s">
        <v>162</v>
      </c>
      <c r="C55" s="14"/>
      <c r="D55" s="14">
        <f>IF(AND(ISNUMBER(D53),ISNUMBER(C53)),D53-C53,"n.a.")</f>
        <v>-1228</v>
      </c>
      <c r="E55" s="14">
        <f>IF(AND(ISNUMBER(E53),ISNUMBER(D53)),E53-D53,"n.a.")</f>
        <v>9185</v>
      </c>
      <c r="F55" s="14">
        <f>IF(AND(ISNUMBER(F53),ISNUMBER(E53)),F53-E53,"n.a.")</f>
        <v>5997</v>
      </c>
      <c r="G55" s="14"/>
      <c r="H55" s="14">
        <f>IF(AND(ISNUMBER(H53),ISNUMBER(F53)),H53-F53,"n.a.")</f>
        <v>-238</v>
      </c>
      <c r="I55" s="14">
        <f>IF(AND(ISNUMBER(I53),ISNUMBER(H53)),I53-H53,"n.a.")</f>
        <v>-5050</v>
      </c>
      <c r="J55" s="10">
        <f>IF(AND(ISNUMBER(J53),ISNUMBER(I53)),J53-I53,"n.a.")</f>
        <v>2831</v>
      </c>
      <c r="K55" s="1"/>
      <c r="L55" s="1"/>
      <c r="M55" s="1"/>
      <c r="N55" s="1"/>
      <c r="O55" s="1"/>
      <c r="P55" s="1"/>
    </row>
    <row r="56">
      <c r="A56" s="1"/>
      <c r="B56" s="7" t="s">
        <v>273</v>
      </c>
      <c r="C56" s="22">
        <f>C50+C53</f>
        <v>148004</v>
      </c>
      <c r="D56" s="22">
        <f>D50+D53</f>
        <v>146471</v>
      </c>
      <c r="E56" s="22">
        <f>E50+E53</f>
        <v>155192</v>
      </c>
      <c r="F56" s="22">
        <f>F50+F53</f>
        <v>163765</v>
      </c>
      <c r="G56" s="22">
        <f>G50+G53</f>
        <v>153406.20547945207</v>
      </c>
      <c r="H56" s="22">
        <f>H50+H53</f>
        <v>161178</v>
      </c>
      <c r="I56" s="22">
        <f>I50+I53</f>
        <v>158610</v>
      </c>
      <c r="J56" s="23">
        <f>J50+J53</f>
        <v>162500</v>
      </c>
      <c r="K56" s="1"/>
      <c r="L56" s="1"/>
      <c r="M56" s="1"/>
      <c r="N56" s="1"/>
      <c r="O56" s="1"/>
      <c r="P56" s="1"/>
    </row>
    <row r="57">
      <c r="A57" s="1"/>
      <c r="B57" s="6" t="s">
        <v>143</v>
      </c>
      <c r="C57" s="21"/>
      <c r="D57" s="21"/>
      <c r="E57" s="21"/>
      <c r="F57" s="21"/>
      <c r="G57" s="21"/>
      <c r="H57" s="21">
        <f>IF(AND(ISNUMBER(H56),ISNUMBER(C56)),IF(C56&lt;=0,"n.m.",IFERROR(H56/C56-1,"n.a.")),"n.a.")</f>
        <v>0.089011107807897</v>
      </c>
      <c r="I57" s="21">
        <f>IF(AND(ISNUMBER(I56),ISNUMBER(D56)),IF(D56&lt;=0,"n.m.",IFERROR(I56/D56-1,"n.a.")),"n.a.")</f>
        <v>0.0828764738412382</v>
      </c>
      <c r="J57" s="29">
        <f>IF(AND(ISNUMBER(J56),ISNUMBER(E56)),IF(E56&lt;=0,"n.m.",IFERROR(J56/E56-1,"n.a.")),"n.a.")</f>
        <v>0.04709005618846329</v>
      </c>
      <c r="K57" s="1"/>
      <c r="L57" s="1"/>
      <c r="M57" s="1"/>
      <c r="N57" s="1"/>
      <c r="O57" s="1"/>
      <c r="P57" s="1"/>
    </row>
    <row r="58">
      <c r="A58" s="1"/>
      <c r="B58" s="6" t="s">
        <v>144</v>
      </c>
      <c r="C58" s="21"/>
      <c r="D58" s="21">
        <f>IF(AND(ISNUMBER(D56),ISNUMBER(C56)),IF(C56&lt;=0,"n.m.",IFERROR(D56/C56-1,"n.a.")),"n.a.")</f>
        <v>-0.010357828166806304</v>
      </c>
      <c r="E58" s="21">
        <f>IF(AND(ISNUMBER(E56),ISNUMBER(D56)),IF(D56&lt;=0,"n.m.",IFERROR(E56/D56-1,"n.a.")),"n.a.")</f>
        <v>0.059540796471656554</v>
      </c>
      <c r="F58" s="21">
        <f>IF(AND(ISNUMBER(F56),ISNUMBER(E56)),IF(E56&lt;=0,"n.m.",IFERROR(F56/E56-1,"n.a.")),"n.a.")</f>
        <v>0.055241249548945826</v>
      </c>
      <c r="G58" s="21"/>
      <c r="H58" s="21">
        <f>IF(AND(ISNUMBER(H56),ISNUMBER(F56)),IF(F56&lt;=0,"n.m.",IFERROR(H56/F56-1,"n.a.")),"n.a.")</f>
        <v>-0.01579702622660517</v>
      </c>
      <c r="I58" s="21">
        <f>IF(AND(ISNUMBER(I56),ISNUMBER(H56)),IF(H56&lt;=0,"n.m.",IFERROR(I56/H56-1,"n.a.")),"n.a.")</f>
        <v>-0.01593269552916654</v>
      </c>
      <c r="J58" s="29">
        <f>IF(AND(ISNUMBER(J56),ISNUMBER(I56)),IF(I56&lt;=0,"n.m.",IFERROR(J56/I56-1,"n.a.")),"n.a.")</f>
        <v>0.024525565853350972</v>
      </c>
      <c r="K58" s="1"/>
      <c r="L58" s="1"/>
      <c r="M58" s="1"/>
      <c r="N58" s="1"/>
      <c r="O58" s="1"/>
      <c r="P58" s="1"/>
    </row>
    <row r="59">
      <c r="A59" s="1"/>
      <c r="B59" s="1" t="s">
        <v>162</v>
      </c>
      <c r="C59" s="14"/>
      <c r="D59" s="14">
        <f>IF(AND(ISNUMBER(D56),ISNUMBER(C56)),D56-C56,"n.a.")</f>
        <v>-1533</v>
      </c>
      <c r="E59" s="14">
        <f>IF(AND(ISNUMBER(E56),ISNUMBER(D56)),E56-D56,"n.a.")</f>
        <v>8721</v>
      </c>
      <c r="F59" s="14">
        <f>IF(AND(ISNUMBER(F56),ISNUMBER(E56)),F56-E56,"n.a.")</f>
        <v>8573</v>
      </c>
      <c r="G59" s="14"/>
      <c r="H59" s="14">
        <f>IF(AND(ISNUMBER(H56),ISNUMBER(F56)),H56-F56,"n.a.")</f>
        <v>-2587</v>
      </c>
      <c r="I59" s="14">
        <f>IF(AND(ISNUMBER(I56),ISNUMBER(H56)),I56-H56,"n.a.")</f>
        <v>-2568</v>
      </c>
      <c r="J59" s="10">
        <f>IF(AND(ISNUMBER(J56),ISNUMBER(I56)),J56-I56,"n.a.")</f>
        <v>3890</v>
      </c>
      <c r="K59" s="1"/>
      <c r="L59" s="1"/>
      <c r="M59" s="1"/>
      <c r="N59" s="1"/>
      <c r="O59" s="1"/>
      <c r="P59" s="1"/>
    </row>
    <row r="60">
      <c r="A60" s="1"/>
      <c r="B60" s="6" t="s">
        <v>274</v>
      </c>
      <c r="C60" s="21">
        <f>C50/C56</f>
        <v>0.2668914353666117</v>
      </c>
      <c r="D60" s="21">
        <f>D50/D56</f>
        <v>0.26760246055533177</v>
      </c>
      <c r="E60" s="21">
        <f>E50/E56</f>
        <v>0.2495747203464096</v>
      </c>
      <c r="F60" s="21">
        <f>F50/F56</f>
        <v>0.2522394895124111</v>
      </c>
      <c r="G60" s="21">
        <f>G50/G56</f>
        <v>0.2587026493275575</v>
      </c>
      <c r="H60" s="21">
        <f>H50/H56</f>
        <v>0.24171412971993697</v>
      </c>
      <c r="I60" s="21">
        <f>I50/I56</f>
        <v>0.2612760859970998</v>
      </c>
      <c r="J60" s="29">
        <f>J50/J56</f>
        <v>0.26153846153846155</v>
      </c>
      <c r="K60" s="1"/>
      <c r="L60" s="1"/>
      <c r="M60" s="1"/>
      <c r="N60" s="1"/>
      <c r="O60" s="1"/>
      <c r="P60" s="1"/>
    </row>
    <row r="61">
      <c r="A61" s="1"/>
      <c r="B61" s="6" t="s">
        <v>186</v>
      </c>
      <c r="C61" s="20"/>
      <c r="D61" s="20">
        <f>IF(AND(ISNUMBER(D60),ISNUMBER(C60)),(D60-C60)*10000,"n.a.")</f>
        <v>7.110251887200714</v>
      </c>
      <c r="E61" s="20">
        <f>IF(AND(ISNUMBER(E60),ISNUMBER(D60)),(E60-D60)*10000,"n.a.")</f>
        <v>-180.2774020892217</v>
      </c>
      <c r="F61" s="20">
        <f>IF(AND(ISNUMBER(F60),ISNUMBER(E60)),(F60-E60)*10000,"n.a.")</f>
        <v>26.647691660015017</v>
      </c>
      <c r="G61" s="20"/>
      <c r="H61" s="20">
        <f>IF(AND(ISNUMBER(H60),ISNUMBER(F60)),(H60-F60)*10000,"n.a.")</f>
        <v>-105.25359792474126</v>
      </c>
      <c r="I61" s="20">
        <f>IF(AND(ISNUMBER(I60),ISNUMBER(H60)),(I60-H60)*10000,"n.a.")</f>
        <v>195.61956277162813</v>
      </c>
      <c r="J61" s="48">
        <f>IF(AND(ISNUMBER(J60),ISNUMBER(I60)),(J60-I60)*10000,"n.a.")</f>
        <v>2.623755413617701</v>
      </c>
      <c r="K61" s="1"/>
      <c r="L61" s="1"/>
      <c r="M61" s="1"/>
      <c r="N61" s="1"/>
      <c r="O61" s="1"/>
      <c r="P61" s="1"/>
    </row>
    <row r="62">
      <c r="A62" s="1"/>
      <c r="B62" s="6" t="s">
        <v>187</v>
      </c>
      <c r="C62" s="20"/>
      <c r="D62" s="20"/>
      <c r="E62" s="20"/>
      <c r="F62" s="20"/>
      <c r="G62" s="20"/>
      <c r="H62" s="20">
        <f>IF(AND(ISNUMBER(H60),ISNUMBER(C60)),(H60-C60)*10000,"n.a.")</f>
        <v>-251.77305646674725</v>
      </c>
      <c r="I62" s="20">
        <f>IF(AND(ISNUMBER(I60),ISNUMBER(D60)),(I60-D60)*10000,"n.a.")</f>
        <v>-63.26374558231984</v>
      </c>
      <c r="J62" s="48">
        <f>IF(AND(ISNUMBER(J60),ISNUMBER(E60)),(J60-E60)*10000,"n.a.")</f>
        <v>119.63741192051958</v>
      </c>
      <c r="K62" s="1"/>
      <c r="L62" s="1"/>
      <c r="M62" s="1"/>
      <c r="N62" s="1"/>
      <c r="O62" s="1"/>
      <c r="P62" s="1"/>
    </row>
    <row r="63">
      <c r="A63" s="1"/>
      <c r="B63" s="7" t="s">
        <v>275</v>
      </c>
      <c r="C63" s="22">
        <f>C45+C56</f>
        <v>350229</v>
      </c>
      <c r="D63" s="22">
        <f>D45+D56</f>
        <v>355067</v>
      </c>
      <c r="E63" s="22">
        <f>E45+E56</f>
        <v>367710</v>
      </c>
      <c r="F63" s="22">
        <f>F45+F56</f>
        <v>378336</v>
      </c>
      <c r="G63" s="22">
        <f>G45+G56</f>
        <v>362925.8602739726</v>
      </c>
      <c r="H63" s="22">
        <f>H45+H56</f>
        <v>384694</v>
      </c>
      <c r="I63" s="22">
        <f>I45+I56</f>
        <v>394667</v>
      </c>
      <c r="J63" s="23">
        <f>J45+J56</f>
        <v>403450</v>
      </c>
      <c r="K63" s="1"/>
      <c r="L63" s="1"/>
      <c r="M63" s="1"/>
      <c r="N63" s="1"/>
      <c r="O63" s="1"/>
      <c r="P63" s="1"/>
    </row>
    <row r="64">
      <c r="A64" s="1"/>
      <c r="B64" s="6" t="s">
        <v>143</v>
      </c>
      <c r="C64" s="21"/>
      <c r="D64" s="21"/>
      <c r="E64" s="21"/>
      <c r="F64" s="21"/>
      <c r="G64" s="21"/>
      <c r="H64" s="21">
        <f>IF(AND(ISNUMBER(H63),ISNUMBER(C63)),IF(C63&lt;=0,"n.m.",IFERROR(H63/C63-1,"n.a.")),"n.a.")</f>
        <v>0.09840704224949959</v>
      </c>
      <c r="I64" s="21">
        <f>IF(AND(ISNUMBER(I63),ISNUMBER(D63)),IF(D63&lt;=0,"n.m.",IFERROR(I63/D63-1,"n.a.")),"n.a.")</f>
        <v>0.11152824678159323</v>
      </c>
      <c r="J64" s="29">
        <f>IF(AND(ISNUMBER(J63),ISNUMBER(E63)),IF(E63&lt;=0,"n.m.",IFERROR(J63/E63-1,"n.a.")),"n.a.")</f>
        <v>0.09719616001740494</v>
      </c>
      <c r="K64" s="1"/>
      <c r="L64" s="1"/>
      <c r="M64" s="1"/>
      <c r="N64" s="1"/>
      <c r="O64" s="1"/>
      <c r="P64" s="1"/>
    </row>
    <row r="65">
      <c r="A65" s="1"/>
      <c r="B65" s="1" t="s">
        <v>162</v>
      </c>
      <c r="C65" s="14"/>
      <c r="D65" s="14">
        <f>IF(AND(ISNUMBER(D63),ISNUMBER(C63)),D63-C63,"n.a.")</f>
        <v>4838</v>
      </c>
      <c r="E65" s="14">
        <f>IF(AND(ISNUMBER(E63),ISNUMBER(D63)),E63-D63,"n.a.")</f>
        <v>12643</v>
      </c>
      <c r="F65" s="14">
        <f>IF(AND(ISNUMBER(F63),ISNUMBER(E63)),F63-E63,"n.a.")</f>
        <v>10626</v>
      </c>
      <c r="G65" s="14"/>
      <c r="H65" s="14">
        <f>IF(AND(ISNUMBER(H63),ISNUMBER(F63)),H63-F63,"n.a.")</f>
        <v>6358</v>
      </c>
      <c r="I65" s="14">
        <f>IF(AND(ISNUMBER(I63),ISNUMBER(H63)),I63-H63,"n.a.")</f>
        <v>9973</v>
      </c>
      <c r="J65" s="10">
        <f>IF(AND(ISNUMBER(J63),ISNUMBER(I63)),J63-I63,"n.a.")</f>
        <v>8783</v>
      </c>
      <c r="K65" s="1"/>
      <c r="L65" s="1"/>
      <c r="M65" s="1"/>
      <c r="N65" s="1"/>
      <c r="O65" s="1"/>
      <c r="P65" s="1"/>
    </row>
    <row r="66">
      <c r="A66" s="1"/>
      <c r="B66" s="32" t="s">
        <v>227</v>
      </c>
      <c r="C66" s="11"/>
      <c r="D66" s="11"/>
      <c r="E66" s="11"/>
      <c r="F66" s="11"/>
      <c r="G66" s="11"/>
      <c r="H66" s="11"/>
      <c r="I66" s="11"/>
      <c r="J66" s="30"/>
      <c r="K66" s="1"/>
      <c r="L66" s="1"/>
      <c r="M66" s="1"/>
      <c r="N66" s="1"/>
      <c r="O66" s="1"/>
      <c r="P66" s="1"/>
    </row>
    <row r="67" ht="28.5">
      <c r="A67" s="1"/>
      <c r="B67" s="6" t="s">
        <v>276</v>
      </c>
      <c r="C67" s="26">
        <f>C70/C63*365/C$7</f>
        <v>0.02047295404498834</v>
      </c>
      <c r="D67" s="26">
        <f>D70/D63*365/D$7</f>
        <v>0.020491721466467078</v>
      </c>
      <c r="E67" s="26">
        <f>E70/E63*365/E$7</f>
        <v>0.02037049517992085</v>
      </c>
      <c r="F67" s="26">
        <f>F70/F63*365/F$7</f>
        <v>0.020605821050715446</v>
      </c>
      <c r="G67" s="26">
        <f>G70/G63*365/G$7</f>
        <v>0.02048627781549466</v>
      </c>
      <c r="H67" s="26">
        <f>H70/H63*365/H$7</f>
        <v>0.020473126404074116</v>
      </c>
      <c r="I67" s="26">
        <f>I70/I63*365/I$7</f>
        <v>0.020244636896143104</v>
      </c>
      <c r="J67" s="54">
        <f>I67+J68/10000</f>
        <v>0.020194636896143103</v>
      </c>
      <c r="K67" s="134" t="s">
        <v>277</v>
      </c>
      <c r="L67" s="1"/>
      <c r="M67" s="1"/>
      <c r="N67" s="1"/>
      <c r="O67" s="1"/>
      <c r="P67" s="1"/>
    </row>
    <row r="68">
      <c r="A68" s="1"/>
      <c r="B68" s="6" t="s">
        <v>186</v>
      </c>
      <c r="C68" s="20"/>
      <c r="D68" s="20">
        <f>IF(AND(ISNUMBER(D67),ISNUMBER(C67)),(D67-C67)*10000,"n.a.")</f>
        <v>0.18767421478736723</v>
      </c>
      <c r="E68" s="20">
        <f>IF(AND(ISNUMBER(E67),ISNUMBER(D67)),(E67-D67)*10000,"n.a.")</f>
        <v>-1.2122628654622631</v>
      </c>
      <c r="F68" s="20">
        <f>IF(AND(ISNUMBER(F67),ISNUMBER(E67)),(F67-E67)*10000,"n.a.")</f>
        <v>2.3532587079459417</v>
      </c>
      <c r="G68" s="20"/>
      <c r="H68" s="20">
        <f>IF(AND(ISNUMBER(H67),ISNUMBER(F67)),(H67-F67)*10000,"n.a.")</f>
        <v>-1.3269464664132993</v>
      </c>
      <c r="I68" s="20">
        <f>IF(AND(ISNUMBER(I67),ISNUMBER(H67)),(I67-H67)*10000,"n.a.")</f>
        <v>-2.284895079310116</v>
      </c>
      <c r="J68" s="72">
        <v>-0.5</v>
      </c>
      <c r="K68" s="1"/>
      <c r="L68" s="1"/>
      <c r="M68" s="1"/>
      <c r="N68" s="1"/>
      <c r="O68" s="1"/>
      <c r="P68" s="1"/>
    </row>
    <row r="69">
      <c r="A69" s="1"/>
      <c r="B69" s="6" t="s">
        <v>187</v>
      </c>
      <c r="C69" s="20"/>
      <c r="D69" s="20"/>
      <c r="E69" s="20"/>
      <c r="F69" s="20"/>
      <c r="G69" s="20"/>
      <c r="H69" s="20">
        <f>IF(AND(ISNUMBER(H67),ISNUMBER(C67)),(H67-C67)*10000,"n.a.")</f>
        <v>0.0017235908577467596</v>
      </c>
      <c r="I69" s="20">
        <f>IF(AND(ISNUMBER(I67),ISNUMBER(D67)),(I67-D67)*10000,"n.a.")</f>
        <v>-2.4708457032397364</v>
      </c>
      <c r="J69" s="48">
        <f>IF(AND(ISNUMBER(J67),ISNUMBER(E67)),(J67-E67)*10000,"n.a.")</f>
        <v>-1.758582837777488</v>
      </c>
      <c r="K69" s="1"/>
      <c r="L69" s="1"/>
      <c r="M69" s="1"/>
      <c r="N69" s="1"/>
      <c r="O69" s="1"/>
      <c r="P69" s="1"/>
    </row>
    <row r="70" ht="28.5">
      <c r="A70" s="1"/>
      <c r="B70" s="7" t="s">
        <v>227</v>
      </c>
      <c r="C70" s="74">
        <f>Inputs!C162-D70</f>
        <v>1768</v>
      </c>
      <c r="D70" s="31">
        <v>1814</v>
      </c>
      <c r="E70" s="31">
        <v>1888</v>
      </c>
      <c r="F70" s="31">
        <v>1965</v>
      </c>
      <c r="G70" s="24">
        <f>SUM(C70:F70)</f>
        <v>7435</v>
      </c>
      <c r="H70" s="31">
        <v>1942</v>
      </c>
      <c r="I70" s="31">
        <v>1992</v>
      </c>
      <c r="J70" s="51">
        <f>J63*J67*J$7/365</f>
        <v>2053.623056243567</v>
      </c>
      <c r="K70" s="134" t="s">
        <v>278</v>
      </c>
      <c r="L70" s="1"/>
      <c r="M70" s="1"/>
      <c r="N70" s="1"/>
      <c r="O70" s="1"/>
      <c r="P70" s="1"/>
    </row>
    <row r="71">
      <c r="A71" s="1"/>
      <c r="B71" s="6" t="s">
        <v>143</v>
      </c>
      <c r="C71" s="21"/>
      <c r="D71" s="21"/>
      <c r="E71" s="21"/>
      <c r="F71" s="21"/>
      <c r="G71" s="21"/>
      <c r="H71" s="21">
        <f>IF(AND(ISNUMBER(H70),ISNUMBER(C70)),IF(C70&lt;=0,"n.m.",IFERROR(H70/C70-1,"n.a.")),"n.a.")</f>
        <v>0.09841628959276028</v>
      </c>
      <c r="I71" s="21">
        <f>IF(AND(ISNUMBER(I70),ISNUMBER(D70)),IF(D70&lt;=0,"n.m.",IFERROR(I70/D70-1,"n.a.")),"n.a.")</f>
        <v>0.09812568908489516</v>
      </c>
      <c r="J71" s="29">
        <f>IF(AND(ISNUMBER(J70),ISNUMBER(E70)),IF(E70&lt;=0,"n.m.",IFERROR(J70/E70-1,"n.a.")),"n.a.")</f>
        <v>0.08772407640019453</v>
      </c>
      <c r="K71" s="1"/>
      <c r="L71" s="1"/>
      <c r="M71" s="1"/>
      <c r="N71" s="1"/>
      <c r="O71" s="1"/>
      <c r="P71" s="1"/>
    </row>
    <row r="72">
      <c r="A72" s="1"/>
      <c r="B72" s="6" t="s">
        <v>144</v>
      </c>
      <c r="C72" s="21"/>
      <c r="D72" s="21">
        <f>IF(AND(ISNUMBER(D70),ISNUMBER(C70)),IF(C70&lt;=0,"n.m.",IFERROR(D70/C70-1,"n.a.")),"n.a.")</f>
        <v>0.02601809954751122</v>
      </c>
      <c r="E72" s="21">
        <f>IF(AND(ISNUMBER(E70),ISNUMBER(D70)),IF(D70&lt;=0,"n.m.",IFERROR(E70/D70-1,"n.a.")),"n.a.")</f>
        <v>0.040793825799338546</v>
      </c>
      <c r="F72" s="21">
        <f>IF(AND(ISNUMBER(F70),ISNUMBER(E70)),IF(E70&lt;=0,"n.m.",IFERROR(F70/E70-1,"n.a.")),"n.a.")</f>
        <v>0.040783898305084776</v>
      </c>
      <c r="G72" s="21"/>
      <c r="H72" s="21">
        <f>IF(AND(ISNUMBER(H70),ISNUMBER(F70)),IF(F70&lt;=0,"n.m.",IFERROR(H70/F70-1,"n.a.")),"n.a.")</f>
        <v>-0.011704834605598013</v>
      </c>
      <c r="I72" s="21">
        <f>IF(AND(ISNUMBER(I70),ISNUMBER(H70)),IF(H70&lt;=0,"n.m.",IFERROR(I70/H70-1,"n.a.")),"n.a.")</f>
        <v>0.025746652935118464</v>
      </c>
      <c r="J72" s="29">
        <f>IF(AND(ISNUMBER(J70),ISNUMBER(I70)),IF(I70&lt;=0,"n.m.",IFERROR(J70/I70-1,"n.a.")),"n.a.")</f>
        <v>0.03093526919857781</v>
      </c>
      <c r="K72" s="1"/>
      <c r="L72" s="1"/>
      <c r="M72" s="1"/>
      <c r="N72" s="1"/>
      <c r="O72" s="1"/>
      <c r="P72" s="1"/>
    </row>
    <row r="73" ht="41.25">
      <c r="A73" s="1"/>
      <c r="B73" s="6" t="s">
        <v>145</v>
      </c>
      <c r="C73" s="21"/>
      <c r="D73" s="21"/>
      <c r="E73" s="21"/>
      <c r="F73" s="21"/>
      <c r="G73" s="21"/>
      <c r="H73" s="67" t="s">
        <v>129</v>
      </c>
      <c r="I73" s="67" t="s">
        <v>129</v>
      </c>
      <c r="J73" s="28" t="s">
        <v>129</v>
      </c>
      <c r="K73" s="134" t="s">
        <v>146</v>
      </c>
      <c r="L73" s="1"/>
      <c r="M73" s="1"/>
      <c r="N73" s="1"/>
      <c r="O73" s="1"/>
      <c r="P73" s="1"/>
    </row>
    <row r="74" ht="28.5">
      <c r="A74" s="1"/>
      <c r="B74" s="6" t="s">
        <v>147</v>
      </c>
      <c r="C74" s="21"/>
      <c r="D74" s="21"/>
      <c r="E74" s="21"/>
      <c r="F74" s="21"/>
      <c r="G74" s="21"/>
      <c r="H74" s="67" t="s">
        <v>129</v>
      </c>
      <c r="I74" s="67" t="s">
        <v>129</v>
      </c>
      <c r="J74" s="28" t="s">
        <v>129</v>
      </c>
      <c r="K74" s="134" t="s">
        <v>148</v>
      </c>
      <c r="L74" s="1"/>
      <c r="M74" s="1"/>
      <c r="N74" s="1"/>
      <c r="O74" s="1"/>
      <c r="P74" s="1"/>
    </row>
    <row r="75">
      <c r="A75" s="1"/>
      <c r="B75" s="6" t="s">
        <v>149</v>
      </c>
      <c r="C75" s="21"/>
      <c r="D75" s="21"/>
      <c r="E75" s="21"/>
      <c r="F75" s="21"/>
      <c r="G75" s="21"/>
      <c r="H75" s="21" t="str">
        <f>IF(AND(ISNUMBER(H71),ISNUMBER(H73),ISNUMBER(H74)),(1+H71)/((1+H73)*(1+H74))-1,"n.a.")</f>
        <v>n.a.</v>
      </c>
      <c r="I75" s="21" t="str">
        <f>IF(AND(ISNUMBER(I71),ISNUMBER(I73),ISNUMBER(I74)),(1+I71)/((1+I73)*(1+I74))-1,"n.a.")</f>
        <v>n.a.</v>
      </c>
      <c r="J75" s="29" t="str">
        <f>IF(AND(ISNUMBER(J71),ISNUMBER(J73),ISNUMBER(J74)),(1+J71)/((1+J73)*(1+J74))-1,"n.a.")</f>
        <v>n.a.</v>
      </c>
      <c r="K75" s="1"/>
      <c r="L75" s="1"/>
      <c r="M75" s="1"/>
      <c r="N75" s="1"/>
      <c r="O75" s="1"/>
      <c r="P75" s="1"/>
    </row>
    <row r="76">
      <c r="A76" s="1"/>
      <c r="B76" s="32" t="s">
        <v>279</v>
      </c>
      <c r="C76" s="11"/>
      <c r="D76" s="11"/>
      <c r="E76" s="11"/>
      <c r="F76" s="11"/>
      <c r="G76" s="11"/>
      <c r="H76" s="11"/>
      <c r="I76" s="11"/>
      <c r="J76" s="30"/>
      <c r="K76" s="1"/>
      <c r="L76" s="1"/>
      <c r="M76" s="1"/>
      <c r="N76" s="1"/>
      <c r="O76" s="1"/>
      <c r="P76" s="1"/>
    </row>
    <row r="77" ht="41.25">
      <c r="A77" s="1"/>
      <c r="B77" s="7" t="s">
        <v>254</v>
      </c>
      <c r="C77" s="74">
        <f>Inputs!C163-D77</f>
        <v>978</v>
      </c>
      <c r="D77" s="31">
        <v>1022</v>
      </c>
      <c r="E77" s="31">
        <v>1132</v>
      </c>
      <c r="F77" s="31">
        <v>1210</v>
      </c>
      <c r="G77" s="24">
        <f>SUM(C77:F77)</f>
        <v>4342</v>
      </c>
      <c r="H77" s="31">
        <v>1144</v>
      </c>
      <c r="I77" s="31">
        <v>1291</v>
      </c>
      <c r="J77" s="51">
        <f>I77*(1+J78)</f>
        <v>1200.6299999999999</v>
      </c>
      <c r="K77" s="134" t="s">
        <v>344</v>
      </c>
      <c r="L77" s="1"/>
      <c r="M77" s="1"/>
      <c r="N77" s="1"/>
      <c r="O77" s="1"/>
      <c r="P77" s="1"/>
    </row>
    <row r="78">
      <c r="A78" s="1"/>
      <c r="B78" s="6" t="s">
        <v>144</v>
      </c>
      <c r="C78" s="21"/>
      <c r="D78" s="21">
        <f>IF(AND(ISNUMBER(D77),ISNUMBER(C77)),IF(C77&lt;=0,"n.m.",IFERROR(D77/C77-1,"n.a.")),"n.a.")</f>
        <v>0.04498977505112478</v>
      </c>
      <c r="E78" s="21">
        <f>IF(AND(ISNUMBER(E77),ISNUMBER(D77)),IF(D77&lt;=0,"n.m.",IFERROR(E77/D77-1,"n.a.")),"n.a.")</f>
        <v>0.10763209393346385</v>
      </c>
      <c r="F78" s="21">
        <f>IF(AND(ISNUMBER(F77),ISNUMBER(E77)),IF(E77&lt;=0,"n.m.",IFERROR(F77/E77-1,"n.a.")),"n.a.")</f>
        <v>0.06890459363957602</v>
      </c>
      <c r="G78" s="21"/>
      <c r="H78" s="21">
        <f>IF(AND(ISNUMBER(H77),ISNUMBER(F77)),IF(F77&lt;=0,"n.m.",IFERROR(H77/F77-1,"n.a.")),"n.a.")</f>
        <v>-0.054545454545454564</v>
      </c>
      <c r="I78" s="21">
        <f>IF(AND(ISNUMBER(I77),ISNUMBER(H77)),IF(H77&lt;=0,"n.m.",IFERROR(I77/H77-1,"n.a.")),"n.a.")</f>
        <v>0.12849650349650354</v>
      </c>
      <c r="J78" s="28">
        <v>-0.07</v>
      </c>
      <c r="K78" s="1"/>
      <c r="L78" s="1"/>
      <c r="M78" s="1"/>
      <c r="N78" s="1"/>
      <c r="O78" s="1"/>
      <c r="P78" s="1"/>
    </row>
    <row r="79">
      <c r="A79" s="1"/>
      <c r="B79" s="6" t="s">
        <v>143</v>
      </c>
      <c r="C79" s="21"/>
      <c r="D79" s="21"/>
      <c r="E79" s="21"/>
      <c r="F79" s="21"/>
      <c r="G79" s="21"/>
      <c r="H79" s="21">
        <f>IF(AND(ISNUMBER(H77),ISNUMBER(C77)),IF(C77&lt;=0,"n.m.",IFERROR(H77/C77-1,"n.a.")),"n.a.")</f>
        <v>0.1697341513292434</v>
      </c>
      <c r="I79" s="21">
        <f>IF(AND(ISNUMBER(I77),ISNUMBER(D77)),IF(D77&lt;=0,"n.m.",IFERROR(I77/D77-1,"n.a.")),"n.a.")</f>
        <v>0.2632093933463797</v>
      </c>
      <c r="J79" s="29">
        <f>IF(AND(ISNUMBER(J77),ISNUMBER(E77)),IF(E77&lt;=0,"n.m.",IFERROR(J77/E77-1,"n.a.")),"n.a.")</f>
        <v>0.06062720848056524</v>
      </c>
      <c r="K79" s="1"/>
      <c r="L79" s="1"/>
      <c r="M79" s="1"/>
      <c r="N79" s="1"/>
      <c r="O79" s="1"/>
      <c r="P79" s="1"/>
    </row>
    <row r="80" ht="41.25">
      <c r="A80" s="1"/>
      <c r="B80" s="6" t="s">
        <v>145</v>
      </c>
      <c r="C80" s="21"/>
      <c r="D80" s="21"/>
      <c r="E80" s="21"/>
      <c r="F80" s="21"/>
      <c r="G80" s="21"/>
      <c r="H80" s="67" t="s">
        <v>129</v>
      </c>
      <c r="I80" s="67" t="s">
        <v>129</v>
      </c>
      <c r="J80" s="28" t="s">
        <v>129</v>
      </c>
      <c r="K80" s="134" t="s">
        <v>146</v>
      </c>
      <c r="L80" s="1"/>
      <c r="M80" s="1"/>
      <c r="N80" s="1"/>
      <c r="O80" s="1"/>
      <c r="P80" s="1"/>
    </row>
    <row r="81" ht="28.5">
      <c r="A81" s="1"/>
      <c r="B81" s="6" t="s">
        <v>147</v>
      </c>
      <c r="C81" s="21"/>
      <c r="D81" s="21"/>
      <c r="E81" s="21"/>
      <c r="F81" s="21"/>
      <c r="G81" s="21"/>
      <c r="H81" s="67" t="s">
        <v>129</v>
      </c>
      <c r="I81" s="67" t="s">
        <v>129</v>
      </c>
      <c r="J81" s="28" t="s">
        <v>129</v>
      </c>
      <c r="K81" s="134" t="s">
        <v>148</v>
      </c>
      <c r="L81" s="1"/>
      <c r="M81" s="1"/>
      <c r="N81" s="1"/>
      <c r="O81" s="1"/>
      <c r="P81" s="1"/>
    </row>
    <row r="82">
      <c r="A82" s="1"/>
      <c r="B82" s="6" t="s">
        <v>149</v>
      </c>
      <c r="C82" s="21"/>
      <c r="D82" s="21"/>
      <c r="E82" s="21"/>
      <c r="F82" s="21"/>
      <c r="G82" s="21"/>
      <c r="H82" s="21" t="str">
        <f>IF(AND(ISNUMBER(H79),ISNUMBER(H80),ISNUMBER(H81)),(1+H79)/((1+H80)*(1+H81))-1,"n.a.")</f>
        <v>n.a.</v>
      </c>
      <c r="I82" s="21" t="str">
        <f>IF(AND(ISNUMBER(I79),ISNUMBER(I80),ISNUMBER(I81)),(1+I79)/((1+I80)*(1+I81))-1,"n.a.")</f>
        <v>n.a.</v>
      </c>
      <c r="J82" s="29" t="str">
        <f>IF(AND(ISNUMBER(J79),ISNUMBER(J80),ISNUMBER(J81)),(1+J79)/((1+J80)*(1+J81))-1,"n.a.")</f>
        <v>n.a.</v>
      </c>
      <c r="K82" s="1"/>
      <c r="L82" s="1"/>
      <c r="M82" s="1"/>
      <c r="N82" s="1"/>
      <c r="O82" s="1"/>
      <c r="P82" s="1"/>
    </row>
    <row r="83">
      <c r="A83" s="1"/>
      <c r="B83" s="7" t="s">
        <v>283</v>
      </c>
      <c r="C83" s="22">
        <f>C70+C77</f>
        <v>2746</v>
      </c>
      <c r="D83" s="22">
        <f>D70+D77</f>
        <v>2836</v>
      </c>
      <c r="E83" s="22">
        <f>E70+E77</f>
        <v>3020</v>
      </c>
      <c r="F83" s="22">
        <f>F70+F77</f>
        <v>3175</v>
      </c>
      <c r="G83" s="22">
        <f>G70+G77</f>
        <v>11777</v>
      </c>
      <c r="H83" s="22">
        <f>H70+H77</f>
        <v>3086</v>
      </c>
      <c r="I83" s="22">
        <f>I70+I77</f>
        <v>3283</v>
      </c>
      <c r="J83" s="23">
        <f>J70+J77</f>
        <v>3254.253056243567</v>
      </c>
      <c r="K83" s="1"/>
      <c r="L83" s="1"/>
      <c r="M83" s="1"/>
      <c r="N83" s="1"/>
      <c r="O83" s="1"/>
      <c r="P83" s="1"/>
    </row>
    <row r="84">
      <c r="A84" s="1"/>
      <c r="B84" s="6" t="s">
        <v>143</v>
      </c>
      <c r="C84" s="21"/>
      <c r="D84" s="21"/>
      <c r="E84" s="21"/>
      <c r="F84" s="21"/>
      <c r="G84" s="21"/>
      <c r="H84" s="21">
        <f>IF(AND(ISNUMBER(H83),ISNUMBER(C83)),IF(C83&lt;=0,"n.m.",IFERROR(H83/C83-1,"n.a.")),"n.a.")</f>
        <v>0.12381646030589954</v>
      </c>
      <c r="I84" s="21">
        <f>IF(AND(ISNUMBER(I83),ISNUMBER(D83)),IF(D83&lt;=0,"n.m.",IFERROR(I83/D83-1,"n.a.")),"n.a.")</f>
        <v>0.15761636107193233</v>
      </c>
      <c r="J84" s="29">
        <f>IF(AND(ISNUMBER(J83),ISNUMBER(E83)),IF(E83&lt;=0,"n.m.",IFERROR(J83/E83-1,"n.a.")),"n.a.")</f>
        <v>0.07756723716674396</v>
      </c>
      <c r="K84" s="1"/>
      <c r="L84" s="1"/>
      <c r="M84" s="1"/>
      <c r="N84" s="1"/>
      <c r="O84" s="1"/>
      <c r="P84" s="1"/>
    </row>
    <row r="85">
      <c r="A85" s="1"/>
      <c r="B85" s="6" t="s">
        <v>144</v>
      </c>
      <c r="C85" s="21"/>
      <c r="D85" s="21">
        <f>IF(AND(ISNUMBER(D83),ISNUMBER(C83)),IF(C83&lt;=0,"n.m.",IFERROR(D83/C83-1,"n.a.")),"n.a.")</f>
        <v>0.03277494537509096</v>
      </c>
      <c r="E85" s="21">
        <f>IF(AND(ISNUMBER(E83),ISNUMBER(D83)),IF(D83&lt;=0,"n.m.",IFERROR(E83/D83-1,"n.a.")),"n.a.")</f>
        <v>0.06488011283497874</v>
      </c>
      <c r="F85" s="21">
        <f>IF(AND(ISNUMBER(F83),ISNUMBER(E83)),IF(E83&lt;=0,"n.m.",IFERROR(F83/E83-1,"n.a.")),"n.a.")</f>
        <v>0.051324503311258374</v>
      </c>
      <c r="G85" s="21"/>
      <c r="H85" s="21">
        <f>IF(AND(ISNUMBER(H83),ISNUMBER(F83)),IF(F83&lt;=0,"n.m.",IFERROR(H83/F83-1,"n.a.")),"n.a.")</f>
        <v>-0.028031496062992156</v>
      </c>
      <c r="I85" s="21">
        <f>IF(AND(ISNUMBER(I83),ISNUMBER(H83)),IF(H83&lt;=0,"n.m.",IFERROR(I83/H83-1,"n.a.")),"n.a.")</f>
        <v>0.06383668178872326</v>
      </c>
      <c r="J85" s="29">
        <f>IF(AND(ISNUMBER(J83),ISNUMBER(I83)),IF(I83&lt;=0,"n.m.",IFERROR(J83/I83-1,"n.a.")),"n.a.")</f>
        <v>-0.008756303306863611</v>
      </c>
      <c r="K85" s="1"/>
      <c r="L85" s="1"/>
      <c r="M85" s="1"/>
      <c r="N85" s="1"/>
      <c r="O85" s="1"/>
      <c r="P85" s="1"/>
    </row>
    <row r="86">
      <c r="A86" s="1"/>
      <c r="B86" s="6" t="s">
        <v>284</v>
      </c>
      <c r="C86" s="69">
        <f>IFERROR(C83/'Income Statement'!C33,"")</f>
        <v>0.5036683785766691</v>
      </c>
      <c r="D86" s="69">
        <f>IFERROR(D83/'Income Statement'!D33,"")</f>
        <v>0.5009715597950892</v>
      </c>
      <c r="E86" s="69">
        <f>IFERROR(E83/'Income Statement'!E33,"")</f>
        <v>0.5105663567202029</v>
      </c>
      <c r="F86" s="69">
        <f>IFERROR(F83/'Income Statement'!F33,"")</f>
        <v>0.5229780925712403</v>
      </c>
      <c r="G86" s="69">
        <f>IFERROR(G83/'Income Statement'!G33,"")</f>
        <v>0.5098489112082775</v>
      </c>
      <c r="H86" s="69">
        <f>IFERROR(H83/'Income Statement'!H33,"")</f>
        <v>0.5005677210056773</v>
      </c>
      <c r="I86" s="69">
        <f>IFERROR(I83/'Income Statement'!I33,"")</f>
        <v>0.47752727272727274</v>
      </c>
      <c r="J86" s="84">
        <f>IFERROR(J83/'Income Statement'!J33,"")</f>
        <v>0.4919427270990714</v>
      </c>
      <c r="K86" s="1"/>
      <c r="L86" s="1"/>
      <c r="M86" s="1"/>
      <c r="N86" s="1"/>
      <c r="O86" s="1"/>
      <c r="P86" s="1"/>
    </row>
    <row r="87" ht="41.25">
      <c r="A87" s="1"/>
      <c r="B87" s="6" t="s">
        <v>145</v>
      </c>
      <c r="C87" s="21"/>
      <c r="D87" s="21"/>
      <c r="E87" s="21"/>
      <c r="F87" s="21"/>
      <c r="G87" s="21"/>
      <c r="H87" s="67" t="s">
        <v>129</v>
      </c>
      <c r="I87" s="67" t="s">
        <v>129</v>
      </c>
      <c r="J87" s="28" t="s">
        <v>129</v>
      </c>
      <c r="K87" s="134" t="s">
        <v>146</v>
      </c>
      <c r="L87" s="1"/>
      <c r="M87" s="1"/>
      <c r="N87" s="1"/>
      <c r="O87" s="1"/>
      <c r="P87" s="1"/>
    </row>
    <row r="88" ht="28.5">
      <c r="A88" s="1"/>
      <c r="B88" s="6" t="s">
        <v>147</v>
      </c>
      <c r="C88" s="21"/>
      <c r="D88" s="21"/>
      <c r="E88" s="21"/>
      <c r="F88" s="21"/>
      <c r="G88" s="21"/>
      <c r="H88" s="67" t="s">
        <v>129</v>
      </c>
      <c r="I88" s="67" t="s">
        <v>129</v>
      </c>
      <c r="J88" s="28" t="s">
        <v>129</v>
      </c>
      <c r="K88" s="134" t="s">
        <v>148</v>
      </c>
      <c r="L88" s="1"/>
      <c r="M88" s="1"/>
      <c r="N88" s="1"/>
      <c r="O88" s="1"/>
      <c r="P88" s="1"/>
    </row>
    <row r="89">
      <c r="A89" s="1"/>
      <c r="B89" s="6" t="s">
        <v>149</v>
      </c>
      <c r="C89" s="21"/>
      <c r="D89" s="21"/>
      <c r="E89" s="21"/>
      <c r="F89" s="21"/>
      <c r="G89" s="21"/>
      <c r="H89" s="21" t="str">
        <f>IF(AND(ISNUMBER(H84),ISNUMBER(H87),ISNUMBER(H88)),(1+H84)/((1+H87)*(1+H88))-1,"n.a.")</f>
        <v>n.a.</v>
      </c>
      <c r="I89" s="21" t="str">
        <f>IF(AND(ISNUMBER(I84),ISNUMBER(I87),ISNUMBER(I88)),(1+I84)/((1+I87)*(1+I88))-1,"n.a.")</f>
        <v>n.a.</v>
      </c>
      <c r="J89" s="29" t="str">
        <f>IF(AND(ISNUMBER(J84),ISNUMBER(J87),ISNUMBER(J88)),(1+J84)/((1+J87)*(1+J88))-1,"n.a.")</f>
        <v>n.a.</v>
      </c>
      <c r="K89" s="1"/>
      <c r="L89" s="1"/>
      <c r="M89" s="1"/>
      <c r="N89" s="1"/>
      <c r="O89" s="1"/>
      <c r="P89" s="1"/>
    </row>
    <row r="90">
      <c r="A90" s="1"/>
      <c r="B90" s="32" t="s">
        <v>345</v>
      </c>
      <c r="C90" s="11"/>
      <c r="D90" s="11"/>
      <c r="E90" s="11"/>
      <c r="F90" s="11"/>
      <c r="G90" s="11"/>
      <c r="H90" s="11"/>
      <c r="I90" s="11"/>
      <c r="J90" s="30"/>
      <c r="K90" s="1"/>
      <c r="L90" s="1"/>
      <c r="M90" s="1"/>
      <c r="N90" s="1"/>
      <c r="O90" s="1"/>
      <c r="P90" s="1"/>
    </row>
    <row r="91">
      <c r="A91" s="1"/>
      <c r="B91" s="1" t="s">
        <v>346</v>
      </c>
      <c r="C91" s="12">
        <f>Inputs!C171-D91</f>
        <v>1051</v>
      </c>
      <c r="D91" s="18">
        <v>1079</v>
      </c>
      <c r="E91" s="18">
        <v>1122</v>
      </c>
      <c r="F91" s="18">
        <v>1199</v>
      </c>
      <c r="G91" s="14">
        <f>SUM(C91:F91)</f>
        <v>4451</v>
      </c>
      <c r="H91" s="18">
        <v>1171</v>
      </c>
      <c r="I91" s="18">
        <v>1171</v>
      </c>
      <c r="J91" s="27">
        <v>1185</v>
      </c>
      <c r="K91" s="1"/>
      <c r="L91" s="1"/>
      <c r="M91" s="1"/>
      <c r="N91" s="1"/>
      <c r="O91" s="1"/>
      <c r="P91" s="1"/>
    </row>
    <row r="92">
      <c r="A92" s="1"/>
      <c r="B92" s="6" t="s">
        <v>143</v>
      </c>
      <c r="C92" s="21"/>
      <c r="D92" s="21"/>
      <c r="E92" s="21"/>
      <c r="F92" s="21"/>
      <c r="G92" s="21"/>
      <c r="H92" s="21">
        <f>IF(AND(ISNUMBER(H91),ISNUMBER(C91)),IF(C91&lt;=0,"n.m.",IFERROR(H91/C91-1,"n.a.")),"n.a.")</f>
        <v>0.11417697431018081</v>
      </c>
      <c r="I92" s="21">
        <f>IF(AND(ISNUMBER(I91),ISNUMBER(D91)),IF(D91&lt;=0,"n.m.",IFERROR(I91/D91-1,"n.a.")),"n.a.")</f>
        <v>0.08526413345690464</v>
      </c>
      <c r="J92" s="29">
        <f>IF(AND(ISNUMBER(J91),ISNUMBER(E91)),IF(E91&lt;=0,"n.m.",IFERROR(J91/E91-1,"n.a.")),"n.a.")</f>
        <v>0.05614973262032086</v>
      </c>
      <c r="K92" s="1"/>
      <c r="L92" s="1"/>
      <c r="M92" s="1"/>
      <c r="N92" s="1"/>
      <c r="O92" s="1"/>
      <c r="P92" s="1"/>
    </row>
    <row r="93">
      <c r="A93" s="1"/>
      <c r="B93" s="6" t="s">
        <v>144</v>
      </c>
      <c r="C93" s="21"/>
      <c r="D93" s="21">
        <f>IF(AND(ISNUMBER(D91),ISNUMBER(C91)),IF(C91&lt;=0,"n.m.",IFERROR(D91/C91-1,"n.a.")),"n.a.")</f>
        <v>0.026641294005708804</v>
      </c>
      <c r="E93" s="21">
        <f>IF(AND(ISNUMBER(E91),ISNUMBER(D91)),IF(D91&lt;=0,"n.m.",IFERROR(E91/D91-1,"n.a.")),"n.a.")</f>
        <v>0.03985171455050973</v>
      </c>
      <c r="F93" s="21">
        <f>IF(AND(ISNUMBER(F91),ISNUMBER(E91)),IF(E91&lt;=0,"n.m.",IFERROR(F91/E91-1,"n.a.")),"n.a.")</f>
        <v>0.06862745098039214</v>
      </c>
      <c r="G93" s="21"/>
      <c r="H93" s="21">
        <f>IF(AND(ISNUMBER(H91),ISNUMBER(F91)),IF(F91&lt;=0,"n.m.",IFERROR(H91/F91-1,"n.a.")),"n.a.")</f>
        <v>-0.02335279399499579</v>
      </c>
      <c r="I93" s="21">
        <f>IF(AND(ISNUMBER(I91),ISNUMBER(H91)),IF(H91&lt;=0,"n.m.",IFERROR(I91/H91-1,"n.a.")),"n.a.")</f>
        <v>0</v>
      </c>
      <c r="J93" s="29">
        <f>IF(AND(ISNUMBER(J91),ISNUMBER(I91)),IF(I91&lt;=0,"n.m.",IFERROR(J91/I91-1,"n.a.")),"n.a.")</f>
        <v>0.011955593509820561</v>
      </c>
      <c r="K93" s="1"/>
      <c r="L93" s="1"/>
      <c r="M93" s="1"/>
      <c r="N93" s="1"/>
      <c r="O93" s="1"/>
      <c r="P93" s="1"/>
    </row>
    <row r="94" ht="41.25">
      <c r="A94" s="1"/>
      <c r="B94" s="6" t="s">
        <v>145</v>
      </c>
      <c r="C94" s="21"/>
      <c r="D94" s="21"/>
      <c r="E94" s="21"/>
      <c r="F94" s="21"/>
      <c r="G94" s="21"/>
      <c r="H94" s="67" t="s">
        <v>129</v>
      </c>
      <c r="I94" s="67" t="s">
        <v>129</v>
      </c>
      <c r="J94" s="28" t="s">
        <v>129</v>
      </c>
      <c r="K94" s="134" t="s">
        <v>146</v>
      </c>
      <c r="L94" s="1"/>
      <c r="M94" s="1"/>
      <c r="N94" s="1"/>
      <c r="O94" s="1"/>
      <c r="P94" s="1"/>
    </row>
    <row r="95" ht="28.5">
      <c r="A95" s="1"/>
      <c r="B95" s="6" t="s">
        <v>147</v>
      </c>
      <c r="C95" s="21"/>
      <c r="D95" s="21"/>
      <c r="E95" s="21"/>
      <c r="F95" s="21"/>
      <c r="G95" s="21"/>
      <c r="H95" s="67" t="s">
        <v>129</v>
      </c>
      <c r="I95" s="67" t="s">
        <v>129</v>
      </c>
      <c r="J95" s="28" t="s">
        <v>129</v>
      </c>
      <c r="K95" s="134" t="s">
        <v>148</v>
      </c>
      <c r="L95" s="1"/>
      <c r="M95" s="1"/>
      <c r="N95" s="1"/>
      <c r="O95" s="1"/>
      <c r="P95" s="1"/>
    </row>
    <row r="96">
      <c r="A96" s="1"/>
      <c r="B96" s="6" t="s">
        <v>149</v>
      </c>
      <c r="C96" s="21"/>
      <c r="D96" s="21"/>
      <c r="E96" s="21"/>
      <c r="F96" s="21"/>
      <c r="G96" s="21"/>
      <c r="H96" s="21" t="str">
        <f>IF(AND(ISNUMBER(H92),ISNUMBER(H94),ISNUMBER(H95)),(1+H92)/((1+H94)*(1+H95))-1,"n.a.")</f>
        <v>n.a.</v>
      </c>
      <c r="I96" s="21" t="str">
        <f>IF(AND(ISNUMBER(I92),ISNUMBER(I94),ISNUMBER(I95)),(1+I92)/((1+I94)*(1+I95))-1,"n.a.")</f>
        <v>n.a.</v>
      </c>
      <c r="J96" s="29" t="str">
        <f>IF(AND(ISNUMBER(J92),ISNUMBER(J94),ISNUMBER(J95)),(1+J92)/((1+J94)*(1+J95))-1,"n.a.")</f>
        <v>n.a.</v>
      </c>
      <c r="K96" s="1"/>
      <c r="L96" s="1"/>
      <c r="M96" s="1"/>
      <c r="N96" s="1"/>
      <c r="O96" s="1"/>
      <c r="P96" s="1"/>
    </row>
    <row r="97">
      <c r="A97" s="1"/>
      <c r="B97" s="1" t="s">
        <v>347</v>
      </c>
      <c r="C97" s="12">
        <f>Inputs!C172-D97</f>
        <v>26</v>
      </c>
      <c r="D97" s="18">
        <v>24</v>
      </c>
      <c r="E97" s="18">
        <v>23</v>
      </c>
      <c r="F97" s="18">
        <v>34</v>
      </c>
      <c r="G97" s="14">
        <f>SUM(C97:F97)</f>
        <v>107</v>
      </c>
      <c r="H97" s="18">
        <v>14</v>
      </c>
      <c r="I97" s="18">
        <v>23</v>
      </c>
      <c r="J97" s="27">
        <v>22</v>
      </c>
      <c r="K97" s="1"/>
      <c r="L97" s="1"/>
      <c r="M97" s="1"/>
      <c r="N97" s="1"/>
      <c r="O97" s="1"/>
      <c r="P97" s="1"/>
    </row>
    <row r="98">
      <c r="A98" s="1"/>
      <c r="B98" s="6" t="s">
        <v>143</v>
      </c>
      <c r="C98" s="21"/>
      <c r="D98" s="21"/>
      <c r="E98" s="21"/>
      <c r="F98" s="21"/>
      <c r="G98" s="21"/>
      <c r="H98" s="21">
        <f>IF(AND(ISNUMBER(H97),ISNUMBER(C97)),IF(C97&lt;=0,"n.m.",IFERROR(H97/C97-1,"n.a.")),"n.a.")</f>
        <v>-0.46153846153846156</v>
      </c>
      <c r="I98" s="21">
        <f>IF(AND(ISNUMBER(I97),ISNUMBER(D97)),IF(D97&lt;=0,"n.m.",IFERROR(I97/D97-1,"n.a.")),"n.a.")</f>
        <v>-0.04166666666666663</v>
      </c>
      <c r="J98" s="29">
        <f>IF(AND(ISNUMBER(J97),ISNUMBER(E97)),IF(E97&lt;=0,"n.m.",IFERROR(J97/E97-1,"n.a.")),"n.a.")</f>
        <v>-0.04347826086956519</v>
      </c>
      <c r="K98" s="1"/>
      <c r="L98" s="1"/>
      <c r="M98" s="1"/>
      <c r="N98" s="1"/>
      <c r="O98" s="1"/>
      <c r="P98" s="1"/>
    </row>
    <row r="99">
      <c r="A99" s="1"/>
      <c r="B99" s="6" t="s">
        <v>144</v>
      </c>
      <c r="C99" s="21"/>
      <c r="D99" s="21">
        <f>IF(AND(ISNUMBER(D97),ISNUMBER(C97)),IF(C97&lt;=0,"n.m.",IFERROR(D97/C97-1,"n.a.")),"n.a.")</f>
        <v>-0.07692307692307687</v>
      </c>
      <c r="E99" s="21">
        <f>IF(AND(ISNUMBER(E97),ISNUMBER(D97)),IF(D97&lt;=0,"n.m.",IFERROR(E97/D97-1,"n.a.")),"n.a.")</f>
        <v>-0.04166666666666663</v>
      </c>
      <c r="F99" s="21">
        <f>IF(AND(ISNUMBER(F97),ISNUMBER(E97)),IF(E97&lt;=0,"n.m.",IFERROR(F97/E97-1,"n.a.")),"n.a.")</f>
        <v>0.4782608695652173</v>
      </c>
      <c r="G99" s="21"/>
      <c r="H99" s="21">
        <f>IF(AND(ISNUMBER(H97),ISNUMBER(F97)),IF(F97&lt;=0,"n.m.",IFERROR(H97/F97-1,"n.a.")),"n.a.")</f>
        <v>-0.5882352941176471</v>
      </c>
      <c r="I99" s="21">
        <f>IF(AND(ISNUMBER(I97),ISNUMBER(H97)),IF(H97&lt;=0,"n.m.",IFERROR(I97/H97-1,"n.a.")),"n.a.")</f>
        <v>0.6428571428571428</v>
      </c>
      <c r="J99" s="29">
        <f>IF(AND(ISNUMBER(J97),ISNUMBER(I97)),IF(I97&lt;=0,"n.m.",IFERROR(J97/I97-1,"n.a.")),"n.a.")</f>
        <v>-0.04347826086956519</v>
      </c>
      <c r="K99" s="1"/>
      <c r="L99" s="1"/>
      <c r="M99" s="1"/>
      <c r="N99" s="1"/>
      <c r="O99" s="1"/>
      <c r="P99" s="1"/>
    </row>
    <row r="100" ht="41.25">
      <c r="A100" s="1"/>
      <c r="B100" s="6" t="s">
        <v>145</v>
      </c>
      <c r="C100" s="21"/>
      <c r="D100" s="21"/>
      <c r="E100" s="21"/>
      <c r="F100" s="21"/>
      <c r="G100" s="21"/>
      <c r="H100" s="67" t="s">
        <v>129</v>
      </c>
      <c r="I100" s="67" t="s">
        <v>129</v>
      </c>
      <c r="J100" s="28" t="s">
        <v>129</v>
      </c>
      <c r="K100" s="134" t="s">
        <v>146</v>
      </c>
      <c r="L100" s="1"/>
      <c r="M100" s="1"/>
      <c r="N100" s="1"/>
      <c r="O100" s="1"/>
      <c r="P100" s="1"/>
    </row>
    <row r="101" ht="28.5">
      <c r="A101" s="1"/>
      <c r="B101" s="6" t="s">
        <v>147</v>
      </c>
      <c r="C101" s="21"/>
      <c r="D101" s="21"/>
      <c r="E101" s="21"/>
      <c r="F101" s="21"/>
      <c r="G101" s="21"/>
      <c r="H101" s="67" t="s">
        <v>129</v>
      </c>
      <c r="I101" s="67" t="s">
        <v>129</v>
      </c>
      <c r="J101" s="28" t="s">
        <v>129</v>
      </c>
      <c r="K101" s="134" t="s">
        <v>148</v>
      </c>
      <c r="L101" s="1"/>
      <c r="M101" s="1"/>
      <c r="N101" s="1"/>
      <c r="O101" s="1"/>
      <c r="P101" s="1"/>
    </row>
    <row r="102">
      <c r="A102" s="1"/>
      <c r="B102" s="6" t="s">
        <v>149</v>
      </c>
      <c r="C102" s="21"/>
      <c r="D102" s="21"/>
      <c r="E102" s="21"/>
      <c r="F102" s="21"/>
      <c r="G102" s="21"/>
      <c r="H102" s="21" t="str">
        <f>IF(AND(ISNUMBER(H98),ISNUMBER(H100),ISNUMBER(H101)),(1+H98)/((1+H100)*(1+H101))-1,"n.a.")</f>
        <v>n.a.</v>
      </c>
      <c r="I102" s="21" t="str">
        <f>IF(AND(ISNUMBER(I98),ISNUMBER(I100),ISNUMBER(I101)),(1+I98)/((1+I100)*(1+I101))-1,"n.a.")</f>
        <v>n.a.</v>
      </c>
      <c r="J102" s="29" t="str">
        <f>IF(AND(ISNUMBER(J98),ISNUMBER(J100),ISNUMBER(J101)),(1+J98)/((1+J100)*(1+J101))-1,"n.a.")</f>
        <v>n.a.</v>
      </c>
      <c r="K102" s="1"/>
      <c r="L102" s="1"/>
      <c r="M102" s="1"/>
      <c r="N102" s="1"/>
      <c r="O102" s="1"/>
      <c r="P102" s="1"/>
    </row>
    <row r="103">
      <c r="A103" s="1"/>
      <c r="B103" s="1" t="s">
        <v>348</v>
      </c>
      <c r="C103" s="12">
        <f>Inputs!C173-D103</f>
        <v>109</v>
      </c>
      <c r="D103" s="18">
        <v>129</v>
      </c>
      <c r="E103" s="18">
        <v>135</v>
      </c>
      <c r="F103" s="18">
        <v>128</v>
      </c>
      <c r="G103" s="14">
        <f>SUM(C103:F103)</f>
        <v>501</v>
      </c>
      <c r="H103" s="18">
        <v>120</v>
      </c>
      <c r="I103" s="18">
        <v>127</v>
      </c>
      <c r="J103" s="27">
        <v>128</v>
      </c>
      <c r="K103" s="1"/>
      <c r="L103" s="1"/>
      <c r="M103" s="1"/>
      <c r="N103" s="1"/>
      <c r="O103" s="1"/>
      <c r="P103" s="1"/>
    </row>
    <row r="104">
      <c r="A104" s="1"/>
      <c r="B104" s="6" t="s">
        <v>143</v>
      </c>
      <c r="C104" s="21"/>
      <c r="D104" s="21"/>
      <c r="E104" s="21"/>
      <c r="F104" s="21"/>
      <c r="G104" s="21"/>
      <c r="H104" s="21">
        <f>IF(AND(ISNUMBER(H103),ISNUMBER(C103)),IF(C103&lt;=0,"n.m.",IFERROR(H103/C103-1,"n.a.")),"n.a.")</f>
        <v>0.10091743119266061</v>
      </c>
      <c r="I104" s="21">
        <f>IF(AND(ISNUMBER(I103),ISNUMBER(D103)),IF(D103&lt;=0,"n.m.",IFERROR(I103/D103-1,"n.a.")),"n.a.")</f>
        <v>-0.015503875968992276</v>
      </c>
      <c r="J104" s="29">
        <f>IF(AND(ISNUMBER(J103),ISNUMBER(E103)),IF(E103&lt;=0,"n.m.",IFERROR(J103/E103-1,"n.a.")),"n.a.")</f>
        <v>-0.051851851851851816</v>
      </c>
      <c r="K104" s="1"/>
      <c r="L104" s="1"/>
      <c r="M104" s="1"/>
      <c r="N104" s="1"/>
      <c r="O104" s="1"/>
      <c r="P104" s="1"/>
    </row>
    <row r="105">
      <c r="A105" s="1"/>
      <c r="B105" s="6" t="s">
        <v>144</v>
      </c>
      <c r="C105" s="21"/>
      <c r="D105" s="21">
        <f>IF(AND(ISNUMBER(D103),ISNUMBER(C103)),IF(C103&lt;=0,"n.m.",IFERROR(D103/C103-1,"n.a.")),"n.a.")</f>
        <v>0.1834862385321101</v>
      </c>
      <c r="E105" s="21">
        <f>IF(AND(ISNUMBER(E103),ISNUMBER(D103)),IF(D103&lt;=0,"n.m.",IFERROR(E103/D103-1,"n.a.")),"n.a.")</f>
        <v>0.04651162790697683</v>
      </c>
      <c r="F105" s="21">
        <f>IF(AND(ISNUMBER(F103),ISNUMBER(E103)),IF(E103&lt;=0,"n.m.",IFERROR(F103/E103-1,"n.a.")),"n.a.")</f>
        <v>-0.051851851851851816</v>
      </c>
      <c r="G105" s="21"/>
      <c r="H105" s="21">
        <f>IF(AND(ISNUMBER(H103),ISNUMBER(F103)),IF(F103&lt;=0,"n.m.",IFERROR(H103/F103-1,"n.a.")),"n.a.")</f>
        <v>-0.0625</v>
      </c>
      <c r="I105" s="21">
        <f>IF(AND(ISNUMBER(I103),ISNUMBER(H103)),IF(H103&lt;=0,"n.m.",IFERROR(I103/H103-1,"n.a.")),"n.a.")</f>
        <v>0.05833333333333335</v>
      </c>
      <c r="J105" s="29">
        <f>IF(AND(ISNUMBER(J103),ISNUMBER(I103)),IF(I103&lt;=0,"n.m.",IFERROR(J103/I103-1,"n.a.")),"n.a.")</f>
        <v>0.007874015748031482</v>
      </c>
      <c r="K105" s="1"/>
      <c r="L105" s="1"/>
      <c r="M105" s="1"/>
      <c r="N105" s="1"/>
      <c r="O105" s="1"/>
      <c r="P105" s="1"/>
    </row>
    <row r="106" ht="41.25">
      <c r="A106" s="1"/>
      <c r="B106" s="6" t="s">
        <v>145</v>
      </c>
      <c r="C106" s="21"/>
      <c r="D106" s="21"/>
      <c r="E106" s="21"/>
      <c r="F106" s="21"/>
      <c r="G106" s="21"/>
      <c r="H106" s="67" t="s">
        <v>129</v>
      </c>
      <c r="I106" s="67" t="s">
        <v>129</v>
      </c>
      <c r="J106" s="28" t="s">
        <v>129</v>
      </c>
      <c r="K106" s="134" t="s">
        <v>146</v>
      </c>
      <c r="L106" s="1"/>
      <c r="M106" s="1"/>
      <c r="N106" s="1"/>
      <c r="O106" s="1"/>
      <c r="P106" s="1"/>
    </row>
    <row r="107" ht="28.5">
      <c r="A107" s="1"/>
      <c r="B107" s="6" t="s">
        <v>147</v>
      </c>
      <c r="C107" s="21"/>
      <c r="D107" s="21"/>
      <c r="E107" s="21"/>
      <c r="F107" s="21"/>
      <c r="G107" s="21"/>
      <c r="H107" s="67" t="s">
        <v>129</v>
      </c>
      <c r="I107" s="67" t="s">
        <v>129</v>
      </c>
      <c r="J107" s="28" t="s">
        <v>129</v>
      </c>
      <c r="K107" s="134" t="s">
        <v>148</v>
      </c>
      <c r="L107" s="1"/>
      <c r="M107" s="1"/>
      <c r="N107" s="1"/>
      <c r="O107" s="1"/>
      <c r="P107" s="1"/>
    </row>
    <row r="108">
      <c r="A108" s="1"/>
      <c r="B108" s="6" t="s">
        <v>149</v>
      </c>
      <c r="C108" s="21"/>
      <c r="D108" s="21"/>
      <c r="E108" s="21"/>
      <c r="F108" s="21"/>
      <c r="G108" s="21"/>
      <c r="H108" s="21" t="str">
        <f>IF(AND(ISNUMBER(H104),ISNUMBER(H106),ISNUMBER(H107)),(1+H104)/((1+H106)*(1+H107))-1,"n.a.")</f>
        <v>n.a.</v>
      </c>
      <c r="I108" s="21" t="str">
        <f>IF(AND(ISNUMBER(I104),ISNUMBER(I106),ISNUMBER(I107)),(1+I104)/((1+I106)*(1+I107))-1,"n.a.")</f>
        <v>n.a.</v>
      </c>
      <c r="J108" s="29" t="str">
        <f>IF(AND(ISNUMBER(J104),ISNUMBER(J106),ISNUMBER(J107)),(1+J104)/((1+J106)*(1+J107))-1,"n.a.")</f>
        <v>n.a.</v>
      </c>
      <c r="K108" s="1"/>
      <c r="L108" s="1"/>
      <c r="M108" s="1"/>
      <c r="N108" s="1"/>
      <c r="O108" s="1"/>
      <c r="P108" s="1"/>
    </row>
    <row r="109">
      <c r="A109" s="1"/>
      <c r="B109" s="1" t="s">
        <v>349</v>
      </c>
      <c r="C109" s="12">
        <f>Inputs!C174-D109</f>
        <v>39</v>
      </c>
      <c r="D109" s="18">
        <v>36</v>
      </c>
      <c r="E109" s="18">
        <v>47</v>
      </c>
      <c r="F109" s="18">
        <v>37</v>
      </c>
      <c r="G109" s="14">
        <f>SUM(C109:F109)</f>
        <v>159</v>
      </c>
      <c r="H109" s="18">
        <v>28</v>
      </c>
      <c r="I109" s="18">
        <v>33</v>
      </c>
      <c r="J109" s="27">
        <v>30</v>
      </c>
      <c r="K109" s="1"/>
      <c r="L109" s="1"/>
      <c r="M109" s="1"/>
      <c r="N109" s="1"/>
      <c r="O109" s="1"/>
      <c r="P109" s="1"/>
    </row>
    <row r="110">
      <c r="A110" s="1"/>
      <c r="B110" s="6" t="s">
        <v>143</v>
      </c>
      <c r="C110" s="21"/>
      <c r="D110" s="21"/>
      <c r="E110" s="21"/>
      <c r="F110" s="21"/>
      <c r="G110" s="21"/>
      <c r="H110" s="21">
        <f>IF(AND(ISNUMBER(H109),ISNUMBER(C109)),IF(C109&lt;=0,"n.m.",IFERROR(H109/C109-1,"n.a.")),"n.a.")</f>
        <v>-0.28205128205128205</v>
      </c>
      <c r="I110" s="21">
        <f>IF(AND(ISNUMBER(I109),ISNUMBER(D109)),IF(D109&lt;=0,"n.m.",IFERROR(I109/D109-1,"n.a.")),"n.a.")</f>
        <v>-0.08333333333333337</v>
      </c>
      <c r="J110" s="29">
        <f>IF(AND(ISNUMBER(J109),ISNUMBER(E109)),IF(E109&lt;=0,"n.m.",IFERROR(J109/E109-1,"n.a.")),"n.a.")</f>
        <v>-0.36170212765957444</v>
      </c>
      <c r="K110" s="1"/>
      <c r="L110" s="1"/>
      <c r="M110" s="1"/>
      <c r="N110" s="1"/>
      <c r="O110" s="1"/>
      <c r="P110" s="1"/>
    </row>
    <row r="111">
      <c r="A111" s="1"/>
      <c r="B111" s="6" t="s">
        <v>144</v>
      </c>
      <c r="C111" s="21"/>
      <c r="D111" s="21">
        <f>IF(AND(ISNUMBER(D109),ISNUMBER(C109)),IF(C109&lt;=0,"n.m.",IFERROR(D109/C109-1,"n.a.")),"n.a.")</f>
        <v>-0.07692307692307687</v>
      </c>
      <c r="E111" s="21">
        <f>IF(AND(ISNUMBER(E109),ISNUMBER(D109)),IF(D109&lt;=0,"n.m.",IFERROR(E109/D109-1,"n.a.")),"n.a.")</f>
        <v>0.3055555555555556</v>
      </c>
      <c r="F111" s="21">
        <f>IF(AND(ISNUMBER(F109),ISNUMBER(E109)),IF(E109&lt;=0,"n.m.",IFERROR(F109/E109-1,"n.a.")),"n.a.")</f>
        <v>-0.21276595744680848</v>
      </c>
      <c r="G111" s="21"/>
      <c r="H111" s="21">
        <f>IF(AND(ISNUMBER(H109),ISNUMBER(F109)),IF(F109&lt;=0,"n.m.",IFERROR(H109/F109-1,"n.a.")),"n.a.")</f>
        <v>-0.2432432432432432</v>
      </c>
      <c r="I111" s="21">
        <f>IF(AND(ISNUMBER(I109),ISNUMBER(H109)),IF(H109&lt;=0,"n.m.",IFERROR(I109/H109-1,"n.a.")),"n.a.")</f>
        <v>0.1785714285714286</v>
      </c>
      <c r="J111" s="29">
        <f>IF(AND(ISNUMBER(J109),ISNUMBER(I109)),IF(I109&lt;=0,"n.m.",IFERROR(J109/I109-1,"n.a.")),"n.a.")</f>
        <v>-0.09090909090909094</v>
      </c>
      <c r="K111" s="1"/>
      <c r="L111" s="1"/>
      <c r="M111" s="1"/>
      <c r="N111" s="1"/>
      <c r="O111" s="1"/>
      <c r="P111" s="1"/>
    </row>
    <row r="112" ht="41.25">
      <c r="A112" s="1"/>
      <c r="B112" s="6" t="s">
        <v>145</v>
      </c>
      <c r="C112" s="21"/>
      <c r="D112" s="21"/>
      <c r="E112" s="21"/>
      <c r="F112" s="21"/>
      <c r="G112" s="21"/>
      <c r="H112" s="67" t="s">
        <v>129</v>
      </c>
      <c r="I112" s="67" t="s">
        <v>129</v>
      </c>
      <c r="J112" s="28" t="s">
        <v>129</v>
      </c>
      <c r="K112" s="134" t="s">
        <v>146</v>
      </c>
      <c r="L112" s="1"/>
      <c r="M112" s="1"/>
      <c r="N112" s="1"/>
      <c r="O112" s="1"/>
      <c r="P112" s="1"/>
    </row>
    <row r="113" ht="28.5">
      <c r="A113" s="1"/>
      <c r="B113" s="6" t="s">
        <v>147</v>
      </c>
      <c r="C113" s="21"/>
      <c r="D113" s="21"/>
      <c r="E113" s="21"/>
      <c r="F113" s="21"/>
      <c r="G113" s="21"/>
      <c r="H113" s="67" t="s">
        <v>129</v>
      </c>
      <c r="I113" s="67" t="s">
        <v>129</v>
      </c>
      <c r="J113" s="28" t="s">
        <v>129</v>
      </c>
      <c r="K113" s="134" t="s">
        <v>148</v>
      </c>
      <c r="L113" s="1"/>
      <c r="M113" s="1"/>
      <c r="N113" s="1"/>
      <c r="O113" s="1"/>
      <c r="P113" s="1"/>
    </row>
    <row r="114">
      <c r="A114" s="1"/>
      <c r="B114" s="6" t="s">
        <v>149</v>
      </c>
      <c r="C114" s="21"/>
      <c r="D114" s="21"/>
      <c r="E114" s="21"/>
      <c r="F114" s="21"/>
      <c r="G114" s="21"/>
      <c r="H114" s="21" t="str">
        <f>IF(AND(ISNUMBER(H110),ISNUMBER(H112),ISNUMBER(H113)),(1+H110)/((1+H112)*(1+H113))-1,"n.a.")</f>
        <v>n.a.</v>
      </c>
      <c r="I114" s="21" t="str">
        <f>IF(AND(ISNUMBER(I110),ISNUMBER(I112),ISNUMBER(I113)),(1+I110)/((1+I112)*(1+I113))-1,"n.a.")</f>
        <v>n.a.</v>
      </c>
      <c r="J114" s="29" t="str">
        <f>IF(AND(ISNUMBER(J110),ISNUMBER(J112),ISNUMBER(J113)),(1+J110)/((1+J112)*(1+J113))-1,"n.a.")</f>
        <v>n.a.</v>
      </c>
      <c r="K114" s="1"/>
      <c r="L114" s="1"/>
      <c r="M114" s="1"/>
      <c r="N114" s="1"/>
      <c r="O114" s="1"/>
      <c r="P114" s="1"/>
    </row>
    <row r="115">
      <c r="A115" s="1"/>
      <c r="B115" s="7" t="s">
        <v>350</v>
      </c>
      <c r="C115" s="22">
        <f>C97+C103+C109</f>
        <v>174</v>
      </c>
      <c r="D115" s="22">
        <f>D97+D103+D109</f>
        <v>189</v>
      </c>
      <c r="E115" s="22">
        <f>E97+E103+E109</f>
        <v>205</v>
      </c>
      <c r="F115" s="22">
        <f>F97+F103+F109</f>
        <v>199</v>
      </c>
      <c r="G115" s="22">
        <f>G97+G103+G109</f>
        <v>767</v>
      </c>
      <c r="H115" s="22">
        <f>H97+H103+H109</f>
        <v>162</v>
      </c>
      <c r="I115" s="22">
        <f>I97+I103+I109</f>
        <v>183</v>
      </c>
      <c r="J115" s="23">
        <f>J97+J103+J109</f>
        <v>180</v>
      </c>
      <c r="K115" s="1"/>
      <c r="L115" s="1"/>
      <c r="M115" s="1"/>
      <c r="N115" s="1"/>
      <c r="O115" s="1"/>
      <c r="P115" s="1"/>
    </row>
    <row r="116">
      <c r="A116" s="1"/>
      <c r="B116" s="6" t="s">
        <v>143</v>
      </c>
      <c r="C116" s="21"/>
      <c r="D116" s="21"/>
      <c r="E116" s="21"/>
      <c r="F116" s="21"/>
      <c r="G116" s="21"/>
      <c r="H116" s="21">
        <f>IF(AND(ISNUMBER(H115),ISNUMBER(C115)),IF(C115&lt;=0,"n.m.",IFERROR(H115/C115-1,"n.a.")),"n.a.")</f>
        <v>-0.06896551724137934</v>
      </c>
      <c r="I116" s="21">
        <f>IF(AND(ISNUMBER(I115),ISNUMBER(D115)),IF(D115&lt;=0,"n.m.",IFERROR(I115/D115-1,"n.a.")),"n.a.")</f>
        <v>-0.031746031746031744</v>
      </c>
      <c r="J116" s="29">
        <f>IF(AND(ISNUMBER(J115),ISNUMBER(E115)),IF(E115&lt;=0,"n.m.",IFERROR(J115/E115-1,"n.a.")),"n.a.")</f>
        <v>-0.12195121951219512</v>
      </c>
      <c r="K116" s="1"/>
      <c r="L116" s="1"/>
      <c r="M116" s="1"/>
      <c r="N116" s="1"/>
      <c r="O116" s="1"/>
      <c r="P116" s="1"/>
    </row>
    <row r="117">
      <c r="A117" s="1"/>
      <c r="B117" s="6" t="s">
        <v>144</v>
      </c>
      <c r="C117" s="21"/>
      <c r="D117" s="21">
        <f>IF(AND(ISNUMBER(D115),ISNUMBER(C115)),IF(C115&lt;=0,"n.m.",IFERROR(D115/C115-1,"n.a.")),"n.a.")</f>
        <v>0.0862068965517242</v>
      </c>
      <c r="E117" s="21">
        <f>IF(AND(ISNUMBER(E115),ISNUMBER(D115)),IF(D115&lt;=0,"n.m.",IFERROR(E115/D115-1,"n.a.")),"n.a.")</f>
        <v>0.08465608465608465</v>
      </c>
      <c r="F117" s="21">
        <f>IF(AND(ISNUMBER(F115),ISNUMBER(E115)),IF(E115&lt;=0,"n.m.",IFERROR(F115/E115-1,"n.a.")),"n.a.")</f>
        <v>-0.029268292682926855</v>
      </c>
      <c r="G117" s="21"/>
      <c r="H117" s="21">
        <f>IF(AND(ISNUMBER(H115),ISNUMBER(F115)),IF(F115&lt;=0,"n.m.",IFERROR(H115/F115-1,"n.a.")),"n.a.")</f>
        <v>-0.18592964824120606</v>
      </c>
      <c r="I117" s="21">
        <f>IF(AND(ISNUMBER(I115),ISNUMBER(H115)),IF(H115&lt;=0,"n.m.",IFERROR(I115/H115-1,"n.a.")),"n.a.")</f>
        <v>0.12962962962962954</v>
      </c>
      <c r="J117" s="29">
        <f>IF(AND(ISNUMBER(J115),ISNUMBER(I115)),IF(I115&lt;=0,"n.m.",IFERROR(J115/I115-1,"n.a.")),"n.a.")</f>
        <v>-0.016393442622950838</v>
      </c>
      <c r="K117" s="1"/>
      <c r="L117" s="1"/>
      <c r="M117" s="1"/>
      <c r="N117" s="1"/>
      <c r="O117" s="1"/>
      <c r="P117" s="1"/>
    </row>
    <row r="118" ht="41.25">
      <c r="A118" s="1"/>
      <c r="B118" s="6" t="s">
        <v>145</v>
      </c>
      <c r="C118" s="21"/>
      <c r="D118" s="21"/>
      <c r="E118" s="21"/>
      <c r="F118" s="21"/>
      <c r="G118" s="21"/>
      <c r="H118" s="67" t="s">
        <v>129</v>
      </c>
      <c r="I118" s="67" t="s">
        <v>129</v>
      </c>
      <c r="J118" s="28" t="s">
        <v>129</v>
      </c>
      <c r="K118" s="134" t="s">
        <v>146</v>
      </c>
      <c r="L118" s="1"/>
      <c r="M118" s="1"/>
      <c r="N118" s="1"/>
      <c r="O118" s="1"/>
      <c r="P118" s="1"/>
    </row>
    <row r="119" ht="28.5">
      <c r="A119" s="1"/>
      <c r="B119" s="6" t="s">
        <v>147</v>
      </c>
      <c r="C119" s="21"/>
      <c r="D119" s="21"/>
      <c r="E119" s="21"/>
      <c r="F119" s="21"/>
      <c r="G119" s="21"/>
      <c r="H119" s="67" t="s">
        <v>129</v>
      </c>
      <c r="I119" s="67" t="s">
        <v>129</v>
      </c>
      <c r="J119" s="28" t="s">
        <v>129</v>
      </c>
      <c r="K119" s="134" t="s">
        <v>148</v>
      </c>
      <c r="L119" s="1"/>
      <c r="M119" s="1"/>
      <c r="N119" s="1"/>
      <c r="O119" s="1"/>
      <c r="P119" s="1"/>
    </row>
    <row r="120">
      <c r="A120" s="1"/>
      <c r="B120" s="6" t="s">
        <v>149</v>
      </c>
      <c r="C120" s="21"/>
      <c r="D120" s="21"/>
      <c r="E120" s="21"/>
      <c r="F120" s="21"/>
      <c r="G120" s="21"/>
      <c r="H120" s="21" t="str">
        <f>IF(AND(ISNUMBER(H116),ISNUMBER(H118),ISNUMBER(H119)),(1+H116)/((1+H118)*(1+H119))-1,"n.a.")</f>
        <v>n.a.</v>
      </c>
      <c r="I120" s="21" t="str">
        <f>IF(AND(ISNUMBER(I116),ISNUMBER(I118),ISNUMBER(I119)),(1+I116)/((1+I118)*(1+I119))-1,"n.a.")</f>
        <v>n.a.</v>
      </c>
      <c r="J120" s="29" t="str">
        <f>IF(AND(ISNUMBER(J116),ISNUMBER(J118),ISNUMBER(J119)),(1+J116)/((1+J118)*(1+J119))-1,"n.a.")</f>
        <v>n.a.</v>
      </c>
      <c r="K120" s="1"/>
      <c r="L120" s="1"/>
      <c r="M120" s="1"/>
      <c r="N120" s="1"/>
      <c r="O120" s="1"/>
      <c r="P120" s="1"/>
    </row>
    <row r="121">
      <c r="A121" s="1"/>
      <c r="B121" s="1" t="s">
        <v>351</v>
      </c>
      <c r="C121" s="18">
        <v>294</v>
      </c>
      <c r="D121" s="18">
        <v>295</v>
      </c>
      <c r="E121" s="18">
        <v>293</v>
      </c>
      <c r="F121" s="18">
        <v>294</v>
      </c>
      <c r="G121" s="14">
        <f>F121</f>
        <v>294</v>
      </c>
      <c r="H121" s="18">
        <v>296</v>
      </c>
      <c r="I121" s="18">
        <v>294</v>
      </c>
      <c r="J121" s="27">
        <v>295</v>
      </c>
      <c r="K121" s="1"/>
      <c r="L121" s="1"/>
      <c r="M121" s="1"/>
      <c r="N121" s="1"/>
      <c r="O121" s="1"/>
      <c r="P121" s="1"/>
    </row>
    <row r="122">
      <c r="A122" s="1"/>
      <c r="B122" s="6" t="s">
        <v>143</v>
      </c>
      <c r="C122" s="21"/>
      <c r="D122" s="21"/>
      <c r="E122" s="21"/>
      <c r="F122" s="21"/>
      <c r="G122" s="21"/>
      <c r="H122" s="21">
        <f>IF(AND(ISNUMBER(H121),ISNUMBER(C121)),IF(C121&lt;=0,"n.m.",IFERROR(H121/C121-1,"n.a.")),"n.a.")</f>
        <v>0.006802721088435382</v>
      </c>
      <c r="I122" s="21">
        <f>IF(AND(ISNUMBER(I121),ISNUMBER(D121)),IF(D121&lt;=0,"n.m.",IFERROR(I121/D121-1,"n.a.")),"n.a.")</f>
        <v>-0.003389830508474523</v>
      </c>
      <c r="J122" s="29">
        <f>IF(AND(ISNUMBER(J121),ISNUMBER(E121)),IF(E121&lt;=0,"n.m.",IFERROR(J121/E121-1,"n.a.")),"n.a.")</f>
        <v>0.006825938566553003</v>
      </c>
      <c r="K122" s="1"/>
      <c r="L122" s="1"/>
      <c r="M122" s="1"/>
      <c r="N122" s="1"/>
      <c r="O122" s="1"/>
      <c r="P122" s="1"/>
    </row>
    <row r="123">
      <c r="A123" s="1"/>
      <c r="B123" s="1" t="s">
        <v>162</v>
      </c>
      <c r="C123" s="14"/>
      <c r="D123" s="14">
        <f>IF(AND(ISNUMBER(D121),ISNUMBER(C121)),D121-C121,"n.a.")</f>
        <v>1</v>
      </c>
      <c r="E123" s="14">
        <f>IF(AND(ISNUMBER(E121),ISNUMBER(D121)),E121-D121,"n.a.")</f>
        <v>-2</v>
      </c>
      <c r="F123" s="14">
        <f>IF(AND(ISNUMBER(F121),ISNUMBER(E121)),F121-E121,"n.a.")</f>
        <v>1</v>
      </c>
      <c r="G123" s="14"/>
      <c r="H123" s="14">
        <f>IF(AND(ISNUMBER(H121),ISNUMBER(F121)),H121-F121,"n.a.")</f>
        <v>2</v>
      </c>
      <c r="I123" s="14">
        <f>IF(AND(ISNUMBER(I121),ISNUMBER(H121)),I121-H121,"n.a.")</f>
        <v>-2</v>
      </c>
      <c r="J123" s="10">
        <f>IF(AND(ISNUMBER(J121),ISNUMBER(I121)),J121-I121,"n.a.")</f>
        <v>1</v>
      </c>
      <c r="K123" s="1"/>
      <c r="L123" s="1"/>
      <c r="M123" s="1"/>
      <c r="N123" s="1"/>
      <c r="O123" s="1"/>
      <c r="P123" s="1"/>
    </row>
    <row r="124" ht="28.5">
      <c r="A124" s="1"/>
      <c r="B124" s="1" t="s">
        <v>352</v>
      </c>
      <c r="C124" s="18">
        <v>1041</v>
      </c>
      <c r="D124" s="18">
        <v>1010</v>
      </c>
      <c r="E124" s="18">
        <v>1006</v>
      </c>
      <c r="F124" s="18">
        <v>1021</v>
      </c>
      <c r="G124" s="14">
        <f>F124</f>
        <v>1021</v>
      </c>
      <c r="H124" s="18">
        <v>1029</v>
      </c>
      <c r="I124" s="18">
        <v>1039</v>
      </c>
      <c r="J124" s="27">
        <v>1060</v>
      </c>
      <c r="K124" s="134" t="s">
        <v>353</v>
      </c>
      <c r="L124" s="1"/>
      <c r="M124" s="1"/>
      <c r="N124" s="1"/>
      <c r="O124" s="1"/>
      <c r="P124" s="1"/>
    </row>
    <row r="125">
      <c r="A125" s="1"/>
      <c r="B125" s="6" t="s">
        <v>143</v>
      </c>
      <c r="C125" s="21"/>
      <c r="D125" s="21"/>
      <c r="E125" s="21"/>
      <c r="F125" s="21"/>
      <c r="G125" s="21"/>
      <c r="H125" s="21">
        <f>IF(AND(ISNUMBER(H124),ISNUMBER(C124)),IF(C124&lt;=0,"n.m.",IFERROR(H124/C124-1,"n.a.")),"n.a.")</f>
        <v>-0.011527377521613813</v>
      </c>
      <c r="I125" s="21">
        <f>IF(AND(ISNUMBER(I124),ISNUMBER(D124)),IF(D124&lt;=0,"n.m.",IFERROR(I124/D124-1,"n.a.")),"n.a.")</f>
        <v>0.02871287128712874</v>
      </c>
      <c r="J125" s="29">
        <f>IF(AND(ISNUMBER(J124),ISNUMBER(E124)),IF(E124&lt;=0,"n.m.",IFERROR(J124/E124-1,"n.a.")),"n.a.")</f>
        <v>0.05367793240556651</v>
      </c>
      <c r="K125" s="1"/>
      <c r="L125" s="1"/>
      <c r="M125" s="1"/>
      <c r="N125" s="1"/>
      <c r="O125" s="1"/>
      <c r="P125" s="1"/>
    </row>
    <row r="126">
      <c r="A126" s="1"/>
      <c r="B126" s="1" t="s">
        <v>162</v>
      </c>
      <c r="C126" s="14"/>
      <c r="D126" s="14">
        <f>IF(AND(ISNUMBER(D124),ISNUMBER(C124)),D124-C124,"n.a.")</f>
        <v>-31</v>
      </c>
      <c r="E126" s="14">
        <f>IF(AND(ISNUMBER(E124),ISNUMBER(D124)),E124-D124,"n.a.")</f>
        <v>-4</v>
      </c>
      <c r="F126" s="14">
        <f>IF(AND(ISNUMBER(F124),ISNUMBER(E124)),F124-E124,"n.a.")</f>
        <v>15</v>
      </c>
      <c r="G126" s="14"/>
      <c r="H126" s="14">
        <f>IF(AND(ISNUMBER(H124),ISNUMBER(F124)),H124-F124,"n.a.")</f>
        <v>8</v>
      </c>
      <c r="I126" s="14">
        <f>IF(AND(ISNUMBER(I124),ISNUMBER(H124)),I124-H124,"n.a.")</f>
        <v>10</v>
      </c>
      <c r="J126" s="10">
        <f>IF(AND(ISNUMBER(J124),ISNUMBER(I124)),J124-I124,"n.a.")</f>
        <v>21</v>
      </c>
      <c r="K126" s="1"/>
      <c r="L126" s="1"/>
      <c r="M126" s="1"/>
      <c r="N126" s="1"/>
      <c r="O126" s="1"/>
      <c r="P126" s="1"/>
    </row>
    <row r="127">
      <c r="A127" s="1"/>
      <c r="B127" s="32" t="s">
        <v>308</v>
      </c>
      <c r="C127" s="11"/>
      <c r="D127" s="11"/>
      <c r="E127" s="11"/>
      <c r="F127" s="11"/>
      <c r="G127" s="11"/>
      <c r="H127" s="11"/>
      <c r="I127" s="11"/>
      <c r="J127" s="30"/>
      <c r="K127" s="1"/>
      <c r="L127" s="1"/>
      <c r="M127" s="1"/>
      <c r="N127" s="1"/>
      <c r="O127" s="1"/>
      <c r="P127" s="1"/>
    </row>
    <row r="128">
      <c r="A128" s="1"/>
      <c r="B128" s="1" t="s">
        <v>309</v>
      </c>
      <c r="C128" s="12">
        <f>Inputs!C164-D128</f>
        <v>49</v>
      </c>
      <c r="D128" s="18">
        <v>184</v>
      </c>
      <c r="E128" s="18">
        <v>44</v>
      </c>
      <c r="F128" s="18">
        <v>14</v>
      </c>
      <c r="G128" s="14">
        <f>SUM(C128:F128)</f>
        <v>291</v>
      </c>
      <c r="H128" s="18">
        <v>77</v>
      </c>
      <c r="I128" s="18">
        <v>76</v>
      </c>
      <c r="J128" s="27">
        <v>90</v>
      </c>
      <c r="K128" s="1"/>
      <c r="L128" s="1"/>
      <c r="M128" s="1"/>
      <c r="N128" s="1"/>
      <c r="O128" s="1"/>
      <c r="P128" s="1"/>
    </row>
    <row r="129">
      <c r="A129" s="1"/>
      <c r="B129" s="6" t="s">
        <v>143</v>
      </c>
      <c r="C129" s="21"/>
      <c r="D129" s="21"/>
      <c r="E129" s="21"/>
      <c r="F129" s="21"/>
      <c r="G129" s="21"/>
      <c r="H129" s="21">
        <f>IF(AND(ISNUMBER(H128),ISNUMBER(C128)),IF(C128&lt;=0,"n.m.",IFERROR(H128/C128-1,"n.a.")),"n.a.")</f>
        <v>0.5714285714285714</v>
      </c>
      <c r="I129" s="21">
        <f>IF(AND(ISNUMBER(I128),ISNUMBER(D128)),IF(D128&lt;=0,"n.m.",IFERROR(I128/D128-1,"n.a.")),"n.a.")</f>
        <v>-0.5869565217391304</v>
      </c>
      <c r="J129" s="29">
        <f>IF(AND(ISNUMBER(J128),ISNUMBER(E128)),IF(E128&lt;=0,"n.m.",IFERROR(J128/E128-1,"n.a.")),"n.a.")</f>
        <v>1.0454545454545454</v>
      </c>
      <c r="K129" s="1"/>
      <c r="L129" s="1"/>
      <c r="M129" s="1"/>
      <c r="N129" s="1"/>
      <c r="O129" s="1"/>
      <c r="P129" s="1"/>
    </row>
    <row r="130">
      <c r="A130" s="1"/>
      <c r="B130" s="1" t="s">
        <v>162</v>
      </c>
      <c r="C130" s="14"/>
      <c r="D130" s="14">
        <f>IF(AND(ISNUMBER(D128),ISNUMBER(C128)),D128-C128,"n.a.")</f>
        <v>135</v>
      </c>
      <c r="E130" s="14">
        <f>IF(AND(ISNUMBER(E128),ISNUMBER(D128)),E128-D128,"n.a.")</f>
        <v>-140</v>
      </c>
      <c r="F130" s="14">
        <f>IF(AND(ISNUMBER(F128),ISNUMBER(E128)),F128-E128,"n.a.")</f>
        <v>-30</v>
      </c>
      <c r="G130" s="14"/>
      <c r="H130" s="14">
        <f>IF(AND(ISNUMBER(H128),ISNUMBER(F128)),H128-F128,"n.a.")</f>
        <v>63</v>
      </c>
      <c r="I130" s="14">
        <f>IF(AND(ISNUMBER(I128),ISNUMBER(H128)),I128-H128,"n.a.")</f>
        <v>-1</v>
      </c>
      <c r="J130" s="10">
        <f>IF(AND(ISNUMBER(J128),ISNUMBER(I128)),J128-I128,"n.a.")</f>
        <v>14</v>
      </c>
      <c r="K130" s="1"/>
      <c r="L130" s="1"/>
      <c r="M130" s="1"/>
      <c r="N130" s="1"/>
      <c r="O130" s="1"/>
      <c r="P130" s="1"/>
    </row>
    <row r="131">
      <c r="A131" s="1"/>
      <c r="B131" s="1" t="s">
        <v>310</v>
      </c>
      <c r="C131" s="12">
        <f>Inputs!C165-D131</f>
        <v>376</v>
      </c>
      <c r="D131" s="18">
        <v>370</v>
      </c>
      <c r="E131" s="18">
        <v>403</v>
      </c>
      <c r="F131" s="18">
        <v>472</v>
      </c>
      <c r="G131" s="14">
        <f>SUM(C131:F131)</f>
        <v>1621</v>
      </c>
      <c r="H131" s="18">
        <v>460</v>
      </c>
      <c r="I131" s="18">
        <v>502</v>
      </c>
      <c r="J131" s="27">
        <v>480</v>
      </c>
      <c r="K131" s="1"/>
      <c r="L131" s="1"/>
      <c r="M131" s="1"/>
      <c r="N131" s="1"/>
      <c r="O131" s="1"/>
      <c r="P131" s="1"/>
    </row>
    <row r="132">
      <c r="A132" s="1"/>
      <c r="B132" s="6" t="s">
        <v>143</v>
      </c>
      <c r="C132" s="21"/>
      <c r="D132" s="21"/>
      <c r="E132" s="21"/>
      <c r="F132" s="21"/>
      <c r="G132" s="21"/>
      <c r="H132" s="21">
        <f>IF(AND(ISNUMBER(H131),ISNUMBER(C131)),IF(C131&lt;=0,"n.m.",IFERROR(H131/C131-1,"n.a.")),"n.a.")</f>
        <v>0.22340425531914887</v>
      </c>
      <c r="I132" s="21">
        <f>IF(AND(ISNUMBER(I131),ISNUMBER(D131)),IF(D131&lt;=0,"n.m.",IFERROR(I131/D131-1,"n.a.")),"n.a.")</f>
        <v>0.35675675675675667</v>
      </c>
      <c r="J132" s="29">
        <f>IF(AND(ISNUMBER(J131),ISNUMBER(E131)),IF(E131&lt;=0,"n.m.",IFERROR(J131/E131-1,"n.a.")),"n.a.")</f>
        <v>0.19106699751861034</v>
      </c>
      <c r="K132" s="1"/>
      <c r="L132" s="1"/>
      <c r="M132" s="1"/>
      <c r="N132" s="1"/>
      <c r="O132" s="1"/>
      <c r="P132" s="1"/>
    </row>
    <row r="133">
      <c r="A133" s="1"/>
      <c r="B133" s="1" t="s">
        <v>162</v>
      </c>
      <c r="C133" s="14"/>
      <c r="D133" s="14">
        <f>IF(AND(ISNUMBER(D131),ISNUMBER(C131)),D131-C131,"n.a.")</f>
        <v>-6</v>
      </c>
      <c r="E133" s="14">
        <f>IF(AND(ISNUMBER(E131),ISNUMBER(D131)),E131-D131,"n.a.")</f>
        <v>33</v>
      </c>
      <c r="F133" s="14">
        <f>IF(AND(ISNUMBER(F131),ISNUMBER(E131)),F131-E131,"n.a.")</f>
        <v>69</v>
      </c>
      <c r="G133" s="14"/>
      <c r="H133" s="14">
        <f>IF(AND(ISNUMBER(H131),ISNUMBER(F131)),H131-F131,"n.a.")</f>
        <v>-12</v>
      </c>
      <c r="I133" s="14">
        <f>IF(AND(ISNUMBER(I131),ISNUMBER(H131)),I131-H131,"n.a.")</f>
        <v>42</v>
      </c>
      <c r="J133" s="10">
        <f>IF(AND(ISNUMBER(J131),ISNUMBER(I131)),J131-I131,"n.a.")</f>
        <v>-22</v>
      </c>
      <c r="K133" s="1"/>
      <c r="L133" s="1"/>
      <c r="M133" s="1"/>
      <c r="N133" s="1"/>
      <c r="O133" s="1"/>
      <c r="P133" s="1"/>
    </row>
    <row r="134">
      <c r="A134" s="1"/>
      <c r="B134" s="1" t="s">
        <v>311</v>
      </c>
      <c r="C134" s="12">
        <f>Inputs!C166-D134</f>
        <v>383</v>
      </c>
      <c r="D134" s="18">
        <v>381</v>
      </c>
      <c r="E134" s="18">
        <v>387</v>
      </c>
      <c r="F134" s="18">
        <v>422</v>
      </c>
      <c r="G134" s="14">
        <f>SUM(C134:F134)</f>
        <v>1573</v>
      </c>
      <c r="H134" s="18">
        <v>424</v>
      </c>
      <c r="I134" s="18">
        <v>418</v>
      </c>
      <c r="J134" s="27">
        <v>420</v>
      </c>
      <c r="K134" s="1"/>
      <c r="L134" s="1"/>
      <c r="M134" s="1"/>
      <c r="N134" s="1"/>
      <c r="O134" s="1"/>
      <c r="P134" s="1"/>
    </row>
    <row r="135">
      <c r="A135" s="1"/>
      <c r="B135" s="6" t="s">
        <v>143</v>
      </c>
      <c r="C135" s="21"/>
      <c r="D135" s="21"/>
      <c r="E135" s="21"/>
      <c r="F135" s="21"/>
      <c r="G135" s="21"/>
      <c r="H135" s="21">
        <f>IF(AND(ISNUMBER(H134),ISNUMBER(C134)),IF(C134&lt;=0,"n.m.",IFERROR(H134/C134-1,"n.a.")),"n.a.")</f>
        <v>0.10704960835509136</v>
      </c>
      <c r="I135" s="21">
        <f>IF(AND(ISNUMBER(I134),ISNUMBER(D134)),IF(D134&lt;=0,"n.m.",IFERROR(I134/D134-1,"n.a.")),"n.a.")</f>
        <v>0.09711286089238835</v>
      </c>
      <c r="J135" s="29">
        <f>IF(AND(ISNUMBER(J134),ISNUMBER(E134)),IF(E134&lt;=0,"n.m.",IFERROR(J134/E134-1,"n.a.")),"n.a.")</f>
        <v>0.0852713178294573</v>
      </c>
      <c r="K135" s="1"/>
      <c r="L135" s="1"/>
      <c r="M135" s="1"/>
      <c r="N135" s="1"/>
      <c r="O135" s="1"/>
      <c r="P135" s="1"/>
    </row>
    <row r="136">
      <c r="A136" s="1"/>
      <c r="B136" s="1" t="s">
        <v>162</v>
      </c>
      <c r="C136" s="14"/>
      <c r="D136" s="14">
        <f>IF(AND(ISNUMBER(D134),ISNUMBER(C134)),D134-C134,"n.a.")</f>
        <v>-2</v>
      </c>
      <c r="E136" s="14">
        <f>IF(AND(ISNUMBER(E134),ISNUMBER(D134)),E134-D134,"n.a.")</f>
        <v>6</v>
      </c>
      <c r="F136" s="14">
        <f>IF(AND(ISNUMBER(F134),ISNUMBER(E134)),F134-E134,"n.a.")</f>
        <v>35</v>
      </c>
      <c r="G136" s="14"/>
      <c r="H136" s="14">
        <f>IF(AND(ISNUMBER(H134),ISNUMBER(F134)),H134-F134,"n.a.")</f>
        <v>2</v>
      </c>
      <c r="I136" s="14">
        <f>IF(AND(ISNUMBER(I134),ISNUMBER(H134)),I134-H134,"n.a.")</f>
        <v>-6</v>
      </c>
      <c r="J136" s="10">
        <f>IF(AND(ISNUMBER(J134),ISNUMBER(I134)),J134-I134,"n.a.")</f>
        <v>2</v>
      </c>
      <c r="K136" s="1"/>
      <c r="L136" s="1"/>
      <c r="M136" s="1"/>
      <c r="N136" s="1"/>
      <c r="O136" s="1"/>
      <c r="P136" s="1"/>
    </row>
    <row r="137">
      <c r="A137" s="1"/>
      <c r="B137" s="1" t="s">
        <v>312</v>
      </c>
      <c r="C137" s="12">
        <f>Inputs!C167-D137</f>
        <v>51</v>
      </c>
      <c r="D137" s="18">
        <v>49</v>
      </c>
      <c r="E137" s="18">
        <v>46</v>
      </c>
      <c r="F137" s="18">
        <v>55</v>
      </c>
      <c r="G137" s="14">
        <f>SUM(C137:F137)</f>
        <v>201</v>
      </c>
      <c r="H137" s="18">
        <v>46</v>
      </c>
      <c r="I137" s="18">
        <v>50</v>
      </c>
      <c r="J137" s="27">
        <v>50</v>
      </c>
      <c r="K137" s="1"/>
      <c r="L137" s="1"/>
      <c r="M137" s="1"/>
      <c r="N137" s="1"/>
      <c r="O137" s="1"/>
      <c r="P137" s="1"/>
    </row>
    <row r="138">
      <c r="A138" s="1"/>
      <c r="B138" s="6" t="s">
        <v>143</v>
      </c>
      <c r="C138" s="21"/>
      <c r="D138" s="21"/>
      <c r="E138" s="21"/>
      <c r="F138" s="21"/>
      <c r="G138" s="21"/>
      <c r="H138" s="21">
        <f>IF(AND(ISNUMBER(H137),ISNUMBER(C137)),IF(C137&lt;=0,"n.m.",IFERROR(H137/C137-1,"n.a.")),"n.a.")</f>
        <v>-0.0980392156862745</v>
      </c>
      <c r="I138" s="21">
        <f>IF(AND(ISNUMBER(I137),ISNUMBER(D137)),IF(D137&lt;=0,"n.m.",IFERROR(I137/D137-1,"n.a.")),"n.a.")</f>
        <v>0.020408163265306145</v>
      </c>
      <c r="J138" s="29">
        <f>IF(AND(ISNUMBER(J137),ISNUMBER(E137)),IF(E137&lt;=0,"n.m.",IFERROR(J137/E137-1,"n.a.")),"n.a.")</f>
        <v>0.08695652173913038</v>
      </c>
      <c r="K138" s="1"/>
      <c r="L138" s="1"/>
      <c r="M138" s="1"/>
      <c r="N138" s="1"/>
      <c r="O138" s="1"/>
      <c r="P138" s="1"/>
    </row>
    <row r="139">
      <c r="A139" s="1"/>
      <c r="B139" s="1" t="s">
        <v>162</v>
      </c>
      <c r="C139" s="14"/>
      <c r="D139" s="14">
        <f>IF(AND(ISNUMBER(D137),ISNUMBER(C137)),D137-C137,"n.a.")</f>
        <v>-2</v>
      </c>
      <c r="E139" s="14">
        <f>IF(AND(ISNUMBER(E137),ISNUMBER(D137)),E137-D137,"n.a.")</f>
        <v>-3</v>
      </c>
      <c r="F139" s="14">
        <f>IF(AND(ISNUMBER(F137),ISNUMBER(E137)),F137-E137,"n.a.")</f>
        <v>9</v>
      </c>
      <c r="G139" s="14"/>
      <c r="H139" s="14">
        <f>IF(AND(ISNUMBER(H137),ISNUMBER(F137)),H137-F137,"n.a.")</f>
        <v>-9</v>
      </c>
      <c r="I139" s="14">
        <f>IF(AND(ISNUMBER(I137),ISNUMBER(H137)),I137-H137,"n.a.")</f>
        <v>4</v>
      </c>
      <c r="J139" s="10">
        <f>IF(AND(ISNUMBER(J137),ISNUMBER(I137)),J137-I137,"n.a.")</f>
        <v>0</v>
      </c>
      <c r="K139" s="1"/>
      <c r="L139" s="1"/>
      <c r="M139" s="1"/>
      <c r="N139" s="1"/>
      <c r="O139" s="1"/>
      <c r="P139" s="1"/>
    </row>
    <row r="140">
      <c r="A140" s="1"/>
      <c r="B140" s="1" t="s">
        <v>313</v>
      </c>
      <c r="C140" s="12">
        <f>Inputs!C168-D140</f>
        <v>146</v>
      </c>
      <c r="D140" s="18">
        <v>150</v>
      </c>
      <c r="E140" s="18">
        <v>140</v>
      </c>
      <c r="F140" s="18">
        <v>158</v>
      </c>
      <c r="G140" s="14">
        <f>SUM(C140:F140)</f>
        <v>594</v>
      </c>
      <c r="H140" s="18">
        <v>146</v>
      </c>
      <c r="I140" s="18">
        <v>161</v>
      </c>
      <c r="J140" s="27">
        <v>155</v>
      </c>
      <c r="K140" s="1"/>
      <c r="L140" s="1"/>
      <c r="M140" s="1"/>
      <c r="N140" s="1"/>
      <c r="O140" s="1"/>
      <c r="P140" s="1"/>
    </row>
    <row r="141">
      <c r="A141" s="1"/>
      <c r="B141" s="6" t="s">
        <v>143</v>
      </c>
      <c r="C141" s="21"/>
      <c r="D141" s="21"/>
      <c r="E141" s="21"/>
      <c r="F141" s="21"/>
      <c r="G141" s="21"/>
      <c r="H141" s="21">
        <f>IF(AND(ISNUMBER(H140),ISNUMBER(C140)),IF(C140&lt;=0,"n.m.",IFERROR(H140/C140-1,"n.a.")),"n.a.")</f>
        <v>0</v>
      </c>
      <c r="I141" s="21">
        <f>IF(AND(ISNUMBER(I140),ISNUMBER(D140)),IF(D140&lt;=0,"n.m.",IFERROR(I140/D140-1,"n.a.")),"n.a.")</f>
        <v>0.07333333333333325</v>
      </c>
      <c r="J141" s="29">
        <f>IF(AND(ISNUMBER(J140),ISNUMBER(E140)),IF(E140&lt;=0,"n.m.",IFERROR(J140/E140-1,"n.a.")),"n.a.")</f>
        <v>0.1071428571428572</v>
      </c>
      <c r="K141" s="1"/>
      <c r="L141" s="1"/>
      <c r="M141" s="1"/>
      <c r="N141" s="1"/>
      <c r="O141" s="1"/>
      <c r="P141" s="1"/>
    </row>
    <row r="142">
      <c r="A142" s="1"/>
      <c r="B142" s="1" t="s">
        <v>162</v>
      </c>
      <c r="C142" s="14"/>
      <c r="D142" s="14">
        <f>IF(AND(ISNUMBER(D140),ISNUMBER(C140)),D140-C140,"n.a.")</f>
        <v>4</v>
      </c>
      <c r="E142" s="14">
        <f>IF(AND(ISNUMBER(E140),ISNUMBER(D140)),E140-D140,"n.a.")</f>
        <v>-10</v>
      </c>
      <c r="F142" s="14">
        <f>IF(AND(ISNUMBER(F140),ISNUMBER(E140)),F140-E140,"n.a.")</f>
        <v>18</v>
      </c>
      <c r="G142" s="14"/>
      <c r="H142" s="14">
        <f>IF(AND(ISNUMBER(H140),ISNUMBER(F140)),H140-F140,"n.a.")</f>
        <v>-12</v>
      </c>
      <c r="I142" s="14">
        <f>IF(AND(ISNUMBER(I140),ISNUMBER(H140)),I140-H140,"n.a.")</f>
        <v>15</v>
      </c>
      <c r="J142" s="10">
        <f>IF(AND(ISNUMBER(J140),ISNUMBER(I140)),J140-I140,"n.a.")</f>
        <v>-6</v>
      </c>
      <c r="K142" s="1"/>
      <c r="L142" s="1"/>
      <c r="M142" s="1"/>
      <c r="N142" s="1"/>
      <c r="O142" s="1"/>
      <c r="P142" s="1"/>
    </row>
    <row r="143">
      <c r="A143" s="1"/>
      <c r="B143" s="7" t="s">
        <v>314</v>
      </c>
      <c r="C143" s="22">
        <f>C131+C134+C137+C140</f>
        <v>956</v>
      </c>
      <c r="D143" s="22">
        <f>D131+D134+D137+D140</f>
        <v>950</v>
      </c>
      <c r="E143" s="22">
        <f>E131+E134+E137+E140</f>
        <v>976</v>
      </c>
      <c r="F143" s="22">
        <f>F131+F134+F137+F140</f>
        <v>1107</v>
      </c>
      <c r="G143" s="22">
        <f>G131+G134+G137+G140</f>
        <v>3989</v>
      </c>
      <c r="H143" s="22">
        <f>H131+H134+H137+H140</f>
        <v>1076</v>
      </c>
      <c r="I143" s="22">
        <f>I131+I134+I137+I140</f>
        <v>1131</v>
      </c>
      <c r="J143" s="23">
        <f>J131+J134+J137+J140</f>
        <v>1105</v>
      </c>
      <c r="K143" s="1"/>
      <c r="L143" s="1"/>
      <c r="M143" s="1"/>
      <c r="N143" s="1"/>
      <c r="O143" s="1"/>
      <c r="P143" s="1"/>
    </row>
    <row r="144">
      <c r="A144" s="1"/>
      <c r="B144" s="6" t="s">
        <v>143</v>
      </c>
      <c r="C144" s="21"/>
      <c r="D144" s="21"/>
      <c r="E144" s="21"/>
      <c r="F144" s="21"/>
      <c r="G144" s="21"/>
      <c r="H144" s="21">
        <f>IF(AND(ISNUMBER(H143),ISNUMBER(C143)),IF(C143&lt;=0,"n.m.",IFERROR(H143/C143-1,"n.a.")),"n.a.")</f>
        <v>0.12552301255230125</v>
      </c>
      <c r="I144" s="21">
        <f>IF(AND(ISNUMBER(I143),ISNUMBER(D143)),IF(D143&lt;=0,"n.m.",IFERROR(I143/D143-1,"n.a.")),"n.a.")</f>
        <v>0.19052631578947365</v>
      </c>
      <c r="J144" s="29">
        <f>IF(AND(ISNUMBER(J143),ISNUMBER(E143)),IF(E143&lt;=0,"n.m.",IFERROR(J143/E143-1,"n.a.")),"n.a.")</f>
        <v>0.132172131147541</v>
      </c>
      <c r="K144" s="1"/>
      <c r="L144" s="1"/>
      <c r="M144" s="1"/>
      <c r="N144" s="1"/>
      <c r="O144" s="1"/>
      <c r="P144" s="1"/>
    </row>
    <row r="145">
      <c r="A145" s="1"/>
      <c r="B145" s="6" t="s">
        <v>144</v>
      </c>
      <c r="C145" s="21"/>
      <c r="D145" s="21">
        <f>IF(AND(ISNUMBER(D143),ISNUMBER(C143)),IF(C143&lt;=0,"n.m.",IFERROR(D143/C143-1,"n.a.")),"n.a.")</f>
        <v>-0.006276150627615107</v>
      </c>
      <c r="E145" s="21">
        <f>IF(AND(ISNUMBER(E143),ISNUMBER(D143)),IF(D143&lt;=0,"n.m.",IFERROR(E143/D143-1,"n.a.")),"n.a.")</f>
        <v>0.027368421052631486</v>
      </c>
      <c r="F145" s="21">
        <f>IF(AND(ISNUMBER(F143),ISNUMBER(E143)),IF(E143&lt;=0,"n.m.",IFERROR(F143/E143-1,"n.a.")),"n.a.")</f>
        <v>0.13422131147540983</v>
      </c>
      <c r="G145" s="21"/>
      <c r="H145" s="21">
        <f>IF(AND(ISNUMBER(H143),ISNUMBER(F143)),IF(F143&lt;=0,"n.m.",IFERROR(H143/F143-1,"n.a.")),"n.a.")</f>
        <v>-0.028003613369466995</v>
      </c>
      <c r="I145" s="21">
        <f>IF(AND(ISNUMBER(I143),ISNUMBER(H143)),IF(H143&lt;=0,"n.m.",IFERROR(I143/H143-1,"n.a.")),"n.a.")</f>
        <v>0.0511152416356877</v>
      </c>
      <c r="J145" s="29">
        <f>IF(AND(ISNUMBER(J143),ISNUMBER(I143)),IF(I143&lt;=0,"n.m.",IFERROR(J143/I143-1,"n.a.")),"n.a.")</f>
        <v>-0.02298850574712641</v>
      </c>
      <c r="K145" s="1"/>
      <c r="L145" s="1"/>
      <c r="M145" s="1"/>
      <c r="N145" s="1"/>
      <c r="O145" s="1"/>
      <c r="P145" s="1"/>
    </row>
    <row r="146">
      <c r="A146" s="1"/>
      <c r="B146" s="6" t="s">
        <v>315</v>
      </c>
      <c r="C146" s="21">
        <f>C143/C83</f>
        <v>0.3481427530954115</v>
      </c>
      <c r="D146" s="21">
        <f>D143/D83</f>
        <v>0.33497884344146683</v>
      </c>
      <c r="E146" s="21">
        <f>E143/E83</f>
        <v>0.32317880794701986</v>
      </c>
      <c r="F146" s="21">
        <f>F143/F83</f>
        <v>0.3486614173228346</v>
      </c>
      <c r="G146" s="21">
        <f>G143/G83</f>
        <v>0.33871104695593107</v>
      </c>
      <c r="H146" s="21">
        <f>H143/H83</f>
        <v>0.3486714193130266</v>
      </c>
      <c r="I146" s="21">
        <f>I143/I83</f>
        <v>0.34450197989643616</v>
      </c>
      <c r="J146" s="29">
        <f>J143/J83</f>
        <v>0.33955564638096036</v>
      </c>
      <c r="K146" s="1"/>
      <c r="L146" s="1"/>
      <c r="M146" s="1"/>
      <c r="N146" s="1"/>
      <c r="O146" s="1"/>
      <c r="P146" s="1"/>
    </row>
    <row r="147">
      <c r="A147" s="1"/>
      <c r="B147" s="6" t="s">
        <v>186</v>
      </c>
      <c r="C147" s="20"/>
      <c r="D147" s="20">
        <f>IF(AND(ISNUMBER(D146),ISNUMBER(C146)),(D146-C146)*10000,"n.a.")</f>
        <v>-131.63909653944648</v>
      </c>
      <c r="E147" s="20">
        <f>IF(AND(ISNUMBER(E146),ISNUMBER(D146)),(E146-D146)*10000,"n.a.")</f>
        <v>-118.0003549444697</v>
      </c>
      <c r="F147" s="20">
        <f>IF(AND(ISNUMBER(F146),ISNUMBER(E146)),(F146-E146)*10000,"n.a.")</f>
        <v>254.82609375814758</v>
      </c>
      <c r="G147" s="20"/>
      <c r="H147" s="20">
        <f>IF(AND(ISNUMBER(H146),ISNUMBER(F146)),(H146-F146)*10000,"n.a.")</f>
        <v>0.10001990191965682</v>
      </c>
      <c r="I147" s="20">
        <f>IF(AND(ISNUMBER(I146),ISNUMBER(H146)),(I146-H146)*10000,"n.a.")</f>
        <v>-41.69439416590426</v>
      </c>
      <c r="J147" s="48">
        <f>IF(AND(ISNUMBER(J146),ISNUMBER(I146)),(J146-I146)*10000,"n.a.")</f>
        <v>-49.463335154757985</v>
      </c>
      <c r="K147" s="1"/>
      <c r="L147" s="1"/>
      <c r="M147" s="1"/>
      <c r="N147" s="1"/>
      <c r="O147" s="1"/>
      <c r="P147" s="1"/>
    </row>
    <row r="148">
      <c r="A148" s="1"/>
      <c r="B148" s="6" t="s">
        <v>187</v>
      </c>
      <c r="C148" s="20"/>
      <c r="D148" s="20"/>
      <c r="E148" s="20"/>
      <c r="F148" s="20"/>
      <c r="G148" s="20"/>
      <c r="H148" s="20">
        <f>IF(AND(ISNUMBER(H146),ISNUMBER(C146)),(H146-C146)*10000,"n.a.")</f>
        <v>5.286662176151036</v>
      </c>
      <c r="I148" s="20">
        <f>IF(AND(ISNUMBER(I146),ISNUMBER(D146)),(I146-D146)*10000,"n.a.")</f>
        <v>95.23136454969328</v>
      </c>
      <c r="J148" s="48">
        <f>IF(AND(ISNUMBER(J146),ISNUMBER(E146)),(J146-E146)*10000,"n.a.")</f>
        <v>163.768384339405</v>
      </c>
      <c r="K148" s="1"/>
      <c r="L148" s="1"/>
      <c r="M148" s="1"/>
      <c r="N148" s="1"/>
      <c r="O148" s="1"/>
      <c r="P148" s="1"/>
    </row>
    <row r="149">
      <c r="A149" s="1"/>
      <c r="B149" s="7" t="s">
        <v>316</v>
      </c>
      <c r="C149" s="22">
        <f>C83-C128-C143</f>
        <v>1741</v>
      </c>
      <c r="D149" s="22">
        <f>D83-D128-D143</f>
        <v>1702</v>
      </c>
      <c r="E149" s="22">
        <f>E83-E128-E143</f>
        <v>2000</v>
      </c>
      <c r="F149" s="22">
        <f>F83-F128-F143</f>
        <v>2054</v>
      </c>
      <c r="G149" s="22">
        <f>G83-G128-G143</f>
        <v>7497</v>
      </c>
      <c r="H149" s="22">
        <f>H83-H128-H143</f>
        <v>1933</v>
      </c>
      <c r="I149" s="22">
        <f>I83-I128-I143</f>
        <v>2076</v>
      </c>
      <c r="J149" s="23">
        <f>J83-J128-J143</f>
        <v>2059.253056243567</v>
      </c>
      <c r="K149" s="1"/>
      <c r="L149" s="1"/>
      <c r="M149" s="1"/>
      <c r="N149" s="1"/>
      <c r="O149" s="1"/>
      <c r="P149" s="1"/>
    </row>
    <row r="150">
      <c r="A150" s="1"/>
      <c r="B150" s="6" t="s">
        <v>143</v>
      </c>
      <c r="C150" s="21"/>
      <c r="D150" s="21"/>
      <c r="E150" s="21"/>
      <c r="F150" s="21"/>
      <c r="G150" s="21"/>
      <c r="H150" s="21">
        <f>IF(AND(ISNUMBER(H149),ISNUMBER(C149)),IF(C149&lt;=0,"n.m.",IFERROR(H149/C149-1,"n.a.")),"n.a.")</f>
        <v>0.1102814474439977</v>
      </c>
      <c r="I150" s="21">
        <f>IF(AND(ISNUMBER(I149),ISNUMBER(D149)),IF(D149&lt;=0,"n.m.",IFERROR(I149/D149-1,"n.a.")),"n.a.")</f>
        <v>0.21974148061104581</v>
      </c>
      <c r="J150" s="29">
        <f>IF(AND(ISNUMBER(J149),ISNUMBER(E149)),IF(E149&lt;=0,"n.m.",IFERROR(J149/E149-1,"n.a.")),"n.a.")</f>
        <v>0.029626528121783346</v>
      </c>
      <c r="K150" s="1"/>
      <c r="L150" s="1"/>
      <c r="M150" s="1"/>
      <c r="N150" s="1"/>
      <c r="O150" s="1"/>
      <c r="P150" s="1"/>
    </row>
    <row r="151">
      <c r="A151" s="1"/>
      <c r="B151" s="1" t="s">
        <v>317</v>
      </c>
      <c r="C151" s="12">
        <f>Inputs!C169-D151</f>
        <v>404</v>
      </c>
      <c r="D151" s="18">
        <v>379</v>
      </c>
      <c r="E151" s="18">
        <v>450</v>
      </c>
      <c r="F151" s="18">
        <v>451</v>
      </c>
      <c r="G151" s="14">
        <f>SUM(C151:F151)</f>
        <v>1684</v>
      </c>
      <c r="H151" s="18">
        <v>448</v>
      </c>
      <c r="I151" s="18">
        <v>483</v>
      </c>
      <c r="J151" s="10">
        <f>J149*J152</f>
        <v>479.8059621047511</v>
      </c>
      <c r="K151" s="1"/>
      <c r="L151" s="1"/>
      <c r="M151" s="1"/>
      <c r="N151" s="1"/>
      <c r="O151" s="1"/>
      <c r="P151" s="1"/>
    </row>
    <row r="152">
      <c r="A152" s="1"/>
      <c r="B152" s="6" t="s">
        <v>318</v>
      </c>
      <c r="C152" s="21">
        <f>C151/C149</f>
        <v>0.23205054566341182</v>
      </c>
      <c r="D152" s="21">
        <f>D151/D149</f>
        <v>0.22267920094007052</v>
      </c>
      <c r="E152" s="21">
        <f>E151/E149</f>
        <v>0.225</v>
      </c>
      <c r="F152" s="21">
        <f>F151/F149</f>
        <v>0.2195715676728335</v>
      </c>
      <c r="G152" s="21">
        <f>G151/G149</f>
        <v>0.22462318260637587</v>
      </c>
      <c r="H152" s="21">
        <f>H151/H149</f>
        <v>0.23176409725814795</v>
      </c>
      <c r="I152" s="21">
        <f>I151/I149</f>
        <v>0.23265895953757226</v>
      </c>
      <c r="J152" s="28">
        <v>0.233</v>
      </c>
      <c r="K152" s="1"/>
      <c r="L152" s="1"/>
      <c r="M152" s="1"/>
      <c r="N152" s="1"/>
      <c r="O152" s="1"/>
      <c r="P152" s="1"/>
    </row>
    <row r="153">
      <c r="A153" s="1"/>
      <c r="B153" s="6" t="s">
        <v>186</v>
      </c>
      <c r="C153" s="20"/>
      <c r="D153" s="20">
        <f>IF(AND(ISNUMBER(D152),ISNUMBER(C152)),(D152-C152)*10000,"n.a.")</f>
        <v>-93.71344723341308</v>
      </c>
      <c r="E153" s="20">
        <f>IF(AND(ISNUMBER(E152),ISNUMBER(D152)),(E152-D152)*10000,"n.a.")</f>
        <v>23.207990599294902</v>
      </c>
      <c r="F153" s="20">
        <f>IF(AND(ISNUMBER(F152),ISNUMBER(E152)),(F152-E152)*10000,"n.a.")</f>
        <v>-54.28432327166499</v>
      </c>
      <c r="G153" s="20"/>
      <c r="H153" s="20">
        <f>IF(AND(ISNUMBER(H152),ISNUMBER(F152)),(H152-F152)*10000,"n.a.")</f>
        <v>121.92529585314443</v>
      </c>
      <c r="I153" s="20">
        <f>IF(AND(ISNUMBER(I152),ISNUMBER(H152)),(I152-H152)*10000,"n.a.")</f>
        <v>8.948622794243132</v>
      </c>
      <c r="J153" s="48">
        <f>IF(AND(ISNUMBER(J152),ISNUMBER(I152)),(J152-I152)*10000,"n.a.")</f>
        <v>3.4104046242774966</v>
      </c>
      <c r="K153" s="1"/>
      <c r="L153" s="1"/>
      <c r="M153" s="1"/>
      <c r="N153" s="1"/>
      <c r="O153" s="1"/>
      <c r="P153" s="1"/>
    </row>
    <row r="154">
      <c r="A154" s="1"/>
      <c r="B154" s="6" t="s">
        <v>187</v>
      </c>
      <c r="C154" s="20"/>
      <c r="D154" s="20"/>
      <c r="E154" s="20"/>
      <c r="F154" s="20"/>
      <c r="G154" s="20"/>
      <c r="H154" s="20">
        <f>IF(AND(ISNUMBER(H152),ISNUMBER(C152)),(H152-C152)*10000,"n.a.")</f>
        <v>-2.864484052638727</v>
      </c>
      <c r="I154" s="20">
        <f>IF(AND(ISNUMBER(I152),ISNUMBER(D152)),(I152-D152)*10000,"n.a.")</f>
        <v>99.79758597501748</v>
      </c>
      <c r="J154" s="48">
        <f>IF(AND(ISNUMBER(J152),ISNUMBER(E152)),(J152-E152)*10000,"n.a.")</f>
        <v>80.00000000000007</v>
      </c>
      <c r="K154" s="1"/>
      <c r="L154" s="1"/>
      <c r="M154" s="1"/>
      <c r="N154" s="1"/>
      <c r="O154" s="1"/>
      <c r="P154" s="1"/>
    </row>
    <row r="155">
      <c r="A155" s="1"/>
      <c r="B155" s="1" t="s">
        <v>319</v>
      </c>
      <c r="C155" s="12">
        <f>Inputs!C170-D155</f>
        <v>4</v>
      </c>
      <c r="D155" s="18">
        <v>5</v>
      </c>
      <c r="E155" s="18">
        <v>5</v>
      </c>
      <c r="F155" s="18">
        <v>6</v>
      </c>
      <c r="G155" s="14">
        <f>SUM(C155:F155)</f>
        <v>20</v>
      </c>
      <c r="H155" s="18">
        <v>5</v>
      </c>
      <c r="I155" s="18">
        <v>5</v>
      </c>
      <c r="J155" s="27">
        <v>5</v>
      </c>
      <c r="K155" s="1"/>
      <c r="L155" s="1"/>
      <c r="M155" s="1"/>
      <c r="N155" s="1"/>
      <c r="O155" s="1"/>
      <c r="P155" s="1"/>
    </row>
    <row r="156">
      <c r="A156" s="1"/>
      <c r="B156" s="7" t="s">
        <v>320</v>
      </c>
      <c r="C156" s="22">
        <f>C149-C151-C155</f>
        <v>1333</v>
      </c>
      <c r="D156" s="22">
        <f>D149-D151-D155</f>
        <v>1318</v>
      </c>
      <c r="E156" s="22">
        <f>E149-E151-E155</f>
        <v>1545</v>
      </c>
      <c r="F156" s="22">
        <f>F149-F151-F155</f>
        <v>1597</v>
      </c>
      <c r="G156" s="22">
        <f>G149-G151-G155</f>
        <v>5793</v>
      </c>
      <c r="H156" s="22">
        <f>H149-H151-H155</f>
        <v>1480</v>
      </c>
      <c r="I156" s="22">
        <f>I149-I151-I155</f>
        <v>1588</v>
      </c>
      <c r="J156" s="23">
        <f>J149-J151-J155</f>
        <v>1574.4470941388158</v>
      </c>
      <c r="K156" s="1"/>
      <c r="L156" s="1"/>
      <c r="M156" s="1"/>
      <c r="N156" s="1"/>
      <c r="O156" s="1"/>
      <c r="P156" s="1"/>
    </row>
    <row r="157">
      <c r="A157" s="1"/>
      <c r="B157" s="6" t="s">
        <v>143</v>
      </c>
      <c r="C157" s="21"/>
      <c r="D157" s="21"/>
      <c r="E157" s="21"/>
      <c r="F157" s="21"/>
      <c r="G157" s="21"/>
      <c r="H157" s="21">
        <f>IF(AND(ISNUMBER(H156),ISNUMBER(C156)),IF(C156&lt;=0,"n.m.",IFERROR(H156/C156-1,"n.a.")),"n.a.")</f>
        <v>0.11027756939234812</v>
      </c>
      <c r="I157" s="21">
        <f>IF(AND(ISNUMBER(I156),ISNUMBER(D156)),IF(D156&lt;=0,"n.m.",IFERROR(I156/D156-1,"n.a.")),"n.a.")</f>
        <v>0.20485584218512898</v>
      </c>
      <c r="J157" s="29">
        <f>IF(AND(ISNUMBER(J156),ISNUMBER(E156)),IF(E156&lt;=0,"n.m.",IFERROR(J156/E156-1,"n.a.")),"n.a.")</f>
        <v>0.0190596078568388</v>
      </c>
      <c r="K157" s="1"/>
      <c r="L157" s="1"/>
      <c r="M157" s="1"/>
      <c r="N157" s="1"/>
      <c r="O157" s="1"/>
      <c r="P157" s="1"/>
    </row>
    <row r="158">
      <c r="A158" s="1"/>
      <c r="B158" s="6" t="s">
        <v>144</v>
      </c>
      <c r="C158" s="21"/>
      <c r="D158" s="21">
        <f>IF(AND(ISNUMBER(D156),ISNUMBER(C156)),IF(C156&lt;=0,"n.m.",IFERROR(D156/C156-1,"n.a.")),"n.a.")</f>
        <v>-0.011252813203300849</v>
      </c>
      <c r="E158" s="21">
        <f>IF(AND(ISNUMBER(E156),ISNUMBER(D156)),IF(D156&lt;=0,"n.m.",IFERROR(E156/D156-1,"n.a.")),"n.a.")</f>
        <v>0.17223065250379355</v>
      </c>
      <c r="F158" s="21">
        <f>IF(AND(ISNUMBER(F156),ISNUMBER(E156)),IF(E156&lt;=0,"n.m.",IFERROR(F156/E156-1,"n.a.")),"n.a.")</f>
        <v>0.03365695792880263</v>
      </c>
      <c r="G158" s="21"/>
      <c r="H158" s="21">
        <f>IF(AND(ISNUMBER(H156),ISNUMBER(F156)),IF(F156&lt;=0,"n.m.",IFERROR(H156/F156-1,"n.a.")),"n.a.")</f>
        <v>-0.0732623669380088</v>
      </c>
      <c r="I158" s="21">
        <f>IF(AND(ISNUMBER(I156),ISNUMBER(H156)),IF(H156&lt;=0,"n.m.",IFERROR(I156/H156-1,"n.a.")),"n.a.")</f>
        <v>0.0729729729729729</v>
      </c>
      <c r="J158" s="29">
        <f>IF(AND(ISNUMBER(J156),ISNUMBER(I156)),IF(I156&lt;=0,"n.m.",IFERROR(J156/I156-1,"n.a.")),"n.a.")</f>
        <v>-0.008534575479335116</v>
      </c>
      <c r="K158" s="1"/>
      <c r="L158" s="1"/>
      <c r="M158" s="1"/>
      <c r="N158" s="1"/>
      <c r="O158" s="1"/>
      <c r="P158" s="1"/>
    </row>
    <row r="159">
      <c r="A159" s="1"/>
      <c r="B159" s="6" t="s">
        <v>321</v>
      </c>
      <c r="C159" s="21">
        <f>C149/C83</f>
        <v>0.6340131099781501</v>
      </c>
      <c r="D159" s="21">
        <f>D149/D83</f>
        <v>0.6001410437235543</v>
      </c>
      <c r="E159" s="21">
        <f>E149/E83</f>
        <v>0.6622516556291391</v>
      </c>
      <c r="F159" s="21">
        <f>F149/F83</f>
        <v>0.6469291338582677</v>
      </c>
      <c r="G159" s="21">
        <f>G149/G83</f>
        <v>0.6365797741360278</v>
      </c>
      <c r="H159" s="21">
        <f>H149/H83</f>
        <v>0.6263771872974725</v>
      </c>
      <c r="I159" s="21">
        <f>I149/I83</f>
        <v>0.6323484617727688</v>
      </c>
      <c r="J159" s="29">
        <f>J149/J83</f>
        <v>0.6327882376242103</v>
      </c>
      <c r="K159" s="1"/>
      <c r="L159" s="1"/>
      <c r="M159" s="1"/>
      <c r="N159" s="1"/>
      <c r="O159" s="1"/>
      <c r="P159" s="1"/>
    </row>
    <row r="160">
      <c r="A160" s="1"/>
      <c r="B160" s="6" t="s">
        <v>186</v>
      </c>
      <c r="C160" s="20"/>
      <c r="D160" s="20">
        <f>IF(AND(ISNUMBER(D159),ISNUMBER(C159)),(D159-C159)*10000,"n.a.")</f>
        <v>-338.72066254595825</v>
      </c>
      <c r="E160" s="20">
        <f>IF(AND(ISNUMBER(E159),ISNUMBER(D159)),(E159-D159)*10000,"n.a.")</f>
        <v>621.1061190558487</v>
      </c>
      <c r="F160" s="20">
        <f>IF(AND(ISNUMBER(F159),ISNUMBER(E159)),(F159-E159)*10000,"n.a.")</f>
        <v>-153.22521770871455</v>
      </c>
      <c r="G160" s="20"/>
      <c r="H160" s="20">
        <f>IF(AND(ISNUMBER(H159),ISNUMBER(F159)),(H159-F159)*10000,"n.a.")</f>
        <v>-205.51946560795176</v>
      </c>
      <c r="I160" s="20">
        <f>IF(AND(ISNUMBER(I159),ISNUMBER(H159)),(I159-H159)*10000,"n.a.")</f>
        <v>59.71274475296329</v>
      </c>
      <c r="J160" s="48">
        <f>IF(AND(ISNUMBER(J159),ISNUMBER(I159)),(J159-I159)*10000,"n.a.")</f>
        <v>4.39775851441504</v>
      </c>
      <c r="K160" s="1"/>
      <c r="L160" s="1"/>
      <c r="M160" s="1"/>
      <c r="N160" s="1"/>
      <c r="O160" s="1"/>
      <c r="P160" s="1"/>
    </row>
    <row r="161">
      <c r="A161" s="1"/>
      <c r="B161" s="6" t="s">
        <v>187</v>
      </c>
      <c r="C161" s="20"/>
      <c r="D161" s="20"/>
      <c r="E161" s="20"/>
      <c r="F161" s="20"/>
      <c r="G161" s="20"/>
      <c r="H161" s="20">
        <f>IF(AND(ISNUMBER(H159),ISNUMBER(C159)),(H159-C159)*10000,"n.a.")</f>
        <v>-76.35922680677587</v>
      </c>
      <c r="I161" s="20">
        <f>IF(AND(ISNUMBER(I159),ISNUMBER(D159)),(I159-D159)*10000,"n.a.")</f>
        <v>322.0741804921457</v>
      </c>
      <c r="J161" s="48">
        <f>IF(AND(ISNUMBER(J159),ISNUMBER(E159)),(J159-E159)*10000,"n.a.")</f>
        <v>-294.634180049288</v>
      </c>
      <c r="K161" s="1"/>
      <c r="L161" s="1"/>
      <c r="M161" s="1"/>
      <c r="N161" s="1"/>
      <c r="O161" s="1"/>
      <c r="P161" s="1"/>
    </row>
    <row r="162">
      <c r="A162" s="1"/>
      <c r="B162" s="32" t="s">
        <v>322</v>
      </c>
      <c r="C162" s="11"/>
      <c r="D162" s="11"/>
      <c r="E162" s="11"/>
      <c r="F162" s="11"/>
      <c r="G162" s="11"/>
      <c r="H162" s="11"/>
      <c r="I162" s="11"/>
      <c r="J162" s="30"/>
      <c r="K162" s="1"/>
      <c r="L162" s="1"/>
      <c r="M162" s="1"/>
      <c r="N162" s="1"/>
      <c r="O162" s="1"/>
      <c r="P162" s="1"/>
    </row>
    <row r="163">
      <c r="A163" s="1"/>
      <c r="B163" s="1" t="s">
        <v>323</v>
      </c>
      <c r="C163" s="18">
        <v>1372</v>
      </c>
      <c r="D163" s="18">
        <v>1160</v>
      </c>
      <c r="E163" s="18">
        <v>1323</v>
      </c>
      <c r="F163" s="18">
        <v>1375</v>
      </c>
      <c r="G163" s="14">
        <f>F163</f>
        <v>1375</v>
      </c>
      <c r="H163" s="18">
        <v>1309</v>
      </c>
      <c r="I163" s="18">
        <v>1066</v>
      </c>
      <c r="J163" s="27">
        <v>1050</v>
      </c>
      <c r="K163" s="1"/>
      <c r="L163" s="1"/>
      <c r="M163" s="1"/>
      <c r="N163" s="1"/>
      <c r="O163" s="1"/>
      <c r="P163" s="1"/>
    </row>
    <row r="164">
      <c r="A164" s="1"/>
      <c r="B164" s="6" t="s">
        <v>143</v>
      </c>
      <c r="C164" s="21"/>
      <c r="D164" s="21"/>
      <c r="E164" s="21"/>
      <c r="F164" s="21"/>
      <c r="G164" s="21"/>
      <c r="H164" s="21">
        <f>IF(AND(ISNUMBER(H163),ISNUMBER(C163)),IF(C163&lt;=0,"n.m.",IFERROR(H163/C163-1,"n.a.")),"n.a.")</f>
        <v>-0.04591836734693877</v>
      </c>
      <c r="I164" s="21">
        <f>IF(AND(ISNUMBER(I163),ISNUMBER(D163)),IF(D163&lt;=0,"n.m.",IFERROR(I163/D163-1,"n.a.")),"n.a.")</f>
        <v>-0.08103448275862069</v>
      </c>
      <c r="J164" s="29">
        <f>IF(AND(ISNUMBER(J163),ISNUMBER(E163)),IF(E163&lt;=0,"n.m.",IFERROR(J163/E163-1,"n.a.")),"n.a.")</f>
        <v>-0.2063492063492064</v>
      </c>
      <c r="K164" s="1"/>
      <c r="L164" s="1"/>
      <c r="M164" s="1"/>
      <c r="N164" s="1"/>
      <c r="O164" s="1"/>
      <c r="P164" s="1"/>
    </row>
    <row r="165">
      <c r="A165" s="1"/>
      <c r="B165" s="1" t="s">
        <v>162</v>
      </c>
      <c r="C165" s="14"/>
      <c r="D165" s="14">
        <f>IF(AND(ISNUMBER(D163),ISNUMBER(C163)),D163-C163,"n.a.")</f>
        <v>-212</v>
      </c>
      <c r="E165" s="14">
        <f>IF(AND(ISNUMBER(E163),ISNUMBER(D163)),E163-D163,"n.a.")</f>
        <v>163</v>
      </c>
      <c r="F165" s="14">
        <f>IF(AND(ISNUMBER(F163),ISNUMBER(E163)),F163-E163,"n.a.")</f>
        <v>52</v>
      </c>
      <c r="G165" s="14"/>
      <c r="H165" s="14">
        <f>IF(AND(ISNUMBER(H163),ISNUMBER(F163)),H163-F163,"n.a.")</f>
        <v>-66</v>
      </c>
      <c r="I165" s="14">
        <f>IF(AND(ISNUMBER(I163),ISNUMBER(H163)),I163-H163,"n.a.")</f>
        <v>-243</v>
      </c>
      <c r="J165" s="10">
        <f>IF(AND(ISNUMBER(J163),ISNUMBER(I163)),J163-I163,"n.a.")</f>
        <v>-16</v>
      </c>
      <c r="K165" s="1"/>
      <c r="L165" s="1"/>
      <c r="M165" s="1"/>
      <c r="N165" s="1"/>
      <c r="O165" s="1"/>
      <c r="P165" s="1"/>
    </row>
    <row r="166">
      <c r="A166" s="1"/>
      <c r="B166" s="1" t="s">
        <v>324</v>
      </c>
      <c r="C166" s="12">
        <f>Inputs!C175-D166</f>
        <v>64</v>
      </c>
      <c r="D166" s="18">
        <v>83</v>
      </c>
      <c r="E166" s="18">
        <v>53</v>
      </c>
      <c r="F166" s="18">
        <v>49</v>
      </c>
      <c r="G166" s="14">
        <f>SUM(C166:F166)</f>
        <v>249</v>
      </c>
      <c r="H166" s="18">
        <v>92</v>
      </c>
      <c r="I166" s="18">
        <v>105</v>
      </c>
      <c r="J166" s="27">
        <v>100</v>
      </c>
      <c r="K166" s="1"/>
      <c r="L166" s="1"/>
      <c r="M166" s="1"/>
      <c r="N166" s="1"/>
      <c r="O166" s="1"/>
      <c r="P166" s="1"/>
    </row>
    <row r="167">
      <c r="A167" s="1"/>
      <c r="B167" s="6" t="s">
        <v>143</v>
      </c>
      <c r="C167" s="21"/>
      <c r="D167" s="21"/>
      <c r="E167" s="21"/>
      <c r="F167" s="21"/>
      <c r="G167" s="21"/>
      <c r="H167" s="21">
        <f>IF(AND(ISNUMBER(H166),ISNUMBER(C166)),IF(C166&lt;=0,"n.m.",IFERROR(H166/C166-1,"n.a.")),"n.a.")</f>
        <v>0.4375</v>
      </c>
      <c r="I167" s="21">
        <f>IF(AND(ISNUMBER(I166),ISNUMBER(D166)),IF(D166&lt;=0,"n.m.",IFERROR(I166/D166-1,"n.a.")),"n.a.")</f>
        <v>0.2650602409638554</v>
      </c>
      <c r="J167" s="29">
        <f>IF(AND(ISNUMBER(J166),ISNUMBER(E166)),IF(E166&lt;=0,"n.m.",IFERROR(J166/E166-1,"n.a.")),"n.a.")</f>
        <v>0.8867924528301887</v>
      </c>
      <c r="K167" s="1"/>
      <c r="L167" s="1"/>
      <c r="M167" s="1"/>
      <c r="N167" s="1"/>
      <c r="O167" s="1"/>
      <c r="P167" s="1"/>
    </row>
    <row r="168">
      <c r="A168" s="1"/>
      <c r="B168" s="1" t="s">
        <v>162</v>
      </c>
      <c r="C168" s="14"/>
      <c r="D168" s="14">
        <f>IF(AND(ISNUMBER(D166),ISNUMBER(C166)),D166-C166,"n.a.")</f>
        <v>19</v>
      </c>
      <c r="E168" s="14">
        <f>IF(AND(ISNUMBER(E166),ISNUMBER(D166)),E166-D166,"n.a.")</f>
        <v>-30</v>
      </c>
      <c r="F168" s="14">
        <f>IF(AND(ISNUMBER(F166),ISNUMBER(E166)),F166-E166,"n.a.")</f>
        <v>-4</v>
      </c>
      <c r="G168" s="14"/>
      <c r="H168" s="14">
        <f>IF(AND(ISNUMBER(H166),ISNUMBER(F166)),H166-F166,"n.a.")</f>
        <v>43</v>
      </c>
      <c r="I168" s="14">
        <f>IF(AND(ISNUMBER(I166),ISNUMBER(H166)),I166-H166,"n.a.")</f>
        <v>13</v>
      </c>
      <c r="J168" s="10">
        <f>IF(AND(ISNUMBER(J166),ISNUMBER(I166)),J166-I166,"n.a.")</f>
        <v>-5</v>
      </c>
      <c r="K168" s="1"/>
      <c r="L168" s="1"/>
      <c r="M168" s="1"/>
      <c r="N168" s="1"/>
      <c r="O168" s="1"/>
      <c r="P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P12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354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355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1" t="s">
        <v>356</v>
      </c>
      <c r="C10" s="18">
        <v>127</v>
      </c>
      <c r="D10" s="18">
        <v>131</v>
      </c>
      <c r="E10" s="18">
        <v>137</v>
      </c>
      <c r="F10" s="18">
        <v>138</v>
      </c>
      <c r="G10" s="14">
        <f>F10</f>
        <v>138</v>
      </c>
      <c r="H10" s="18">
        <v>136</v>
      </c>
      <c r="I10" s="18">
        <v>146</v>
      </c>
      <c r="J10" s="27">
        <v>150</v>
      </c>
      <c r="K10" s="1"/>
      <c r="L10" s="1"/>
      <c r="M10" s="1"/>
      <c r="N10" s="1"/>
      <c r="O10" s="1"/>
      <c r="P10" s="1"/>
    </row>
    <row r="11">
      <c r="A11" s="1"/>
      <c r="B11" s="6" t="s">
        <v>143</v>
      </c>
      <c r="C11" s="21"/>
      <c r="D11" s="21"/>
      <c r="E11" s="21"/>
      <c r="F11" s="21"/>
      <c r="G11" s="21"/>
      <c r="H11" s="21">
        <f>IF(AND(ISNUMBER(H10),ISNUMBER(C10)),IF(C10&lt;=0,"n.m.",IFERROR(H10/C10-1,"n.a.")),"n.a.")</f>
        <v>0.07086614173228356</v>
      </c>
      <c r="I11" s="21">
        <f>IF(AND(ISNUMBER(I10),ISNUMBER(D10)),IF(D10&lt;=0,"n.m.",IFERROR(I10/D10-1,"n.a.")),"n.a.")</f>
        <v>0.11450381679389321</v>
      </c>
      <c r="J11" s="29">
        <f>IF(AND(ISNUMBER(J10),ISNUMBER(E10)),IF(E10&lt;=0,"n.m.",IFERROR(J10/E10-1,"n.a.")),"n.a.")</f>
        <v>0.0948905109489051</v>
      </c>
      <c r="K11" s="1"/>
      <c r="L11" s="1"/>
      <c r="M11" s="1"/>
      <c r="N11" s="1"/>
      <c r="O11" s="1"/>
      <c r="P11" s="1"/>
    </row>
    <row r="12">
      <c r="A12" s="1"/>
      <c r="B12" s="1" t="s">
        <v>162</v>
      </c>
      <c r="C12" s="14"/>
      <c r="D12" s="14">
        <f>IF(AND(ISNUMBER(D10),ISNUMBER(C10)),D10-C10,"n.a.")</f>
        <v>4</v>
      </c>
      <c r="E12" s="14">
        <f>IF(AND(ISNUMBER(E10),ISNUMBER(D10)),E10-D10,"n.a.")</f>
        <v>6</v>
      </c>
      <c r="F12" s="14">
        <f>IF(AND(ISNUMBER(F10),ISNUMBER(E10)),F10-E10,"n.a.")</f>
        <v>1</v>
      </c>
      <c r="G12" s="14"/>
      <c r="H12" s="14">
        <f>IF(AND(ISNUMBER(H10),ISNUMBER(F10)),H10-F10,"n.a.")</f>
        <v>-2</v>
      </c>
      <c r="I12" s="14">
        <f>IF(AND(ISNUMBER(I10),ISNUMBER(H10)),I10-H10,"n.a.")</f>
        <v>10</v>
      </c>
      <c r="J12" s="10">
        <f>IF(AND(ISNUMBER(J10),ISNUMBER(I10)),J10-I10,"n.a.")</f>
        <v>4</v>
      </c>
      <c r="K12" s="1"/>
      <c r="L12" s="1"/>
      <c r="M12" s="1"/>
      <c r="N12" s="1"/>
      <c r="O12" s="1"/>
      <c r="P12" s="1"/>
    </row>
    <row r="13">
      <c r="A13" s="1"/>
      <c r="B13" s="1" t="s">
        <v>357</v>
      </c>
      <c r="C13" s="18">
        <v>83</v>
      </c>
      <c r="D13" s="18">
        <v>86</v>
      </c>
      <c r="E13" s="18">
        <v>91</v>
      </c>
      <c r="F13" s="18">
        <v>96</v>
      </c>
      <c r="G13" s="14">
        <f>F13</f>
        <v>96</v>
      </c>
      <c r="H13" s="18">
        <v>94</v>
      </c>
      <c r="I13" s="18">
        <v>101</v>
      </c>
      <c r="J13" s="27">
        <v>104</v>
      </c>
      <c r="K13" s="1"/>
      <c r="L13" s="1"/>
      <c r="M13" s="1"/>
      <c r="N13" s="1"/>
      <c r="O13" s="1"/>
      <c r="P13" s="1"/>
    </row>
    <row r="14">
      <c r="A14" s="1"/>
      <c r="B14" s="6" t="s">
        <v>143</v>
      </c>
      <c r="C14" s="21"/>
      <c r="D14" s="21"/>
      <c r="E14" s="21"/>
      <c r="F14" s="21"/>
      <c r="G14" s="21"/>
      <c r="H14" s="21">
        <f>IF(AND(ISNUMBER(H13),ISNUMBER(C13)),IF(C13&lt;=0,"n.m.",IFERROR(H13/C13-1,"n.a.")),"n.a.")</f>
        <v>0.1325301204819278</v>
      </c>
      <c r="I14" s="21">
        <f>IF(AND(ISNUMBER(I13),ISNUMBER(D13)),IF(D13&lt;=0,"n.m.",IFERROR(I13/D13-1,"n.a.")),"n.a.")</f>
        <v>0.17441860465116288</v>
      </c>
      <c r="J14" s="29">
        <f>IF(AND(ISNUMBER(J13),ISNUMBER(E13)),IF(E13&lt;=0,"n.m.",IFERROR(J13/E13-1,"n.a.")),"n.a.")</f>
        <v>0.1428571428571428</v>
      </c>
      <c r="K14" s="1"/>
      <c r="L14" s="1"/>
      <c r="M14" s="1"/>
      <c r="N14" s="1"/>
      <c r="O14" s="1"/>
      <c r="P14" s="1"/>
    </row>
    <row r="15">
      <c r="A15" s="1"/>
      <c r="B15" s="1" t="s">
        <v>162</v>
      </c>
      <c r="C15" s="14"/>
      <c r="D15" s="14">
        <f>IF(AND(ISNUMBER(D13),ISNUMBER(C13)),D13-C13,"n.a.")</f>
        <v>3</v>
      </c>
      <c r="E15" s="14">
        <f>IF(AND(ISNUMBER(E13),ISNUMBER(D13)),E13-D13,"n.a.")</f>
        <v>5</v>
      </c>
      <c r="F15" s="14">
        <f>IF(AND(ISNUMBER(F13),ISNUMBER(E13)),F13-E13,"n.a.")</f>
        <v>5</v>
      </c>
      <c r="G15" s="14"/>
      <c r="H15" s="14">
        <f>IF(AND(ISNUMBER(H13),ISNUMBER(F13)),H13-F13,"n.a.")</f>
        <v>-2</v>
      </c>
      <c r="I15" s="14">
        <f>IF(AND(ISNUMBER(I13),ISNUMBER(H13)),I13-H13,"n.a.")</f>
        <v>7</v>
      </c>
      <c r="J15" s="10">
        <f>IF(AND(ISNUMBER(J13),ISNUMBER(I13)),J13-I13,"n.a.")</f>
        <v>3</v>
      </c>
      <c r="K15" s="1"/>
      <c r="L15" s="1"/>
      <c r="M15" s="1"/>
      <c r="N15" s="1"/>
      <c r="O15" s="1"/>
      <c r="P15" s="1"/>
    </row>
    <row r="16">
      <c r="A16" s="1"/>
      <c r="B16" s="7" t="s">
        <v>358</v>
      </c>
      <c r="C16" s="22">
        <f>C10+C13</f>
        <v>210</v>
      </c>
      <c r="D16" s="22">
        <f>D10+D13</f>
        <v>217</v>
      </c>
      <c r="E16" s="22">
        <f>E10+E13</f>
        <v>228</v>
      </c>
      <c r="F16" s="22">
        <f>F10+F13</f>
        <v>234</v>
      </c>
      <c r="G16" s="22">
        <f>G10+G13</f>
        <v>234</v>
      </c>
      <c r="H16" s="22">
        <f>H10+H13</f>
        <v>230</v>
      </c>
      <c r="I16" s="22">
        <f>I10+I13</f>
        <v>247</v>
      </c>
      <c r="J16" s="23">
        <f>J10+J13</f>
        <v>254</v>
      </c>
      <c r="K16" s="1"/>
      <c r="L16" s="1"/>
      <c r="M16" s="1"/>
      <c r="N16" s="1"/>
      <c r="O16" s="1"/>
      <c r="P16" s="1"/>
    </row>
    <row r="17">
      <c r="A17" s="1"/>
      <c r="B17" s="6" t="s">
        <v>143</v>
      </c>
      <c r="C17" s="21"/>
      <c r="D17" s="21"/>
      <c r="E17" s="21"/>
      <c r="F17" s="21"/>
      <c r="G17" s="21"/>
      <c r="H17" s="21">
        <f>IF(AND(ISNUMBER(H16),ISNUMBER(C16)),IF(C16&lt;=0,"n.m.",IFERROR(H16/C16-1,"n.a.")),"n.a.")</f>
        <v>0.09523809523809534</v>
      </c>
      <c r="I17" s="21">
        <f>IF(AND(ISNUMBER(I16),ISNUMBER(D16)),IF(D16&lt;=0,"n.m.",IFERROR(I16/D16-1,"n.a.")),"n.a.")</f>
        <v>0.13824884792626735</v>
      </c>
      <c r="J17" s="29">
        <f>IF(AND(ISNUMBER(J16),ISNUMBER(E16)),IF(E16&lt;=0,"n.m.",IFERROR(J16/E16-1,"n.a.")),"n.a.")</f>
        <v>0.11403508771929816</v>
      </c>
      <c r="K17" s="1"/>
      <c r="L17" s="1"/>
      <c r="M17" s="1"/>
      <c r="N17" s="1"/>
      <c r="O17" s="1"/>
      <c r="P17" s="1"/>
    </row>
    <row r="18">
      <c r="A18" s="1"/>
      <c r="B18" s="6" t="s">
        <v>144</v>
      </c>
      <c r="C18" s="21"/>
      <c r="D18" s="21">
        <f>IF(AND(ISNUMBER(D16),ISNUMBER(C16)),IF(C16&lt;=0,"n.m.",IFERROR(D16/C16-1,"n.a.")),"n.a.")</f>
        <v>0.03333333333333344</v>
      </c>
      <c r="E18" s="21">
        <f>IF(AND(ISNUMBER(E16),ISNUMBER(D16)),IF(D16&lt;=0,"n.m.",IFERROR(E16/D16-1,"n.a.")),"n.a.")</f>
        <v>0.05069124423963123</v>
      </c>
      <c r="F18" s="21">
        <f>IF(AND(ISNUMBER(F16),ISNUMBER(E16)),IF(E16&lt;=0,"n.m.",IFERROR(F16/E16-1,"n.a.")),"n.a.")</f>
        <v>0.026315789473684292</v>
      </c>
      <c r="G18" s="21"/>
      <c r="H18" s="21">
        <f>IF(AND(ISNUMBER(H16),ISNUMBER(F16)),IF(F16&lt;=0,"n.m.",IFERROR(H16/F16-1,"n.a.")),"n.a.")</f>
        <v>-0.017094017094017144</v>
      </c>
      <c r="I18" s="21">
        <f>IF(AND(ISNUMBER(I16),ISNUMBER(H16)),IF(H16&lt;=0,"n.m.",IFERROR(I16/H16-1,"n.a.")),"n.a.")</f>
        <v>0.07391304347826089</v>
      </c>
      <c r="J18" s="29">
        <f>IF(AND(ISNUMBER(J16),ISNUMBER(I16)),IF(I16&lt;=0,"n.m.",IFERROR(J16/I16-1,"n.a.")),"n.a.")</f>
        <v>0.028340080971659853</v>
      </c>
      <c r="K18" s="1"/>
      <c r="L18" s="1"/>
      <c r="M18" s="1"/>
      <c r="N18" s="1"/>
      <c r="O18" s="1"/>
      <c r="P18" s="1"/>
    </row>
    <row r="19">
      <c r="A19" s="1"/>
      <c r="B19" s="1" t="s">
        <v>162</v>
      </c>
      <c r="C19" s="14"/>
      <c r="D19" s="14">
        <f>IF(AND(ISNUMBER(D16),ISNUMBER(C16)),D16-C16,"n.a.")</f>
        <v>7</v>
      </c>
      <c r="E19" s="14">
        <f>IF(AND(ISNUMBER(E16),ISNUMBER(D16)),E16-D16,"n.a.")</f>
        <v>11</v>
      </c>
      <c r="F19" s="14">
        <f>IF(AND(ISNUMBER(F16),ISNUMBER(E16)),F16-E16,"n.a.")</f>
        <v>6</v>
      </c>
      <c r="G19" s="14"/>
      <c r="H19" s="14">
        <f>IF(AND(ISNUMBER(H16),ISNUMBER(F16)),H16-F16,"n.a.")</f>
        <v>-4</v>
      </c>
      <c r="I19" s="14">
        <f>IF(AND(ISNUMBER(I16),ISNUMBER(H16)),I16-H16,"n.a.")</f>
        <v>17</v>
      </c>
      <c r="J19" s="10">
        <f>IF(AND(ISNUMBER(J16),ISNUMBER(I16)),J16-I16,"n.a.")</f>
        <v>7</v>
      </c>
      <c r="K19" s="1"/>
      <c r="L19" s="1"/>
      <c r="M19" s="1"/>
      <c r="N19" s="1"/>
      <c r="O19" s="1"/>
      <c r="P19" s="1"/>
    </row>
    <row r="20">
      <c r="A20" s="1"/>
      <c r="B20" s="1" t="s">
        <v>359</v>
      </c>
      <c r="C20" s="18">
        <v>201</v>
      </c>
      <c r="D20" s="18">
        <v>204</v>
      </c>
      <c r="E20" s="18">
        <v>212</v>
      </c>
      <c r="F20" s="18">
        <v>238</v>
      </c>
      <c r="G20" s="14">
        <f>F20</f>
        <v>238</v>
      </c>
      <c r="H20" s="18">
        <v>233</v>
      </c>
      <c r="I20" s="18">
        <v>256</v>
      </c>
      <c r="J20" s="27">
        <v>262</v>
      </c>
      <c r="K20" s="1"/>
      <c r="L20" s="1"/>
      <c r="M20" s="1"/>
      <c r="N20" s="1"/>
      <c r="O20" s="1"/>
      <c r="P20" s="1"/>
    </row>
    <row r="21">
      <c r="A21" s="1"/>
      <c r="B21" s="6" t="s">
        <v>143</v>
      </c>
      <c r="C21" s="21"/>
      <c r="D21" s="21"/>
      <c r="E21" s="21"/>
      <c r="F21" s="21"/>
      <c r="G21" s="21"/>
      <c r="H21" s="21">
        <f>IF(AND(ISNUMBER(H20),ISNUMBER(C20)),IF(C20&lt;=0,"n.m.",IFERROR(H20/C20-1,"n.a.")),"n.a.")</f>
        <v>0.15920398009950243</v>
      </c>
      <c r="I21" s="21">
        <f>IF(AND(ISNUMBER(I20),ISNUMBER(D20)),IF(D20&lt;=0,"n.m.",IFERROR(I20/D20-1,"n.a.")),"n.a.")</f>
        <v>0.2549019607843137</v>
      </c>
      <c r="J21" s="29">
        <f>IF(AND(ISNUMBER(J20),ISNUMBER(E20)),IF(E20&lt;=0,"n.m.",IFERROR(J20/E20-1,"n.a.")),"n.a.")</f>
        <v>0.23584905660377364</v>
      </c>
      <c r="K21" s="1"/>
      <c r="L21" s="1"/>
      <c r="M21" s="1"/>
      <c r="N21" s="1"/>
      <c r="O21" s="1"/>
      <c r="P21" s="1"/>
    </row>
    <row r="22">
      <c r="A22" s="1"/>
      <c r="B22" s="1" t="s">
        <v>162</v>
      </c>
      <c r="C22" s="14"/>
      <c r="D22" s="14">
        <f>IF(AND(ISNUMBER(D20),ISNUMBER(C20)),D20-C20,"n.a.")</f>
        <v>3</v>
      </c>
      <c r="E22" s="14">
        <f>IF(AND(ISNUMBER(E20),ISNUMBER(D20)),E20-D20,"n.a.")</f>
        <v>8</v>
      </c>
      <c r="F22" s="14">
        <f>IF(AND(ISNUMBER(F20),ISNUMBER(E20)),F20-E20,"n.a.")</f>
        <v>26</v>
      </c>
      <c r="G22" s="14"/>
      <c r="H22" s="14">
        <f>IF(AND(ISNUMBER(H20),ISNUMBER(F20)),H20-F20,"n.a.")</f>
        <v>-5</v>
      </c>
      <c r="I22" s="14">
        <f>IF(AND(ISNUMBER(I20),ISNUMBER(H20)),I20-H20,"n.a.")</f>
        <v>23</v>
      </c>
      <c r="J22" s="10">
        <f>IF(AND(ISNUMBER(J20),ISNUMBER(I20)),J20-I20,"n.a.")</f>
        <v>6</v>
      </c>
      <c r="K22" s="1"/>
      <c r="L22" s="1"/>
      <c r="M22" s="1"/>
      <c r="N22" s="1"/>
      <c r="O22" s="1"/>
      <c r="P22" s="1"/>
    </row>
    <row r="23">
      <c r="A23" s="1"/>
      <c r="B23" s="7" t="s">
        <v>360</v>
      </c>
      <c r="C23" s="22">
        <f>C16+C20</f>
        <v>411</v>
      </c>
      <c r="D23" s="22">
        <f>D16+D20</f>
        <v>421</v>
      </c>
      <c r="E23" s="22">
        <f>E16+E20</f>
        <v>440</v>
      </c>
      <c r="F23" s="22">
        <f>F16+F20</f>
        <v>472</v>
      </c>
      <c r="G23" s="22">
        <f>G16+G20</f>
        <v>472</v>
      </c>
      <c r="H23" s="22">
        <f>H16+H20</f>
        <v>463</v>
      </c>
      <c r="I23" s="22">
        <f>I16+I20</f>
        <v>503</v>
      </c>
      <c r="J23" s="23">
        <f>J16+J20</f>
        <v>516</v>
      </c>
      <c r="K23" s="1"/>
      <c r="L23" s="1"/>
      <c r="M23" s="1"/>
      <c r="N23" s="1"/>
      <c r="O23" s="1"/>
      <c r="P23" s="1"/>
    </row>
    <row r="24">
      <c r="A24" s="1"/>
      <c r="B24" s="6" t="s">
        <v>143</v>
      </c>
      <c r="C24" s="21"/>
      <c r="D24" s="21"/>
      <c r="E24" s="21"/>
      <c r="F24" s="21"/>
      <c r="G24" s="21"/>
      <c r="H24" s="21">
        <f>IF(AND(ISNUMBER(H23),ISNUMBER(C23)),IF(C23&lt;=0,"n.m.",IFERROR(H23/C23-1,"n.a.")),"n.a.")</f>
        <v>0.12652068126520688</v>
      </c>
      <c r="I24" s="21">
        <f>IF(AND(ISNUMBER(I23),ISNUMBER(D23)),IF(D23&lt;=0,"n.m.",IFERROR(I23/D23-1,"n.a.")),"n.a.")</f>
        <v>0.19477434679334915</v>
      </c>
      <c r="J24" s="29">
        <f>IF(AND(ISNUMBER(J23),ISNUMBER(E23)),IF(E23&lt;=0,"n.m.",IFERROR(J23/E23-1,"n.a.")),"n.a.")</f>
        <v>0.17272727272727262</v>
      </c>
      <c r="K24" s="1"/>
      <c r="L24" s="1"/>
      <c r="M24" s="1"/>
      <c r="N24" s="1"/>
      <c r="O24" s="1"/>
      <c r="P24" s="1"/>
    </row>
    <row r="25">
      <c r="A25" s="1"/>
      <c r="B25" s="6" t="s">
        <v>144</v>
      </c>
      <c r="C25" s="21"/>
      <c r="D25" s="21">
        <f>IF(AND(ISNUMBER(D23),ISNUMBER(C23)),IF(C23&lt;=0,"n.m.",IFERROR(D23/C23-1,"n.a.")),"n.a.")</f>
        <v>0.024330900243308973</v>
      </c>
      <c r="E25" s="21">
        <f>IF(AND(ISNUMBER(E23),ISNUMBER(D23)),IF(D23&lt;=0,"n.m.",IFERROR(E23/D23-1,"n.a.")),"n.a.")</f>
        <v>0.0451306413301662</v>
      </c>
      <c r="F25" s="21">
        <f>IF(AND(ISNUMBER(F23),ISNUMBER(E23)),IF(E23&lt;=0,"n.m.",IFERROR(F23/E23-1,"n.a.")),"n.a.")</f>
        <v>0.07272727272727275</v>
      </c>
      <c r="G25" s="21"/>
      <c r="H25" s="21">
        <f>IF(AND(ISNUMBER(H23),ISNUMBER(F23)),IF(F23&lt;=0,"n.m.",IFERROR(H23/F23-1,"n.a.")),"n.a.")</f>
        <v>-0.01906779661016944</v>
      </c>
      <c r="I25" s="21">
        <f>IF(AND(ISNUMBER(I23),ISNUMBER(H23)),IF(H23&lt;=0,"n.m.",IFERROR(I23/H23-1,"n.a.")),"n.a.")</f>
        <v>0.08639308855291583</v>
      </c>
      <c r="J25" s="29">
        <f>IF(AND(ISNUMBER(J23),ISNUMBER(I23)),IF(I23&lt;=0,"n.m.",IFERROR(J23/I23-1,"n.a.")),"n.a.")</f>
        <v>0.025844930417495027</v>
      </c>
      <c r="K25" s="1"/>
      <c r="L25" s="1"/>
      <c r="M25" s="1"/>
      <c r="N25" s="1"/>
      <c r="O25" s="1"/>
      <c r="P25" s="1"/>
    </row>
    <row r="26">
      <c r="A26" s="1"/>
      <c r="B26" s="1" t="s">
        <v>361</v>
      </c>
      <c r="C26" s="14"/>
      <c r="D26" s="14">
        <f>C23</f>
        <v>411</v>
      </c>
      <c r="E26" s="14">
        <f>D23</f>
        <v>421</v>
      </c>
      <c r="F26" s="14">
        <f>E23</f>
        <v>440</v>
      </c>
      <c r="G26" s="14"/>
      <c r="H26" s="14">
        <f>F23</f>
        <v>472</v>
      </c>
      <c r="I26" s="14">
        <f>H23</f>
        <v>463</v>
      </c>
      <c r="J26" s="10">
        <f>I23</f>
        <v>503</v>
      </c>
      <c r="K26" s="1"/>
      <c r="L26" s="1"/>
      <c r="M26" s="1"/>
      <c r="N26" s="1"/>
      <c r="O26" s="1"/>
      <c r="P26" s="1"/>
    </row>
    <row r="27">
      <c r="A27" s="1"/>
      <c r="B27" s="1" t="s">
        <v>362</v>
      </c>
      <c r="C27" s="14"/>
      <c r="D27" s="14">
        <f>D23-D26</f>
        <v>10</v>
      </c>
      <c r="E27" s="14">
        <f>E23-E26</f>
        <v>19</v>
      </c>
      <c r="F27" s="14">
        <f>F23-F26</f>
        <v>32</v>
      </c>
      <c r="G27" s="14"/>
      <c r="H27" s="14">
        <f>H23-H26</f>
        <v>-9</v>
      </c>
      <c r="I27" s="14">
        <f>I23-I26</f>
        <v>40</v>
      </c>
      <c r="J27" s="10">
        <f>J23-J26</f>
        <v>13</v>
      </c>
      <c r="K27" s="1"/>
      <c r="L27" s="1"/>
      <c r="M27" s="1"/>
      <c r="N27" s="1"/>
      <c r="O27" s="1"/>
      <c r="P27" s="1"/>
    </row>
    <row r="28">
      <c r="A28" s="1"/>
      <c r="B28" s="1" t="s">
        <v>363</v>
      </c>
      <c r="C28" s="18" t="s">
        <v>129</v>
      </c>
      <c r="D28" s="18" t="s">
        <v>129</v>
      </c>
      <c r="E28" s="18" t="s">
        <v>129</v>
      </c>
      <c r="F28" s="18" t="s">
        <v>129</v>
      </c>
      <c r="G28" s="14"/>
      <c r="H28" s="18" t="s">
        <v>129</v>
      </c>
      <c r="I28" s="18" t="s">
        <v>129</v>
      </c>
      <c r="J28" s="27" t="s">
        <v>129</v>
      </c>
      <c r="K28" s="114" t="s">
        <v>364</v>
      </c>
      <c r="L28" s="1"/>
      <c r="M28" s="1"/>
      <c r="N28" s="1"/>
      <c r="O28" s="1"/>
      <c r="P28" s="1"/>
    </row>
    <row r="29">
      <c r="A29" s="1"/>
      <c r="B29" s="7" t="s">
        <v>365</v>
      </c>
      <c r="C29" s="22"/>
      <c r="D29" s="22">
        <f>D26+D27</f>
        <v>421</v>
      </c>
      <c r="E29" s="22">
        <f>E26+E27</f>
        <v>440</v>
      </c>
      <c r="F29" s="22">
        <f>F26+F27</f>
        <v>472</v>
      </c>
      <c r="G29" s="22"/>
      <c r="H29" s="22">
        <f>H26+H27</f>
        <v>463</v>
      </c>
      <c r="I29" s="22">
        <f>I26+I27</f>
        <v>503</v>
      </c>
      <c r="J29" s="23">
        <f>J26+J27</f>
        <v>516</v>
      </c>
      <c r="K29" s="1"/>
      <c r="L29" s="1"/>
      <c r="M29" s="1"/>
      <c r="N29" s="1"/>
      <c r="O29" s="1"/>
      <c r="P29" s="1"/>
    </row>
    <row r="30">
      <c r="A30" s="1"/>
      <c r="B30" s="1" t="s">
        <v>366</v>
      </c>
      <c r="C30" s="18" t="s">
        <v>40</v>
      </c>
      <c r="D30" s="14">
        <f>AVERAGE(C16,D16)</f>
        <v>213.5</v>
      </c>
      <c r="E30" s="14">
        <f>AVERAGE(D16,E16)</f>
        <v>222.5</v>
      </c>
      <c r="F30" s="14">
        <f>AVERAGE(E16,F16)</f>
        <v>231</v>
      </c>
      <c r="G30" s="18" t="s">
        <v>40</v>
      </c>
      <c r="H30" s="14">
        <f>AVERAGE(F16,H16)</f>
        <v>232</v>
      </c>
      <c r="I30" s="14">
        <f>AVERAGE(H16,I16)</f>
        <v>238.5</v>
      </c>
      <c r="J30" s="10">
        <f>AVERAGE(I16,J16)</f>
        <v>250.5</v>
      </c>
      <c r="K30" s="1"/>
      <c r="L30" s="1"/>
      <c r="M30" s="1"/>
      <c r="N30" s="1"/>
      <c r="O30" s="1"/>
      <c r="P30" s="1"/>
    </row>
    <row r="31">
      <c r="A31" s="1"/>
      <c r="B31" s="6" t="s">
        <v>143</v>
      </c>
      <c r="C31" s="21"/>
      <c r="D31" s="21"/>
      <c r="E31" s="21"/>
      <c r="F31" s="21"/>
      <c r="G31" s="21"/>
      <c r="H31" s="21" t="str">
        <f>IF(AND(ISNUMBER(H30),ISNUMBER(C30)),IF(C30&lt;=0,"n.m.",IFERROR(H30/C30-1,"n.a.")),"n.a.")</f>
        <v>n.a.</v>
      </c>
      <c r="I31" s="21">
        <f>IF(AND(ISNUMBER(I30),ISNUMBER(D30)),IF(D30&lt;=0,"n.m.",IFERROR(I30/D30-1,"n.a.")),"n.a.")</f>
        <v>0.1170960187353629</v>
      </c>
      <c r="J31" s="29">
        <f>IF(AND(ISNUMBER(J30),ISNUMBER(E30)),IF(E30&lt;=0,"n.m.",IFERROR(J30/E30-1,"n.a.")),"n.a.")</f>
        <v>0.12584269662921344</v>
      </c>
      <c r="K31" s="1"/>
      <c r="L31" s="1"/>
      <c r="M31" s="1"/>
      <c r="N31" s="1"/>
      <c r="O31" s="1"/>
      <c r="P31" s="1"/>
    </row>
    <row r="32">
      <c r="A32" s="1"/>
      <c r="B32" s="1" t="s">
        <v>162</v>
      </c>
      <c r="C32" s="14"/>
      <c r="D32" s="14" t="str">
        <f>IF(AND(ISNUMBER(D30),ISNUMBER(C30)),D30-C30,"n.a.")</f>
        <v>n.a.</v>
      </c>
      <c r="E32" s="14">
        <f>IF(AND(ISNUMBER(E30),ISNUMBER(D30)),E30-D30,"n.a.")</f>
        <v>9</v>
      </c>
      <c r="F32" s="14">
        <f>IF(AND(ISNUMBER(F30),ISNUMBER(E30)),F30-E30,"n.a.")</f>
        <v>8.5</v>
      </c>
      <c r="G32" s="14"/>
      <c r="H32" s="14">
        <f>IF(AND(ISNUMBER(H30),ISNUMBER(F30)),H30-F30,"n.a.")</f>
        <v>1</v>
      </c>
      <c r="I32" s="14">
        <f>IF(AND(ISNUMBER(I30),ISNUMBER(H30)),I30-H30,"n.a.")</f>
        <v>6.5</v>
      </c>
      <c r="J32" s="10">
        <f>IF(AND(ISNUMBER(J30),ISNUMBER(I30)),J30-I30,"n.a.")</f>
        <v>12</v>
      </c>
      <c r="K32" s="1"/>
      <c r="L32" s="1"/>
      <c r="M32" s="1"/>
      <c r="N32" s="1"/>
      <c r="O32" s="1"/>
      <c r="P32" s="1"/>
    </row>
    <row r="33">
      <c r="A33" s="1"/>
      <c r="B33" s="6" t="s">
        <v>367</v>
      </c>
      <c r="C33" s="26"/>
      <c r="D33" s="26">
        <f>D76/(D30*1000)*365/D$7</f>
        <v>0.004583987441130298</v>
      </c>
      <c r="E33" s="26">
        <f>E76/(E30*1000)*365/E$7</f>
        <v>0.004529066927210551</v>
      </c>
      <c r="F33" s="26">
        <f>F76/(F30*1000)*365/F$7</f>
        <v>0.004465462074157726</v>
      </c>
      <c r="G33" s="26"/>
      <c r="H33" s="26">
        <f>H76/(H30*1000)*365/H$7</f>
        <v>0.004579980842911878</v>
      </c>
      <c r="I33" s="26">
        <f>I76/(I30*1000)*365/I$7</f>
        <v>0.004557559840578708</v>
      </c>
      <c r="J33" s="54">
        <f>I33+J34/10000</f>
        <v>0.004507559840578709</v>
      </c>
      <c r="K33" s="1"/>
      <c r="L33" s="1"/>
      <c r="M33" s="1"/>
      <c r="N33" s="1"/>
      <c r="O33" s="1"/>
      <c r="P33" s="1"/>
    </row>
    <row r="34">
      <c r="A34" s="1"/>
      <c r="B34" s="6" t="s">
        <v>186</v>
      </c>
      <c r="C34" s="20"/>
      <c r="D34" s="20" t="str">
        <f>IF(AND(ISNUMBER(D33),ISNUMBER(C33)),(D33-C33)*10000,"n.a.")</f>
        <v>n.a.</v>
      </c>
      <c r="E34" s="20">
        <f>IF(AND(ISNUMBER(E33),ISNUMBER(D33)),(E33-D33)*10000,"n.a.")</f>
        <v>-0.54920513919747</v>
      </c>
      <c r="F34" s="20">
        <f>IF(AND(ISNUMBER(F33),ISNUMBER(E33)),(F33-E33)*10000,"n.a.")</f>
        <v>-0.6360485305282552</v>
      </c>
      <c r="G34" s="20"/>
      <c r="H34" s="20">
        <f>IF(AND(ISNUMBER(H33),ISNUMBER(F33)),(H33-F33)*10000,"n.a.")</f>
        <v>1.1451876875415243</v>
      </c>
      <c r="I34" s="20">
        <f>IF(AND(ISNUMBER(I33),ISNUMBER(H33)),(I33-H33)*10000,"n.a.")</f>
        <v>-0.22421002333170015</v>
      </c>
      <c r="J34" s="72">
        <v>-0.5</v>
      </c>
      <c r="K34" s="1"/>
      <c r="L34" s="1"/>
      <c r="M34" s="1"/>
      <c r="N34" s="1"/>
      <c r="O34" s="1"/>
      <c r="P34" s="1"/>
    </row>
    <row r="35">
      <c r="A35" s="1"/>
      <c r="B35" s="6" t="s">
        <v>187</v>
      </c>
      <c r="C35" s="20"/>
      <c r="D35" s="20"/>
      <c r="E35" s="20"/>
      <c r="F35" s="20"/>
      <c r="G35" s="20"/>
      <c r="H35" s="20" t="str">
        <f>IF(AND(ISNUMBER(H33),ISNUMBER(C33)),(H33-C33)*10000,"n.a.")</f>
        <v>n.a.</v>
      </c>
      <c r="I35" s="20">
        <f>IF(AND(ISNUMBER(I33),ISNUMBER(D33)),(I33-D33)*10000,"n.a.")</f>
        <v>-0.264276005515901</v>
      </c>
      <c r="J35" s="48">
        <f>IF(AND(ISNUMBER(J33),ISNUMBER(E33)),(J33-E33)*10000,"n.a.")</f>
        <v>-0.21507086631842795</v>
      </c>
      <c r="K35" s="1"/>
      <c r="L35" s="1"/>
      <c r="M35" s="1"/>
      <c r="N35" s="1"/>
      <c r="O35" s="1"/>
      <c r="P35" s="1"/>
    </row>
    <row r="36">
      <c r="A36" s="1"/>
      <c r="B36" s="32" t="s">
        <v>368</v>
      </c>
      <c r="C36" s="11"/>
      <c r="D36" s="11"/>
      <c r="E36" s="11"/>
      <c r="F36" s="11"/>
      <c r="G36" s="11"/>
      <c r="H36" s="11"/>
      <c r="I36" s="11"/>
      <c r="J36" s="30"/>
      <c r="K36" s="1"/>
      <c r="L36" s="1"/>
      <c r="M36" s="1"/>
      <c r="N36" s="1"/>
      <c r="O36" s="1"/>
      <c r="P36" s="1"/>
    </row>
    <row r="37">
      <c r="A37" s="1"/>
      <c r="B37" s="1" t="s">
        <v>260</v>
      </c>
      <c r="C37" s="18">
        <v>9907</v>
      </c>
      <c r="D37" s="18">
        <v>9912</v>
      </c>
      <c r="E37" s="18">
        <v>9937</v>
      </c>
      <c r="F37" s="18">
        <v>9876</v>
      </c>
      <c r="G37" s="14">
        <f>SUMPRODUCT(C37:F37,C$7:F$7)/G$7</f>
        <v>9907.994520547945</v>
      </c>
      <c r="H37" s="18">
        <v>9826</v>
      </c>
      <c r="I37" s="18">
        <v>9866</v>
      </c>
      <c r="J37" s="27">
        <v>9880</v>
      </c>
      <c r="K37" s="1"/>
      <c r="L37" s="1"/>
      <c r="M37" s="1"/>
      <c r="N37" s="1"/>
      <c r="O37" s="1"/>
      <c r="P37" s="1"/>
    </row>
    <row r="38">
      <c r="A38" s="1"/>
      <c r="B38" s="6" t="s">
        <v>143</v>
      </c>
      <c r="C38" s="21"/>
      <c r="D38" s="21"/>
      <c r="E38" s="21"/>
      <c r="F38" s="21"/>
      <c r="G38" s="21"/>
      <c r="H38" s="21">
        <f>IF(AND(ISNUMBER(H37),ISNUMBER(C37)),IF(C37&lt;=0,"n.m.",IFERROR(H37/C37-1,"n.a.")),"n.a.")</f>
        <v>-0.008176037145452675</v>
      </c>
      <c r="I38" s="21">
        <f>IF(AND(ISNUMBER(I37),ISNUMBER(D37)),IF(D37&lt;=0,"n.m.",IFERROR(I37/D37-1,"n.a.")),"n.a.")</f>
        <v>-0.004640839386602091</v>
      </c>
      <c r="J38" s="29">
        <f>IF(AND(ISNUMBER(J37),ISNUMBER(E37)),IF(E37&lt;=0,"n.m.",IFERROR(J37/E37-1,"n.a.")),"n.a.")</f>
        <v>-0.005736137667303964</v>
      </c>
      <c r="K38" s="1"/>
      <c r="L38" s="1"/>
      <c r="M38" s="1"/>
      <c r="N38" s="1"/>
      <c r="O38" s="1"/>
      <c r="P38" s="1"/>
    </row>
    <row r="39">
      <c r="A39" s="1"/>
      <c r="B39" s="1" t="s">
        <v>162</v>
      </c>
      <c r="C39" s="14"/>
      <c r="D39" s="14">
        <f>IF(AND(ISNUMBER(D37),ISNUMBER(C37)),D37-C37,"n.a.")</f>
        <v>5</v>
      </c>
      <c r="E39" s="14">
        <f>IF(AND(ISNUMBER(E37),ISNUMBER(D37)),E37-D37,"n.a.")</f>
        <v>25</v>
      </c>
      <c r="F39" s="14">
        <f>IF(AND(ISNUMBER(F37),ISNUMBER(E37)),F37-E37,"n.a.")</f>
        <v>-61</v>
      </c>
      <c r="G39" s="14"/>
      <c r="H39" s="14">
        <f>IF(AND(ISNUMBER(H37),ISNUMBER(F37)),H37-F37,"n.a.")</f>
        <v>-50</v>
      </c>
      <c r="I39" s="14">
        <f>IF(AND(ISNUMBER(I37),ISNUMBER(H37)),I37-H37,"n.a.")</f>
        <v>40</v>
      </c>
      <c r="J39" s="10">
        <f>IF(AND(ISNUMBER(J37),ISNUMBER(I37)),J37-I37,"n.a.")</f>
        <v>14</v>
      </c>
      <c r="K39" s="1"/>
      <c r="L39" s="1"/>
      <c r="M39" s="1"/>
      <c r="N39" s="1"/>
      <c r="O39" s="1"/>
      <c r="P39" s="1"/>
    </row>
    <row r="40">
      <c r="A40" s="1"/>
      <c r="B40" s="1" t="s">
        <v>266</v>
      </c>
      <c r="C40" s="18">
        <v>3472</v>
      </c>
      <c r="D40" s="18">
        <v>3543</v>
      </c>
      <c r="E40" s="18">
        <v>3574</v>
      </c>
      <c r="F40" s="18">
        <v>3673</v>
      </c>
      <c r="G40" s="14">
        <f>SUMPRODUCT(C40:F40,C$7:F$7)/G$7</f>
        <v>3566.0739726027396</v>
      </c>
      <c r="H40" s="18">
        <v>3735</v>
      </c>
      <c r="I40" s="18">
        <v>3964</v>
      </c>
      <c r="J40" s="27">
        <v>4050</v>
      </c>
      <c r="K40" s="1"/>
      <c r="L40" s="1"/>
      <c r="M40" s="1"/>
      <c r="N40" s="1"/>
      <c r="O40" s="1"/>
      <c r="P40" s="1"/>
    </row>
    <row r="41">
      <c r="A41" s="1"/>
      <c r="B41" s="6" t="s">
        <v>143</v>
      </c>
      <c r="C41" s="21"/>
      <c r="D41" s="21"/>
      <c r="E41" s="21"/>
      <c r="F41" s="21"/>
      <c r="G41" s="21"/>
      <c r="H41" s="21">
        <f>IF(AND(ISNUMBER(H40),ISNUMBER(C40)),IF(C40&lt;=0,"n.m.",IFERROR(H40/C40-1,"n.a.")),"n.a.")</f>
        <v>0.07574884792626735</v>
      </c>
      <c r="I41" s="21">
        <f>IF(AND(ISNUMBER(I40),ISNUMBER(D40)),IF(D40&lt;=0,"n.m.",IFERROR(I40/D40-1,"n.a.")),"n.a.")</f>
        <v>0.1188258537962179</v>
      </c>
      <c r="J41" s="29">
        <f>IF(AND(ISNUMBER(J40),ISNUMBER(E40)),IF(E40&lt;=0,"n.m.",IFERROR(J40/E40-1,"n.a.")),"n.a.")</f>
        <v>0.1331841074426412</v>
      </c>
      <c r="K41" s="1"/>
      <c r="L41" s="1"/>
      <c r="M41" s="1"/>
      <c r="N41" s="1"/>
      <c r="O41" s="1"/>
      <c r="P41" s="1"/>
    </row>
    <row r="42">
      <c r="A42" s="1"/>
      <c r="B42" s="1" t="s">
        <v>162</v>
      </c>
      <c r="C42" s="14"/>
      <c r="D42" s="14">
        <f>IF(AND(ISNUMBER(D40),ISNUMBER(C40)),D40-C40,"n.a.")</f>
        <v>71</v>
      </c>
      <c r="E42" s="14">
        <f>IF(AND(ISNUMBER(E40),ISNUMBER(D40)),E40-D40,"n.a.")</f>
        <v>31</v>
      </c>
      <c r="F42" s="14">
        <f>IF(AND(ISNUMBER(F40),ISNUMBER(E40)),F40-E40,"n.a.")</f>
        <v>99</v>
      </c>
      <c r="G42" s="14"/>
      <c r="H42" s="14">
        <f>IF(AND(ISNUMBER(H40),ISNUMBER(F40)),H40-F40,"n.a.")</f>
        <v>62</v>
      </c>
      <c r="I42" s="14">
        <f>IF(AND(ISNUMBER(I40),ISNUMBER(H40)),I40-H40,"n.a.")</f>
        <v>229</v>
      </c>
      <c r="J42" s="10">
        <f>IF(AND(ISNUMBER(J40),ISNUMBER(I40)),J40-I40,"n.a.")</f>
        <v>86</v>
      </c>
      <c r="K42" s="1"/>
      <c r="L42" s="1"/>
      <c r="M42" s="1"/>
      <c r="N42" s="1"/>
      <c r="O42" s="1"/>
      <c r="P42" s="1"/>
    </row>
    <row r="43">
      <c r="A43" s="1"/>
      <c r="B43" s="7" t="s">
        <v>267</v>
      </c>
      <c r="C43" s="22">
        <f>C37+C40</f>
        <v>13379</v>
      </c>
      <c r="D43" s="22">
        <f>D37+D40</f>
        <v>13455</v>
      </c>
      <c r="E43" s="22">
        <f>E37+E40</f>
        <v>13511</v>
      </c>
      <c r="F43" s="22">
        <f>F37+F40</f>
        <v>13549</v>
      </c>
      <c r="G43" s="22">
        <f>G37+G40</f>
        <v>13474.068493150684</v>
      </c>
      <c r="H43" s="22">
        <f>H37+H40</f>
        <v>13561</v>
      </c>
      <c r="I43" s="22">
        <f>I37+I40</f>
        <v>13830</v>
      </c>
      <c r="J43" s="23">
        <f>J37+J40</f>
        <v>13930</v>
      </c>
      <c r="K43" s="1"/>
      <c r="L43" s="1"/>
      <c r="M43" s="1"/>
      <c r="N43" s="1"/>
      <c r="O43" s="1"/>
      <c r="P43" s="1"/>
    </row>
    <row r="44">
      <c r="A44" s="1"/>
      <c r="B44" s="6" t="s">
        <v>143</v>
      </c>
      <c r="C44" s="21"/>
      <c r="D44" s="21"/>
      <c r="E44" s="21"/>
      <c r="F44" s="21"/>
      <c r="G44" s="21"/>
      <c r="H44" s="21">
        <f>IF(AND(ISNUMBER(H43),ISNUMBER(C43)),IF(C43&lt;=0,"n.m.",IFERROR(H43/C43-1,"n.a.")),"n.a.")</f>
        <v>0.01360340832648177</v>
      </c>
      <c r="I44" s="21">
        <f>IF(AND(ISNUMBER(I43),ISNUMBER(D43)),IF(D43&lt;=0,"n.m.",IFERROR(I43/D43-1,"n.a.")),"n.a.")</f>
        <v>0.027870680044593144</v>
      </c>
      <c r="J44" s="29">
        <f>IF(AND(ISNUMBER(J43),ISNUMBER(E43)),IF(E43&lt;=0,"n.m.",IFERROR(J43/E43-1,"n.a.")),"n.a.")</f>
        <v>0.03101176818888307</v>
      </c>
      <c r="K44" s="1"/>
      <c r="L44" s="1"/>
      <c r="M44" s="1"/>
      <c r="N44" s="1"/>
      <c r="O44" s="1"/>
      <c r="P44" s="1"/>
    </row>
    <row r="45">
      <c r="A45" s="1"/>
      <c r="B45" s="1" t="s">
        <v>162</v>
      </c>
      <c r="C45" s="14"/>
      <c r="D45" s="14">
        <f>IF(AND(ISNUMBER(D43),ISNUMBER(C43)),D43-C43,"n.a.")</f>
        <v>76</v>
      </c>
      <c r="E45" s="14">
        <f>IF(AND(ISNUMBER(E43),ISNUMBER(D43)),E43-D43,"n.a.")</f>
        <v>56</v>
      </c>
      <c r="F45" s="14">
        <f>IF(AND(ISNUMBER(F43),ISNUMBER(E43)),F43-E43,"n.a.")</f>
        <v>38</v>
      </c>
      <c r="G45" s="14"/>
      <c r="H45" s="14">
        <f>IF(AND(ISNUMBER(H43),ISNUMBER(F43)),H43-F43,"n.a.")</f>
        <v>12</v>
      </c>
      <c r="I45" s="14">
        <f>IF(AND(ISNUMBER(I43),ISNUMBER(H43)),I43-H43,"n.a.")</f>
        <v>269</v>
      </c>
      <c r="J45" s="10">
        <f>IF(AND(ISNUMBER(J43),ISNUMBER(I43)),J43-I43,"n.a.")</f>
        <v>100</v>
      </c>
      <c r="K45" s="1"/>
      <c r="L45" s="1"/>
      <c r="M45" s="1"/>
      <c r="N45" s="1"/>
      <c r="O45" s="1"/>
      <c r="P45" s="1"/>
    </row>
    <row r="46">
      <c r="A46" s="1"/>
      <c r="B46" s="1" t="s">
        <v>369</v>
      </c>
      <c r="C46" s="18">
        <v>657</v>
      </c>
      <c r="D46" s="18">
        <v>731</v>
      </c>
      <c r="E46" s="18">
        <v>659</v>
      </c>
      <c r="F46" s="18">
        <v>566</v>
      </c>
      <c r="G46" s="14">
        <f>SUMPRODUCT(C46:F46,C$7:F$7)/G$7</f>
        <v>653.0164383561644</v>
      </c>
      <c r="H46" s="18">
        <v>835</v>
      </c>
      <c r="I46" s="18">
        <v>814</v>
      </c>
      <c r="J46" s="27">
        <v>830</v>
      </c>
      <c r="K46" s="1"/>
      <c r="L46" s="1"/>
      <c r="M46" s="1"/>
      <c r="N46" s="1"/>
      <c r="O46" s="1"/>
      <c r="P46" s="1"/>
    </row>
    <row r="47">
      <c r="A47" s="1"/>
      <c r="B47" s="6" t="s">
        <v>143</v>
      </c>
      <c r="C47" s="21"/>
      <c r="D47" s="21"/>
      <c r="E47" s="21"/>
      <c r="F47" s="21"/>
      <c r="G47" s="21"/>
      <c r="H47" s="21">
        <f>IF(AND(ISNUMBER(H46),ISNUMBER(C46)),IF(C46&lt;=0,"n.m.",IFERROR(H46/C46-1,"n.a.")),"n.a.")</f>
        <v>0.2709284627092847</v>
      </c>
      <c r="I47" s="21">
        <f>IF(AND(ISNUMBER(I46),ISNUMBER(D46)),IF(D46&lt;=0,"n.m.",IFERROR(I46/D46-1,"n.a.")),"n.a.")</f>
        <v>0.11354309165526666</v>
      </c>
      <c r="J47" s="29">
        <f>IF(AND(ISNUMBER(J46),ISNUMBER(E46)),IF(E46&lt;=0,"n.m.",IFERROR(J46/E46-1,"n.a.")),"n.a.")</f>
        <v>0.25948406676783</v>
      </c>
      <c r="K47" s="1"/>
      <c r="L47" s="1"/>
      <c r="M47" s="1"/>
      <c r="N47" s="1"/>
      <c r="O47" s="1"/>
      <c r="P47" s="1"/>
    </row>
    <row r="48">
      <c r="A48" s="1"/>
      <c r="B48" s="1" t="s">
        <v>162</v>
      </c>
      <c r="C48" s="14"/>
      <c r="D48" s="14">
        <f>IF(AND(ISNUMBER(D46),ISNUMBER(C46)),D46-C46,"n.a.")</f>
        <v>74</v>
      </c>
      <c r="E48" s="14">
        <f>IF(AND(ISNUMBER(E46),ISNUMBER(D46)),E46-D46,"n.a.")</f>
        <v>-72</v>
      </c>
      <c r="F48" s="14">
        <f>IF(AND(ISNUMBER(F46),ISNUMBER(E46)),F46-E46,"n.a.")</f>
        <v>-93</v>
      </c>
      <c r="G48" s="14"/>
      <c r="H48" s="14">
        <f>IF(AND(ISNUMBER(H46),ISNUMBER(F46)),H46-F46,"n.a.")</f>
        <v>269</v>
      </c>
      <c r="I48" s="14">
        <f>IF(AND(ISNUMBER(I46),ISNUMBER(H46)),I46-H46,"n.a.")</f>
        <v>-21</v>
      </c>
      <c r="J48" s="10">
        <f>IF(AND(ISNUMBER(J46),ISNUMBER(I46)),J46-I46,"n.a.")</f>
        <v>16</v>
      </c>
      <c r="K48" s="1"/>
      <c r="L48" s="1"/>
      <c r="M48" s="1"/>
      <c r="N48" s="1"/>
      <c r="O48" s="1"/>
      <c r="P48" s="1"/>
    </row>
    <row r="49">
      <c r="A49" s="1"/>
      <c r="B49" s="7" t="s">
        <v>269</v>
      </c>
      <c r="C49" s="22">
        <f>C43+C46</f>
        <v>14036</v>
      </c>
      <c r="D49" s="22">
        <f>D43+D46</f>
        <v>14186</v>
      </c>
      <c r="E49" s="22">
        <f>E43+E46</f>
        <v>14170</v>
      </c>
      <c r="F49" s="22">
        <f>F43+F46</f>
        <v>14115</v>
      </c>
      <c r="G49" s="22">
        <f>G43+G46</f>
        <v>14127.084931506848</v>
      </c>
      <c r="H49" s="22">
        <f>H43+H46</f>
        <v>14396</v>
      </c>
      <c r="I49" s="22">
        <f>I43+I46</f>
        <v>14644</v>
      </c>
      <c r="J49" s="23">
        <f>J43+J46</f>
        <v>14760</v>
      </c>
      <c r="K49" s="1"/>
      <c r="L49" s="1"/>
      <c r="M49" s="1"/>
      <c r="N49" s="1"/>
      <c r="O49" s="1"/>
      <c r="P49" s="1"/>
    </row>
    <row r="50">
      <c r="A50" s="1"/>
      <c r="B50" s="6" t="s">
        <v>143</v>
      </c>
      <c r="C50" s="21"/>
      <c r="D50" s="21"/>
      <c r="E50" s="21"/>
      <c r="F50" s="21"/>
      <c r="G50" s="21"/>
      <c r="H50" s="21">
        <f>IF(AND(ISNUMBER(H49),ISNUMBER(C49)),IF(C49&lt;=0,"n.m.",IFERROR(H49/C49-1,"n.a.")),"n.a.")</f>
        <v>0.025648332858364098</v>
      </c>
      <c r="I50" s="21">
        <f>IF(AND(ISNUMBER(I49),ISNUMBER(D49)),IF(D49&lt;=0,"n.m.",IFERROR(I49/D49-1,"n.a.")),"n.a.")</f>
        <v>0.03228535175525171</v>
      </c>
      <c r="J50" s="29">
        <f>IF(AND(ISNUMBER(J49),ISNUMBER(E49)),IF(E49&lt;=0,"n.m.",IFERROR(J49/E49-1,"n.a.")),"n.a.")</f>
        <v>0.04163726182074812</v>
      </c>
      <c r="K50" s="1"/>
      <c r="L50" s="1"/>
      <c r="M50" s="1"/>
      <c r="N50" s="1"/>
      <c r="O50" s="1"/>
      <c r="P50" s="1"/>
    </row>
    <row r="51">
      <c r="A51" s="1"/>
      <c r="B51" s="6" t="s">
        <v>144</v>
      </c>
      <c r="C51" s="21"/>
      <c r="D51" s="21">
        <f>IF(AND(ISNUMBER(D49),ISNUMBER(C49)),IF(C49&lt;=0,"n.m.",IFERROR(D49/C49-1,"n.a.")),"n.a.")</f>
        <v>0.010686805357651652</v>
      </c>
      <c r="E51" s="21">
        <f>IF(AND(ISNUMBER(E49),ISNUMBER(D49)),IF(D49&lt;=0,"n.m.",IFERROR(E49/D49-1,"n.a.")),"n.a.")</f>
        <v>-0.0011278725504018094</v>
      </c>
      <c r="F51" s="21">
        <f>IF(AND(ISNUMBER(F49),ISNUMBER(E49)),IF(E49&lt;=0,"n.m.",IFERROR(F49/E49-1,"n.a.")),"n.a.")</f>
        <v>-0.003881439661256203</v>
      </c>
      <c r="G51" s="21"/>
      <c r="H51" s="21">
        <f>IF(AND(ISNUMBER(H49),ISNUMBER(F49)),IF(F49&lt;=0,"n.m.",IFERROR(H49/F49-1,"n.a.")),"n.a.")</f>
        <v>0.019907899397803686</v>
      </c>
      <c r="I51" s="21">
        <f>IF(AND(ISNUMBER(I49),ISNUMBER(H49)),IF(H49&lt;=0,"n.m.",IFERROR(I49/H49-1,"n.a.")),"n.a.")</f>
        <v>0.017227007502083946</v>
      </c>
      <c r="J51" s="29">
        <f>IF(AND(ISNUMBER(J49),ISNUMBER(I49)),IF(I49&lt;=0,"n.m.",IFERROR(J49/I49-1,"n.a.")),"n.a.")</f>
        <v>0.00792133296913411</v>
      </c>
      <c r="K51" s="1"/>
      <c r="L51" s="1"/>
      <c r="M51" s="1"/>
      <c r="N51" s="1"/>
      <c r="O51" s="1"/>
      <c r="P51" s="1"/>
    </row>
    <row r="52">
      <c r="A52" s="1"/>
      <c r="B52" s="1" t="s">
        <v>162</v>
      </c>
      <c r="C52" s="14"/>
      <c r="D52" s="14">
        <f>IF(AND(ISNUMBER(D49),ISNUMBER(C49)),D49-C49,"n.a.")</f>
        <v>150</v>
      </c>
      <c r="E52" s="14">
        <f>IF(AND(ISNUMBER(E49),ISNUMBER(D49)),E49-D49,"n.a.")</f>
        <v>-16</v>
      </c>
      <c r="F52" s="14">
        <f>IF(AND(ISNUMBER(F49),ISNUMBER(E49)),F49-E49,"n.a.")</f>
        <v>-55</v>
      </c>
      <c r="G52" s="14"/>
      <c r="H52" s="14">
        <f>IF(AND(ISNUMBER(H49),ISNUMBER(F49)),H49-F49,"n.a.")</f>
        <v>281</v>
      </c>
      <c r="I52" s="14">
        <f>IF(AND(ISNUMBER(I49),ISNUMBER(H49)),I49-H49,"n.a.")</f>
        <v>248</v>
      </c>
      <c r="J52" s="10">
        <f>IF(AND(ISNUMBER(J49),ISNUMBER(I49)),J49-I49,"n.a.")</f>
        <v>116</v>
      </c>
      <c r="K52" s="1"/>
      <c r="L52" s="1"/>
      <c r="M52" s="1"/>
      <c r="N52" s="1"/>
      <c r="O52" s="1"/>
      <c r="P52" s="1"/>
    </row>
    <row r="53">
      <c r="A53" s="1"/>
      <c r="B53" s="1" t="s">
        <v>271</v>
      </c>
      <c r="C53" s="18">
        <v>1540</v>
      </c>
      <c r="D53" s="18">
        <v>1585</v>
      </c>
      <c r="E53" s="18">
        <v>1426</v>
      </c>
      <c r="F53" s="18">
        <v>1387</v>
      </c>
      <c r="G53" s="14">
        <f>SUMPRODUCT(C53:F53,C$7:F$7)/G$7</f>
        <v>1483.9205479452055</v>
      </c>
      <c r="H53" s="18">
        <v>1411</v>
      </c>
      <c r="I53" s="18">
        <v>1459</v>
      </c>
      <c r="J53" s="27">
        <v>1450</v>
      </c>
      <c r="K53" s="1"/>
      <c r="L53" s="1"/>
      <c r="M53" s="1"/>
      <c r="N53" s="1"/>
      <c r="O53" s="1"/>
      <c r="P53" s="1"/>
    </row>
    <row r="54">
      <c r="A54" s="1"/>
      <c r="B54" s="6" t="s">
        <v>143</v>
      </c>
      <c r="C54" s="21"/>
      <c r="D54" s="21"/>
      <c r="E54" s="21"/>
      <c r="F54" s="21"/>
      <c r="G54" s="21"/>
      <c r="H54" s="21">
        <f>IF(AND(ISNUMBER(H53),ISNUMBER(C53)),IF(C53&lt;=0,"n.m.",IFERROR(H53/C53-1,"n.a.")),"n.a.")</f>
        <v>-0.08376623376623371</v>
      </c>
      <c r="I54" s="21">
        <f>IF(AND(ISNUMBER(I53),ISNUMBER(D53)),IF(D53&lt;=0,"n.m.",IFERROR(I53/D53-1,"n.a.")),"n.a.")</f>
        <v>-0.07949526813880126</v>
      </c>
      <c r="J54" s="29">
        <f>IF(AND(ISNUMBER(J53),ISNUMBER(E53)),IF(E53&lt;=0,"n.m.",IFERROR(J53/E53-1,"n.a.")),"n.a.")</f>
        <v>0.016830294530154388</v>
      </c>
      <c r="K54" s="1"/>
      <c r="L54" s="1"/>
      <c r="M54" s="1"/>
      <c r="N54" s="1"/>
      <c r="O54" s="1"/>
      <c r="P54" s="1"/>
    </row>
    <row r="55">
      <c r="A55" s="1"/>
      <c r="B55" s="1" t="s">
        <v>162</v>
      </c>
      <c r="C55" s="14"/>
      <c r="D55" s="14">
        <f>IF(AND(ISNUMBER(D53),ISNUMBER(C53)),D53-C53,"n.a.")</f>
        <v>45</v>
      </c>
      <c r="E55" s="14">
        <f>IF(AND(ISNUMBER(E53),ISNUMBER(D53)),E53-D53,"n.a.")</f>
        <v>-159</v>
      </c>
      <c r="F55" s="14">
        <f>IF(AND(ISNUMBER(F53),ISNUMBER(E53)),F53-E53,"n.a.")</f>
        <v>-39</v>
      </c>
      <c r="G55" s="14"/>
      <c r="H55" s="14">
        <f>IF(AND(ISNUMBER(H53),ISNUMBER(F53)),H53-F53,"n.a.")</f>
        <v>24</v>
      </c>
      <c r="I55" s="14">
        <f>IF(AND(ISNUMBER(I53),ISNUMBER(H53)),I53-H53,"n.a.")</f>
        <v>48</v>
      </c>
      <c r="J55" s="10">
        <f>IF(AND(ISNUMBER(J53),ISNUMBER(I53)),J53-I53,"n.a.")</f>
        <v>-9</v>
      </c>
      <c r="K55" s="1"/>
      <c r="L55" s="1"/>
      <c r="M55" s="1"/>
      <c r="N55" s="1"/>
      <c r="O55" s="1"/>
      <c r="P55" s="1"/>
    </row>
    <row r="56">
      <c r="A56" s="1"/>
      <c r="B56" s="1" t="s">
        <v>272</v>
      </c>
      <c r="C56" s="18">
        <v>26106</v>
      </c>
      <c r="D56" s="18">
        <v>25327</v>
      </c>
      <c r="E56" s="18">
        <v>25437</v>
      </c>
      <c r="F56" s="18">
        <v>25564</v>
      </c>
      <c r="G56" s="14">
        <f>SUMPRODUCT(C56:F56,C$7:F$7)/G$7</f>
        <v>25606.54520547945</v>
      </c>
      <c r="H56" s="18">
        <v>26310</v>
      </c>
      <c r="I56" s="18">
        <v>25575</v>
      </c>
      <c r="J56" s="27">
        <v>25600</v>
      </c>
      <c r="K56" s="1"/>
      <c r="L56" s="1"/>
      <c r="M56" s="1"/>
      <c r="N56" s="1"/>
      <c r="O56" s="1"/>
      <c r="P56" s="1"/>
    </row>
    <row r="57">
      <c r="A57" s="1"/>
      <c r="B57" s="6" t="s">
        <v>143</v>
      </c>
      <c r="C57" s="21"/>
      <c r="D57" s="21"/>
      <c r="E57" s="21"/>
      <c r="F57" s="21"/>
      <c r="G57" s="21"/>
      <c r="H57" s="21">
        <f>IF(AND(ISNUMBER(H56),ISNUMBER(C56)),IF(C56&lt;=0,"n.m.",IFERROR(H56/C56-1,"n.a.")),"n.a.")</f>
        <v>0.007814295564238183</v>
      </c>
      <c r="I57" s="21">
        <f>IF(AND(ISNUMBER(I56),ISNUMBER(D56)),IF(D56&lt;=0,"n.m.",IFERROR(I56/D56-1,"n.a.")),"n.a.")</f>
        <v>0.009791921664626724</v>
      </c>
      <c r="J57" s="29">
        <f>IF(AND(ISNUMBER(J56),ISNUMBER(E56)),IF(E56&lt;=0,"n.m.",IFERROR(J56/E56-1,"n.a.")),"n.a.")</f>
        <v>0.006407988363407613</v>
      </c>
      <c r="K57" s="1"/>
      <c r="L57" s="1"/>
      <c r="M57" s="1"/>
      <c r="N57" s="1"/>
      <c r="O57" s="1"/>
      <c r="P57" s="1"/>
    </row>
    <row r="58">
      <c r="A58" s="1"/>
      <c r="B58" s="1" t="s">
        <v>162</v>
      </c>
      <c r="C58" s="14"/>
      <c r="D58" s="14">
        <f>IF(AND(ISNUMBER(D56),ISNUMBER(C56)),D56-C56,"n.a.")</f>
        <v>-779</v>
      </c>
      <c r="E58" s="14">
        <f>IF(AND(ISNUMBER(E56),ISNUMBER(D56)),E56-D56,"n.a.")</f>
        <v>110</v>
      </c>
      <c r="F58" s="14">
        <f>IF(AND(ISNUMBER(F56),ISNUMBER(E56)),F56-E56,"n.a.")</f>
        <v>127</v>
      </c>
      <c r="G58" s="14"/>
      <c r="H58" s="14">
        <f>IF(AND(ISNUMBER(H56),ISNUMBER(F56)),H56-F56,"n.a.")</f>
        <v>746</v>
      </c>
      <c r="I58" s="14">
        <f>IF(AND(ISNUMBER(I56),ISNUMBER(H56)),I56-H56,"n.a.")</f>
        <v>-735</v>
      </c>
      <c r="J58" s="10">
        <f>IF(AND(ISNUMBER(J56),ISNUMBER(I56)),J56-I56,"n.a.")</f>
        <v>25</v>
      </c>
      <c r="K58" s="1"/>
      <c r="L58" s="1"/>
      <c r="M58" s="1"/>
      <c r="N58" s="1"/>
      <c r="O58" s="1"/>
      <c r="P58" s="1"/>
    </row>
    <row r="59">
      <c r="A59" s="1"/>
      <c r="B59" s="7" t="s">
        <v>273</v>
      </c>
      <c r="C59" s="22">
        <f>C53+C56</f>
        <v>27646</v>
      </c>
      <c r="D59" s="22">
        <f>D53+D56</f>
        <v>26912</v>
      </c>
      <c r="E59" s="22">
        <f>E53+E56</f>
        <v>26863</v>
      </c>
      <c r="F59" s="22">
        <f>F53+F56</f>
        <v>26951</v>
      </c>
      <c r="G59" s="22">
        <f>G53+G56</f>
        <v>27090.465753424658</v>
      </c>
      <c r="H59" s="22">
        <f>H53+H56</f>
        <v>27721</v>
      </c>
      <c r="I59" s="22">
        <f>I53+I56</f>
        <v>27034</v>
      </c>
      <c r="J59" s="23">
        <f>J53+J56</f>
        <v>27050</v>
      </c>
      <c r="K59" s="1"/>
      <c r="L59" s="1"/>
      <c r="M59" s="1"/>
      <c r="N59" s="1"/>
      <c r="O59" s="1"/>
      <c r="P59" s="1"/>
    </row>
    <row r="60">
      <c r="A60" s="1"/>
      <c r="B60" s="6" t="s">
        <v>143</v>
      </c>
      <c r="C60" s="21"/>
      <c r="D60" s="21"/>
      <c r="E60" s="21"/>
      <c r="F60" s="21"/>
      <c r="G60" s="21"/>
      <c r="H60" s="21">
        <f>IF(AND(ISNUMBER(H59),ISNUMBER(C59)),IF(C59&lt;=0,"n.m.",IFERROR(H59/C59-1,"n.a.")),"n.a.")</f>
        <v>0.002712869854590183</v>
      </c>
      <c r="I60" s="21">
        <f>IF(AND(ISNUMBER(I59),ISNUMBER(D59)),IF(D59&lt;=0,"n.m.",IFERROR(I59/D59-1,"n.a.")),"n.a.")</f>
        <v>0.004533293697978502</v>
      </c>
      <c r="J60" s="29">
        <f>IF(AND(ISNUMBER(J59),ISNUMBER(E59)),IF(E59&lt;=0,"n.m.",IFERROR(J59/E59-1,"n.a.")),"n.a.")</f>
        <v>0.006961247812977023</v>
      </c>
      <c r="K60" s="1"/>
      <c r="L60" s="1"/>
      <c r="M60" s="1"/>
      <c r="N60" s="1"/>
      <c r="O60" s="1"/>
      <c r="P60" s="1"/>
    </row>
    <row r="61">
      <c r="A61" s="1"/>
      <c r="B61" s="6" t="s">
        <v>144</v>
      </c>
      <c r="C61" s="21"/>
      <c r="D61" s="21">
        <f>IF(AND(ISNUMBER(D59),ISNUMBER(C59)),IF(C59&lt;=0,"n.m.",IFERROR(D59/C59-1,"n.a.")),"n.a.")</f>
        <v>-0.02654995297692253</v>
      </c>
      <c r="E61" s="21">
        <f>IF(AND(ISNUMBER(E59),ISNUMBER(D59)),IF(D59&lt;=0,"n.m.",IFERROR(E59/D59-1,"n.a.")),"n.a.")</f>
        <v>-0.0018207491082045113</v>
      </c>
      <c r="F61" s="21">
        <f>IF(AND(ISNUMBER(F59),ISNUMBER(E59)),IF(E59&lt;=0,"n.m.",IFERROR(F59/E59-1,"n.a.")),"n.a.")</f>
        <v>0.003275881323753893</v>
      </c>
      <c r="G61" s="21"/>
      <c r="H61" s="21">
        <f>IF(AND(ISNUMBER(H59),ISNUMBER(F59)),IF(F59&lt;=0,"n.m.",IFERROR(H59/F59-1,"n.a.")),"n.a.")</f>
        <v>0.028570368446439787</v>
      </c>
      <c r="I61" s="21">
        <f>IF(AND(ISNUMBER(I59),ISNUMBER(H59)),IF(H59&lt;=0,"n.m.",IFERROR(I59/H59-1,"n.a.")),"n.a.")</f>
        <v>-0.02478265574834959</v>
      </c>
      <c r="J61" s="29">
        <f>IF(AND(ISNUMBER(J59),ISNUMBER(I59)),IF(I59&lt;=0,"n.m.",IFERROR(J59/I59-1,"n.a.")),"n.a.")</f>
        <v>0.0005918473033956761</v>
      </c>
      <c r="K61" s="1"/>
      <c r="L61" s="1"/>
      <c r="M61" s="1"/>
      <c r="N61" s="1"/>
      <c r="O61" s="1"/>
      <c r="P61" s="1"/>
    </row>
    <row r="62">
      <c r="A62" s="1"/>
      <c r="B62" s="1" t="s">
        <v>162</v>
      </c>
      <c r="C62" s="14"/>
      <c r="D62" s="14">
        <f>IF(AND(ISNUMBER(D59),ISNUMBER(C59)),D59-C59,"n.a.")</f>
        <v>-734</v>
      </c>
      <c r="E62" s="14">
        <f>IF(AND(ISNUMBER(E59),ISNUMBER(D59)),E59-D59,"n.a.")</f>
        <v>-49</v>
      </c>
      <c r="F62" s="14">
        <f>IF(AND(ISNUMBER(F59),ISNUMBER(E59)),F59-E59,"n.a.")</f>
        <v>88</v>
      </c>
      <c r="G62" s="14"/>
      <c r="H62" s="14">
        <f>IF(AND(ISNUMBER(H59),ISNUMBER(F59)),H59-F59,"n.a.")</f>
        <v>770</v>
      </c>
      <c r="I62" s="14">
        <f>IF(AND(ISNUMBER(I59),ISNUMBER(H59)),I59-H59,"n.a.")</f>
        <v>-687</v>
      </c>
      <c r="J62" s="10">
        <f>IF(AND(ISNUMBER(J59),ISNUMBER(I59)),J59-I59,"n.a.")</f>
        <v>16</v>
      </c>
      <c r="K62" s="1"/>
      <c r="L62" s="1"/>
      <c r="M62" s="1"/>
      <c r="N62" s="1"/>
      <c r="O62" s="1"/>
      <c r="P62" s="1"/>
    </row>
    <row r="63">
      <c r="A63" s="1"/>
      <c r="B63" s="7" t="s">
        <v>275</v>
      </c>
      <c r="C63" s="22">
        <f>C49+C59</f>
        <v>41682</v>
      </c>
      <c r="D63" s="22">
        <f>D49+D59</f>
        <v>41098</v>
      </c>
      <c r="E63" s="22">
        <f>E49+E59</f>
        <v>41033</v>
      </c>
      <c r="F63" s="22">
        <f>F49+F59</f>
        <v>41066</v>
      </c>
      <c r="G63" s="22">
        <f>G49+G59</f>
        <v>41217.550684931506</v>
      </c>
      <c r="H63" s="22">
        <f>H49+H59</f>
        <v>42117</v>
      </c>
      <c r="I63" s="22">
        <f>I49+I59</f>
        <v>41678</v>
      </c>
      <c r="J63" s="23">
        <f>J49+J59</f>
        <v>41810</v>
      </c>
      <c r="K63" s="1"/>
      <c r="L63" s="1"/>
      <c r="M63" s="1"/>
      <c r="N63" s="1"/>
      <c r="O63" s="1"/>
      <c r="P63" s="1"/>
    </row>
    <row r="64">
      <c r="A64" s="1"/>
      <c r="B64" s="6" t="s">
        <v>143</v>
      </c>
      <c r="C64" s="21"/>
      <c r="D64" s="21"/>
      <c r="E64" s="21"/>
      <c r="F64" s="21"/>
      <c r="G64" s="21"/>
      <c r="H64" s="21">
        <f>IF(AND(ISNUMBER(H63),ISNUMBER(C63)),IF(C63&lt;=0,"n.m.",IFERROR(H63/C63-1,"n.a.")),"n.a.")</f>
        <v>0.010436159493306452</v>
      </c>
      <c r="I64" s="21">
        <f>IF(AND(ISNUMBER(I63),ISNUMBER(D63)),IF(D63&lt;=0,"n.m.",IFERROR(I63/D63-1,"n.a.")),"n.a.")</f>
        <v>0.014112608886077238</v>
      </c>
      <c r="J64" s="29">
        <f>IF(AND(ISNUMBER(J63),ISNUMBER(E63)),IF(E63&lt;=0,"n.m.",IFERROR(J63/E63-1,"n.a.")),"n.a.")</f>
        <v>0.018935978358881833</v>
      </c>
      <c r="K64" s="1"/>
      <c r="L64" s="1"/>
      <c r="M64" s="1"/>
      <c r="N64" s="1"/>
      <c r="O64" s="1"/>
      <c r="P64" s="1"/>
    </row>
    <row r="65">
      <c r="A65" s="1"/>
      <c r="B65" s="1" t="s">
        <v>162</v>
      </c>
      <c r="C65" s="14"/>
      <c r="D65" s="14">
        <f>IF(AND(ISNUMBER(D63),ISNUMBER(C63)),D63-C63,"n.a.")</f>
        <v>-584</v>
      </c>
      <c r="E65" s="14">
        <f>IF(AND(ISNUMBER(E63),ISNUMBER(D63)),E63-D63,"n.a.")</f>
        <v>-65</v>
      </c>
      <c r="F65" s="14">
        <f>IF(AND(ISNUMBER(F63),ISNUMBER(E63)),F63-E63,"n.a.")</f>
        <v>33</v>
      </c>
      <c r="G65" s="14"/>
      <c r="H65" s="14">
        <f>IF(AND(ISNUMBER(H63),ISNUMBER(F63)),H63-F63,"n.a.")</f>
        <v>1051</v>
      </c>
      <c r="I65" s="14">
        <f>IF(AND(ISNUMBER(I63),ISNUMBER(H63)),I63-H63,"n.a.")</f>
        <v>-439</v>
      </c>
      <c r="J65" s="10">
        <f>IF(AND(ISNUMBER(J63),ISNUMBER(I63)),J63-I63,"n.a.")</f>
        <v>132</v>
      </c>
      <c r="K65" s="1"/>
      <c r="L65" s="1"/>
      <c r="M65" s="1"/>
      <c r="N65" s="1"/>
      <c r="O65" s="1"/>
      <c r="P65" s="1"/>
    </row>
    <row r="66">
      <c r="A66" s="1"/>
      <c r="B66" s="32" t="s">
        <v>370</v>
      </c>
      <c r="C66" s="11"/>
      <c r="D66" s="11"/>
      <c r="E66" s="11"/>
      <c r="F66" s="11"/>
      <c r="G66" s="11"/>
      <c r="H66" s="11"/>
      <c r="I66" s="11"/>
      <c r="J66" s="30"/>
      <c r="K66" s="1"/>
      <c r="L66" s="1"/>
      <c r="M66" s="1"/>
      <c r="N66" s="1"/>
      <c r="O66" s="1"/>
      <c r="P66" s="1"/>
    </row>
    <row r="67" ht="28.5">
      <c r="A67" s="1"/>
      <c r="B67" s="6" t="s">
        <v>276</v>
      </c>
      <c r="C67" s="26">
        <f>C70/C63*365/C$7</f>
        <v>0.0173189599560695</v>
      </c>
      <c r="D67" s="26">
        <f>D70/D63*365/D$7</f>
        <v>0.017957612974402112</v>
      </c>
      <c r="E67" s="26">
        <f>E70/E63*365/E$7</f>
        <v>0.0173071197201828</v>
      </c>
      <c r="F67" s="26">
        <f>F70/F63*365/F$7</f>
        <v>0.01777626260166561</v>
      </c>
      <c r="G67" s="26">
        <f>G70/G63*365/G$7</f>
        <v>0.01758959443131221</v>
      </c>
      <c r="H67" s="26">
        <f>H70/H63*365/H$7</f>
        <v>0.018584472356108512</v>
      </c>
      <c r="I67" s="26">
        <f>I70/I63*365/I$7</f>
        <v>0.01838137389267482</v>
      </c>
      <c r="J67" s="54">
        <f>I67+J68/10000</f>
        <v>0.01838137389267482</v>
      </c>
      <c r="K67" s="134" t="s">
        <v>277</v>
      </c>
      <c r="L67" s="1"/>
      <c r="M67" s="1"/>
      <c r="N67" s="1"/>
      <c r="O67" s="1"/>
      <c r="P67" s="1"/>
    </row>
    <row r="68">
      <c r="A68" s="1"/>
      <c r="B68" s="6" t="s">
        <v>186</v>
      </c>
      <c r="C68" s="20"/>
      <c r="D68" s="20">
        <f>IF(AND(ISNUMBER(D67),ISNUMBER(C67)),(D67-C67)*10000,"n.a.")</f>
        <v>6.386530183326126</v>
      </c>
      <c r="E68" s="20">
        <f>IF(AND(ISNUMBER(E67),ISNUMBER(D67)),(E67-D67)*10000,"n.a.")</f>
        <v>-6.5049325421931075</v>
      </c>
      <c r="F68" s="20">
        <f>IF(AND(ISNUMBER(F67),ISNUMBER(E67)),(F67-E67)*10000,"n.a.")</f>
        <v>4.691428814828091</v>
      </c>
      <c r="G68" s="20"/>
      <c r="H68" s="20">
        <f>IF(AND(ISNUMBER(H67),ISNUMBER(F67)),(H67-F67)*10000,"n.a.")</f>
        <v>8.082097544429011</v>
      </c>
      <c r="I68" s="20">
        <f>IF(AND(ISNUMBER(I67),ISNUMBER(H67)),(I67-H67)*10000,"n.a.")</f>
        <v>-2.0309846343369298</v>
      </c>
      <c r="J68" s="72">
        <v>0</v>
      </c>
      <c r="K68" s="1"/>
      <c r="L68" s="1"/>
      <c r="M68" s="1"/>
      <c r="N68" s="1"/>
      <c r="O68" s="1"/>
      <c r="P68" s="1"/>
    </row>
    <row r="69">
      <c r="A69" s="1"/>
      <c r="B69" s="6" t="s">
        <v>187</v>
      </c>
      <c r="C69" s="20"/>
      <c r="D69" s="20"/>
      <c r="E69" s="20"/>
      <c r="F69" s="20"/>
      <c r="G69" s="20"/>
      <c r="H69" s="20">
        <f>IF(AND(ISNUMBER(H67),ISNUMBER(C67)),(H67-C67)*10000,"n.a.")</f>
        <v>12.655124000390122</v>
      </c>
      <c r="I69" s="20">
        <f>IF(AND(ISNUMBER(I67),ISNUMBER(D67)),(I67-D67)*10000,"n.a.")</f>
        <v>4.237609182727066</v>
      </c>
      <c r="J69" s="48">
        <f>IF(AND(ISNUMBER(J67),ISNUMBER(E67)),(J67-E67)*10000,"n.a.")</f>
        <v>10.742541724920173</v>
      </c>
      <c r="K69" s="1"/>
      <c r="L69" s="1"/>
      <c r="M69" s="1"/>
      <c r="N69" s="1"/>
      <c r="O69" s="1"/>
      <c r="P69" s="1"/>
    </row>
    <row r="70" ht="28.5">
      <c r="A70" s="1"/>
      <c r="B70" s="7" t="s">
        <v>227</v>
      </c>
      <c r="C70" s="74">
        <f>Inputs!C176-D70</f>
        <v>178</v>
      </c>
      <c r="D70" s="31">
        <v>184</v>
      </c>
      <c r="E70" s="31">
        <v>179</v>
      </c>
      <c r="F70" s="31">
        <v>184</v>
      </c>
      <c r="G70" s="24">
        <f>SUM(C70:F70)</f>
        <v>725</v>
      </c>
      <c r="H70" s="31">
        <v>193</v>
      </c>
      <c r="I70" s="31">
        <v>191</v>
      </c>
      <c r="J70" s="51">
        <f>J63*J67*J$7/365</f>
        <v>193.71047207027823</v>
      </c>
      <c r="K70" s="134" t="s">
        <v>278</v>
      </c>
      <c r="L70" s="1"/>
      <c r="M70" s="1"/>
      <c r="N70" s="1"/>
      <c r="O70" s="1"/>
      <c r="P70" s="1"/>
    </row>
    <row r="71">
      <c r="A71" s="1"/>
      <c r="B71" s="6" t="s">
        <v>143</v>
      </c>
      <c r="C71" s="21"/>
      <c r="D71" s="21"/>
      <c r="E71" s="21"/>
      <c r="F71" s="21"/>
      <c r="G71" s="21"/>
      <c r="H71" s="21">
        <f>IF(AND(ISNUMBER(H70),ISNUMBER(C70)),IF(C70&lt;=0,"n.m.",IFERROR(H70/C70-1,"n.a.")),"n.a.")</f>
        <v>0.08426966292134841</v>
      </c>
      <c r="I71" s="21">
        <f>IF(AND(ISNUMBER(I70),ISNUMBER(D70)),IF(D70&lt;=0,"n.m.",IFERROR(I70/D70-1,"n.a.")),"n.a.")</f>
        <v>0.03804347826086962</v>
      </c>
      <c r="J71" s="29">
        <f>IF(AND(ISNUMBER(J70),ISNUMBER(E70)),IF(E70&lt;=0,"n.m.",IFERROR(J70/E70-1,"n.a.")),"n.a.")</f>
        <v>0.08218140821384479</v>
      </c>
      <c r="K71" s="1"/>
      <c r="L71" s="1"/>
      <c r="M71" s="1"/>
      <c r="N71" s="1"/>
      <c r="O71" s="1"/>
      <c r="P71" s="1"/>
    </row>
    <row r="72">
      <c r="A72" s="1"/>
      <c r="B72" s="6" t="s">
        <v>144</v>
      </c>
      <c r="C72" s="21"/>
      <c r="D72" s="21">
        <f>IF(AND(ISNUMBER(D70),ISNUMBER(C70)),IF(C70&lt;=0,"n.m.",IFERROR(D70/C70-1,"n.a.")),"n.a.")</f>
        <v>0.03370786516853941</v>
      </c>
      <c r="E72" s="21">
        <f>IF(AND(ISNUMBER(E70),ISNUMBER(D70)),IF(D70&lt;=0,"n.m.",IFERROR(E70/D70-1,"n.a.")),"n.a.")</f>
        <v>-0.02717391304347827</v>
      </c>
      <c r="F72" s="21">
        <f>IF(AND(ISNUMBER(F70),ISNUMBER(E70)),IF(E70&lt;=0,"n.m.",IFERROR(F70/E70-1,"n.a.")),"n.a.")</f>
        <v>0.027932960893854775</v>
      </c>
      <c r="G72" s="21"/>
      <c r="H72" s="21">
        <f>IF(AND(ISNUMBER(H70),ISNUMBER(F70)),IF(F70&lt;=0,"n.m.",IFERROR(H70/F70-1,"n.a.")),"n.a.")</f>
        <v>0.048913043478260976</v>
      </c>
      <c r="I72" s="21">
        <f>IF(AND(ISNUMBER(I70),ISNUMBER(H70)),IF(H70&lt;=0,"n.m.",IFERROR(I70/H70-1,"n.a.")),"n.a.")</f>
        <v>-0.010362694300518172</v>
      </c>
      <c r="J72" s="29">
        <f>IF(AND(ISNUMBER(J70),ISNUMBER(I70)),IF(I70&lt;=0,"n.m.",IFERROR(J70/I70-1,"n.a.")),"n.a.")</f>
        <v>0.014190953247529947</v>
      </c>
      <c r="K72" s="1"/>
      <c r="L72" s="1"/>
      <c r="M72" s="1"/>
      <c r="N72" s="1"/>
      <c r="O72" s="1"/>
      <c r="P72" s="1"/>
    </row>
    <row r="73" ht="41.25">
      <c r="A73" s="1"/>
      <c r="B73" s="6" t="s">
        <v>145</v>
      </c>
      <c r="C73" s="21"/>
      <c r="D73" s="21"/>
      <c r="E73" s="21"/>
      <c r="F73" s="21"/>
      <c r="G73" s="21"/>
      <c r="H73" s="67" t="s">
        <v>129</v>
      </c>
      <c r="I73" s="67" t="s">
        <v>129</v>
      </c>
      <c r="J73" s="28" t="s">
        <v>129</v>
      </c>
      <c r="K73" s="134" t="s">
        <v>146</v>
      </c>
      <c r="L73" s="1"/>
      <c r="M73" s="1"/>
      <c r="N73" s="1"/>
      <c r="O73" s="1"/>
      <c r="P73" s="1"/>
    </row>
    <row r="74" ht="28.5">
      <c r="A74" s="1"/>
      <c r="B74" s="6" t="s">
        <v>147</v>
      </c>
      <c r="C74" s="21"/>
      <c r="D74" s="21"/>
      <c r="E74" s="21"/>
      <c r="F74" s="21"/>
      <c r="G74" s="21"/>
      <c r="H74" s="67" t="s">
        <v>129</v>
      </c>
      <c r="I74" s="67" t="s">
        <v>129</v>
      </c>
      <c r="J74" s="28" t="s">
        <v>129</v>
      </c>
      <c r="K74" s="134" t="s">
        <v>148</v>
      </c>
      <c r="L74" s="1"/>
      <c r="M74" s="1"/>
      <c r="N74" s="1"/>
      <c r="O74" s="1"/>
      <c r="P74" s="1"/>
    </row>
    <row r="75">
      <c r="A75" s="1"/>
      <c r="B75" s="6" t="s">
        <v>149</v>
      </c>
      <c r="C75" s="21"/>
      <c r="D75" s="21"/>
      <c r="E75" s="21"/>
      <c r="F75" s="21"/>
      <c r="G75" s="21"/>
      <c r="H75" s="21" t="str">
        <f>IF(AND(ISNUMBER(H71),ISNUMBER(H73),ISNUMBER(H74)),(1+H71)/((1+H73)*(1+H74))-1,"n.a.")</f>
        <v>n.a.</v>
      </c>
      <c r="I75" s="21" t="str">
        <f>IF(AND(ISNUMBER(I71),ISNUMBER(I73),ISNUMBER(I74)),(1+I71)/((1+I73)*(1+I74))-1,"n.a.")</f>
        <v>n.a.</v>
      </c>
      <c r="J75" s="29" t="str">
        <f>IF(AND(ISNUMBER(J71),ISNUMBER(J73),ISNUMBER(J74)),(1+J71)/((1+J73)*(1+J74))-1,"n.a.")</f>
        <v>n.a.</v>
      </c>
      <c r="K75" s="1"/>
      <c r="L75" s="1"/>
      <c r="M75" s="1"/>
      <c r="N75" s="1"/>
      <c r="O75" s="1"/>
      <c r="P75" s="1"/>
    </row>
    <row r="76">
      <c r="A76" s="1"/>
      <c r="B76" s="7" t="s">
        <v>371</v>
      </c>
      <c r="C76" s="74">
        <f>Inputs!C177-D76</f>
        <v>243</v>
      </c>
      <c r="D76" s="31">
        <v>244</v>
      </c>
      <c r="E76" s="31">
        <v>254</v>
      </c>
      <c r="F76" s="31">
        <v>260</v>
      </c>
      <c r="G76" s="24">
        <f>SUM(C76:F76)</f>
        <v>1001</v>
      </c>
      <c r="H76" s="31">
        <v>262</v>
      </c>
      <c r="I76" s="31">
        <v>271</v>
      </c>
      <c r="J76" s="51">
        <f>J30*1000*J33*J$7/365</f>
        <v>284.6060933862382</v>
      </c>
      <c r="K76" s="1"/>
      <c r="L76" s="1"/>
      <c r="M76" s="1"/>
      <c r="N76" s="1"/>
      <c r="O76" s="1"/>
      <c r="P76" s="1"/>
    </row>
    <row r="77">
      <c r="A77" s="1"/>
      <c r="B77" s="6" t="s">
        <v>143</v>
      </c>
      <c r="C77" s="21"/>
      <c r="D77" s="21"/>
      <c r="E77" s="21"/>
      <c r="F77" s="21"/>
      <c r="G77" s="21"/>
      <c r="H77" s="21">
        <f>IF(AND(ISNUMBER(H76),ISNUMBER(C76)),IF(C76&lt;=0,"n.m.",IFERROR(H76/C76-1,"n.a.")),"n.a.")</f>
        <v>0.07818930041152261</v>
      </c>
      <c r="I77" s="21">
        <f>IF(AND(ISNUMBER(I76),ISNUMBER(D76)),IF(D76&lt;=0,"n.m.",IFERROR(I76/D76-1,"n.a.")),"n.a.")</f>
        <v>0.11065573770491799</v>
      </c>
      <c r="J77" s="29">
        <f>IF(AND(ISNUMBER(J76),ISNUMBER(E76)),IF(E76&lt;=0,"n.m.",IFERROR(J76/E76-1,"n.a.")),"n.a.")</f>
        <v>0.1204964306544809</v>
      </c>
      <c r="K77" s="1"/>
      <c r="L77" s="1"/>
      <c r="M77" s="1"/>
      <c r="N77" s="1"/>
      <c r="O77" s="1"/>
      <c r="P77" s="1"/>
    </row>
    <row r="78">
      <c r="A78" s="1"/>
      <c r="B78" s="6" t="s">
        <v>144</v>
      </c>
      <c r="C78" s="21"/>
      <c r="D78" s="21">
        <f>IF(AND(ISNUMBER(D76),ISNUMBER(C76)),IF(C76&lt;=0,"n.m.",IFERROR(D76/C76-1,"n.a.")),"n.a.")</f>
        <v>0.004115226337448652</v>
      </c>
      <c r="E78" s="21">
        <f>IF(AND(ISNUMBER(E76),ISNUMBER(D76)),IF(D76&lt;=0,"n.m.",IFERROR(E76/D76-1,"n.a.")),"n.a.")</f>
        <v>0.040983606557376984</v>
      </c>
      <c r="F78" s="21">
        <f>IF(AND(ISNUMBER(F76),ISNUMBER(E76)),IF(E76&lt;=0,"n.m.",IFERROR(F76/E76-1,"n.a.")),"n.a.")</f>
        <v>0.023622047244094446</v>
      </c>
      <c r="G78" s="21"/>
      <c r="H78" s="21">
        <f>IF(AND(ISNUMBER(H76),ISNUMBER(F76)),IF(F76&lt;=0,"n.m.",IFERROR(H76/F76-1,"n.a.")),"n.a.")</f>
        <v>0.007692307692307665</v>
      </c>
      <c r="I78" s="21">
        <f>IF(AND(ISNUMBER(I76),ISNUMBER(H76)),IF(H76&lt;=0,"n.m.",IFERROR(I76/H76-1,"n.a.")),"n.a.")</f>
        <v>0.03435114503816794</v>
      </c>
      <c r="J78" s="29">
        <f>IF(AND(ISNUMBER(J76),ISNUMBER(I76)),IF(I76&lt;=0,"n.m.",IFERROR(J76/I76-1,"n.a.")),"n.a.")</f>
        <v>0.05020698666508561</v>
      </c>
      <c r="K78" s="1"/>
      <c r="L78" s="1"/>
      <c r="M78" s="1"/>
      <c r="N78" s="1"/>
      <c r="O78" s="1"/>
      <c r="P78" s="1"/>
    </row>
    <row r="79" ht="41.25">
      <c r="A79" s="1"/>
      <c r="B79" s="6" t="s">
        <v>145</v>
      </c>
      <c r="C79" s="21"/>
      <c r="D79" s="21"/>
      <c r="E79" s="21"/>
      <c r="F79" s="21"/>
      <c r="G79" s="21"/>
      <c r="H79" s="67" t="s">
        <v>129</v>
      </c>
      <c r="I79" s="67" t="s">
        <v>129</v>
      </c>
      <c r="J79" s="28" t="s">
        <v>129</v>
      </c>
      <c r="K79" s="134" t="s">
        <v>146</v>
      </c>
      <c r="L79" s="1"/>
      <c r="M79" s="1"/>
      <c r="N79" s="1"/>
      <c r="O79" s="1"/>
      <c r="P79" s="1"/>
    </row>
    <row r="80" ht="28.5">
      <c r="A80" s="1"/>
      <c r="B80" s="6" t="s">
        <v>147</v>
      </c>
      <c r="C80" s="21"/>
      <c r="D80" s="21"/>
      <c r="E80" s="21"/>
      <c r="F80" s="21"/>
      <c r="G80" s="21"/>
      <c r="H80" s="67" t="s">
        <v>129</v>
      </c>
      <c r="I80" s="67" t="s">
        <v>129</v>
      </c>
      <c r="J80" s="28" t="s">
        <v>129</v>
      </c>
      <c r="K80" s="134" t="s">
        <v>148</v>
      </c>
      <c r="L80" s="1"/>
      <c r="M80" s="1"/>
      <c r="N80" s="1"/>
      <c r="O80" s="1"/>
      <c r="P80" s="1"/>
    </row>
    <row r="81">
      <c r="A81" s="1"/>
      <c r="B81" s="6" t="s">
        <v>149</v>
      </c>
      <c r="C81" s="21"/>
      <c r="D81" s="21"/>
      <c r="E81" s="21"/>
      <c r="F81" s="21"/>
      <c r="G81" s="21"/>
      <c r="H81" s="21" t="str">
        <f>IF(AND(ISNUMBER(H77),ISNUMBER(H79),ISNUMBER(H80)),(1+H77)/((1+H79)*(1+H80))-1,"n.a.")</f>
        <v>n.a.</v>
      </c>
      <c r="I81" s="21" t="str">
        <f>IF(AND(ISNUMBER(I77),ISNUMBER(I79),ISNUMBER(I80)),(1+I77)/((1+I79)*(1+I80))-1,"n.a.")</f>
        <v>n.a.</v>
      </c>
      <c r="J81" s="29" t="str">
        <f>IF(AND(ISNUMBER(J77),ISNUMBER(J79),ISNUMBER(J80)),(1+J77)/((1+J79)*(1+J80))-1,"n.a.")</f>
        <v>n.a.</v>
      </c>
      <c r="K81" s="1"/>
      <c r="L81" s="1"/>
      <c r="M81" s="1"/>
      <c r="N81" s="1"/>
      <c r="O81" s="1"/>
      <c r="P81" s="1"/>
    </row>
    <row r="82">
      <c r="A82" s="1"/>
      <c r="B82" s="7" t="s">
        <v>283</v>
      </c>
      <c r="C82" s="22">
        <f>C70+C76</f>
        <v>421</v>
      </c>
      <c r="D82" s="22">
        <f>D70+D76</f>
        <v>428</v>
      </c>
      <c r="E82" s="22">
        <f>E70+E76</f>
        <v>433</v>
      </c>
      <c r="F82" s="22">
        <f>F70+F76</f>
        <v>444</v>
      </c>
      <c r="G82" s="22">
        <f>G70+G76</f>
        <v>1726</v>
      </c>
      <c r="H82" s="22">
        <f>H70+H76</f>
        <v>455</v>
      </c>
      <c r="I82" s="22">
        <f>I70+I76</f>
        <v>462</v>
      </c>
      <c r="J82" s="23">
        <f>J70+J76</f>
        <v>478.3165654565164</v>
      </c>
      <c r="K82" s="1"/>
      <c r="L82" s="1"/>
      <c r="M82" s="1"/>
      <c r="N82" s="1"/>
      <c r="O82" s="1"/>
      <c r="P82" s="1"/>
    </row>
    <row r="83">
      <c r="A83" s="1"/>
      <c r="B83" s="6" t="s">
        <v>143</v>
      </c>
      <c r="C83" s="21"/>
      <c r="D83" s="21"/>
      <c r="E83" s="21"/>
      <c r="F83" s="21"/>
      <c r="G83" s="21"/>
      <c r="H83" s="21">
        <f>IF(AND(ISNUMBER(H82),ISNUMBER(C82)),IF(C82&lt;=0,"n.m.",IFERROR(H82/C82-1,"n.a.")),"n.a.")</f>
        <v>0.08076009501187653</v>
      </c>
      <c r="I83" s="21">
        <f>IF(AND(ISNUMBER(I82),ISNUMBER(D82)),IF(D82&lt;=0,"n.m.",IFERROR(I82/D82-1,"n.a.")),"n.a.")</f>
        <v>0.07943925233644866</v>
      </c>
      <c r="J83" s="29">
        <f>IF(AND(ISNUMBER(J82),ISNUMBER(E82)),IF(E82&lt;=0,"n.m.",IFERROR(J82/E82-1,"n.a.")),"n.a.")</f>
        <v>0.10465719504969151</v>
      </c>
      <c r="K83" s="1"/>
      <c r="L83" s="1"/>
      <c r="M83" s="1"/>
      <c r="N83" s="1"/>
      <c r="O83" s="1"/>
      <c r="P83" s="1"/>
    </row>
    <row r="84">
      <c r="A84" s="1"/>
      <c r="B84" s="6" t="s">
        <v>144</v>
      </c>
      <c r="C84" s="21"/>
      <c r="D84" s="21">
        <f>IF(AND(ISNUMBER(D82),ISNUMBER(C82)),IF(C82&lt;=0,"n.m.",IFERROR(D82/C82-1,"n.a.")),"n.a.")</f>
        <v>0.016627078384798155</v>
      </c>
      <c r="E84" s="21">
        <f>IF(AND(ISNUMBER(E82),ISNUMBER(D82)),IF(D82&lt;=0,"n.m.",IFERROR(E82/D82-1,"n.a.")),"n.a.")</f>
        <v>0.011682242990654235</v>
      </c>
      <c r="F84" s="21">
        <f>IF(AND(ISNUMBER(F82),ISNUMBER(E82)),IF(E82&lt;=0,"n.m.",IFERROR(F82/E82-1,"n.a.")),"n.a.")</f>
        <v>0.025404157043879882</v>
      </c>
      <c r="G84" s="21"/>
      <c r="H84" s="21">
        <f>IF(AND(ISNUMBER(H82),ISNUMBER(F82)),IF(F82&lt;=0,"n.m.",IFERROR(H82/F82-1,"n.a.")),"n.a.")</f>
        <v>0.024774774774774855</v>
      </c>
      <c r="I84" s="21">
        <f>IF(AND(ISNUMBER(I82),ISNUMBER(H82)),IF(H82&lt;=0,"n.m.",IFERROR(I82/H82-1,"n.a.")),"n.a.")</f>
        <v>0.01538461538461533</v>
      </c>
      <c r="J84" s="29">
        <f>IF(AND(ISNUMBER(J82),ISNUMBER(I82)),IF(I82&lt;=0,"n.m.",IFERROR(J82/I82-1,"n.a.")),"n.a.")</f>
        <v>0.035317241247871056</v>
      </c>
      <c r="K84" s="1"/>
      <c r="L84" s="1"/>
      <c r="M84" s="1"/>
      <c r="N84" s="1"/>
      <c r="O84" s="1"/>
      <c r="P84" s="1"/>
    </row>
    <row r="85">
      <c r="A85" s="1"/>
      <c r="B85" s="6" t="s">
        <v>284</v>
      </c>
      <c r="C85" s="69">
        <f>IFERROR(C82/'Income Statement'!C33,"")</f>
        <v>0.07721936903888481</v>
      </c>
      <c r="D85" s="69">
        <f>IFERROR(D82/'Income Statement'!D33,"")</f>
        <v>0.07560501678148737</v>
      </c>
      <c r="E85" s="69">
        <f>IFERROR(E82/'Income Statement'!E33,"")</f>
        <v>0.0732037193575655</v>
      </c>
      <c r="F85" s="69">
        <f>IFERROR(F82/'Income Statement'!F33,"")</f>
        <v>0.07313457420523801</v>
      </c>
      <c r="G85" s="69">
        <f>IFERROR(G82/'Income Statement'!G33,"")</f>
        <v>0.07472184943071129</v>
      </c>
      <c r="H85" s="69">
        <f>IFERROR(H82/'Income Statement'!H33,"")</f>
        <v>0.07380373073803731</v>
      </c>
      <c r="I85" s="69">
        <f>IFERROR(I82/'Income Statement'!I33,"")</f>
        <v>0.0672</v>
      </c>
      <c r="J85" s="84">
        <f>IFERROR(J82/'Income Statement'!J33,"")</f>
        <v>0.07230671725909217</v>
      </c>
      <c r="K85" s="1"/>
      <c r="L85" s="1"/>
      <c r="M85" s="1"/>
      <c r="N85" s="1"/>
      <c r="O85" s="1"/>
      <c r="P85" s="1"/>
    </row>
    <row r="86" ht="41.25">
      <c r="A86" s="1"/>
      <c r="B86" s="6" t="s">
        <v>145</v>
      </c>
      <c r="C86" s="21"/>
      <c r="D86" s="21"/>
      <c r="E86" s="21"/>
      <c r="F86" s="21"/>
      <c r="G86" s="21"/>
      <c r="H86" s="67" t="s">
        <v>129</v>
      </c>
      <c r="I86" s="67" t="s">
        <v>129</v>
      </c>
      <c r="J86" s="28" t="s">
        <v>129</v>
      </c>
      <c r="K86" s="134" t="s">
        <v>146</v>
      </c>
      <c r="L86" s="1"/>
      <c r="M86" s="1"/>
      <c r="N86" s="1"/>
      <c r="O86" s="1"/>
      <c r="P86" s="1"/>
    </row>
    <row r="87" ht="28.5">
      <c r="A87" s="1"/>
      <c r="B87" s="6" t="s">
        <v>147</v>
      </c>
      <c r="C87" s="21"/>
      <c r="D87" s="21"/>
      <c r="E87" s="21"/>
      <c r="F87" s="21"/>
      <c r="G87" s="21"/>
      <c r="H87" s="67" t="s">
        <v>129</v>
      </c>
      <c r="I87" s="67" t="s">
        <v>129</v>
      </c>
      <c r="J87" s="28" t="s">
        <v>129</v>
      </c>
      <c r="K87" s="134" t="s">
        <v>148</v>
      </c>
      <c r="L87" s="1"/>
      <c r="M87" s="1"/>
      <c r="N87" s="1"/>
      <c r="O87" s="1"/>
      <c r="P87" s="1"/>
    </row>
    <row r="88">
      <c r="A88" s="1"/>
      <c r="B88" s="6" t="s">
        <v>149</v>
      </c>
      <c r="C88" s="21"/>
      <c r="D88" s="21"/>
      <c r="E88" s="21"/>
      <c r="F88" s="21"/>
      <c r="G88" s="21"/>
      <c r="H88" s="21" t="str">
        <f>IF(AND(ISNUMBER(H83),ISNUMBER(H86),ISNUMBER(H87)),(1+H83)/((1+H86)*(1+H87))-1,"n.a.")</f>
        <v>n.a.</v>
      </c>
      <c r="I88" s="21" t="str">
        <f>IF(AND(ISNUMBER(I83),ISNUMBER(I86),ISNUMBER(I87)),(1+I83)/((1+I86)*(1+I87))-1,"n.a.")</f>
        <v>n.a.</v>
      </c>
      <c r="J88" s="29" t="str">
        <f>IF(AND(ISNUMBER(J83),ISNUMBER(J86),ISNUMBER(J87)),(1+J83)/((1+J86)*(1+J87))-1,"n.a.")</f>
        <v>n.a.</v>
      </c>
      <c r="K88" s="1"/>
      <c r="L88" s="1"/>
      <c r="M88" s="1"/>
      <c r="N88" s="1"/>
      <c r="O88" s="1"/>
      <c r="P88" s="1"/>
    </row>
    <row r="89">
      <c r="A89" s="1"/>
      <c r="B89" s="32" t="s">
        <v>308</v>
      </c>
      <c r="C89" s="11"/>
      <c r="D89" s="11"/>
      <c r="E89" s="11"/>
      <c r="F89" s="11"/>
      <c r="G89" s="11"/>
      <c r="H89" s="11"/>
      <c r="I89" s="11"/>
      <c r="J89" s="30"/>
      <c r="K89" s="1"/>
      <c r="L89" s="1"/>
      <c r="M89" s="1"/>
      <c r="N89" s="1"/>
      <c r="O89" s="1"/>
      <c r="P89" s="1"/>
    </row>
    <row r="90">
      <c r="A90" s="1"/>
      <c r="B90" s="1" t="s">
        <v>309</v>
      </c>
      <c r="C90" s="12">
        <f>Inputs!C178-D90</f>
        <v>1</v>
      </c>
      <c r="D90" s="18">
        <v>-13</v>
      </c>
      <c r="E90" s="18">
        <v>4</v>
      </c>
      <c r="F90" s="18">
        <v>-11</v>
      </c>
      <c r="G90" s="14">
        <f>SUM(C90:F90)</f>
        <v>-19</v>
      </c>
      <c r="H90" s="18">
        <v>5</v>
      </c>
      <c r="I90" s="18">
        <v>-3</v>
      </c>
      <c r="J90" s="27">
        <v>2</v>
      </c>
      <c r="K90" s="1"/>
      <c r="L90" s="1"/>
      <c r="M90" s="1"/>
      <c r="N90" s="1"/>
      <c r="O90" s="1"/>
      <c r="P90" s="1"/>
    </row>
    <row r="91">
      <c r="A91" s="1"/>
      <c r="B91" s="6" t="s">
        <v>143</v>
      </c>
      <c r="C91" s="21"/>
      <c r="D91" s="21"/>
      <c r="E91" s="21"/>
      <c r="F91" s="21"/>
      <c r="G91" s="21"/>
      <c r="H91" s="21">
        <f>IF(AND(ISNUMBER(H90),ISNUMBER(C90)),IF(C90&lt;=0,"n.m.",IFERROR(H90/C90-1,"n.a.")),"n.a.")</f>
        <v>4</v>
      </c>
      <c r="I91" s="21" t="str">
        <f>IF(AND(ISNUMBER(I90),ISNUMBER(D90)),IF(D90&lt;=0,"n.m.",IFERROR(I90/D90-1,"n.a.")),"n.a.")</f>
        <v>n.m.</v>
      </c>
      <c r="J91" s="29">
        <f>IF(AND(ISNUMBER(J90),ISNUMBER(E90)),IF(E90&lt;=0,"n.m.",IFERROR(J90/E90-1,"n.a.")),"n.a.")</f>
        <v>-0.5</v>
      </c>
      <c r="K91" s="1"/>
      <c r="L91" s="1"/>
      <c r="M91" s="1"/>
      <c r="N91" s="1"/>
      <c r="O91" s="1"/>
      <c r="P91" s="1"/>
    </row>
    <row r="92">
      <c r="A92" s="1"/>
      <c r="B92" s="1" t="s">
        <v>162</v>
      </c>
      <c r="C92" s="14"/>
      <c r="D92" s="14">
        <f>IF(AND(ISNUMBER(D90),ISNUMBER(C90)),D90-C90,"n.a.")</f>
        <v>-14</v>
      </c>
      <c r="E92" s="14">
        <f>IF(AND(ISNUMBER(E90),ISNUMBER(D90)),E90-D90,"n.a.")</f>
        <v>17</v>
      </c>
      <c r="F92" s="14">
        <f>IF(AND(ISNUMBER(F90),ISNUMBER(E90)),F90-E90,"n.a.")</f>
        <v>-15</v>
      </c>
      <c r="G92" s="14"/>
      <c r="H92" s="14">
        <f>IF(AND(ISNUMBER(H90),ISNUMBER(F90)),H90-F90,"n.a.")</f>
        <v>16</v>
      </c>
      <c r="I92" s="14">
        <f>IF(AND(ISNUMBER(I90),ISNUMBER(H90)),I90-H90,"n.a.")</f>
        <v>-8</v>
      </c>
      <c r="J92" s="10">
        <f>IF(AND(ISNUMBER(J90),ISNUMBER(I90)),J90-I90,"n.a.")</f>
        <v>5</v>
      </c>
      <c r="K92" s="1"/>
      <c r="L92" s="1"/>
      <c r="M92" s="1"/>
      <c r="N92" s="1"/>
      <c r="O92" s="1"/>
      <c r="P92" s="1"/>
    </row>
    <row r="93">
      <c r="A93" s="1"/>
      <c r="B93" s="1" t="s">
        <v>310</v>
      </c>
      <c r="C93" s="12">
        <f>Inputs!C179-D93</f>
        <v>121</v>
      </c>
      <c r="D93" s="18">
        <v>115</v>
      </c>
      <c r="E93" s="18">
        <v>115</v>
      </c>
      <c r="F93" s="18">
        <v>120</v>
      </c>
      <c r="G93" s="14">
        <f>SUM(C93:F93)</f>
        <v>471</v>
      </c>
      <c r="H93" s="18">
        <v>125</v>
      </c>
      <c r="I93" s="18">
        <v>120</v>
      </c>
      <c r="J93" s="27">
        <v>122</v>
      </c>
      <c r="K93" s="1"/>
      <c r="L93" s="1"/>
      <c r="M93" s="1"/>
      <c r="N93" s="1"/>
      <c r="O93" s="1"/>
      <c r="P93" s="1"/>
    </row>
    <row r="94">
      <c r="A94" s="1"/>
      <c r="B94" s="6" t="s">
        <v>143</v>
      </c>
      <c r="C94" s="21"/>
      <c r="D94" s="21"/>
      <c r="E94" s="21"/>
      <c r="F94" s="21"/>
      <c r="G94" s="21"/>
      <c r="H94" s="21">
        <f>IF(AND(ISNUMBER(H93),ISNUMBER(C93)),IF(C93&lt;=0,"n.m.",IFERROR(H93/C93-1,"n.a.")),"n.a.")</f>
        <v>0.03305785123966931</v>
      </c>
      <c r="I94" s="21">
        <f>IF(AND(ISNUMBER(I93),ISNUMBER(D93)),IF(D93&lt;=0,"n.m.",IFERROR(I93/D93-1,"n.a.")),"n.a.")</f>
        <v>0.04347826086956519</v>
      </c>
      <c r="J94" s="29">
        <f>IF(AND(ISNUMBER(J93),ISNUMBER(E93)),IF(E93&lt;=0,"n.m.",IFERROR(J93/E93-1,"n.a.")),"n.a.")</f>
        <v>0.0608695652173914</v>
      </c>
      <c r="K94" s="1"/>
      <c r="L94" s="1"/>
      <c r="M94" s="1"/>
      <c r="N94" s="1"/>
      <c r="O94" s="1"/>
      <c r="P94" s="1"/>
    </row>
    <row r="95">
      <c r="A95" s="1"/>
      <c r="B95" s="1" t="s">
        <v>162</v>
      </c>
      <c r="C95" s="14"/>
      <c r="D95" s="14">
        <f>IF(AND(ISNUMBER(D93),ISNUMBER(C93)),D93-C93,"n.a.")</f>
        <v>-6</v>
      </c>
      <c r="E95" s="14">
        <f>IF(AND(ISNUMBER(E93),ISNUMBER(D93)),E93-D93,"n.a.")</f>
        <v>0</v>
      </c>
      <c r="F95" s="14">
        <f>IF(AND(ISNUMBER(F93),ISNUMBER(E93)),F93-E93,"n.a.")</f>
        <v>5</v>
      </c>
      <c r="G95" s="14"/>
      <c r="H95" s="14">
        <f>IF(AND(ISNUMBER(H93),ISNUMBER(F93)),H93-F93,"n.a.")</f>
        <v>5</v>
      </c>
      <c r="I95" s="14">
        <f>IF(AND(ISNUMBER(I93),ISNUMBER(H93)),I93-H93,"n.a.")</f>
        <v>-5</v>
      </c>
      <c r="J95" s="10">
        <f>IF(AND(ISNUMBER(J93),ISNUMBER(I93)),J93-I93,"n.a.")</f>
        <v>2</v>
      </c>
      <c r="K95" s="1"/>
      <c r="L95" s="1"/>
      <c r="M95" s="1"/>
      <c r="N95" s="1"/>
      <c r="O95" s="1"/>
      <c r="P95" s="1"/>
    </row>
    <row r="96">
      <c r="A96" s="1"/>
      <c r="B96" s="1" t="s">
        <v>311</v>
      </c>
      <c r="C96" s="12">
        <f>Inputs!C180-D96</f>
        <v>117</v>
      </c>
      <c r="D96" s="18">
        <v>118</v>
      </c>
      <c r="E96" s="18">
        <v>120</v>
      </c>
      <c r="F96" s="18">
        <v>133</v>
      </c>
      <c r="G96" s="14">
        <f>SUM(C96:F96)</f>
        <v>488</v>
      </c>
      <c r="H96" s="18">
        <v>127</v>
      </c>
      <c r="I96" s="18">
        <v>128</v>
      </c>
      <c r="J96" s="27">
        <v>128</v>
      </c>
      <c r="K96" s="1"/>
      <c r="L96" s="1"/>
      <c r="M96" s="1"/>
      <c r="N96" s="1"/>
      <c r="O96" s="1"/>
      <c r="P96" s="1"/>
    </row>
    <row r="97">
      <c r="A97" s="1"/>
      <c r="B97" s="6" t="s">
        <v>143</v>
      </c>
      <c r="C97" s="21"/>
      <c r="D97" s="21"/>
      <c r="E97" s="21"/>
      <c r="F97" s="21"/>
      <c r="G97" s="21"/>
      <c r="H97" s="21">
        <f>IF(AND(ISNUMBER(H96),ISNUMBER(C96)),IF(C96&lt;=0,"n.m.",IFERROR(H96/C96-1,"n.a.")),"n.a.")</f>
        <v>0.08547008547008539</v>
      </c>
      <c r="I97" s="21">
        <f>IF(AND(ISNUMBER(I96),ISNUMBER(D96)),IF(D96&lt;=0,"n.m.",IFERROR(I96/D96-1,"n.a.")),"n.a.")</f>
        <v>0.0847457627118644</v>
      </c>
      <c r="J97" s="29">
        <f>IF(AND(ISNUMBER(J96),ISNUMBER(E96)),IF(E96&lt;=0,"n.m.",IFERROR(J96/E96-1,"n.a.")),"n.a.")</f>
        <v>0.06666666666666665</v>
      </c>
      <c r="K97" s="1"/>
      <c r="L97" s="1"/>
      <c r="M97" s="1"/>
      <c r="N97" s="1"/>
      <c r="O97" s="1"/>
      <c r="P97" s="1"/>
    </row>
    <row r="98">
      <c r="A98" s="1"/>
      <c r="B98" s="1" t="s">
        <v>162</v>
      </c>
      <c r="C98" s="14"/>
      <c r="D98" s="14">
        <f>IF(AND(ISNUMBER(D96),ISNUMBER(C96)),D96-C96,"n.a.")</f>
        <v>1</v>
      </c>
      <c r="E98" s="14">
        <f>IF(AND(ISNUMBER(E96),ISNUMBER(D96)),E96-D96,"n.a.")</f>
        <v>2</v>
      </c>
      <c r="F98" s="14">
        <f>IF(AND(ISNUMBER(F96),ISNUMBER(E96)),F96-E96,"n.a.")</f>
        <v>13</v>
      </c>
      <c r="G98" s="14"/>
      <c r="H98" s="14">
        <f>IF(AND(ISNUMBER(H96),ISNUMBER(F96)),H96-F96,"n.a.")</f>
        <v>-6</v>
      </c>
      <c r="I98" s="14">
        <f>IF(AND(ISNUMBER(I96),ISNUMBER(H96)),I96-H96,"n.a.")</f>
        <v>1</v>
      </c>
      <c r="J98" s="10">
        <f>IF(AND(ISNUMBER(J96),ISNUMBER(I96)),J96-I96,"n.a.")</f>
        <v>0</v>
      </c>
      <c r="K98" s="1"/>
      <c r="L98" s="1"/>
      <c r="M98" s="1"/>
      <c r="N98" s="1"/>
      <c r="O98" s="1"/>
      <c r="P98" s="1"/>
    </row>
    <row r="99">
      <c r="A99" s="1"/>
      <c r="B99" s="1" t="s">
        <v>312</v>
      </c>
      <c r="C99" s="12">
        <f>Inputs!C181-D99</f>
        <v>8</v>
      </c>
      <c r="D99" s="18">
        <v>10</v>
      </c>
      <c r="E99" s="18">
        <v>9</v>
      </c>
      <c r="F99" s="18">
        <v>11</v>
      </c>
      <c r="G99" s="14">
        <f>SUM(C99:F99)</f>
        <v>38</v>
      </c>
      <c r="H99" s="18">
        <v>10</v>
      </c>
      <c r="I99" s="18">
        <v>11</v>
      </c>
      <c r="J99" s="27">
        <v>11</v>
      </c>
      <c r="K99" s="1"/>
      <c r="L99" s="1"/>
      <c r="M99" s="1"/>
      <c r="N99" s="1"/>
      <c r="O99" s="1"/>
      <c r="P99" s="1"/>
    </row>
    <row r="100">
      <c r="A100" s="1"/>
      <c r="B100" s="6" t="s">
        <v>143</v>
      </c>
      <c r="C100" s="21"/>
      <c r="D100" s="21"/>
      <c r="E100" s="21"/>
      <c r="F100" s="21"/>
      <c r="G100" s="21"/>
      <c r="H100" s="21">
        <f>IF(AND(ISNUMBER(H99),ISNUMBER(C99)),IF(C99&lt;=0,"n.m.",IFERROR(H99/C99-1,"n.a.")),"n.a.")</f>
        <v>0.25</v>
      </c>
      <c r="I100" s="21">
        <f>IF(AND(ISNUMBER(I99),ISNUMBER(D99)),IF(D99&lt;=0,"n.m.",IFERROR(I99/D99-1,"n.a.")),"n.a.")</f>
        <v>0.10000000000000009</v>
      </c>
      <c r="J100" s="29">
        <f>IF(AND(ISNUMBER(J99),ISNUMBER(E99)),IF(E99&lt;=0,"n.m.",IFERROR(J99/E99-1,"n.a.")),"n.a.")</f>
        <v>0.22222222222222232</v>
      </c>
      <c r="K100" s="1"/>
      <c r="L100" s="1"/>
      <c r="M100" s="1"/>
      <c r="N100" s="1"/>
      <c r="O100" s="1"/>
      <c r="P100" s="1"/>
    </row>
    <row r="101">
      <c r="A101" s="1"/>
      <c r="B101" s="1" t="s">
        <v>162</v>
      </c>
      <c r="C101" s="14"/>
      <c r="D101" s="14">
        <f>IF(AND(ISNUMBER(D99),ISNUMBER(C99)),D99-C99,"n.a.")</f>
        <v>2</v>
      </c>
      <c r="E101" s="14">
        <f>IF(AND(ISNUMBER(E99),ISNUMBER(D99)),E99-D99,"n.a.")</f>
        <v>-1</v>
      </c>
      <c r="F101" s="14">
        <f>IF(AND(ISNUMBER(F99),ISNUMBER(E99)),F99-E99,"n.a.")</f>
        <v>2</v>
      </c>
      <c r="G101" s="14"/>
      <c r="H101" s="14">
        <f>IF(AND(ISNUMBER(H99),ISNUMBER(F99)),H99-F99,"n.a.")</f>
        <v>-1</v>
      </c>
      <c r="I101" s="14">
        <f>IF(AND(ISNUMBER(I99),ISNUMBER(H99)),I99-H99,"n.a.")</f>
        <v>1</v>
      </c>
      <c r="J101" s="10">
        <f>IF(AND(ISNUMBER(J99),ISNUMBER(I99)),J99-I99,"n.a.")</f>
        <v>0</v>
      </c>
      <c r="K101" s="1"/>
      <c r="L101" s="1"/>
      <c r="M101" s="1"/>
      <c r="N101" s="1"/>
      <c r="O101" s="1"/>
      <c r="P101" s="1"/>
    </row>
    <row r="102">
      <c r="A102" s="1"/>
      <c r="B102" s="1" t="s">
        <v>313</v>
      </c>
      <c r="C102" s="12">
        <f>Inputs!C182-D102</f>
        <v>33</v>
      </c>
      <c r="D102" s="18">
        <v>25</v>
      </c>
      <c r="E102" s="18">
        <v>29</v>
      </c>
      <c r="F102" s="18">
        <v>29</v>
      </c>
      <c r="G102" s="14">
        <f>SUM(C102:F102)</f>
        <v>116</v>
      </c>
      <c r="H102" s="18">
        <v>30</v>
      </c>
      <c r="I102" s="18">
        <v>30</v>
      </c>
      <c r="J102" s="27">
        <v>30</v>
      </c>
      <c r="K102" s="1"/>
      <c r="L102" s="1"/>
      <c r="M102" s="1"/>
      <c r="N102" s="1"/>
      <c r="O102" s="1"/>
      <c r="P102" s="1"/>
    </row>
    <row r="103">
      <c r="A103" s="1"/>
      <c r="B103" s="6" t="s">
        <v>143</v>
      </c>
      <c r="C103" s="21"/>
      <c r="D103" s="21"/>
      <c r="E103" s="21"/>
      <c r="F103" s="21"/>
      <c r="G103" s="21"/>
      <c r="H103" s="21">
        <f>IF(AND(ISNUMBER(H102),ISNUMBER(C102)),IF(C102&lt;=0,"n.m.",IFERROR(H102/C102-1,"n.a.")),"n.a.")</f>
        <v>-0.09090909090909094</v>
      </c>
      <c r="I103" s="21">
        <f>IF(AND(ISNUMBER(I102),ISNUMBER(D102)),IF(D102&lt;=0,"n.m.",IFERROR(I102/D102-1,"n.a.")),"n.a.")</f>
        <v>0.19999999999999996</v>
      </c>
      <c r="J103" s="29">
        <f>IF(AND(ISNUMBER(J102),ISNUMBER(E102)),IF(E102&lt;=0,"n.m.",IFERROR(J102/E102-1,"n.a.")),"n.a.")</f>
        <v>0.034482758620689724</v>
      </c>
      <c r="K103" s="1"/>
      <c r="L103" s="1"/>
      <c r="M103" s="1"/>
      <c r="N103" s="1"/>
      <c r="O103" s="1"/>
      <c r="P103" s="1"/>
    </row>
    <row r="104">
      <c r="A104" s="1"/>
      <c r="B104" s="1" t="s">
        <v>162</v>
      </c>
      <c r="C104" s="14"/>
      <c r="D104" s="14">
        <f>IF(AND(ISNUMBER(D102),ISNUMBER(C102)),D102-C102,"n.a.")</f>
        <v>-8</v>
      </c>
      <c r="E104" s="14">
        <f>IF(AND(ISNUMBER(E102),ISNUMBER(D102)),E102-D102,"n.a.")</f>
        <v>4</v>
      </c>
      <c r="F104" s="14">
        <f>IF(AND(ISNUMBER(F102),ISNUMBER(E102)),F102-E102,"n.a.")</f>
        <v>0</v>
      </c>
      <c r="G104" s="14"/>
      <c r="H104" s="14">
        <f>IF(AND(ISNUMBER(H102),ISNUMBER(F102)),H102-F102,"n.a.")</f>
        <v>1</v>
      </c>
      <c r="I104" s="14">
        <f>IF(AND(ISNUMBER(I102),ISNUMBER(H102)),I102-H102,"n.a.")</f>
        <v>0</v>
      </c>
      <c r="J104" s="10">
        <f>IF(AND(ISNUMBER(J102),ISNUMBER(I102)),J102-I102,"n.a.")</f>
        <v>0</v>
      </c>
      <c r="K104" s="1"/>
      <c r="L104" s="1"/>
      <c r="M104" s="1"/>
      <c r="N104" s="1"/>
      <c r="O104" s="1"/>
      <c r="P104" s="1"/>
    </row>
    <row r="105">
      <c r="A105" s="1"/>
      <c r="B105" s="7" t="s">
        <v>314</v>
      </c>
      <c r="C105" s="22">
        <f>C93+C96+C99+C102</f>
        <v>279</v>
      </c>
      <c r="D105" s="22">
        <f>D93+D96+D99+D102</f>
        <v>268</v>
      </c>
      <c r="E105" s="22">
        <f>E93+E96+E99+E102</f>
        <v>273</v>
      </c>
      <c r="F105" s="22">
        <f>F93+F96+F99+F102</f>
        <v>293</v>
      </c>
      <c r="G105" s="22">
        <f>G93+G96+G99+G102</f>
        <v>1113</v>
      </c>
      <c r="H105" s="22">
        <f>H93+H96+H99+H102</f>
        <v>292</v>
      </c>
      <c r="I105" s="22">
        <f>I93+I96+I99+I102</f>
        <v>289</v>
      </c>
      <c r="J105" s="23">
        <f>J93+J96+J99+J102</f>
        <v>291</v>
      </c>
      <c r="K105" s="1"/>
      <c r="L105" s="1"/>
      <c r="M105" s="1"/>
      <c r="N105" s="1"/>
      <c r="O105" s="1"/>
      <c r="P105" s="1"/>
    </row>
    <row r="106">
      <c r="A106" s="1"/>
      <c r="B106" s="6" t="s">
        <v>143</v>
      </c>
      <c r="C106" s="21"/>
      <c r="D106" s="21"/>
      <c r="E106" s="21"/>
      <c r="F106" s="21"/>
      <c r="G106" s="21"/>
      <c r="H106" s="21">
        <f>IF(AND(ISNUMBER(H105),ISNUMBER(C105)),IF(C105&lt;=0,"n.m.",IFERROR(H105/C105-1,"n.a.")),"n.a.")</f>
        <v>0.04659498207885315</v>
      </c>
      <c r="I106" s="21">
        <f>IF(AND(ISNUMBER(I105),ISNUMBER(D105)),IF(D105&lt;=0,"n.m.",IFERROR(I105/D105-1,"n.a.")),"n.a.")</f>
        <v>0.07835820895522394</v>
      </c>
      <c r="J106" s="29">
        <f>IF(AND(ISNUMBER(J105),ISNUMBER(E105)),IF(E105&lt;=0,"n.m.",IFERROR(J105/E105-1,"n.a.")),"n.a.")</f>
        <v>0.06593406593406592</v>
      </c>
      <c r="K106" s="1"/>
      <c r="L106" s="1"/>
      <c r="M106" s="1"/>
      <c r="N106" s="1"/>
      <c r="O106" s="1"/>
      <c r="P106" s="1"/>
    </row>
    <row r="107">
      <c r="A107" s="1"/>
      <c r="B107" s="6" t="s">
        <v>144</v>
      </c>
      <c r="C107" s="21"/>
      <c r="D107" s="21">
        <f>IF(AND(ISNUMBER(D105),ISNUMBER(C105)),IF(C105&lt;=0,"n.m.",IFERROR(D105/C105-1,"n.a.")),"n.a.")</f>
        <v>-0.03942652329749108</v>
      </c>
      <c r="E107" s="21">
        <f>IF(AND(ISNUMBER(E105),ISNUMBER(D105)),IF(D105&lt;=0,"n.m.",IFERROR(E105/D105-1,"n.a.")),"n.a.")</f>
        <v>0.018656716417910557</v>
      </c>
      <c r="F107" s="21">
        <f>IF(AND(ISNUMBER(F105),ISNUMBER(E105)),IF(E105&lt;=0,"n.m.",IFERROR(F105/E105-1,"n.a.")),"n.a.")</f>
        <v>0.07326007326007322</v>
      </c>
      <c r="G107" s="21"/>
      <c r="H107" s="21">
        <f>IF(AND(ISNUMBER(H105),ISNUMBER(F105)),IF(F105&lt;=0,"n.m.",IFERROR(H105/F105-1,"n.a.")),"n.a.")</f>
        <v>-0.0034129692832765013</v>
      </c>
      <c r="I107" s="21">
        <f>IF(AND(ISNUMBER(I105),ISNUMBER(H105)),IF(H105&lt;=0,"n.m.",IFERROR(I105/H105-1,"n.a.")),"n.a.")</f>
        <v>-0.010273972602739767</v>
      </c>
      <c r="J107" s="29">
        <f>IF(AND(ISNUMBER(J105),ISNUMBER(I105)),IF(I105&lt;=0,"n.m.",IFERROR(J105/I105-1,"n.a.")),"n.a.")</f>
        <v>0.006920415224913601</v>
      </c>
      <c r="K107" s="1"/>
      <c r="L107" s="1"/>
      <c r="M107" s="1"/>
      <c r="N107" s="1"/>
      <c r="O107" s="1"/>
      <c r="P107" s="1"/>
    </row>
    <row r="108">
      <c r="A108" s="1"/>
      <c r="B108" s="6" t="s">
        <v>315</v>
      </c>
      <c r="C108" s="21">
        <f>C105/C82</f>
        <v>0.66270783847981</v>
      </c>
      <c r="D108" s="21">
        <f>D105/D82</f>
        <v>0.6261682242990654</v>
      </c>
      <c r="E108" s="21">
        <f>E105/E82</f>
        <v>0.6304849884526559</v>
      </c>
      <c r="F108" s="21">
        <f>F105/F82</f>
        <v>0.6599099099099099</v>
      </c>
      <c r="G108" s="21">
        <f>G105/G82</f>
        <v>0.6448435689455388</v>
      </c>
      <c r="H108" s="21">
        <f>H105/H82</f>
        <v>0.6417582417582418</v>
      </c>
      <c r="I108" s="21">
        <f>I105/I82</f>
        <v>0.6255411255411255</v>
      </c>
      <c r="J108" s="29">
        <f>J105/J82</f>
        <v>0.6083836961035687</v>
      </c>
      <c r="K108" s="1"/>
      <c r="L108" s="1"/>
      <c r="M108" s="1"/>
      <c r="N108" s="1"/>
      <c r="O108" s="1"/>
      <c r="P108" s="1"/>
    </row>
    <row r="109">
      <c r="A109" s="1"/>
      <c r="B109" s="6" t="s">
        <v>186</v>
      </c>
      <c r="C109" s="20"/>
      <c r="D109" s="20">
        <f>IF(AND(ISNUMBER(D108),ISNUMBER(C108)),(D108-C108)*10000,"n.a.")</f>
        <v>-365.3961418074458</v>
      </c>
      <c r="E109" s="20">
        <f>IF(AND(ISNUMBER(E108),ISNUMBER(D108)),(E108-D108)*10000,"n.a.")</f>
        <v>43.16764153590502</v>
      </c>
      <c r="F109" s="20">
        <f>IF(AND(ISNUMBER(F108),ISNUMBER(E108)),(F108-E108)*10000,"n.a.")</f>
        <v>294.2492145725406</v>
      </c>
      <c r="G109" s="20"/>
      <c r="H109" s="20">
        <f>IF(AND(ISNUMBER(H108),ISNUMBER(F108)),(H108-F108)*10000,"n.a.")</f>
        <v>-181.51668151668133</v>
      </c>
      <c r="I109" s="20">
        <f>IF(AND(ISNUMBER(I108),ISNUMBER(H108)),(I108-H108)*10000,"n.a.")</f>
        <v>-162.17116217116302</v>
      </c>
      <c r="J109" s="48">
        <f>IF(AND(ISNUMBER(J108),ISNUMBER(I108)),(J108-I108)*10000,"n.a.")</f>
        <v>-171.57429437556826</v>
      </c>
      <c r="K109" s="1"/>
      <c r="L109" s="1"/>
      <c r="M109" s="1"/>
      <c r="N109" s="1"/>
      <c r="O109" s="1"/>
      <c r="P109" s="1"/>
    </row>
    <row r="110">
      <c r="A110" s="1"/>
      <c r="B110" s="6" t="s">
        <v>187</v>
      </c>
      <c r="C110" s="20"/>
      <c r="D110" s="20"/>
      <c r="E110" s="20"/>
      <c r="F110" s="20"/>
      <c r="G110" s="20"/>
      <c r="H110" s="20">
        <f>IF(AND(ISNUMBER(H108),ISNUMBER(C108)),(H108-C108)*10000,"n.a.")</f>
        <v>-209.49596721568153</v>
      </c>
      <c r="I110" s="20">
        <f>IF(AND(ISNUMBER(I108),ISNUMBER(D108)),(I108-D108)*10000,"n.a.")</f>
        <v>-6.270987579398701</v>
      </c>
      <c r="J110" s="48">
        <f>IF(AND(ISNUMBER(J108),ISNUMBER(E108)),(J108-E108)*10000,"n.a.")</f>
        <v>-221.01292349087197</v>
      </c>
      <c r="K110" s="1"/>
      <c r="L110" s="1"/>
      <c r="M110" s="1"/>
      <c r="N110" s="1"/>
      <c r="O110" s="1"/>
      <c r="P110" s="1"/>
    </row>
    <row r="111">
      <c r="A111" s="1"/>
      <c r="B111" s="7" t="s">
        <v>316</v>
      </c>
      <c r="C111" s="22">
        <f>C82-C90-C105</f>
        <v>141</v>
      </c>
      <c r="D111" s="22">
        <f>D82-D90-D105</f>
        <v>173</v>
      </c>
      <c r="E111" s="22">
        <f>E82-E90-E105</f>
        <v>156</v>
      </c>
      <c r="F111" s="22">
        <f>F82-F90-F105</f>
        <v>162</v>
      </c>
      <c r="G111" s="22">
        <f>G82-G90-G105</f>
        <v>632</v>
      </c>
      <c r="H111" s="22">
        <f>H82-H90-H105</f>
        <v>158</v>
      </c>
      <c r="I111" s="22">
        <f>I82-I90-I105</f>
        <v>176</v>
      </c>
      <c r="J111" s="23">
        <f>J82-J90-J105</f>
        <v>185.3165654565164</v>
      </c>
      <c r="K111" s="1"/>
      <c r="L111" s="1"/>
      <c r="M111" s="1"/>
      <c r="N111" s="1"/>
      <c r="O111" s="1"/>
      <c r="P111" s="1"/>
    </row>
    <row r="112">
      <c r="A112" s="1"/>
      <c r="B112" s="6" t="s">
        <v>143</v>
      </c>
      <c r="C112" s="21"/>
      <c r="D112" s="21"/>
      <c r="E112" s="21"/>
      <c r="F112" s="21"/>
      <c r="G112" s="21"/>
      <c r="H112" s="21">
        <f>IF(AND(ISNUMBER(H111),ISNUMBER(C111)),IF(C111&lt;=0,"n.m.",IFERROR(H111/C111-1,"n.a.")),"n.a.")</f>
        <v>0.12056737588652489</v>
      </c>
      <c r="I112" s="21">
        <f>IF(AND(ISNUMBER(I111),ISNUMBER(D111)),IF(D111&lt;=0,"n.m.",IFERROR(I111/D111-1,"n.a.")),"n.a.")</f>
        <v>0.01734104046242768</v>
      </c>
      <c r="J112" s="29">
        <f>IF(AND(ISNUMBER(J111),ISNUMBER(E111)),IF(E111&lt;=0,"n.m.",IFERROR(J111/E111-1,"n.a.")),"n.a.")</f>
        <v>0.187926701644336</v>
      </c>
      <c r="K112" s="1"/>
      <c r="L112" s="1"/>
      <c r="M112" s="1"/>
      <c r="N112" s="1"/>
      <c r="O112" s="1"/>
      <c r="P112" s="1"/>
    </row>
    <row r="113">
      <c r="A113" s="1"/>
      <c r="B113" s="1" t="s">
        <v>317</v>
      </c>
      <c r="C113" s="12">
        <f>Inputs!C183-D113</f>
        <v>33</v>
      </c>
      <c r="D113" s="18">
        <v>41</v>
      </c>
      <c r="E113" s="18">
        <v>36</v>
      </c>
      <c r="F113" s="18">
        <v>38</v>
      </c>
      <c r="G113" s="14">
        <f>SUM(C113:F113)</f>
        <v>148</v>
      </c>
      <c r="H113" s="18">
        <v>37</v>
      </c>
      <c r="I113" s="18">
        <v>41</v>
      </c>
      <c r="J113" s="10">
        <f>J111*J114</f>
        <v>43.178759751368325</v>
      </c>
      <c r="K113" s="1"/>
      <c r="L113" s="1"/>
      <c r="M113" s="1"/>
      <c r="N113" s="1"/>
      <c r="O113" s="1"/>
      <c r="P113" s="1"/>
    </row>
    <row r="114">
      <c r="A114" s="1"/>
      <c r="B114" s="6" t="s">
        <v>318</v>
      </c>
      <c r="C114" s="21">
        <f>C113/C111</f>
        <v>0.23404255319148937</v>
      </c>
      <c r="D114" s="21">
        <f>D113/D111</f>
        <v>0.23699421965317918</v>
      </c>
      <c r="E114" s="21">
        <f>E113/E111</f>
        <v>0.23076923076923078</v>
      </c>
      <c r="F114" s="21">
        <f>F113/F111</f>
        <v>0.2345679012345679</v>
      </c>
      <c r="G114" s="21">
        <f>G113/G111</f>
        <v>0.23417721518987342</v>
      </c>
      <c r="H114" s="21">
        <f>H113/H111</f>
        <v>0.23417721518987342</v>
      </c>
      <c r="I114" s="21">
        <f>I113/I111</f>
        <v>0.23295454545454544</v>
      </c>
      <c r="J114" s="28">
        <v>0.233</v>
      </c>
      <c r="K114" s="1"/>
      <c r="L114" s="1"/>
      <c r="M114" s="1"/>
      <c r="N114" s="1"/>
      <c r="O114" s="1"/>
      <c r="P114" s="1"/>
    </row>
    <row r="115">
      <c r="A115" s="1"/>
      <c r="B115" s="6" t="s">
        <v>186</v>
      </c>
      <c r="C115" s="20"/>
      <c r="D115" s="20">
        <f>IF(AND(ISNUMBER(D114),ISNUMBER(C114)),(D114-C114)*10000,"n.a.")</f>
        <v>29.51666461689817</v>
      </c>
      <c r="E115" s="20">
        <f>IF(AND(ISNUMBER(E114),ISNUMBER(D114)),(E114-D114)*10000,"n.a.")</f>
        <v>-62.249888839484015</v>
      </c>
      <c r="F115" s="20">
        <f>IF(AND(ISNUMBER(F114),ISNUMBER(E114)),(F114-E114)*10000,"n.a.")</f>
        <v>37.98670465337106</v>
      </c>
      <c r="G115" s="20"/>
      <c r="H115" s="20">
        <f>IF(AND(ISNUMBER(H114),ISNUMBER(F114)),(H114-F114)*10000,"n.a.")</f>
        <v>-3.9068604469447155</v>
      </c>
      <c r="I115" s="20">
        <f>IF(AND(ISNUMBER(I114),ISNUMBER(H114)),(I114-H114)*10000,"n.a.")</f>
        <v>-12.226697353279746</v>
      </c>
      <c r="J115" s="48">
        <f>IF(AND(ISNUMBER(J114),ISNUMBER(I114)),(J114-I114)*10000,"n.a.")</f>
        <v>0.4545454545457073</v>
      </c>
      <c r="K115" s="1"/>
      <c r="L115" s="1"/>
      <c r="M115" s="1"/>
      <c r="N115" s="1"/>
      <c r="O115" s="1"/>
      <c r="P115" s="1"/>
    </row>
    <row r="116">
      <c r="A116" s="1"/>
      <c r="B116" s="6" t="s">
        <v>187</v>
      </c>
      <c r="C116" s="20"/>
      <c r="D116" s="20"/>
      <c r="E116" s="20"/>
      <c r="F116" s="20"/>
      <c r="G116" s="20"/>
      <c r="H116" s="20">
        <f>IF(AND(ISNUMBER(H114),ISNUMBER(C114)),(H114-C114)*10000,"n.a.")</f>
        <v>1.3466199838405024</v>
      </c>
      <c r="I116" s="20">
        <f>IF(AND(ISNUMBER(I114),ISNUMBER(D114)),(I114-D114)*10000,"n.a.")</f>
        <v>-40.39674198633742</v>
      </c>
      <c r="J116" s="48">
        <f>IF(AND(ISNUMBER(J114),ISNUMBER(E114)),(J114-E114)*10000,"n.a.")</f>
        <v>22.307692307692307</v>
      </c>
      <c r="K116" s="1"/>
      <c r="L116" s="1"/>
      <c r="M116" s="1"/>
      <c r="N116" s="1"/>
      <c r="O116" s="1"/>
      <c r="P116" s="1"/>
    </row>
    <row r="117">
      <c r="A117" s="1"/>
      <c r="B117" s="7" t="s">
        <v>320</v>
      </c>
      <c r="C117" s="22">
        <f>C111-C113</f>
        <v>108</v>
      </c>
      <c r="D117" s="22">
        <f>D111-D113</f>
        <v>132</v>
      </c>
      <c r="E117" s="22">
        <f>E111-E113</f>
        <v>120</v>
      </c>
      <c r="F117" s="22">
        <f>F111-F113</f>
        <v>124</v>
      </c>
      <c r="G117" s="22">
        <f>G111-G113</f>
        <v>484</v>
      </c>
      <c r="H117" s="22">
        <f>H111-H113</f>
        <v>121</v>
      </c>
      <c r="I117" s="22">
        <f>I111-I113</f>
        <v>135</v>
      </c>
      <c r="J117" s="23">
        <f>J111-J113</f>
        <v>142.13780570514808</v>
      </c>
      <c r="K117" s="1"/>
      <c r="L117" s="1"/>
      <c r="M117" s="1"/>
      <c r="N117" s="1"/>
      <c r="O117" s="1"/>
      <c r="P117" s="1"/>
    </row>
    <row r="118">
      <c r="A118" s="1"/>
      <c r="B118" s="6" t="s">
        <v>143</v>
      </c>
      <c r="C118" s="21"/>
      <c r="D118" s="21"/>
      <c r="E118" s="21"/>
      <c r="F118" s="21"/>
      <c r="G118" s="21"/>
      <c r="H118" s="21">
        <f>IF(AND(ISNUMBER(H117),ISNUMBER(C117)),IF(C117&lt;=0,"n.m.",IFERROR(H117/C117-1,"n.a.")),"n.a.")</f>
        <v>0.12037037037037046</v>
      </c>
      <c r="I118" s="21">
        <f>IF(AND(ISNUMBER(I117),ISNUMBER(D117)),IF(D117&lt;=0,"n.m.",IFERROR(I117/D117-1,"n.a.")),"n.a.")</f>
        <v>0.022727272727272707</v>
      </c>
      <c r="J118" s="29">
        <f>IF(AND(ISNUMBER(J117),ISNUMBER(E117)),IF(E117&lt;=0,"n.m.",IFERROR(J117/E117-1,"n.a.")),"n.a.")</f>
        <v>0.18448171420956738</v>
      </c>
      <c r="K118" s="1"/>
      <c r="L118" s="1"/>
      <c r="M118" s="1"/>
      <c r="N118" s="1"/>
      <c r="O118" s="1"/>
      <c r="P118" s="1"/>
    </row>
    <row r="119">
      <c r="A119" s="1"/>
      <c r="B119" s="6" t="s">
        <v>144</v>
      </c>
      <c r="C119" s="21"/>
      <c r="D119" s="21">
        <f>IF(AND(ISNUMBER(D117),ISNUMBER(C117)),IF(C117&lt;=0,"n.m.",IFERROR(D117/C117-1,"n.a.")),"n.a.")</f>
        <v>0.22222222222222232</v>
      </c>
      <c r="E119" s="21">
        <f>IF(AND(ISNUMBER(E117),ISNUMBER(D117)),IF(D117&lt;=0,"n.m.",IFERROR(E117/D117-1,"n.a.")),"n.a.")</f>
        <v>-0.09090909090909094</v>
      </c>
      <c r="F119" s="21">
        <f>IF(AND(ISNUMBER(F117),ISNUMBER(E117)),IF(E117&lt;=0,"n.m.",IFERROR(F117/E117-1,"n.a.")),"n.a.")</f>
        <v>0.03333333333333344</v>
      </c>
      <c r="G119" s="21"/>
      <c r="H119" s="21">
        <f>IF(AND(ISNUMBER(H117),ISNUMBER(F117)),IF(F117&lt;=0,"n.m.",IFERROR(H117/F117-1,"n.a.")),"n.a.")</f>
        <v>-0.024193548387096753</v>
      </c>
      <c r="I119" s="21">
        <f>IF(AND(ISNUMBER(I117),ISNUMBER(H117)),IF(H117&lt;=0,"n.m.",IFERROR(I117/H117-1,"n.a.")),"n.a.")</f>
        <v>0.11570247933884303</v>
      </c>
      <c r="J119" s="29">
        <f>IF(AND(ISNUMBER(J117),ISNUMBER(I117)),IF(I117&lt;=0,"n.m.",IFERROR(J117/I117-1,"n.a.")),"n.a.")</f>
        <v>0.052872634852948686</v>
      </c>
      <c r="K119" s="1"/>
      <c r="L119" s="1"/>
      <c r="M119" s="1"/>
      <c r="N119" s="1"/>
      <c r="O119" s="1"/>
      <c r="P119" s="1"/>
    </row>
    <row r="120">
      <c r="A120" s="1"/>
      <c r="B120" s="6" t="s">
        <v>321</v>
      </c>
      <c r="C120" s="21">
        <f>C111/C82</f>
        <v>0.334916864608076</v>
      </c>
      <c r="D120" s="21">
        <f>D111/D82</f>
        <v>0.40420560747663553</v>
      </c>
      <c r="E120" s="21">
        <f>E111/E82</f>
        <v>0.36027713625866054</v>
      </c>
      <c r="F120" s="21">
        <f>F111/F82</f>
        <v>0.36486486486486486</v>
      </c>
      <c r="G120" s="21">
        <f>G111/G82</f>
        <v>0.36616454229432216</v>
      </c>
      <c r="H120" s="21">
        <f>H111/H82</f>
        <v>0.34725274725274724</v>
      </c>
      <c r="I120" s="21">
        <f>I111/I82</f>
        <v>0.38095238095238093</v>
      </c>
      <c r="J120" s="29">
        <f>J111/J82</f>
        <v>0.3874349726517332</v>
      </c>
      <c r="K120" s="1"/>
      <c r="L120" s="1"/>
      <c r="M120" s="1"/>
      <c r="N120" s="1"/>
      <c r="O120" s="1"/>
      <c r="P120" s="1"/>
    </row>
    <row r="121">
      <c r="A121" s="1"/>
      <c r="B121" s="6" t="s">
        <v>186</v>
      </c>
      <c r="C121" s="20"/>
      <c r="D121" s="20">
        <f>IF(AND(ISNUMBER(D120),ISNUMBER(C120)),(D120-C120)*10000,"n.a.")</f>
        <v>692.8874286855952</v>
      </c>
      <c r="E121" s="20">
        <f>IF(AND(ISNUMBER(E120),ISNUMBER(D120)),(E120-D120)*10000,"n.a.")</f>
        <v>-439.28471217974993</v>
      </c>
      <c r="F121" s="20">
        <f>IF(AND(ISNUMBER(F120),ISNUMBER(E120)),(F120-E120)*10000,"n.a.")</f>
        <v>45.87728606204322</v>
      </c>
      <c r="G121" s="20"/>
      <c r="H121" s="20">
        <f>IF(AND(ISNUMBER(H120),ISNUMBER(F120)),(H120-F120)*10000,"n.a.")</f>
        <v>-176.12117612117618</v>
      </c>
      <c r="I121" s="20">
        <f>IF(AND(ISNUMBER(I120),ISNUMBER(H120)),(I120-H120)*10000,"n.a.")</f>
        <v>336.99633699633694</v>
      </c>
      <c r="J121" s="48">
        <f>IF(AND(ISNUMBER(J120),ISNUMBER(I120)),(J120-I120)*10000,"n.a.")</f>
        <v>64.82591699352281</v>
      </c>
      <c r="K121" s="1"/>
      <c r="L121" s="1"/>
      <c r="M121" s="1"/>
      <c r="N121" s="1"/>
      <c r="O121" s="1"/>
      <c r="P121" s="1"/>
    </row>
    <row r="122">
      <c r="A122" s="1"/>
      <c r="B122" s="6" t="s">
        <v>187</v>
      </c>
      <c r="C122" s="20"/>
      <c r="D122" s="20"/>
      <c r="E122" s="20"/>
      <c r="F122" s="20"/>
      <c r="G122" s="20"/>
      <c r="H122" s="20">
        <f>IF(AND(ISNUMBER(H120),ISNUMBER(C120)),(H120-C120)*10000,"n.a.")</f>
        <v>123.35882644671226</v>
      </c>
      <c r="I122" s="20">
        <f>IF(AND(ISNUMBER(I120),ISNUMBER(D120)),(I120-D120)*10000,"n.a.")</f>
        <v>-232.532265242546</v>
      </c>
      <c r="J122" s="48">
        <f>IF(AND(ISNUMBER(J120),ISNUMBER(E120)),(J120-E120)*10000,"n.a.")</f>
        <v>271.57836393072677</v>
      </c>
      <c r="K122" s="1"/>
      <c r="L122" s="1"/>
      <c r="M122" s="1"/>
      <c r="N122" s="1"/>
      <c r="O122" s="1"/>
      <c r="P122" s="1"/>
    </row>
    <row r="123">
      <c r="A123" s="1"/>
      <c r="B123" s="32" t="s">
        <v>322</v>
      </c>
      <c r="C123" s="11"/>
      <c r="D123" s="11"/>
      <c r="E123" s="11"/>
      <c r="F123" s="11"/>
      <c r="G123" s="11"/>
      <c r="H123" s="11"/>
      <c r="I123" s="11"/>
      <c r="J123" s="30"/>
      <c r="K123" s="1"/>
      <c r="L123" s="1"/>
      <c r="M123" s="1"/>
      <c r="N123" s="1"/>
      <c r="O123" s="1"/>
      <c r="P123" s="1"/>
    </row>
    <row r="124">
      <c r="A124" s="1"/>
      <c r="B124" s="1" t="s">
        <v>323</v>
      </c>
      <c r="C124" s="18">
        <v>36</v>
      </c>
      <c r="D124" s="18">
        <v>63</v>
      </c>
      <c r="E124" s="18">
        <v>58</v>
      </c>
      <c r="F124" s="18">
        <v>52</v>
      </c>
      <c r="G124" s="14">
        <f>F124</f>
        <v>52</v>
      </c>
      <c r="H124" s="18">
        <v>45</v>
      </c>
      <c r="I124" s="18">
        <v>45</v>
      </c>
      <c r="J124" s="27">
        <v>45</v>
      </c>
      <c r="K124" s="1"/>
      <c r="L124" s="1"/>
      <c r="M124" s="1"/>
      <c r="N124" s="1"/>
      <c r="O124" s="1"/>
      <c r="P124" s="1"/>
    </row>
    <row r="125">
      <c r="A125" s="1"/>
      <c r="B125" s="6" t="s">
        <v>143</v>
      </c>
      <c r="C125" s="21"/>
      <c r="D125" s="21"/>
      <c r="E125" s="21"/>
      <c r="F125" s="21"/>
      <c r="G125" s="21"/>
      <c r="H125" s="21">
        <f>IF(AND(ISNUMBER(H124),ISNUMBER(C124)),IF(C124&lt;=0,"n.m.",IFERROR(H124/C124-1,"n.a.")),"n.a.")</f>
        <v>0.25</v>
      </c>
      <c r="I125" s="21">
        <f>IF(AND(ISNUMBER(I124),ISNUMBER(D124)),IF(D124&lt;=0,"n.m.",IFERROR(I124/D124-1,"n.a.")),"n.a.")</f>
        <v>-0.2857142857142857</v>
      </c>
      <c r="J125" s="29">
        <f>IF(AND(ISNUMBER(J124),ISNUMBER(E124)),IF(E124&lt;=0,"n.m.",IFERROR(J124/E124-1,"n.a.")),"n.a.")</f>
        <v>-0.22413793103448276</v>
      </c>
      <c r="K125" s="1"/>
      <c r="L125" s="1"/>
      <c r="M125" s="1"/>
      <c r="N125" s="1"/>
      <c r="O125" s="1"/>
      <c r="P125" s="1"/>
    </row>
    <row r="126">
      <c r="A126" s="1"/>
      <c r="B126" s="1" t="s">
        <v>162</v>
      </c>
      <c r="C126" s="14"/>
      <c r="D126" s="14">
        <f>IF(AND(ISNUMBER(D124),ISNUMBER(C124)),D124-C124,"n.a.")</f>
        <v>27</v>
      </c>
      <c r="E126" s="14">
        <f>IF(AND(ISNUMBER(E124),ISNUMBER(D124)),E124-D124,"n.a.")</f>
        <v>-5</v>
      </c>
      <c r="F126" s="14">
        <f>IF(AND(ISNUMBER(F124),ISNUMBER(E124)),F124-E124,"n.a.")</f>
        <v>-6</v>
      </c>
      <c r="G126" s="14"/>
      <c r="H126" s="14">
        <f>IF(AND(ISNUMBER(H124),ISNUMBER(F124)),H124-F124,"n.a.")</f>
        <v>-7</v>
      </c>
      <c r="I126" s="14">
        <f>IF(AND(ISNUMBER(I124),ISNUMBER(H124)),I124-H124,"n.a.")</f>
        <v>0</v>
      </c>
      <c r="J126" s="10">
        <f>IF(AND(ISNUMBER(J124),ISNUMBER(I124)),J124-I124,"n.a.")</f>
        <v>0</v>
      </c>
      <c r="K126" s="1"/>
      <c r="L126" s="1"/>
      <c r="M126" s="1"/>
      <c r="N126" s="1"/>
      <c r="O126" s="1"/>
      <c r="P126" s="1"/>
    </row>
    <row r="127">
      <c r="A127" s="1"/>
      <c r="B127" s="1" t="s">
        <v>372</v>
      </c>
      <c r="C127" s="12">
        <f>Inputs!C184-D127</f>
        <v>0</v>
      </c>
      <c r="D127" s="18">
        <v>-1</v>
      </c>
      <c r="E127" s="18">
        <v>2</v>
      </c>
      <c r="F127" s="18">
        <v>0</v>
      </c>
      <c r="G127" s="14">
        <f>SUM(C127:F127)</f>
        <v>1</v>
      </c>
      <c r="H127" s="18">
        <v>0</v>
      </c>
      <c r="I127" s="18">
        <v>1</v>
      </c>
      <c r="J127" s="27">
        <v>1</v>
      </c>
      <c r="K127" s="1"/>
      <c r="L127" s="1"/>
      <c r="M127" s="1"/>
      <c r="N127" s="1"/>
      <c r="O127" s="1"/>
      <c r="P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P12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373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374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1" t="s">
        <v>220</v>
      </c>
      <c r="C10" s="18">
        <v>4472</v>
      </c>
      <c r="D10" s="18">
        <v>4609</v>
      </c>
      <c r="E10" s="18">
        <v>4751</v>
      </c>
      <c r="F10" s="18">
        <v>4640</v>
      </c>
      <c r="G10" s="14">
        <f>SUM(C10:F10)</f>
        <v>18472</v>
      </c>
      <c r="H10" s="18">
        <v>4792</v>
      </c>
      <c r="I10" s="18">
        <v>4986</v>
      </c>
      <c r="J10" s="35">
        <f>'Revenue summary'!J166</f>
        <v>5138.072027919068</v>
      </c>
      <c r="K10" s="1"/>
      <c r="L10" s="1"/>
      <c r="M10" s="1"/>
      <c r="N10" s="1"/>
      <c r="O10" s="1"/>
      <c r="P10" s="1"/>
    </row>
    <row r="11">
      <c r="A11" s="1"/>
      <c r="B11" s="1" t="s">
        <v>221</v>
      </c>
      <c r="C11" s="18">
        <v>1124</v>
      </c>
      <c r="D11" s="18">
        <v>1151</v>
      </c>
      <c r="E11" s="18">
        <v>1211</v>
      </c>
      <c r="F11" s="18">
        <v>1188</v>
      </c>
      <c r="G11" s="14">
        <f>SUM(C11:F11)</f>
        <v>4674</v>
      </c>
      <c r="H11" s="18">
        <v>1202</v>
      </c>
      <c r="I11" s="18">
        <v>1263</v>
      </c>
      <c r="J11" s="35">
        <f>'Revenue summary'!J172</f>
        <v>1318.9844800235746</v>
      </c>
      <c r="K11" s="1"/>
      <c r="L11" s="1"/>
      <c r="M11" s="1"/>
      <c r="N11" s="1"/>
      <c r="O11" s="1"/>
      <c r="P11" s="1"/>
    </row>
    <row r="12">
      <c r="A12" s="1"/>
      <c r="B12" s="1" t="s">
        <v>222</v>
      </c>
      <c r="C12" s="18">
        <v>534</v>
      </c>
      <c r="D12" s="18">
        <v>510</v>
      </c>
      <c r="E12" s="18">
        <v>565</v>
      </c>
      <c r="F12" s="18">
        <v>552</v>
      </c>
      <c r="G12" s="14">
        <f>SUM(C12:F12)</f>
        <v>2161</v>
      </c>
      <c r="H12" s="18">
        <v>450</v>
      </c>
      <c r="I12" s="18">
        <v>445</v>
      </c>
      <c r="J12" s="35">
        <f>'Revenue summary'!J178</f>
        <v>440.91582237455503</v>
      </c>
      <c r="K12" s="1"/>
      <c r="L12" s="1"/>
      <c r="M12" s="1"/>
      <c r="N12" s="1"/>
      <c r="O12" s="1"/>
      <c r="P12" s="1"/>
    </row>
    <row r="13">
      <c r="A13" s="1"/>
      <c r="B13" s="7" t="s">
        <v>223</v>
      </c>
      <c r="C13" s="22">
        <f>SUM(C10:C12)</f>
        <v>6130</v>
      </c>
      <c r="D13" s="22">
        <f>SUM(D10:D12)</f>
        <v>6270</v>
      </c>
      <c r="E13" s="22">
        <f>SUM(E10:E12)</f>
        <v>6527</v>
      </c>
      <c r="F13" s="22">
        <f>SUM(F10:F12)</f>
        <v>6380</v>
      </c>
      <c r="G13" s="22">
        <f>SUM(G10:G12)</f>
        <v>25307</v>
      </c>
      <c r="H13" s="22">
        <f>SUM(H10:H12)</f>
        <v>6444</v>
      </c>
      <c r="I13" s="22">
        <f>SUM(I10:I12)</f>
        <v>6694</v>
      </c>
      <c r="J13" s="23">
        <f>SUM(J10:J12)</f>
        <v>6897.972330317198</v>
      </c>
      <c r="K13" s="1"/>
      <c r="L13" s="1"/>
      <c r="M13" s="1"/>
      <c r="N13" s="1"/>
      <c r="O13" s="1"/>
      <c r="P13" s="1"/>
    </row>
    <row r="14">
      <c r="A14" s="1"/>
      <c r="B14" s="1" t="s">
        <v>224</v>
      </c>
      <c r="C14" s="18">
        <v>1808</v>
      </c>
      <c r="D14" s="18">
        <v>1845</v>
      </c>
      <c r="E14" s="18">
        <v>1980</v>
      </c>
      <c r="F14" s="18">
        <v>1864</v>
      </c>
      <c r="G14" s="14">
        <f>SUM(C14:F14)</f>
        <v>7497</v>
      </c>
      <c r="H14" s="18">
        <v>1735</v>
      </c>
      <c r="I14" s="18">
        <v>1682</v>
      </c>
      <c r="J14" s="35">
        <f>'Revenue summary'!J190</f>
        <v>1754.713612922526</v>
      </c>
      <c r="K14" s="1"/>
      <c r="L14" s="1"/>
      <c r="M14" s="1"/>
      <c r="N14" s="1"/>
      <c r="O14" s="1"/>
      <c r="P14" s="1"/>
    </row>
    <row r="15">
      <c r="A15" s="1"/>
      <c r="B15" s="1" t="s">
        <v>225</v>
      </c>
      <c r="C15" s="18">
        <v>846</v>
      </c>
      <c r="D15" s="18">
        <v>870</v>
      </c>
      <c r="E15" s="18">
        <v>899</v>
      </c>
      <c r="F15" s="18">
        <v>785</v>
      </c>
      <c r="G15" s="14">
        <f>SUM(C15:F15)</f>
        <v>3400</v>
      </c>
      <c r="H15" s="18">
        <v>748</v>
      </c>
      <c r="I15" s="18">
        <v>905</v>
      </c>
      <c r="J15" s="35">
        <f>'Revenue summary'!J193</f>
        <v>898.2321838023444</v>
      </c>
      <c r="K15" s="1"/>
      <c r="L15" s="1"/>
      <c r="M15" s="1"/>
      <c r="N15" s="1"/>
      <c r="O15" s="1"/>
      <c r="P15" s="1"/>
    </row>
    <row r="16">
      <c r="A16" s="1"/>
      <c r="B16" s="7" t="s">
        <v>226</v>
      </c>
      <c r="C16" s="22">
        <f>SUM(C14:C15)</f>
        <v>2654</v>
      </c>
      <c r="D16" s="22">
        <f>SUM(D14:D15)</f>
        <v>2715</v>
      </c>
      <c r="E16" s="22">
        <f>SUM(E14:E15)</f>
        <v>2879</v>
      </c>
      <c r="F16" s="22">
        <f>SUM(F14:F15)</f>
        <v>2649</v>
      </c>
      <c r="G16" s="22">
        <f>SUM(G14:G15)</f>
        <v>10897</v>
      </c>
      <c r="H16" s="22">
        <f>SUM(H14:H15)</f>
        <v>2483</v>
      </c>
      <c r="I16" s="22">
        <f>SUM(I14:I15)</f>
        <v>2587</v>
      </c>
      <c r="J16" s="23">
        <f>SUM(J14:J15)</f>
        <v>2652.9457967248704</v>
      </c>
      <c r="K16" s="1"/>
      <c r="L16" s="1"/>
      <c r="M16" s="1"/>
      <c r="N16" s="1"/>
      <c r="O16" s="1"/>
      <c r="P16" s="1"/>
    </row>
    <row r="17">
      <c r="A17" s="1"/>
      <c r="B17" s="7" t="s">
        <v>227</v>
      </c>
      <c r="C17" s="22">
        <f>C13-C16</f>
        <v>3476</v>
      </c>
      <c r="D17" s="22">
        <f>D13-D16</f>
        <v>3555</v>
      </c>
      <c r="E17" s="22">
        <f>E13-E16</f>
        <v>3648</v>
      </c>
      <c r="F17" s="22">
        <f>F13-F16</f>
        <v>3731</v>
      </c>
      <c r="G17" s="22">
        <f>G13-G16</f>
        <v>14410</v>
      </c>
      <c r="H17" s="22">
        <f>H13-H16</f>
        <v>3961</v>
      </c>
      <c r="I17" s="22">
        <f>I13-I16</f>
        <v>4107</v>
      </c>
      <c r="J17" s="23">
        <f>J13-J16</f>
        <v>4245.026533592327</v>
      </c>
      <c r="K17" s="1"/>
      <c r="L17" s="1"/>
      <c r="M17" s="1"/>
      <c r="N17" s="1"/>
      <c r="O17" s="1"/>
      <c r="P17" s="1"/>
    </row>
    <row r="18">
      <c r="A18" s="1"/>
      <c r="B18" s="6" t="s">
        <v>143</v>
      </c>
      <c r="C18" s="21"/>
      <c r="D18" s="21"/>
      <c r="E18" s="21"/>
      <c r="F18" s="21"/>
      <c r="G18" s="21"/>
      <c r="H18" s="21">
        <f>IF(AND(ISNUMBER(H17),ISNUMBER(C17)),IF(C17&lt;=0,"n.m.",IFERROR(H17/C17-1,"n.a.")),"n.a.")</f>
        <v>0.13952819332566158</v>
      </c>
      <c r="I18" s="21">
        <f>IF(AND(ISNUMBER(I17),ISNUMBER(D17)),IF(D17&lt;=0,"n.m.",IFERROR(I17/D17-1,"n.a.")),"n.a.")</f>
        <v>0.15527426160337554</v>
      </c>
      <c r="J18" s="29">
        <f>IF(AND(ISNUMBER(J17),ISNUMBER(E17)),IF(E17&lt;=0,"n.m.",IFERROR(J17/E17-1,"n.a.")),"n.a.")</f>
        <v>0.1636585892522826</v>
      </c>
      <c r="K18" s="1"/>
      <c r="L18" s="1"/>
      <c r="M18" s="1"/>
      <c r="N18" s="1"/>
      <c r="O18" s="1"/>
      <c r="P18" s="1"/>
    </row>
    <row r="19">
      <c r="A19" s="1"/>
      <c r="B19" s="6" t="s">
        <v>144</v>
      </c>
      <c r="C19" s="21"/>
      <c r="D19" s="21">
        <f>IF(AND(ISNUMBER(D17),ISNUMBER(C17)),IF(C17&lt;=0,"n.m.",IFERROR(D17/C17-1,"n.a.")),"n.a.")</f>
        <v>0.022727272727272707</v>
      </c>
      <c r="E19" s="21">
        <f>IF(AND(ISNUMBER(E17),ISNUMBER(D17)),IF(D17&lt;=0,"n.m.",IFERROR(E17/D17-1,"n.a.")),"n.a.")</f>
        <v>0.026160337552742607</v>
      </c>
      <c r="F19" s="21">
        <f>IF(AND(ISNUMBER(F17),ISNUMBER(E17)),IF(E17&lt;=0,"n.m.",IFERROR(F17/E17-1,"n.a.")),"n.a.")</f>
        <v>0.02275219298245612</v>
      </c>
      <c r="G19" s="21"/>
      <c r="H19" s="21">
        <f>IF(AND(ISNUMBER(H17),ISNUMBER(F17)),IF(F17&lt;=0,"n.m.",IFERROR(H17/F17-1,"n.a.")),"n.a.")</f>
        <v>0.06164567140176902</v>
      </c>
      <c r="I19" s="21">
        <f>IF(AND(ISNUMBER(I17),ISNUMBER(H17)),IF(H17&lt;=0,"n.m.",IFERROR(I17/H17-1,"n.a.")),"n.a.")</f>
        <v>0.03685937894471092</v>
      </c>
      <c r="J19" s="29">
        <f>IF(AND(ISNUMBER(J17),ISNUMBER(I17)),IF(I17&lt;=0,"n.m.",IFERROR(J17/I17-1,"n.a.")),"n.a.")</f>
        <v>0.03360762931393402</v>
      </c>
      <c r="K19" s="1"/>
      <c r="L19" s="1"/>
      <c r="M19" s="1"/>
      <c r="N19" s="1"/>
      <c r="O19" s="1"/>
      <c r="P19" s="1"/>
    </row>
    <row r="20">
      <c r="A20" s="1"/>
      <c r="B20" s="1" t="s">
        <v>234</v>
      </c>
      <c r="C20" s="18">
        <v>391</v>
      </c>
      <c r="D20" s="18">
        <v>391</v>
      </c>
      <c r="E20" s="18">
        <v>404</v>
      </c>
      <c r="F20" s="18">
        <v>411</v>
      </c>
      <c r="G20" s="14">
        <f>SUM(C20:F20)</f>
        <v>1597</v>
      </c>
      <c r="H20" s="18">
        <v>420</v>
      </c>
      <c r="I20" s="18">
        <v>440</v>
      </c>
      <c r="J20" s="35">
        <f>'Revenue summary'!J214</f>
        <v>452.01200000000006</v>
      </c>
      <c r="K20" s="1"/>
      <c r="L20" s="1"/>
      <c r="M20" s="1"/>
      <c r="N20" s="1"/>
      <c r="O20" s="1"/>
      <c r="P20" s="1"/>
    </row>
    <row r="21">
      <c r="A21" s="1"/>
      <c r="B21" s="1" t="s">
        <v>236</v>
      </c>
      <c r="C21" s="18">
        <v>306</v>
      </c>
      <c r="D21" s="18">
        <v>321</v>
      </c>
      <c r="E21" s="18">
        <v>432</v>
      </c>
      <c r="F21" s="18">
        <v>489</v>
      </c>
      <c r="G21" s="14">
        <f>SUM(C21:F21)</f>
        <v>1548</v>
      </c>
      <c r="H21" s="18">
        <v>463</v>
      </c>
      <c r="I21" s="18">
        <v>577</v>
      </c>
      <c r="J21" s="35">
        <f>'Revenue summary'!J220</f>
        <v>485.0262</v>
      </c>
      <c r="K21" s="1"/>
      <c r="L21" s="1"/>
      <c r="M21" s="1"/>
      <c r="N21" s="1"/>
      <c r="O21" s="1"/>
      <c r="P21" s="1"/>
    </row>
    <row r="22">
      <c r="A22" s="1"/>
      <c r="B22" s="1" t="s">
        <v>238</v>
      </c>
      <c r="C22" s="18">
        <v>692</v>
      </c>
      <c r="D22" s="18">
        <v>737</v>
      </c>
      <c r="E22" s="18">
        <v>737</v>
      </c>
      <c r="F22" s="18">
        <v>733</v>
      </c>
      <c r="G22" s="14">
        <f>SUM(C22:F22)</f>
        <v>2899</v>
      </c>
      <c r="H22" s="18">
        <v>738</v>
      </c>
      <c r="I22" s="18">
        <v>772</v>
      </c>
      <c r="J22" s="35">
        <f>'Revenue summary'!J226</f>
        <v>780.0287999999999</v>
      </c>
      <c r="K22" s="1"/>
      <c r="L22" s="1"/>
      <c r="M22" s="1"/>
      <c r="N22" s="1"/>
      <c r="O22" s="1"/>
      <c r="P22" s="1"/>
    </row>
    <row r="23">
      <c r="A23" s="1"/>
      <c r="B23" s="1" t="s">
        <v>240</v>
      </c>
      <c r="C23" s="18">
        <v>316</v>
      </c>
      <c r="D23" s="18">
        <v>317</v>
      </c>
      <c r="E23" s="18">
        <v>335</v>
      </c>
      <c r="F23" s="18">
        <v>342</v>
      </c>
      <c r="G23" s="14">
        <f>SUM(C23:F23)</f>
        <v>1310</v>
      </c>
      <c r="H23" s="18">
        <v>340</v>
      </c>
      <c r="I23" s="18">
        <v>346</v>
      </c>
      <c r="J23" s="35">
        <f>'Revenue summary'!J232</f>
        <v>350.0136</v>
      </c>
      <c r="K23" s="1"/>
      <c r="L23" s="1"/>
      <c r="M23" s="1"/>
      <c r="N23" s="1"/>
      <c r="O23" s="1"/>
      <c r="P23" s="1"/>
    </row>
    <row r="24">
      <c r="A24" s="1"/>
      <c r="B24" s="1" t="s">
        <v>241</v>
      </c>
      <c r="C24" s="18">
        <v>134</v>
      </c>
      <c r="D24" s="18">
        <v>128</v>
      </c>
      <c r="E24" s="18">
        <v>161</v>
      </c>
      <c r="F24" s="18">
        <v>148</v>
      </c>
      <c r="G24" s="14">
        <f>SUM(C24:F24)</f>
        <v>571</v>
      </c>
      <c r="H24" s="18">
        <v>118</v>
      </c>
      <c r="I24" s="18">
        <v>144</v>
      </c>
      <c r="J24" s="35">
        <f>'Revenue summary'!J238</f>
        <v>132.9984</v>
      </c>
      <c r="K24" s="1"/>
      <c r="L24" s="1"/>
      <c r="M24" s="1"/>
      <c r="N24" s="1"/>
      <c r="O24" s="1"/>
      <c r="P24" s="1"/>
    </row>
    <row r="25" ht="28.5">
      <c r="A25" s="1"/>
      <c r="B25" s="7" t="s">
        <v>375</v>
      </c>
      <c r="C25" s="22">
        <f>SUM(C20:C24)</f>
        <v>1839</v>
      </c>
      <c r="D25" s="22">
        <f>SUM(D20:D24)</f>
        <v>1894</v>
      </c>
      <c r="E25" s="22">
        <f>SUM(E20:E24)</f>
        <v>2069</v>
      </c>
      <c r="F25" s="22">
        <f>SUM(F20:F24)</f>
        <v>2123</v>
      </c>
      <c r="G25" s="22">
        <f>SUM(G20:G24)</f>
        <v>7925</v>
      </c>
      <c r="H25" s="22">
        <f>SUM(H20:H24)</f>
        <v>2079</v>
      </c>
      <c r="I25" s="22">
        <f>SUM(I20:I24)</f>
        <v>2279</v>
      </c>
      <c r="J25" s="23">
        <f>SUM(J20:J24)</f>
        <v>2200.079</v>
      </c>
      <c r="K25" s="134" t="s">
        <v>376</v>
      </c>
      <c r="L25" s="1"/>
      <c r="M25" s="1"/>
      <c r="N25" s="1"/>
      <c r="O25" s="1"/>
      <c r="P25" s="1"/>
    </row>
    <row r="26">
      <c r="A26" s="1"/>
      <c r="B26" s="1" t="s">
        <v>377</v>
      </c>
      <c r="C26" s="18">
        <v>0</v>
      </c>
      <c r="D26" s="18">
        <v>0</v>
      </c>
      <c r="E26" s="18">
        <v>0</v>
      </c>
      <c r="F26" s="18">
        <v>0</v>
      </c>
      <c r="G26" s="14">
        <f>SUM(C26:F26)</f>
        <v>0</v>
      </c>
      <c r="H26" s="18">
        <v>0</v>
      </c>
      <c r="I26" s="18">
        <v>448</v>
      </c>
      <c r="J26" s="35">
        <f>'Revenue summary'!J253</f>
        <v>0</v>
      </c>
      <c r="K26" s="1"/>
      <c r="L26" s="1"/>
      <c r="M26" s="1"/>
      <c r="N26" s="1"/>
      <c r="O26" s="1"/>
      <c r="P26" s="1"/>
    </row>
    <row r="27" ht="28.5">
      <c r="A27" s="1"/>
      <c r="B27" s="1" t="s">
        <v>378</v>
      </c>
      <c r="C27" s="18">
        <v>-2</v>
      </c>
      <c r="D27" s="18">
        <v>0</v>
      </c>
      <c r="E27" s="18">
        <v>0</v>
      </c>
      <c r="F27" s="18">
        <v>-7</v>
      </c>
      <c r="G27" s="14">
        <f>SUM(C27:F27)</f>
        <v>-9</v>
      </c>
      <c r="H27" s="18">
        <v>28</v>
      </c>
      <c r="I27" s="18">
        <v>-139</v>
      </c>
      <c r="J27" s="35">
        <f>'Revenue summary'!J259</f>
        <v>0</v>
      </c>
      <c r="K27" s="134" t="s">
        <v>379</v>
      </c>
      <c r="L27" s="1"/>
      <c r="M27" s="1"/>
      <c r="N27" s="1"/>
      <c r="O27" s="1"/>
      <c r="P27" s="1"/>
    </row>
    <row r="28" ht="28.5">
      <c r="A28" s="1"/>
      <c r="B28" s="1" t="s">
        <v>380</v>
      </c>
      <c r="C28" s="18">
        <v>139</v>
      </c>
      <c r="D28" s="18">
        <v>212</v>
      </c>
      <c r="E28" s="18">
        <v>198</v>
      </c>
      <c r="F28" s="18">
        <v>224</v>
      </c>
      <c r="G28" s="14">
        <f>SUM(C28:F28)</f>
        <v>773</v>
      </c>
      <c r="H28" s="18">
        <v>97</v>
      </c>
      <c r="I28" s="18">
        <v>180</v>
      </c>
      <c r="J28" s="35">
        <f>'Revenue summary'!J265</f>
        <v>170</v>
      </c>
      <c r="K28" s="134" t="s">
        <v>381</v>
      </c>
      <c r="L28" s="1"/>
      <c r="M28" s="1"/>
      <c r="N28" s="1"/>
      <c r="O28" s="1"/>
      <c r="P28" s="1"/>
    </row>
    <row r="29">
      <c r="A29" s="1"/>
      <c r="B29" s="7" t="s">
        <v>382</v>
      </c>
      <c r="C29" s="22">
        <f>SUM(C26:C28)</f>
        <v>137</v>
      </c>
      <c r="D29" s="22">
        <f>SUM(D26:D28)</f>
        <v>212</v>
      </c>
      <c r="E29" s="22">
        <f>SUM(E26:E28)</f>
        <v>198</v>
      </c>
      <c r="F29" s="22">
        <f>SUM(F26:F28)</f>
        <v>217</v>
      </c>
      <c r="G29" s="22">
        <f>SUM(G26:G28)</f>
        <v>764</v>
      </c>
      <c r="H29" s="22">
        <f>SUM(H26:H28)</f>
        <v>125</v>
      </c>
      <c r="I29" s="22">
        <f>SUM(I26:I28)</f>
        <v>489</v>
      </c>
      <c r="J29" s="23">
        <f>SUM(J26:J28)</f>
        <v>170</v>
      </c>
      <c r="K29" s="1"/>
      <c r="L29" s="1"/>
      <c r="M29" s="1"/>
      <c r="N29" s="1"/>
      <c r="O29" s="1"/>
      <c r="P29" s="1"/>
    </row>
    <row r="30">
      <c r="A30" s="1"/>
      <c r="B30" s="7" t="s">
        <v>254</v>
      </c>
      <c r="C30" s="22">
        <f>C25+C29</f>
        <v>1976</v>
      </c>
      <c r="D30" s="22">
        <f>D25+D29</f>
        <v>2106</v>
      </c>
      <c r="E30" s="22">
        <f>E25+E29</f>
        <v>2267</v>
      </c>
      <c r="F30" s="22">
        <f>F25+F29</f>
        <v>2340</v>
      </c>
      <c r="G30" s="22">
        <f>G25+G29</f>
        <v>8689</v>
      </c>
      <c r="H30" s="22">
        <f>H25+H29</f>
        <v>2204</v>
      </c>
      <c r="I30" s="22">
        <f>I25+I29</f>
        <v>2768</v>
      </c>
      <c r="J30" s="23">
        <f>J25+J29</f>
        <v>2370.079</v>
      </c>
      <c r="K30" s="1"/>
      <c r="L30" s="1"/>
      <c r="M30" s="1"/>
      <c r="N30" s="1"/>
      <c r="O30" s="1"/>
      <c r="P30" s="1"/>
    </row>
    <row r="31">
      <c r="A31" s="1"/>
      <c r="B31" s="6" t="s">
        <v>143</v>
      </c>
      <c r="C31" s="21"/>
      <c r="D31" s="21"/>
      <c r="E31" s="21"/>
      <c r="F31" s="21"/>
      <c r="G31" s="21"/>
      <c r="H31" s="21">
        <f>IF(AND(ISNUMBER(H30),ISNUMBER(C30)),IF(C30&lt;=0,"n.m.",IFERROR(H30/C30-1,"n.a.")),"n.a.")</f>
        <v>0.11538461538461542</v>
      </c>
      <c r="I31" s="21">
        <f>IF(AND(ISNUMBER(I30),ISNUMBER(D30)),IF(D30&lt;=0,"n.m.",IFERROR(I30/D30-1,"n.a.")),"n.a.")</f>
        <v>0.3143399810066476</v>
      </c>
      <c r="J31" s="29">
        <f>IF(AND(ISNUMBER(J30),ISNUMBER(E30)),IF(E30&lt;=0,"n.m.",IFERROR(J30/E30-1,"n.a.")),"n.a.")</f>
        <v>0.04546934274371428</v>
      </c>
      <c r="K31" s="1"/>
      <c r="L31" s="1"/>
      <c r="M31" s="1"/>
      <c r="N31" s="1"/>
      <c r="O31" s="1"/>
      <c r="P31" s="1"/>
    </row>
    <row r="32">
      <c r="A32" s="1"/>
      <c r="B32" s="6" t="s">
        <v>144</v>
      </c>
      <c r="C32" s="21"/>
      <c r="D32" s="21">
        <f>IF(AND(ISNUMBER(D30),ISNUMBER(C30)),IF(C30&lt;=0,"n.m.",IFERROR(D30/C30-1,"n.a.")),"n.a.")</f>
        <v>0.06578947368421062</v>
      </c>
      <c r="E32" s="21">
        <f>IF(AND(ISNUMBER(E30),ISNUMBER(D30)),IF(D30&lt;=0,"n.m.",IFERROR(E30/D30-1,"n.a.")),"n.a.")</f>
        <v>0.07644824311490983</v>
      </c>
      <c r="F32" s="21">
        <f>IF(AND(ISNUMBER(F30),ISNUMBER(E30)),IF(E30&lt;=0,"n.m.",IFERROR(F30/E30-1,"n.a.")),"n.a.")</f>
        <v>0.03220114689016329</v>
      </c>
      <c r="G32" s="21"/>
      <c r="H32" s="21">
        <f>IF(AND(ISNUMBER(H30),ISNUMBER(F30)),IF(F30&lt;=0,"n.m.",IFERROR(H30/F30-1,"n.a.")),"n.a.")</f>
        <v>-0.058119658119658135</v>
      </c>
      <c r="I32" s="21">
        <f>IF(AND(ISNUMBER(I30),ISNUMBER(H30)),IF(H30&lt;=0,"n.m.",IFERROR(I30/H30-1,"n.a.")),"n.a.")</f>
        <v>0.2558983666061705</v>
      </c>
      <c r="J32" s="29">
        <f>IF(AND(ISNUMBER(J30),ISNUMBER(I30)),IF(I30&lt;=0,"n.m.",IFERROR(J30/I30-1,"n.a.")),"n.a.")</f>
        <v>-0.14375758670520222</v>
      </c>
      <c r="K32" s="1"/>
      <c r="L32" s="1"/>
      <c r="M32" s="1"/>
      <c r="N32" s="1"/>
      <c r="O32" s="1"/>
      <c r="P32" s="1"/>
    </row>
    <row r="33">
      <c r="A33" s="1"/>
      <c r="B33" s="7" t="s">
        <v>142</v>
      </c>
      <c r="C33" s="22">
        <f>C17+C30</f>
        <v>5452</v>
      </c>
      <c r="D33" s="22">
        <f>D17+D30</f>
        <v>5661</v>
      </c>
      <c r="E33" s="22">
        <f>E17+E30</f>
        <v>5915</v>
      </c>
      <c r="F33" s="22">
        <f>F17+F30</f>
        <v>6071</v>
      </c>
      <c r="G33" s="22">
        <f>G17+G30</f>
        <v>23099</v>
      </c>
      <c r="H33" s="22">
        <f>H17+H30</f>
        <v>6165</v>
      </c>
      <c r="I33" s="22">
        <f>I17+I30</f>
        <v>6875</v>
      </c>
      <c r="J33" s="23">
        <f>J17+J30</f>
        <v>6615.1055335923265</v>
      </c>
      <c r="K33" s="1"/>
      <c r="L33" s="1"/>
      <c r="M33" s="1"/>
      <c r="N33" s="1"/>
      <c r="O33" s="1"/>
      <c r="P33" s="1"/>
    </row>
    <row r="34">
      <c r="A34" s="1"/>
      <c r="B34" s="6" t="s">
        <v>143</v>
      </c>
      <c r="C34" s="21"/>
      <c r="D34" s="21"/>
      <c r="E34" s="21"/>
      <c r="F34" s="21"/>
      <c r="G34" s="21"/>
      <c r="H34" s="21">
        <f>IF(AND(ISNUMBER(H33),ISNUMBER(C33)),IF(C33&lt;=0,"n.m.",IFERROR(H33/C33-1,"n.a.")),"n.a.")</f>
        <v>0.13077769625825386</v>
      </c>
      <c r="I34" s="21">
        <f>IF(AND(ISNUMBER(I33),ISNUMBER(D33)),IF(D33&lt;=0,"n.m.",IFERROR(I33/D33-1,"n.a.")),"n.a.")</f>
        <v>0.2144497438615085</v>
      </c>
      <c r="J34" s="29">
        <f>IF(AND(ISNUMBER(J33),ISNUMBER(E33)),IF(E33&lt;=0,"n.m.",IFERROR(J33/E33-1,"n.a.")),"n.a.")</f>
        <v>0.11836103695559208</v>
      </c>
      <c r="K34" s="1"/>
      <c r="L34" s="1"/>
      <c r="M34" s="1"/>
      <c r="N34" s="1"/>
      <c r="O34" s="1"/>
      <c r="P34" s="1"/>
    </row>
    <row r="35">
      <c r="A35" s="1"/>
      <c r="B35" s="6" t="s">
        <v>144</v>
      </c>
      <c r="C35" s="21"/>
      <c r="D35" s="21">
        <f>IF(AND(ISNUMBER(D33),ISNUMBER(C33)),IF(C33&lt;=0,"n.m.",IFERROR(D33/C33-1,"n.a.")),"n.a.")</f>
        <v>0.0383345561261923</v>
      </c>
      <c r="E35" s="21">
        <f>IF(AND(ISNUMBER(E33),ISNUMBER(D33)),IF(D33&lt;=0,"n.m.",IFERROR(E33/D33-1,"n.a.")),"n.a.")</f>
        <v>0.0448683978095743</v>
      </c>
      <c r="F35" s="21">
        <f>IF(AND(ISNUMBER(F33),ISNUMBER(E33)),IF(E33&lt;=0,"n.m.",IFERROR(F33/E33-1,"n.a.")),"n.a.")</f>
        <v>0.02637362637362628</v>
      </c>
      <c r="G35" s="21"/>
      <c r="H35" s="21">
        <f>IF(AND(ISNUMBER(H33),ISNUMBER(F33)),IF(F33&lt;=0,"n.m.",IFERROR(H33/F33-1,"n.a.")),"n.a.")</f>
        <v>0.015483445890298153</v>
      </c>
      <c r="I35" s="21">
        <f>IF(AND(ISNUMBER(I33),ISNUMBER(H33)),IF(H33&lt;=0,"n.m.",IFERROR(I33/H33-1,"n.a.")),"n.a.")</f>
        <v>0.11516626115166262</v>
      </c>
      <c r="J35" s="29">
        <f>IF(AND(ISNUMBER(J33),ISNUMBER(I33)),IF(I33&lt;=0,"n.m.",IFERROR(J33/I33-1,"n.a.")),"n.a.")</f>
        <v>-0.03780283147747976</v>
      </c>
      <c r="K35" s="1"/>
      <c r="L35" s="1"/>
      <c r="M35" s="1"/>
      <c r="N35" s="1"/>
      <c r="O35" s="1"/>
      <c r="P35" s="1"/>
    </row>
    <row r="36">
      <c r="A36" s="1"/>
      <c r="B36" s="1" t="s">
        <v>383</v>
      </c>
      <c r="C36" s="12">
        <f>Inputs!I84-C33</f>
        <v>0</v>
      </c>
      <c r="D36" s="12">
        <f>Inputs!I85-D33</f>
        <v>0</v>
      </c>
      <c r="E36" s="12">
        <f>Inputs!I86-E33</f>
        <v>0</v>
      </c>
      <c r="F36" s="12">
        <f>Inputs!I87-F33</f>
        <v>0</v>
      </c>
      <c r="G36" s="14"/>
      <c r="H36" s="12">
        <f>Inputs!I88-H33</f>
        <v>0</v>
      </c>
      <c r="I36" s="12">
        <f>Inputs!I89-I33</f>
        <v>0</v>
      </c>
      <c r="J36" s="10"/>
      <c r="K36" s="1"/>
      <c r="L36" s="1"/>
      <c r="M36" s="1"/>
      <c r="N36" s="1"/>
      <c r="O36" s="1"/>
      <c r="P36" s="1"/>
    </row>
    <row r="37" ht="41.25">
      <c r="A37" s="1"/>
      <c r="B37" s="1" t="s">
        <v>309</v>
      </c>
      <c r="C37" s="18">
        <v>219</v>
      </c>
      <c r="D37" s="18">
        <v>254</v>
      </c>
      <c r="E37" s="18">
        <v>167</v>
      </c>
      <c r="F37" s="18">
        <v>139</v>
      </c>
      <c r="G37" s="14">
        <f>SUM(C37:F37)</f>
        <v>779</v>
      </c>
      <c r="H37" s="18">
        <v>210</v>
      </c>
      <c r="I37" s="18">
        <v>191</v>
      </c>
      <c r="J37" s="27">
        <v>230</v>
      </c>
      <c r="K37" s="134" t="s">
        <v>384</v>
      </c>
      <c r="L37" s="1"/>
      <c r="M37" s="1"/>
      <c r="N37" s="1"/>
      <c r="O37" s="1"/>
      <c r="P37" s="1"/>
    </row>
    <row r="38">
      <c r="A38" s="1"/>
      <c r="B38" s="6" t="s">
        <v>143</v>
      </c>
      <c r="C38" s="21"/>
      <c r="D38" s="21"/>
      <c r="E38" s="21"/>
      <c r="F38" s="21"/>
      <c r="G38" s="21"/>
      <c r="H38" s="21">
        <f>IF(AND(ISNUMBER(H37),ISNUMBER(C37)),IF(C37&lt;=0,"n.m.",IFERROR(H37/C37-1,"n.a.")),"n.a.")</f>
        <v>-0.04109589041095896</v>
      </c>
      <c r="I38" s="21">
        <f>IF(AND(ISNUMBER(I37),ISNUMBER(D37)),IF(D37&lt;=0,"n.m.",IFERROR(I37/D37-1,"n.a.")),"n.a.")</f>
        <v>-0.24803149606299213</v>
      </c>
      <c r="J38" s="29">
        <f>IF(AND(ISNUMBER(J37),ISNUMBER(E37)),IF(E37&lt;=0,"n.m.",IFERROR(J37/E37-1,"n.a.")),"n.a.")</f>
        <v>0.3772455089820359</v>
      </c>
      <c r="K38" s="1"/>
      <c r="L38" s="1"/>
      <c r="M38" s="1"/>
      <c r="N38" s="1"/>
      <c r="O38" s="1"/>
      <c r="P38" s="1"/>
    </row>
    <row r="39">
      <c r="A39" s="1"/>
      <c r="B39" s="1" t="s">
        <v>162</v>
      </c>
      <c r="C39" s="14"/>
      <c r="D39" s="14">
        <f>IF(AND(ISNUMBER(D37),ISNUMBER(C37)),D37-C37,"n.a.")</f>
        <v>35</v>
      </c>
      <c r="E39" s="14">
        <f>IF(AND(ISNUMBER(E37),ISNUMBER(D37)),E37-D37,"n.a.")</f>
        <v>-87</v>
      </c>
      <c r="F39" s="14">
        <f>IF(AND(ISNUMBER(F37),ISNUMBER(E37)),F37-E37,"n.a.")</f>
        <v>-28</v>
      </c>
      <c r="G39" s="14"/>
      <c r="H39" s="14">
        <f>IF(AND(ISNUMBER(H37),ISNUMBER(F37)),H37-F37,"n.a.")</f>
        <v>71</v>
      </c>
      <c r="I39" s="14">
        <f>IF(AND(ISNUMBER(I37),ISNUMBER(H37)),I37-H37,"n.a.")</f>
        <v>-19</v>
      </c>
      <c r="J39" s="10">
        <f>IF(AND(ISNUMBER(J37),ISNUMBER(I37)),J37-I37,"n.a.")</f>
        <v>39</v>
      </c>
      <c r="K39" s="1"/>
      <c r="L39" s="1"/>
      <c r="M39" s="1"/>
      <c r="N39" s="1"/>
      <c r="O39" s="1"/>
      <c r="P39" s="1"/>
    </row>
    <row r="40">
      <c r="A40" s="1"/>
      <c r="B40" s="1" t="s">
        <v>310</v>
      </c>
      <c r="C40" s="18">
        <v>1890</v>
      </c>
      <c r="D40" s="18">
        <v>1889</v>
      </c>
      <c r="E40" s="18">
        <v>1970</v>
      </c>
      <c r="F40" s="18">
        <v>2033</v>
      </c>
      <c r="G40" s="14">
        <f>SUM(C40:F40)</f>
        <v>7782</v>
      </c>
      <c r="H40" s="18">
        <v>2106</v>
      </c>
      <c r="I40" s="18">
        <v>2273</v>
      </c>
      <c r="J40" s="27">
        <v>2225</v>
      </c>
      <c r="K40" s="1"/>
      <c r="L40" s="1"/>
      <c r="M40" s="1"/>
      <c r="N40" s="1"/>
      <c r="O40" s="1"/>
      <c r="P40" s="1"/>
    </row>
    <row r="41">
      <c r="A41" s="1"/>
      <c r="B41" s="1" t="s">
        <v>385</v>
      </c>
      <c r="C41" s="18">
        <v>245</v>
      </c>
      <c r="D41" s="18">
        <v>235</v>
      </c>
      <c r="E41" s="18">
        <v>235</v>
      </c>
      <c r="F41" s="18">
        <v>247</v>
      </c>
      <c r="G41" s="14">
        <f>SUM(C41:F41)</f>
        <v>962</v>
      </c>
      <c r="H41" s="18">
        <v>262</v>
      </c>
      <c r="I41" s="18">
        <v>252</v>
      </c>
      <c r="J41" s="27">
        <v>256</v>
      </c>
      <c r="K41" s="1"/>
      <c r="L41" s="1"/>
      <c r="M41" s="1"/>
      <c r="N41" s="1"/>
      <c r="O41" s="1"/>
      <c r="P41" s="1"/>
    </row>
    <row r="42">
      <c r="A42" s="1"/>
      <c r="B42" s="1" t="s">
        <v>386</v>
      </c>
      <c r="C42" s="18">
        <v>384</v>
      </c>
      <c r="D42" s="18">
        <v>394</v>
      </c>
      <c r="E42" s="18">
        <v>416</v>
      </c>
      <c r="F42" s="18">
        <v>412</v>
      </c>
      <c r="G42" s="14">
        <f>SUM(C42:F42)</f>
        <v>1606</v>
      </c>
      <c r="H42" s="18">
        <v>415</v>
      </c>
      <c r="I42" s="18">
        <v>435</v>
      </c>
      <c r="J42" s="27">
        <v>442</v>
      </c>
      <c r="K42" s="1"/>
      <c r="L42" s="1"/>
      <c r="M42" s="1"/>
      <c r="N42" s="1"/>
      <c r="O42" s="1"/>
      <c r="P42" s="1"/>
    </row>
    <row r="43">
      <c r="A43" s="1"/>
      <c r="B43" s="1" t="s">
        <v>387</v>
      </c>
      <c r="C43" s="18">
        <v>85</v>
      </c>
      <c r="D43" s="18">
        <v>99</v>
      </c>
      <c r="E43" s="18">
        <v>93</v>
      </c>
      <c r="F43" s="18">
        <v>101</v>
      </c>
      <c r="G43" s="14">
        <f>SUM(C43:F43)</f>
        <v>378</v>
      </c>
      <c r="H43" s="18">
        <v>87</v>
      </c>
      <c r="I43" s="18">
        <v>110</v>
      </c>
      <c r="J43" s="27">
        <v>104</v>
      </c>
      <c r="K43" s="1"/>
      <c r="L43" s="1"/>
      <c r="M43" s="1"/>
      <c r="N43" s="1"/>
      <c r="O43" s="1"/>
      <c r="P43" s="1"/>
    </row>
    <row r="44" ht="28.5">
      <c r="A44" s="1"/>
      <c r="B44" s="1" t="s">
        <v>388</v>
      </c>
      <c r="C44" s="18">
        <v>783</v>
      </c>
      <c r="D44" s="18">
        <v>766</v>
      </c>
      <c r="E44" s="18">
        <v>747</v>
      </c>
      <c r="F44" s="18">
        <v>810</v>
      </c>
      <c r="G44" s="14">
        <f>SUM(C44:F44)</f>
        <v>3106</v>
      </c>
      <c r="H44" s="18">
        <v>898</v>
      </c>
      <c r="I44" s="18">
        <v>1028</v>
      </c>
      <c r="J44" s="27">
        <v>775</v>
      </c>
      <c r="K44" s="134" t="s">
        <v>389</v>
      </c>
      <c r="L44" s="1"/>
      <c r="M44" s="1"/>
      <c r="N44" s="1"/>
      <c r="O44" s="1"/>
      <c r="P44" s="1"/>
    </row>
    <row r="45">
      <c r="A45" s="1"/>
      <c r="B45" s="7" t="s">
        <v>314</v>
      </c>
      <c r="C45" s="22">
        <f>SUM(C40:C44)</f>
        <v>3387</v>
      </c>
      <c r="D45" s="22">
        <f>SUM(D40:D44)</f>
        <v>3383</v>
      </c>
      <c r="E45" s="22">
        <f>SUM(E40:E44)</f>
        <v>3461</v>
      </c>
      <c r="F45" s="22">
        <f>SUM(F40:F44)</f>
        <v>3603</v>
      </c>
      <c r="G45" s="22">
        <f>SUM(G40:G44)</f>
        <v>13834</v>
      </c>
      <c r="H45" s="22">
        <f>SUM(H40:H44)</f>
        <v>3768</v>
      </c>
      <c r="I45" s="22">
        <f>SUM(I40:I44)</f>
        <v>4098</v>
      </c>
      <c r="J45" s="23">
        <f>SUM(J40:J44)</f>
        <v>3802</v>
      </c>
      <c r="K45" s="1"/>
      <c r="L45" s="1"/>
      <c r="M45" s="1"/>
      <c r="N45" s="1"/>
      <c r="O45" s="1"/>
      <c r="P45" s="1"/>
    </row>
    <row r="46">
      <c r="A46" s="1"/>
      <c r="B46" s="6" t="s">
        <v>143</v>
      </c>
      <c r="C46" s="21"/>
      <c r="D46" s="21"/>
      <c r="E46" s="21"/>
      <c r="F46" s="21"/>
      <c r="G46" s="21"/>
      <c r="H46" s="21">
        <f>IF(AND(ISNUMBER(H45),ISNUMBER(C45)),IF(C45&lt;=0,"n.m.",IFERROR(H45/C45-1,"n.a.")),"n.a.")</f>
        <v>0.11248892825509293</v>
      </c>
      <c r="I46" s="21">
        <f>IF(AND(ISNUMBER(I45),ISNUMBER(D45)),IF(D45&lt;=0,"n.m.",IFERROR(I45/D45-1,"n.a.")),"n.a.")</f>
        <v>0.21135087200709424</v>
      </c>
      <c r="J46" s="29">
        <f>IF(AND(ISNUMBER(J45),ISNUMBER(E45)),IF(E45&lt;=0,"n.m.",IFERROR(J45/E45-1,"n.a.")),"n.a.")</f>
        <v>0.09852643744582501</v>
      </c>
      <c r="K46" s="1"/>
      <c r="L46" s="1"/>
      <c r="M46" s="1"/>
      <c r="N46" s="1"/>
      <c r="O46" s="1"/>
      <c r="P46" s="1"/>
    </row>
    <row r="47">
      <c r="A47" s="1"/>
      <c r="B47" s="6" t="s">
        <v>144</v>
      </c>
      <c r="C47" s="21"/>
      <c r="D47" s="21">
        <f>IF(AND(ISNUMBER(D45),ISNUMBER(C45)),IF(C45&lt;=0,"n.m.",IFERROR(D45/C45-1,"n.a.")),"n.a.")</f>
        <v>-0.001180986123412997</v>
      </c>
      <c r="E47" s="21">
        <f>IF(AND(ISNUMBER(E45),ISNUMBER(D45)),IF(D45&lt;=0,"n.m.",IFERROR(E45/D45-1,"n.a.")),"n.a.")</f>
        <v>0.023056458764410204</v>
      </c>
      <c r="F47" s="21">
        <f>IF(AND(ISNUMBER(F45),ISNUMBER(E45)),IF(E45&lt;=0,"n.m.",IFERROR(F45/E45-1,"n.a.")),"n.a.")</f>
        <v>0.04102860444958112</v>
      </c>
      <c r="G47" s="21"/>
      <c r="H47" s="21">
        <f>IF(AND(ISNUMBER(H45),ISNUMBER(F45)),IF(F45&lt;=0,"n.m.",IFERROR(H45/F45-1,"n.a.")),"n.a.")</f>
        <v>0.04579517069109085</v>
      </c>
      <c r="I47" s="21">
        <f>IF(AND(ISNUMBER(I45),ISNUMBER(H45)),IF(H45&lt;=0,"n.m.",IFERROR(I45/H45-1,"n.a.")),"n.a.")</f>
        <v>0.08757961783439483</v>
      </c>
      <c r="J47" s="29">
        <f>IF(AND(ISNUMBER(J45),ISNUMBER(I45)),IF(I45&lt;=0,"n.m.",IFERROR(J45/I45-1,"n.a.")),"n.a.")</f>
        <v>-0.07223035627135188</v>
      </c>
      <c r="K47" s="1"/>
      <c r="L47" s="1"/>
      <c r="M47" s="1"/>
      <c r="N47" s="1"/>
      <c r="O47" s="1"/>
      <c r="P47" s="1"/>
    </row>
    <row r="48">
      <c r="A48" s="1"/>
      <c r="B48" s="7" t="s">
        <v>390</v>
      </c>
      <c r="C48" s="22">
        <f>C33-C45</f>
        <v>2065</v>
      </c>
      <c r="D48" s="22">
        <f>D33-D45</f>
        <v>2278</v>
      </c>
      <c r="E48" s="22">
        <f>E33-E45</f>
        <v>2454</v>
      </c>
      <c r="F48" s="22">
        <f>F33-F45</f>
        <v>2468</v>
      </c>
      <c r="G48" s="22">
        <f>G33-G45</f>
        <v>9265</v>
      </c>
      <c r="H48" s="22">
        <f>H33-H45</f>
        <v>2397</v>
      </c>
      <c r="I48" s="22">
        <f>I33-I45</f>
        <v>2777</v>
      </c>
      <c r="J48" s="23">
        <f>J33-J45</f>
        <v>2813.1055335923265</v>
      </c>
      <c r="K48" s="1"/>
      <c r="L48" s="1"/>
      <c r="M48" s="1"/>
      <c r="N48" s="1"/>
      <c r="O48" s="1"/>
      <c r="P48" s="1"/>
    </row>
    <row r="49">
      <c r="A49" s="1"/>
      <c r="B49" s="7" t="s">
        <v>391</v>
      </c>
      <c r="C49" s="22">
        <f>C48-C37</f>
        <v>1846</v>
      </c>
      <c r="D49" s="22">
        <f>D48-D37</f>
        <v>2024</v>
      </c>
      <c r="E49" s="22">
        <f>E48-E37</f>
        <v>2287</v>
      </c>
      <c r="F49" s="22">
        <f>F48-F37</f>
        <v>2329</v>
      </c>
      <c r="G49" s="22">
        <f>G48-G37</f>
        <v>8486</v>
      </c>
      <c r="H49" s="22">
        <f>H48-H37</f>
        <v>2187</v>
      </c>
      <c r="I49" s="22">
        <f>I48-I37</f>
        <v>2586</v>
      </c>
      <c r="J49" s="23">
        <f>J48-J37</f>
        <v>2583.1055335923265</v>
      </c>
      <c r="K49" s="1"/>
      <c r="L49" s="1"/>
      <c r="M49" s="1"/>
      <c r="N49" s="1"/>
      <c r="O49" s="1"/>
      <c r="P49" s="1"/>
    </row>
    <row r="50">
      <c r="A50" s="1"/>
      <c r="B50" s="6" t="s">
        <v>143</v>
      </c>
      <c r="C50" s="21"/>
      <c r="D50" s="21"/>
      <c r="E50" s="21"/>
      <c r="F50" s="21"/>
      <c r="G50" s="21"/>
      <c r="H50" s="21">
        <f>IF(AND(ISNUMBER(H49),ISNUMBER(C49)),IF(C49&lt;=0,"n.m.",IFERROR(H49/C49-1,"n.a.")),"n.a.")</f>
        <v>0.18472372697724815</v>
      </c>
      <c r="I50" s="21">
        <f>IF(AND(ISNUMBER(I49),ISNUMBER(D49)),IF(D49&lt;=0,"n.m.",IFERROR(I49/D49-1,"n.a.")),"n.a.")</f>
        <v>0.2776679841897234</v>
      </c>
      <c r="J50" s="29">
        <f>IF(AND(ISNUMBER(J49),ISNUMBER(E49)),IF(E49&lt;=0,"n.m.",IFERROR(J49/E49-1,"n.a.")),"n.a.")</f>
        <v>0.12947334219166007</v>
      </c>
      <c r="K50" s="1"/>
      <c r="L50" s="1"/>
      <c r="M50" s="1"/>
      <c r="N50" s="1"/>
      <c r="O50" s="1"/>
      <c r="P50" s="1"/>
    </row>
    <row r="51">
      <c r="A51" s="1"/>
      <c r="B51" s="1" t="s">
        <v>317</v>
      </c>
      <c r="C51" s="18">
        <v>347</v>
      </c>
      <c r="D51" s="18">
        <v>381</v>
      </c>
      <c r="E51" s="18">
        <v>465</v>
      </c>
      <c r="F51" s="18">
        <v>296</v>
      </c>
      <c r="G51" s="14">
        <f>SUM(C51:F51)</f>
        <v>1489</v>
      </c>
      <c r="H51" s="18">
        <v>415</v>
      </c>
      <c r="I51" s="18">
        <v>531</v>
      </c>
      <c r="J51" s="10">
        <f>J114+J98</f>
        <v>516.1211067184653</v>
      </c>
      <c r="K51" s="1"/>
      <c r="L51" s="1"/>
      <c r="M51" s="1"/>
      <c r="N51" s="1"/>
      <c r="O51" s="1"/>
      <c r="P51" s="1"/>
    </row>
    <row r="52">
      <c r="A52" s="1"/>
      <c r="B52" s="7" t="s">
        <v>392</v>
      </c>
      <c r="C52" s="22">
        <f>C49-C51</f>
        <v>1499</v>
      </c>
      <c r="D52" s="22">
        <f>D49-D51</f>
        <v>1643</v>
      </c>
      <c r="E52" s="22">
        <f>E49-E51</f>
        <v>1822</v>
      </c>
      <c r="F52" s="22">
        <f>F49-F51</f>
        <v>2033</v>
      </c>
      <c r="G52" s="22">
        <f>G49-G51</f>
        <v>6997</v>
      </c>
      <c r="H52" s="22">
        <f>H49-H51</f>
        <v>1772</v>
      </c>
      <c r="I52" s="22">
        <f>I49-I51</f>
        <v>2055</v>
      </c>
      <c r="J52" s="23">
        <f>J49-J51</f>
        <v>2066.984426873861</v>
      </c>
      <c r="K52" s="1"/>
      <c r="L52" s="1"/>
      <c r="M52" s="1"/>
      <c r="N52" s="1"/>
      <c r="O52" s="1"/>
      <c r="P52" s="1"/>
    </row>
    <row r="53">
      <c r="A53" s="1"/>
      <c r="B53" s="6" t="s">
        <v>143</v>
      </c>
      <c r="C53" s="21"/>
      <c r="D53" s="21"/>
      <c r="E53" s="21"/>
      <c r="F53" s="21"/>
      <c r="G53" s="21"/>
      <c r="H53" s="21">
        <f>IF(AND(ISNUMBER(H52),ISNUMBER(C52)),IF(C52&lt;=0,"n.m.",IFERROR(H52/C52-1,"n.a.")),"n.a.")</f>
        <v>0.18212141427618422</v>
      </c>
      <c r="I53" s="21">
        <f>IF(AND(ISNUMBER(I52),ISNUMBER(D52)),IF(D52&lt;=0,"n.m.",IFERROR(I52/D52-1,"n.a.")),"n.a.")</f>
        <v>0.25076080340839924</v>
      </c>
      <c r="J53" s="29">
        <f>IF(AND(ISNUMBER(J52),ISNUMBER(E52)),IF(E52&lt;=0,"n.m.",IFERROR(J52/E52-1,"n.a.")),"n.a.")</f>
        <v>0.1344590707320863</v>
      </c>
      <c r="K53" s="1"/>
      <c r="L53" s="1"/>
      <c r="M53" s="1"/>
      <c r="N53" s="1"/>
      <c r="O53" s="1"/>
      <c r="P53" s="1"/>
    </row>
    <row r="54">
      <c r="A54" s="1"/>
      <c r="B54" s="1" t="s">
        <v>393</v>
      </c>
      <c r="C54" s="18">
        <v>18</v>
      </c>
      <c r="D54" s="18">
        <v>16</v>
      </c>
      <c r="E54" s="18">
        <v>14</v>
      </c>
      <c r="F54" s="18">
        <v>13</v>
      </c>
      <c r="G54" s="14">
        <f>SUM(C54:F54)</f>
        <v>61</v>
      </c>
      <c r="H54" s="18">
        <v>12</v>
      </c>
      <c r="I54" s="18">
        <v>15</v>
      </c>
      <c r="J54" s="27">
        <v>14</v>
      </c>
      <c r="K54" s="1"/>
      <c r="L54" s="1"/>
      <c r="M54" s="1"/>
      <c r="N54" s="1"/>
      <c r="O54" s="1"/>
      <c r="P54" s="1"/>
    </row>
    <row r="55" ht="41.25">
      <c r="A55" s="1"/>
      <c r="B55" s="1" t="s">
        <v>394</v>
      </c>
      <c r="C55" s="18">
        <v>71</v>
      </c>
      <c r="D55" s="18">
        <v>83</v>
      </c>
      <c r="E55" s="18">
        <v>71</v>
      </c>
      <c r="F55" s="18">
        <v>83</v>
      </c>
      <c r="G55" s="14">
        <f>SUM(C55:F55)</f>
        <v>308</v>
      </c>
      <c r="H55" s="18">
        <v>73</v>
      </c>
      <c r="I55" s="18">
        <v>85</v>
      </c>
      <c r="J55" s="27">
        <v>73</v>
      </c>
      <c r="K55" s="134" t="s">
        <v>395</v>
      </c>
      <c r="L55" s="1"/>
      <c r="M55" s="1"/>
      <c r="N55" s="1"/>
      <c r="O55" s="1"/>
      <c r="P55" s="1"/>
    </row>
    <row r="56">
      <c r="A56" s="1"/>
      <c r="B56" s="1" t="s">
        <v>396</v>
      </c>
      <c r="C56" s="18">
        <v>2</v>
      </c>
      <c r="D56" s="18">
        <v>2</v>
      </c>
      <c r="E56" s="18">
        <v>2</v>
      </c>
      <c r="F56" s="18">
        <v>3</v>
      </c>
      <c r="G56" s="14">
        <f>SUM(C56:F56)</f>
        <v>9</v>
      </c>
      <c r="H56" s="18">
        <v>1</v>
      </c>
      <c r="I56" s="18">
        <v>2</v>
      </c>
      <c r="J56" s="27">
        <v>2</v>
      </c>
      <c r="K56" s="1"/>
      <c r="L56" s="1"/>
      <c r="M56" s="1"/>
      <c r="N56" s="1"/>
      <c r="O56" s="1"/>
      <c r="P56" s="1"/>
    </row>
    <row r="57">
      <c r="A57" s="1"/>
      <c r="B57" s="7" t="s">
        <v>397</v>
      </c>
      <c r="C57" s="22">
        <f>C52-C54-C55-C56</f>
        <v>1408</v>
      </c>
      <c r="D57" s="22">
        <f>D52-D54-D55-D56</f>
        <v>1542</v>
      </c>
      <c r="E57" s="22">
        <f>E52-E54-E55-E56</f>
        <v>1735</v>
      </c>
      <c r="F57" s="22">
        <f>F52-F54-F55-F56</f>
        <v>1934</v>
      </c>
      <c r="G57" s="22">
        <f>G52-G54-G55-G56</f>
        <v>6619</v>
      </c>
      <c r="H57" s="22">
        <f>H52-H54-H55-H56</f>
        <v>1686</v>
      </c>
      <c r="I57" s="22">
        <f>I52-I54-I55-I56</f>
        <v>1953</v>
      </c>
      <c r="J57" s="23">
        <f>J52-J54-J55-J56</f>
        <v>1977.9844268738611</v>
      </c>
      <c r="K57" s="1"/>
      <c r="L57" s="1"/>
      <c r="M57" s="1"/>
      <c r="N57" s="1"/>
      <c r="O57" s="1"/>
      <c r="P57" s="1"/>
    </row>
    <row r="58" ht="28.5">
      <c r="A58" s="1"/>
      <c r="B58" s="1" t="s">
        <v>398</v>
      </c>
      <c r="C58" s="18">
        <v>9</v>
      </c>
      <c r="D58" s="18">
        <v>10</v>
      </c>
      <c r="E58" s="18">
        <v>12</v>
      </c>
      <c r="F58" s="18">
        <v>12</v>
      </c>
      <c r="G58" s="14">
        <f>SUM(C58:F58)</f>
        <v>43</v>
      </c>
      <c r="H58" s="18">
        <v>11</v>
      </c>
      <c r="I58" s="18">
        <v>12</v>
      </c>
      <c r="J58" s="10">
        <f>J57*J59</f>
        <v>12.26350344661794</v>
      </c>
      <c r="K58" s="134" t="s">
        <v>399</v>
      </c>
      <c r="L58" s="1"/>
      <c r="M58" s="1"/>
      <c r="N58" s="1"/>
      <c r="O58" s="1"/>
      <c r="P58" s="1"/>
    </row>
    <row r="59">
      <c r="A59" s="1"/>
      <c r="B59" s="6" t="s">
        <v>400</v>
      </c>
      <c r="C59" s="26">
        <f>IFERROR(C58/C57,"")</f>
        <v>0.006392045454545455</v>
      </c>
      <c r="D59" s="26">
        <f>IFERROR(D58/D57,"")</f>
        <v>0.00648508430609598</v>
      </c>
      <c r="E59" s="26">
        <f>IFERROR(E58/E57,"")</f>
        <v>0.0069164265129683</v>
      </c>
      <c r="F59" s="26">
        <f>IFERROR(F58/F57,"")</f>
        <v>0.0062047569803516025</v>
      </c>
      <c r="G59" s="26">
        <f>IFERROR(G58/G57,"")</f>
        <v>0.0064964496147454295</v>
      </c>
      <c r="H59" s="26">
        <f>IFERROR(H58/H57,"")</f>
        <v>0.006524317912218268</v>
      </c>
      <c r="I59" s="26">
        <f>IFERROR(I58/I57,"")</f>
        <v>0.006144393241167435</v>
      </c>
      <c r="J59" s="80">
        <v>0.0062</v>
      </c>
      <c r="K59" s="1"/>
      <c r="L59" s="1"/>
      <c r="M59" s="1"/>
      <c r="N59" s="1"/>
      <c r="O59" s="1"/>
      <c r="P59" s="1"/>
    </row>
    <row r="60">
      <c r="A60" s="1"/>
      <c r="B60" s="6" t="s">
        <v>186</v>
      </c>
      <c r="C60" s="20"/>
      <c r="D60" s="20">
        <f>IF(AND(ISNUMBER(D59),ISNUMBER(C59)),(D59-C59)*10000,"n.a.")</f>
        <v>0.9303885155052469</v>
      </c>
      <c r="E60" s="20">
        <f>IF(AND(ISNUMBER(E59),ISNUMBER(D59)),(E59-D59)*10000,"n.a.")</f>
        <v>4.3134220687232</v>
      </c>
      <c r="F60" s="20">
        <f>IF(AND(ISNUMBER(F59),ISNUMBER(E59)),(F59-E59)*10000,"n.a.")</f>
        <v>-7.116695326166971</v>
      </c>
      <c r="G60" s="20"/>
      <c r="H60" s="20">
        <f>IF(AND(ISNUMBER(H59),ISNUMBER(F59)),(H59-F59)*10000,"n.a.")</f>
        <v>3.195609318666654</v>
      </c>
      <c r="I60" s="20">
        <f>IF(AND(ISNUMBER(I59),ISNUMBER(H59)),(I59-H59)*10000,"n.a.")</f>
        <v>-3.799246710508332</v>
      </c>
      <c r="J60" s="48">
        <f>IF(AND(ISNUMBER(J59),ISNUMBER(I59)),(J59-I59)*10000,"n.a.")</f>
        <v>0.5560675883256507</v>
      </c>
      <c r="K60" s="1"/>
      <c r="L60" s="1"/>
      <c r="M60" s="1"/>
      <c r="N60" s="1"/>
      <c r="O60" s="1"/>
      <c r="P60" s="1"/>
    </row>
    <row r="61">
      <c r="A61" s="1"/>
      <c r="B61" s="6" t="s">
        <v>187</v>
      </c>
      <c r="C61" s="20"/>
      <c r="D61" s="20"/>
      <c r="E61" s="20"/>
      <c r="F61" s="20"/>
      <c r="G61" s="20"/>
      <c r="H61" s="20">
        <f>IF(AND(ISNUMBER(H59),ISNUMBER(C59)),(H59-C59)*10000,"n.a.")</f>
        <v>1.3227245767281297</v>
      </c>
      <c r="I61" s="20">
        <f>IF(AND(ISNUMBER(I59),ISNUMBER(D59)),(I59-D59)*10000,"n.a.")</f>
        <v>-3.4069106492854493</v>
      </c>
      <c r="J61" s="48">
        <f>IF(AND(ISNUMBER(J59),ISNUMBER(E59)),(J59-E59)*10000,"n.a.")</f>
        <v>-7.164265129682998</v>
      </c>
      <c r="K61" s="1"/>
      <c r="L61" s="1"/>
      <c r="M61" s="1"/>
      <c r="N61" s="1"/>
      <c r="O61" s="1"/>
      <c r="P61" s="1"/>
    </row>
    <row r="62">
      <c r="A62" s="1"/>
      <c r="B62" s="7" t="s">
        <v>401</v>
      </c>
      <c r="C62" s="22">
        <f>C57-C58</f>
        <v>1399</v>
      </c>
      <c r="D62" s="22">
        <f>D57-D58</f>
        <v>1532</v>
      </c>
      <c r="E62" s="22">
        <f>E57-E58</f>
        <v>1723</v>
      </c>
      <c r="F62" s="22">
        <f>F57-F58</f>
        <v>1922</v>
      </c>
      <c r="G62" s="22">
        <f>G57-G58</f>
        <v>6576</v>
      </c>
      <c r="H62" s="22">
        <f>H57-H58</f>
        <v>1675</v>
      </c>
      <c r="I62" s="22">
        <f>I57-I58</f>
        <v>1941</v>
      </c>
      <c r="J62" s="23">
        <f>J57-J58</f>
        <v>1965.7209234272432</v>
      </c>
      <c r="K62" s="1"/>
      <c r="L62" s="1"/>
      <c r="M62" s="1"/>
      <c r="N62" s="1"/>
      <c r="O62" s="1"/>
      <c r="P62" s="1"/>
    </row>
    <row r="63">
      <c r="A63" s="1"/>
      <c r="B63" s="1" t="s">
        <v>402</v>
      </c>
      <c r="C63" s="12">
        <f>'Share Count'!C33</f>
        <v>398</v>
      </c>
      <c r="D63" s="12">
        <f>'Share Count'!D33</f>
        <v>397</v>
      </c>
      <c r="E63" s="12">
        <f>'Share Count'!E33</f>
        <v>396</v>
      </c>
      <c r="F63" s="12">
        <f>'Share Count'!F33</f>
        <v>394</v>
      </c>
      <c r="G63" s="12">
        <f>'Share Count'!G33</f>
        <v>396</v>
      </c>
      <c r="H63" s="12">
        <f>'Share Count'!H33</f>
        <v>405</v>
      </c>
      <c r="I63" s="12">
        <f>'Share Count'!I33</f>
        <v>403</v>
      </c>
      <c r="J63" s="35">
        <f>'Share Count'!J33</f>
        <v>400.4691602908164</v>
      </c>
      <c r="K63" s="1"/>
      <c r="L63" s="1"/>
      <c r="M63" s="1"/>
      <c r="N63" s="1"/>
      <c r="O63" s="1"/>
      <c r="P63" s="1"/>
    </row>
    <row r="64">
      <c r="A64" s="1"/>
      <c r="B64" s="1" t="s">
        <v>403</v>
      </c>
      <c r="C64" s="12">
        <f>'Share Count'!C37</f>
        <v>398</v>
      </c>
      <c r="D64" s="12">
        <f>'Share Count'!D37</f>
        <v>397</v>
      </c>
      <c r="E64" s="12">
        <f>'Share Count'!E37</f>
        <v>396</v>
      </c>
      <c r="F64" s="12">
        <f>'Share Count'!F37</f>
        <v>394</v>
      </c>
      <c r="G64" s="12">
        <f>'Share Count'!G37</f>
        <v>396</v>
      </c>
      <c r="H64" s="12">
        <f>'Share Count'!H37</f>
        <v>405</v>
      </c>
      <c r="I64" s="12">
        <f>'Share Count'!I37</f>
        <v>403</v>
      </c>
      <c r="J64" s="35">
        <f>'Share Count'!J37</f>
        <v>400.66916029081636</v>
      </c>
      <c r="K64" s="1"/>
      <c r="L64" s="1"/>
      <c r="M64" s="1"/>
      <c r="N64" s="1"/>
      <c r="O64" s="1"/>
      <c r="P64" s="1"/>
    </row>
    <row r="65" ht="54">
      <c r="A65" s="1"/>
      <c r="B65" s="1" t="s">
        <v>404</v>
      </c>
      <c r="C65" s="53">
        <v>3.52</v>
      </c>
      <c r="D65" s="53">
        <v>3.86</v>
      </c>
      <c r="E65" s="53">
        <v>4.36</v>
      </c>
      <c r="F65" s="53">
        <v>4.88</v>
      </c>
      <c r="G65" s="34">
        <f>G62/G63</f>
        <v>16.606060606060606</v>
      </c>
      <c r="H65" s="53">
        <v>4.13</v>
      </c>
      <c r="I65" s="53">
        <v>4.82</v>
      </c>
      <c r="J65" s="42">
        <f>J62/J63</f>
        <v>4.908545072483879</v>
      </c>
      <c r="K65" s="134" t="s">
        <v>405</v>
      </c>
      <c r="L65" s="1"/>
      <c r="M65" s="1"/>
      <c r="N65" s="1"/>
      <c r="O65" s="1"/>
      <c r="P65" s="1"/>
    </row>
    <row r="66" ht="54">
      <c r="A66" s="1"/>
      <c r="B66" s="7" t="s">
        <v>406</v>
      </c>
      <c r="C66" s="71">
        <v>3.51</v>
      </c>
      <c r="D66" s="71">
        <v>3.85</v>
      </c>
      <c r="E66" s="71">
        <v>4.35</v>
      </c>
      <c r="F66" s="71">
        <v>4.88</v>
      </c>
      <c r="G66" s="121">
        <v>16.59</v>
      </c>
      <c r="H66" s="71">
        <v>4.13</v>
      </c>
      <c r="I66" s="71">
        <v>4.81</v>
      </c>
      <c r="J66" s="73">
        <f>J62/J64</f>
        <v>4.9060948988448985</v>
      </c>
      <c r="K66" s="134" t="s">
        <v>407</v>
      </c>
      <c r="L66" s="1"/>
      <c r="M66" s="1"/>
      <c r="N66" s="1"/>
      <c r="O66" s="1"/>
      <c r="P66" s="1"/>
    </row>
    <row r="67">
      <c r="A67" s="1"/>
      <c r="B67" s="6" t="s">
        <v>143</v>
      </c>
      <c r="C67" s="21"/>
      <c r="D67" s="21"/>
      <c r="E67" s="21"/>
      <c r="F67" s="21"/>
      <c r="G67" s="21"/>
      <c r="H67" s="21">
        <f>IF(AND(ISNUMBER(H66),ISNUMBER(C66)),IF(C66&lt;=0,"n.m.",IFERROR(H66/C66-1,"n.a.")),"n.a.")</f>
        <v>0.1766381766381766</v>
      </c>
      <c r="I67" s="21">
        <f>IF(AND(ISNUMBER(I66),ISNUMBER(D66)),IF(D66&lt;=0,"n.m.",IFERROR(I66/D66-1,"n.a.")),"n.a.")</f>
        <v>0.2493506493506492</v>
      </c>
      <c r="J67" s="29">
        <f>IF(AND(ISNUMBER(J66),ISNUMBER(E66)),IF(E66&lt;=0,"n.m.",IFERROR(J66/E66-1,"n.a.")),"n.a.")</f>
        <v>0.12783790778043658</v>
      </c>
      <c r="K67" s="1"/>
      <c r="L67" s="1"/>
      <c r="M67" s="1"/>
      <c r="N67" s="1"/>
      <c r="O67" s="1"/>
      <c r="P67" s="1"/>
    </row>
    <row r="68" ht="54">
      <c r="A68" s="1"/>
      <c r="B68" s="1" t="s">
        <v>408</v>
      </c>
      <c r="C68" s="53">
        <v>0.015</v>
      </c>
      <c r="D68" s="34"/>
      <c r="E68" s="34"/>
      <c r="F68" s="34"/>
      <c r="G68" s="34"/>
      <c r="H68" s="34"/>
      <c r="I68" s="34"/>
      <c r="J68" s="42"/>
      <c r="K68" s="134" t="s">
        <v>409</v>
      </c>
      <c r="L68" s="1"/>
      <c r="M68" s="1"/>
      <c r="N68" s="1"/>
      <c r="O68" s="1"/>
      <c r="P68" s="1"/>
    </row>
    <row r="69" ht="28.5">
      <c r="A69" s="1"/>
      <c r="B69" s="1" t="s">
        <v>410</v>
      </c>
      <c r="C69" s="34">
        <f>C62/C64</f>
        <v>3.5150753768844223</v>
      </c>
      <c r="D69" s="34">
        <f>D62/D64</f>
        <v>3.858942065491184</v>
      </c>
      <c r="E69" s="34">
        <f>E62/E64</f>
        <v>4.351010101010101</v>
      </c>
      <c r="F69" s="34">
        <f>F62/F64</f>
        <v>4.878172588832487</v>
      </c>
      <c r="G69" s="34">
        <f>G62/G64</f>
        <v>16.606060606060606</v>
      </c>
      <c r="H69" s="34">
        <f>H62/H64</f>
        <v>4.135802469135802</v>
      </c>
      <c r="I69" s="34">
        <f>I62/I64</f>
        <v>4.816377171215881</v>
      </c>
      <c r="J69" s="42">
        <f>J62/J64</f>
        <v>4.9060948988448985</v>
      </c>
      <c r="K69" s="134" t="s">
        <v>411</v>
      </c>
      <c r="L69" s="1"/>
      <c r="M69" s="1"/>
      <c r="N69" s="1"/>
      <c r="O69" s="1"/>
      <c r="P69" s="1"/>
    </row>
    <row r="70" ht="66.75">
      <c r="A70" s="1"/>
      <c r="B70" s="1" t="s">
        <v>412</v>
      </c>
      <c r="C70" s="66" t="b">
        <f>ABS(C66-C69)&lt;$C$68</f>
        <v>1</v>
      </c>
      <c r="D70" s="66" t="b">
        <f>ABS(D66-D69)&lt;$C$68</f>
        <v>1</v>
      </c>
      <c r="E70" s="66" t="b">
        <f>ABS(E66-E69)&lt;$C$68</f>
        <v>1</v>
      </c>
      <c r="F70" s="66" t="b">
        <f>ABS(F66-F69)&lt;$C$68</f>
        <v>1</v>
      </c>
      <c r="G70" s="66" t="b">
        <f>ROUND(G62/G66,0)=G64</f>
        <v>1</v>
      </c>
      <c r="H70" s="66" t="b">
        <f>ABS(H66-H69)&lt;$C$68</f>
        <v>1</v>
      </c>
      <c r="I70" s="66" t="b">
        <f>ABS(I66-I69)&lt;$C$68</f>
        <v>1</v>
      </c>
      <c r="J70" s="78" t="b">
        <f>ABS(J66-J69)&lt;$C$68</f>
        <v>1</v>
      </c>
      <c r="K70" s="134" t="s">
        <v>413</v>
      </c>
      <c r="L70" s="1"/>
      <c r="M70" s="1"/>
      <c r="N70" s="1"/>
      <c r="O70" s="1"/>
      <c r="P70" s="1"/>
    </row>
    <row r="71">
      <c r="A71" s="1"/>
      <c r="B71" s="1" t="s">
        <v>414</v>
      </c>
      <c r="C71" s="53">
        <v>1.6</v>
      </c>
      <c r="D71" s="53">
        <v>1.6</v>
      </c>
      <c r="E71" s="53">
        <v>1.7</v>
      </c>
      <c r="F71" s="53">
        <v>1.7</v>
      </c>
      <c r="G71" s="34">
        <f>SUM(C71:F71)</f>
        <v>6.6</v>
      </c>
      <c r="H71" s="53">
        <v>1.7</v>
      </c>
      <c r="I71" s="53">
        <v>1.7</v>
      </c>
      <c r="J71" s="49">
        <v>2</v>
      </c>
      <c r="K71" s="114" t="s">
        <v>415</v>
      </c>
      <c r="L71" s="1"/>
      <c r="M71" s="1"/>
      <c r="N71" s="1"/>
      <c r="O71" s="1"/>
      <c r="P71" s="1"/>
    </row>
    <row r="72">
      <c r="A72" s="1"/>
      <c r="B72" s="1"/>
      <c r="C72" s="11"/>
      <c r="D72" s="11"/>
      <c r="E72" s="11"/>
      <c r="F72" s="11"/>
      <c r="G72" s="11"/>
      <c r="H72" s="11"/>
      <c r="I72" s="11"/>
      <c r="J72" s="30"/>
      <c r="K72" s="1"/>
      <c r="L72" s="1"/>
      <c r="M72" s="1"/>
      <c r="N72" s="1"/>
      <c r="O72" s="1"/>
      <c r="P72" s="1"/>
    </row>
    <row r="73">
      <c r="A73" s="1"/>
      <c r="B73" s="32" t="s">
        <v>416</v>
      </c>
      <c r="C73" s="11"/>
      <c r="D73" s="11"/>
      <c r="E73" s="11"/>
      <c r="F73" s="11"/>
      <c r="G73" s="11"/>
      <c r="H73" s="11"/>
      <c r="I73" s="11"/>
      <c r="J73" s="30"/>
      <c r="K73" s="1"/>
      <c r="L73" s="1"/>
      <c r="M73" s="1"/>
      <c r="N73" s="1"/>
      <c r="O73" s="1"/>
      <c r="P73" s="1"/>
    </row>
    <row r="74">
      <c r="A74" s="1"/>
      <c r="B74" s="6" t="s">
        <v>417</v>
      </c>
      <c r="C74" s="21">
        <f>C45/C33</f>
        <v>0.6212399119589141</v>
      </c>
      <c r="D74" s="21">
        <f>D45/D33</f>
        <v>0.5975975975975976</v>
      </c>
      <c r="E74" s="21">
        <f>E45/E33</f>
        <v>0.5851225697379544</v>
      </c>
      <c r="F74" s="21">
        <f>F45/F33</f>
        <v>0.5934771866249382</v>
      </c>
      <c r="G74" s="21">
        <f>G45/G33</f>
        <v>0.5989003852980649</v>
      </c>
      <c r="H74" s="21">
        <f>H45/H33</f>
        <v>0.6111922141119221</v>
      </c>
      <c r="I74" s="21">
        <f>I45/I33</f>
        <v>0.5960727272727273</v>
      </c>
      <c r="J74" s="29">
        <f>J45/J33</f>
        <v>0.5747451768823599</v>
      </c>
      <c r="K74" s="1"/>
      <c r="L74" s="1"/>
      <c r="M74" s="1"/>
      <c r="N74" s="1"/>
      <c r="O74" s="1"/>
      <c r="P74" s="1"/>
    </row>
    <row r="75">
      <c r="A75" s="1"/>
      <c r="B75" s="6" t="s">
        <v>186</v>
      </c>
      <c r="C75" s="20"/>
      <c r="D75" s="20">
        <f>IF(AND(ISNUMBER(D74),ISNUMBER(C74)),(D74-C74)*10000,"n.a.")</f>
        <v>-236.42314361316585</v>
      </c>
      <c r="E75" s="20">
        <f>IF(AND(ISNUMBER(E74),ISNUMBER(D74)),(E74-D74)*10000,"n.a.")</f>
        <v>-124.75027859643161</v>
      </c>
      <c r="F75" s="20">
        <f>IF(AND(ISNUMBER(F74),ISNUMBER(E74)),(F74-E74)*10000,"n.a.")</f>
        <v>83.54616886983801</v>
      </c>
      <c r="G75" s="20"/>
      <c r="H75" s="20">
        <f>IF(AND(ISNUMBER(H74),ISNUMBER(F74)),(H74-F74)*10000,"n.a.")</f>
        <v>177.15027486983948</v>
      </c>
      <c r="I75" s="20">
        <f>IF(AND(ISNUMBER(I74),ISNUMBER(H74)),(I74-H74)*10000,"n.a.")</f>
        <v>-151.1948683919484</v>
      </c>
      <c r="J75" s="48">
        <f>IF(AND(ISNUMBER(J74),ISNUMBER(I74)),(J74-I74)*10000,"n.a.")</f>
        <v>-213.27550390367378</v>
      </c>
      <c r="K75" s="1"/>
      <c r="L75" s="1"/>
      <c r="M75" s="1"/>
      <c r="N75" s="1"/>
      <c r="O75" s="1"/>
      <c r="P75" s="1"/>
    </row>
    <row r="76">
      <c r="A76" s="1"/>
      <c r="B76" s="6" t="s">
        <v>187</v>
      </c>
      <c r="C76" s="20"/>
      <c r="D76" s="20"/>
      <c r="E76" s="20"/>
      <c r="F76" s="20"/>
      <c r="G76" s="20"/>
      <c r="H76" s="20">
        <f>IF(AND(ISNUMBER(H74),ISNUMBER(C74)),(H74-C74)*10000,"n.a.")</f>
        <v>-100.47697846991998</v>
      </c>
      <c r="I76" s="20">
        <f>IF(AND(ISNUMBER(I74),ISNUMBER(D74)),(I74-D74)*10000,"n.a.")</f>
        <v>-15.248703248702533</v>
      </c>
      <c r="J76" s="48">
        <f>IF(AND(ISNUMBER(J74),ISNUMBER(E74)),(J74-E74)*10000,"n.a.")</f>
        <v>-103.77392855594469</v>
      </c>
      <c r="K76" s="1"/>
      <c r="L76" s="1"/>
      <c r="M76" s="1"/>
      <c r="N76" s="1"/>
      <c r="O76" s="1"/>
      <c r="P76" s="1"/>
    </row>
    <row r="77">
      <c r="A77" s="1"/>
      <c r="B77" s="6" t="s">
        <v>418</v>
      </c>
      <c r="C77" s="21">
        <f>C49/C33</f>
        <v>0.33859134262655904</v>
      </c>
      <c r="D77" s="21">
        <f>D49/D33</f>
        <v>0.35753400459282814</v>
      </c>
      <c r="E77" s="21">
        <f>E49/E33</f>
        <v>0.3866441251056636</v>
      </c>
      <c r="F77" s="21">
        <f>F49/F33</f>
        <v>0.38362707955855707</v>
      </c>
      <c r="G77" s="21">
        <f>G49/G33</f>
        <v>0.36737521104809734</v>
      </c>
      <c r="H77" s="21">
        <f>H49/H33</f>
        <v>0.35474452554744523</v>
      </c>
      <c r="I77" s="21">
        <f>I49/I33</f>
        <v>0.37614545454545456</v>
      </c>
      <c r="J77" s="29">
        <f>J49/J33</f>
        <v>0.39048591446878606</v>
      </c>
      <c r="K77" s="1"/>
      <c r="L77" s="1"/>
      <c r="M77" s="1"/>
      <c r="N77" s="1"/>
      <c r="O77" s="1"/>
      <c r="P77" s="1"/>
    </row>
    <row r="78">
      <c r="A78" s="1"/>
      <c r="B78" s="6" t="s">
        <v>186</v>
      </c>
      <c r="C78" s="20"/>
      <c r="D78" s="20">
        <f>IF(AND(ISNUMBER(D77),ISNUMBER(C77)),(D77-C77)*10000,"n.a.")</f>
        <v>189.4266196626909</v>
      </c>
      <c r="E78" s="20">
        <f>IF(AND(ISNUMBER(E77),ISNUMBER(D77)),(E77-D77)*10000,"n.a.")</f>
        <v>291.1012051283546</v>
      </c>
      <c r="F78" s="20">
        <f>IF(AND(ISNUMBER(F77),ISNUMBER(E77)),(F77-E77)*10000,"n.a.")</f>
        <v>-30.170455471065228</v>
      </c>
      <c r="G78" s="20"/>
      <c r="H78" s="20">
        <f>IF(AND(ISNUMBER(H77),ISNUMBER(F77)),(H77-F77)*10000,"n.a.")</f>
        <v>-288.82554011111836</v>
      </c>
      <c r="I78" s="20">
        <f>IF(AND(ISNUMBER(I77),ISNUMBER(H77)),(I77-H77)*10000,"n.a.")</f>
        <v>214.00928998009329</v>
      </c>
      <c r="J78" s="48">
        <f>IF(AND(ISNUMBER(J77),ISNUMBER(I77)),(J77-I77)*10000,"n.a.")</f>
        <v>143.40459923331494</v>
      </c>
      <c r="K78" s="1"/>
      <c r="L78" s="1"/>
      <c r="M78" s="1"/>
      <c r="N78" s="1"/>
      <c r="O78" s="1"/>
      <c r="P78" s="1"/>
    </row>
    <row r="79">
      <c r="A79" s="1"/>
      <c r="B79" s="6" t="s">
        <v>187</v>
      </c>
      <c r="C79" s="20"/>
      <c r="D79" s="20"/>
      <c r="E79" s="20"/>
      <c r="F79" s="20"/>
      <c r="G79" s="20"/>
      <c r="H79" s="20">
        <f>IF(AND(ISNUMBER(H77),ISNUMBER(C77)),(H77-C77)*10000,"n.a.")</f>
        <v>161.5318292088619</v>
      </c>
      <c r="I79" s="20">
        <f>IF(AND(ISNUMBER(I77),ISNUMBER(D77)),(I77-D77)*10000,"n.a.")</f>
        <v>186.11449952626424</v>
      </c>
      <c r="J79" s="48">
        <f>IF(AND(ISNUMBER(J77),ISNUMBER(E77)),(J77-E77)*10000,"n.a.")</f>
        <v>38.41789363122461</v>
      </c>
      <c r="K79" s="1"/>
      <c r="L79" s="1"/>
      <c r="M79" s="1"/>
      <c r="N79" s="1"/>
      <c r="O79" s="1"/>
      <c r="P79" s="1"/>
    </row>
    <row r="80">
      <c r="A80" s="1"/>
      <c r="B80" s="6" t="s">
        <v>419</v>
      </c>
      <c r="C80" s="21">
        <f>C51/C49</f>
        <v>0.18797399783315277</v>
      </c>
      <c r="D80" s="21">
        <f>D51/D49</f>
        <v>0.18824110671936758</v>
      </c>
      <c r="E80" s="21">
        <f>E51/E49</f>
        <v>0.20332313073895933</v>
      </c>
      <c r="F80" s="21">
        <f>F51/F49</f>
        <v>0.1270931730356376</v>
      </c>
      <c r="G80" s="21">
        <f>G51/G49</f>
        <v>0.175465472543012</v>
      </c>
      <c r="H80" s="21">
        <f>H51/H49</f>
        <v>0.18975765889346136</v>
      </c>
      <c r="I80" s="21">
        <f>I51/I49</f>
        <v>0.20533642691415313</v>
      </c>
      <c r="J80" s="29">
        <f>J51/J49</f>
        <v>0.19980643454419586</v>
      </c>
      <c r="K80" s="1"/>
      <c r="L80" s="1"/>
      <c r="M80" s="1"/>
      <c r="N80" s="1"/>
      <c r="O80" s="1"/>
      <c r="P80" s="1"/>
    </row>
    <row r="81">
      <c r="A81" s="1"/>
      <c r="B81" s="6" t="s">
        <v>186</v>
      </c>
      <c r="C81" s="20"/>
      <c r="D81" s="20">
        <f>IF(AND(ISNUMBER(D80),ISNUMBER(C80)),(D80-C80)*10000,"n.a.")</f>
        <v>2.671088862148119</v>
      </c>
      <c r="E81" s="20">
        <f>IF(AND(ISNUMBER(E80),ISNUMBER(D80)),(E80-D80)*10000,"n.a.")</f>
        <v>150.82024019591745</v>
      </c>
      <c r="F81" s="20">
        <f>IF(AND(ISNUMBER(F80),ISNUMBER(E80)),(F80-E80)*10000,"n.a.")</f>
        <v>-762.2995770332172</v>
      </c>
      <c r="G81" s="20"/>
      <c r="H81" s="20">
        <f>IF(AND(ISNUMBER(H80),ISNUMBER(F80)),(H80-F80)*10000,"n.a.")</f>
        <v>626.6448585782375</v>
      </c>
      <c r="I81" s="20">
        <f>IF(AND(ISNUMBER(I80),ISNUMBER(H80)),(I80-H80)*10000,"n.a.")</f>
        <v>155.78768020691774</v>
      </c>
      <c r="J81" s="48">
        <f>IF(AND(ISNUMBER(J80),ISNUMBER(I80)),(J80-I80)*10000,"n.a.")</f>
        <v>-55.29992369957271</v>
      </c>
      <c r="K81" s="1"/>
      <c r="L81" s="1"/>
      <c r="M81" s="1"/>
      <c r="N81" s="1"/>
      <c r="O81" s="1"/>
      <c r="P81" s="1"/>
    </row>
    <row r="82">
      <c r="A82" s="1"/>
      <c r="B82" s="6" t="s">
        <v>187</v>
      </c>
      <c r="C82" s="20"/>
      <c r="D82" s="20"/>
      <c r="E82" s="20"/>
      <c r="F82" s="20"/>
      <c r="G82" s="20"/>
      <c r="H82" s="20">
        <f>IF(AND(ISNUMBER(H80),ISNUMBER(C80)),(H80-C80)*10000,"n.a.")</f>
        <v>17.836610603085834</v>
      </c>
      <c r="I82" s="20">
        <f>IF(AND(ISNUMBER(I80),ISNUMBER(D80)),(I80-D80)*10000,"n.a.")</f>
        <v>170.95320194785546</v>
      </c>
      <c r="J82" s="48">
        <f>IF(AND(ISNUMBER(J80),ISNUMBER(E80)),(J80-E80)*10000,"n.a.")</f>
        <v>-35.16696194763469</v>
      </c>
      <c r="K82" s="1"/>
      <c r="L82" s="1"/>
      <c r="M82" s="1"/>
      <c r="N82" s="1"/>
      <c r="O82" s="1"/>
      <c r="P82" s="1"/>
    </row>
    <row r="83">
      <c r="A83" s="1"/>
      <c r="B83" s="6" t="s">
        <v>420</v>
      </c>
      <c r="C83" s="21">
        <f>C52/C33</f>
        <v>0.27494497432134996</v>
      </c>
      <c r="D83" s="21">
        <f>D52/D33</f>
        <v>0.2902314078784667</v>
      </c>
      <c r="E83" s="21">
        <f>E52/E33</f>
        <v>0.3080304311073542</v>
      </c>
      <c r="F83" s="21">
        <f>F52/F33</f>
        <v>0.3348706967550651</v>
      </c>
      <c r="G83" s="21">
        <f>G52/G33</f>
        <v>0.30291354604095416</v>
      </c>
      <c r="H83" s="21">
        <f>H52/H33</f>
        <v>0.28742903487429033</v>
      </c>
      <c r="I83" s="21">
        <f>I52/I33</f>
        <v>0.2989090909090909</v>
      </c>
      <c r="J83" s="29">
        <f>J52/J33</f>
        <v>0.31246431615904807</v>
      </c>
      <c r="K83" s="1"/>
      <c r="L83" s="1"/>
      <c r="M83" s="1"/>
      <c r="N83" s="1"/>
      <c r="O83" s="1"/>
      <c r="P83" s="1"/>
    </row>
    <row r="84">
      <c r="A84" s="1"/>
      <c r="B84" s="6" t="s">
        <v>186</v>
      </c>
      <c r="C84" s="20"/>
      <c r="D84" s="20">
        <f>IF(AND(ISNUMBER(D83),ISNUMBER(C83)),(D83-C83)*10000,"n.a.")</f>
        <v>152.8643355711673</v>
      </c>
      <c r="E84" s="20">
        <f>IF(AND(ISNUMBER(E83),ISNUMBER(D83)),(E83-D83)*10000,"n.a.")</f>
        <v>177.9902322888749</v>
      </c>
      <c r="F84" s="20">
        <f>IF(AND(ISNUMBER(F83),ISNUMBER(E83)),(F83-E83)*10000,"n.a.")</f>
        <v>268.40265647710913</v>
      </c>
      <c r="G84" s="20"/>
      <c r="H84" s="20">
        <f>IF(AND(ISNUMBER(H83),ISNUMBER(F83)),(H83-F83)*10000,"n.a.")</f>
        <v>-474.41661880774757</v>
      </c>
      <c r="I84" s="20">
        <f>IF(AND(ISNUMBER(I83),ISNUMBER(H83)),(I83-H83)*10000,"n.a.")</f>
        <v>114.80056034800567</v>
      </c>
      <c r="J84" s="48">
        <f>IF(AND(ISNUMBER(J83),ISNUMBER(I83)),(J83-I83)*10000,"n.a.")</f>
        <v>135.5522524995717</v>
      </c>
      <c r="K84" s="1"/>
      <c r="L84" s="1"/>
      <c r="M84" s="1"/>
      <c r="N84" s="1"/>
      <c r="O84" s="1"/>
      <c r="P84" s="1"/>
    </row>
    <row r="85">
      <c r="A85" s="1"/>
      <c r="B85" s="6" t="s">
        <v>187</v>
      </c>
      <c r="C85" s="20"/>
      <c r="D85" s="20"/>
      <c r="E85" s="20"/>
      <c r="F85" s="20"/>
      <c r="G85" s="20"/>
      <c r="H85" s="20">
        <f>IF(AND(ISNUMBER(H83),ISNUMBER(C83)),(H83-C83)*10000,"n.a.")</f>
        <v>124.84060552940379</v>
      </c>
      <c r="I85" s="20">
        <f>IF(AND(ISNUMBER(I83),ISNUMBER(D83)),(I83-D83)*10000,"n.a.")</f>
        <v>86.77683030624218</v>
      </c>
      <c r="J85" s="48">
        <f>IF(AND(ISNUMBER(J83),ISNUMBER(E83)),(J83-E83)*10000,"n.a.")</f>
        <v>44.338850516938976</v>
      </c>
      <c r="K85" s="1"/>
      <c r="L85" s="1"/>
      <c r="M85" s="1"/>
      <c r="N85" s="1"/>
      <c r="O85" s="1"/>
      <c r="P85" s="1"/>
    </row>
    <row r="86">
      <c r="A86" s="1"/>
      <c r="B86" s="6" t="s">
        <v>421</v>
      </c>
      <c r="C86" s="21">
        <f>C17/C33</f>
        <v>0.6375641966250917</v>
      </c>
      <c r="D86" s="21">
        <f>D17/D33</f>
        <v>0.6279809220985691</v>
      </c>
      <c r="E86" s="21">
        <f>E17/E33</f>
        <v>0.6167371090448014</v>
      </c>
      <c r="F86" s="21">
        <f>F17/F33</f>
        <v>0.6145610278372591</v>
      </c>
      <c r="G86" s="21">
        <f>G17/G33</f>
        <v>0.6238365297199013</v>
      </c>
      <c r="H86" s="21">
        <f>H17/H33</f>
        <v>0.6424979724249797</v>
      </c>
      <c r="I86" s="21">
        <f>I17/I33</f>
        <v>0.5973818181818182</v>
      </c>
      <c r="J86" s="29">
        <f>J17/J33</f>
        <v>0.6417171293844907</v>
      </c>
      <c r="K86" s="1"/>
      <c r="L86" s="1"/>
      <c r="M86" s="1"/>
      <c r="N86" s="1"/>
      <c r="O86" s="1"/>
      <c r="P86" s="1"/>
    </row>
    <row r="87">
      <c r="A87" s="1"/>
      <c r="B87" s="6" t="s">
        <v>186</v>
      </c>
      <c r="C87" s="20"/>
      <c r="D87" s="20">
        <f>IF(AND(ISNUMBER(D86),ISNUMBER(C86)),(D86-C86)*10000,"n.a.")</f>
        <v>-95.83274526522523</v>
      </c>
      <c r="E87" s="20">
        <f>IF(AND(ISNUMBER(E86),ISNUMBER(D86)),(E86-D86)*10000,"n.a.")</f>
        <v>-112.4381305376776</v>
      </c>
      <c r="F87" s="20">
        <f>IF(AND(ISNUMBER(F86),ISNUMBER(E86)),(F86-E86)*10000,"n.a.")</f>
        <v>-21.760812075423132</v>
      </c>
      <c r="G87" s="20"/>
      <c r="H87" s="20">
        <f>IF(AND(ISNUMBER(H86),ISNUMBER(F86)),(H86-F86)*10000,"n.a.")</f>
        <v>279.3694458772067</v>
      </c>
      <c r="I87" s="20">
        <f>IF(AND(ISNUMBER(I86),ISNUMBER(H86)),(I86-H86)*10000,"n.a.")</f>
        <v>-451.1615424316151</v>
      </c>
      <c r="J87" s="48">
        <f>IF(AND(ISNUMBER(J86),ISNUMBER(I86)),(J86-I86)*10000,"n.a.")</f>
        <v>443.3531120267242</v>
      </c>
      <c r="K87" s="1"/>
      <c r="L87" s="1"/>
      <c r="M87" s="1"/>
      <c r="N87" s="1"/>
      <c r="O87" s="1"/>
      <c r="P87" s="1"/>
    </row>
    <row r="88">
      <c r="A88" s="1"/>
      <c r="B88" s="6" t="s">
        <v>187</v>
      </c>
      <c r="C88" s="20"/>
      <c r="D88" s="20"/>
      <c r="E88" s="20"/>
      <c r="F88" s="20"/>
      <c r="G88" s="20"/>
      <c r="H88" s="20">
        <f>IF(AND(ISNUMBER(H86),ISNUMBER(C86)),(H86-C86)*10000,"n.a.")</f>
        <v>49.33775799888074</v>
      </c>
      <c r="I88" s="20">
        <f>IF(AND(ISNUMBER(I86),ISNUMBER(D86)),(I86-D86)*10000,"n.a.")</f>
        <v>-305.99103916750914</v>
      </c>
      <c r="J88" s="48">
        <f>IF(AND(ISNUMBER(J86),ISNUMBER(E86)),(J86-E86)*10000,"n.a.")</f>
        <v>249.8002033968927</v>
      </c>
      <c r="K88" s="1"/>
      <c r="L88" s="1"/>
      <c r="M88" s="1"/>
      <c r="N88" s="1"/>
      <c r="O88" s="1"/>
      <c r="P88" s="1"/>
    </row>
    <row r="89">
      <c r="A89" s="1"/>
      <c r="B89" s="1"/>
      <c r="C89" s="11"/>
      <c r="D89" s="11"/>
      <c r="E89" s="11"/>
      <c r="F89" s="11"/>
      <c r="G89" s="11"/>
      <c r="H89" s="11"/>
      <c r="I89" s="11"/>
      <c r="J89" s="30"/>
      <c r="K89" s="1"/>
      <c r="L89" s="1"/>
      <c r="M89" s="1"/>
      <c r="N89" s="1"/>
      <c r="O89" s="1"/>
      <c r="P89" s="1"/>
    </row>
    <row r="90">
      <c r="A90" s="1"/>
      <c r="B90" s="32" t="s">
        <v>422</v>
      </c>
      <c r="C90" s="11"/>
      <c r="D90" s="11"/>
      <c r="E90" s="11"/>
      <c r="F90" s="11"/>
      <c r="G90" s="11"/>
      <c r="H90" s="11"/>
      <c r="I90" s="11"/>
      <c r="J90" s="30"/>
      <c r="K90" s="1"/>
      <c r="L90" s="1"/>
      <c r="M90" s="1"/>
      <c r="N90" s="1"/>
      <c r="O90" s="1"/>
      <c r="P90" s="1"/>
    </row>
    <row r="91">
      <c r="A91" s="1"/>
      <c r="B91" s="1" t="s">
        <v>423</v>
      </c>
      <c r="C91" s="18">
        <v>0</v>
      </c>
      <c r="D91" s="18">
        <v>0</v>
      </c>
      <c r="E91" s="18">
        <v>0</v>
      </c>
      <c r="F91" s="18">
        <v>0</v>
      </c>
      <c r="G91" s="14">
        <f>SUM(C91:F91)</f>
        <v>0</v>
      </c>
      <c r="H91" s="18">
        <v>1</v>
      </c>
      <c r="I91" s="18">
        <v>6</v>
      </c>
      <c r="J91" s="27">
        <v>0</v>
      </c>
      <c r="K91" s="1"/>
      <c r="L91" s="1"/>
      <c r="M91" s="1"/>
      <c r="N91" s="1"/>
      <c r="O91" s="1"/>
      <c r="P91" s="1"/>
    </row>
    <row r="92">
      <c r="A92" s="1"/>
      <c r="B92" s="1" t="s">
        <v>424</v>
      </c>
      <c r="C92" s="18">
        <v>0</v>
      </c>
      <c r="D92" s="18">
        <v>0</v>
      </c>
      <c r="E92" s="18">
        <v>0</v>
      </c>
      <c r="F92" s="18">
        <v>0</v>
      </c>
      <c r="G92" s="14">
        <f>SUM(C92:F92)</f>
        <v>0</v>
      </c>
      <c r="H92" s="18">
        <v>97</v>
      </c>
      <c r="I92" s="18">
        <v>121</v>
      </c>
      <c r="J92" s="35">
        <f>Guidance!J51</f>
        <v>50</v>
      </c>
      <c r="K92" s="114" t="s">
        <v>425</v>
      </c>
      <c r="L92" s="1"/>
      <c r="M92" s="1"/>
      <c r="N92" s="1"/>
      <c r="O92" s="1"/>
      <c r="P92" s="1"/>
    </row>
    <row r="93">
      <c r="A93" s="1"/>
      <c r="B93" s="1" t="s">
        <v>426</v>
      </c>
      <c r="C93" s="18">
        <v>0</v>
      </c>
      <c r="D93" s="18">
        <v>0</v>
      </c>
      <c r="E93" s="18">
        <v>0</v>
      </c>
      <c r="F93" s="18">
        <v>0</v>
      </c>
      <c r="G93" s="14">
        <f>SUM(C93:F93)</f>
        <v>0</v>
      </c>
      <c r="H93" s="18">
        <v>0</v>
      </c>
      <c r="I93" s="14">
        <f>-I26</f>
        <v>-448</v>
      </c>
      <c r="J93" s="27">
        <v>0</v>
      </c>
      <c r="K93" s="1"/>
      <c r="L93" s="1"/>
      <c r="M93" s="1"/>
      <c r="N93" s="1"/>
      <c r="O93" s="1"/>
      <c r="P93" s="1"/>
    </row>
    <row r="94">
      <c r="A94" s="1"/>
      <c r="B94" s="1" t="s">
        <v>427</v>
      </c>
      <c r="C94" s="18">
        <v>0</v>
      </c>
      <c r="D94" s="18">
        <v>0</v>
      </c>
      <c r="E94" s="18">
        <v>0</v>
      </c>
      <c r="F94" s="18">
        <v>0</v>
      </c>
      <c r="G94" s="14">
        <f>SUM(C94:F94)</f>
        <v>0</v>
      </c>
      <c r="H94" s="18">
        <v>0</v>
      </c>
      <c r="I94" s="14">
        <f>-I27</f>
        <v>139</v>
      </c>
      <c r="J94" s="27">
        <v>0</v>
      </c>
      <c r="K94" s="1"/>
      <c r="L94" s="1"/>
      <c r="M94" s="1"/>
      <c r="N94" s="1"/>
      <c r="O94" s="1"/>
      <c r="P94" s="1"/>
    </row>
    <row r="95" ht="130.5">
      <c r="A95" s="1"/>
      <c r="B95" s="1" t="s">
        <v>428</v>
      </c>
      <c r="C95" s="18">
        <v>0</v>
      </c>
      <c r="D95" s="18">
        <v>0</v>
      </c>
      <c r="E95" s="18">
        <v>0</v>
      </c>
      <c r="F95" s="18">
        <v>0</v>
      </c>
      <c r="G95" s="14">
        <f>SUM(C95:F95)</f>
        <v>0</v>
      </c>
      <c r="H95" s="18">
        <v>0</v>
      </c>
      <c r="I95" s="12">
        <f>-'Revenue summary'!I277</f>
        <v>85</v>
      </c>
      <c r="J95" s="27">
        <v>0</v>
      </c>
      <c r="K95" s="134" t="s">
        <v>429</v>
      </c>
      <c r="L95" s="1"/>
      <c r="M95" s="1"/>
      <c r="N95" s="1"/>
      <c r="O95" s="1"/>
      <c r="P95" s="1"/>
    </row>
    <row r="96">
      <c r="A96" s="1"/>
      <c r="B96" s="1" t="s">
        <v>430</v>
      </c>
      <c r="C96" s="18">
        <v>0</v>
      </c>
      <c r="D96" s="18">
        <v>0</v>
      </c>
      <c r="E96" s="18">
        <v>0</v>
      </c>
      <c r="F96" s="18">
        <v>0</v>
      </c>
      <c r="G96" s="14">
        <f>SUM(C96:F96)</f>
        <v>0</v>
      </c>
      <c r="H96" s="18">
        <v>0</v>
      </c>
      <c r="I96" s="18">
        <v>140</v>
      </c>
      <c r="J96" s="27">
        <v>0</v>
      </c>
      <c r="K96" s="1"/>
      <c r="L96" s="1"/>
      <c r="M96" s="1"/>
      <c r="N96" s="1"/>
      <c r="O96" s="1"/>
      <c r="P96" s="1"/>
    </row>
    <row r="97">
      <c r="A97" s="1"/>
      <c r="B97" s="7" t="s">
        <v>431</v>
      </c>
      <c r="C97" s="22">
        <f>SUM(C91:C96)</f>
        <v>0</v>
      </c>
      <c r="D97" s="22">
        <f>SUM(D91:D96)</f>
        <v>0</v>
      </c>
      <c r="E97" s="22">
        <f>SUM(E91:E96)</f>
        <v>0</v>
      </c>
      <c r="F97" s="22">
        <f>SUM(F91:F96)</f>
        <v>0</v>
      </c>
      <c r="G97" s="22">
        <f>SUM(G91:G96)</f>
        <v>0</v>
      </c>
      <c r="H97" s="22">
        <f>SUM(H91:H96)</f>
        <v>98</v>
      </c>
      <c r="I97" s="22">
        <f>SUM(I91:I96)</f>
        <v>43</v>
      </c>
      <c r="J97" s="23">
        <f>SUM(J91:J96)</f>
        <v>50</v>
      </c>
      <c r="K97" s="1"/>
      <c r="L97" s="1"/>
      <c r="M97" s="1"/>
      <c r="N97" s="1"/>
      <c r="O97" s="1"/>
      <c r="P97" s="1"/>
    </row>
    <row r="98" ht="28.5">
      <c r="A98" s="1"/>
      <c r="B98" s="1" t="s">
        <v>432</v>
      </c>
      <c r="C98" s="18">
        <v>0</v>
      </c>
      <c r="D98" s="18">
        <v>0</v>
      </c>
      <c r="E98" s="18">
        <v>0</v>
      </c>
      <c r="F98" s="18">
        <v>0</v>
      </c>
      <c r="G98" s="14">
        <f>SUM(C98:F98)</f>
        <v>0</v>
      </c>
      <c r="H98" s="18">
        <v>-21</v>
      </c>
      <c r="I98" s="18">
        <v>-28</v>
      </c>
      <c r="J98" s="10">
        <f>-J97*J99</f>
        <v>-10.5</v>
      </c>
      <c r="K98" s="134" t="s">
        <v>433</v>
      </c>
      <c r="L98" s="1"/>
      <c r="M98" s="1"/>
      <c r="N98" s="1"/>
      <c r="O98" s="1"/>
      <c r="P98" s="1"/>
    </row>
    <row r="99">
      <c r="A99" s="1"/>
      <c r="B99" s="6" t="s">
        <v>434</v>
      </c>
      <c r="C99" s="21" t="str">
        <f>IFERROR(-C98/C97,"n.a.")</f>
        <v>n.a.</v>
      </c>
      <c r="D99" s="21" t="str">
        <f>IFERROR(-D98/D97,"n.a.")</f>
        <v>n.a.</v>
      </c>
      <c r="E99" s="21" t="str">
        <f>IFERROR(-E98/E97,"n.a.")</f>
        <v>n.a.</v>
      </c>
      <c r="F99" s="21" t="str">
        <f>IFERROR(-F98/F97,"n.a.")</f>
        <v>n.a.</v>
      </c>
      <c r="G99" s="21" t="str">
        <f>IFERROR(-G98/G97,"n.a.")</f>
        <v>n.a.</v>
      </c>
      <c r="H99" s="21">
        <f>IFERROR(-H98/H97,"n.a.")</f>
        <v>0.21428571428571427</v>
      </c>
      <c r="I99" s="21">
        <f>IFERROR(-I98/I97,"n.a.")</f>
        <v>0.6511627906976745</v>
      </c>
      <c r="J99" s="28">
        <v>0.21</v>
      </c>
      <c r="K99" s="1"/>
      <c r="L99" s="1"/>
      <c r="M99" s="1"/>
      <c r="N99" s="1"/>
      <c r="O99" s="1"/>
      <c r="P99" s="1"/>
    </row>
    <row r="100" ht="54">
      <c r="A100" s="1"/>
      <c r="B100" s="6" t="s">
        <v>186</v>
      </c>
      <c r="C100" s="20"/>
      <c r="D100" s="20" t="str">
        <f>IF(AND(ISNUMBER(D99),ISNUMBER(C99)),IF(OR(AND(COUNTIF(D91:D96,"&lt;0")&gt;0,COUNTIF(D91:D96,"&gt;0")&gt;0),AND(COUNTIF(C91:C96,"&lt;0")&gt;0,COUNTIF(C91:C96,"&gt;0")&gt;0)),"n.m.",(D99-C99)*10000),"n.a.")</f>
        <v>n.a.</v>
      </c>
      <c r="E100" s="20" t="str">
        <f>IF(AND(ISNUMBER(E99),ISNUMBER(D99)),IF(OR(AND(COUNTIF(E91:E96,"&lt;0")&gt;0,COUNTIF(E91:E96,"&gt;0")&gt;0),AND(COUNTIF(D91:D96,"&lt;0")&gt;0,COUNTIF(D91:D96,"&gt;0")&gt;0)),"n.m.",(E99-D99)*10000),"n.a.")</f>
        <v>n.a.</v>
      </c>
      <c r="F100" s="20" t="str">
        <f>IF(AND(ISNUMBER(F99),ISNUMBER(E99)),IF(OR(AND(COUNTIF(F91:F96,"&lt;0")&gt;0,COUNTIF(F91:F96,"&gt;0")&gt;0),AND(COUNTIF(E91:E96,"&lt;0")&gt;0,COUNTIF(E91:E96,"&gt;0")&gt;0)),"n.m.",(F99-E99)*10000),"n.a.")</f>
        <v>n.a.</v>
      </c>
      <c r="G100" s="20"/>
      <c r="H100" s="20" t="str">
        <f>IF(AND(ISNUMBER(H99),ISNUMBER(F99)),IF(OR(AND(COUNTIF(H91:H96,"&lt;0")&gt;0,COUNTIF(H91:H96,"&gt;0")&gt;0),AND(COUNTIF(F91:F96,"&lt;0")&gt;0,COUNTIF(F91:F96,"&gt;0")&gt;0)),"n.m.",(H99-F99)*10000),"n.a.")</f>
        <v>n.a.</v>
      </c>
      <c r="I100" s="20" t="str">
        <f>IF(AND(ISNUMBER(I99),ISNUMBER(H99)),IF(OR(AND(COUNTIF(I91:I96,"&lt;0")&gt;0,COUNTIF(I91:I96,"&gt;0")&gt;0),AND(COUNTIF(H91:H96,"&lt;0")&gt;0,COUNTIF(H91:H96,"&gt;0")&gt;0)),"n.m.",(I99-H99)*10000),"n.a.")</f>
        <v>n.m.</v>
      </c>
      <c r="J100" s="48" t="str">
        <f>IF(AND(ISNUMBER(J99),ISNUMBER(I99)),IF(OR(AND(COUNTIF(J91:J96,"&lt;0")&gt;0,COUNTIF(J91:J96,"&gt;0")&gt;0),AND(COUNTIF(I91:I96,"&lt;0")&gt;0,COUNTIF(I91:I96,"&gt;0")&gt;0)),"n.m.",(J99-I99)*10000),"n.a.")</f>
        <v>n.m.</v>
      </c>
      <c r="K100" s="134" t="s">
        <v>435</v>
      </c>
      <c r="L100" s="1"/>
      <c r="M100" s="1"/>
      <c r="N100" s="1"/>
      <c r="O100" s="1"/>
      <c r="P100" s="1"/>
    </row>
    <row r="101">
      <c r="A101" s="1"/>
      <c r="B101" s="6" t="s">
        <v>187</v>
      </c>
      <c r="C101" s="20"/>
      <c r="D101" s="20"/>
      <c r="E101" s="20"/>
      <c r="F101" s="20"/>
      <c r="G101" s="20"/>
      <c r="H101" s="20" t="str">
        <f>IF(AND(ISNUMBER(H99),ISNUMBER(C99)),IF(OR(AND(COUNTIF(H91:H96,"&lt;0")&gt;0,COUNTIF(H91:H96,"&gt;0")&gt;0),AND(COUNTIF(C91:C96,"&lt;0")&gt;0,COUNTIF(C91:C96,"&gt;0")&gt;0)),"n.m.",(H99-C99)*10000),"n.a.")</f>
        <v>n.a.</v>
      </c>
      <c r="I101" s="20" t="str">
        <f>IF(AND(ISNUMBER(I99),ISNUMBER(D99)),IF(OR(AND(COUNTIF(I91:I96,"&lt;0")&gt;0,COUNTIF(I91:I96,"&gt;0")&gt;0),AND(COUNTIF(D91:D96,"&lt;0")&gt;0,COUNTIF(D91:D96,"&gt;0")&gt;0)),"n.m.",(I99-D99)*10000),"n.a.")</f>
        <v>n.a.</v>
      </c>
      <c r="J101" s="48" t="str">
        <f>IF(AND(ISNUMBER(J99),ISNUMBER(E99)),IF(OR(AND(COUNTIF(J91:J96,"&lt;0")&gt;0,COUNTIF(J91:J96,"&gt;0")&gt;0),AND(COUNTIF(E91:E96,"&lt;0")&gt;0,COUNTIF(E91:E96,"&gt;0")&gt;0)),"n.m.",(J99-E99)*10000),"n.a.")</f>
        <v>n.a.</v>
      </c>
      <c r="K101" s="1"/>
      <c r="L101" s="1"/>
      <c r="M101" s="1"/>
      <c r="N101" s="1"/>
      <c r="O101" s="1"/>
      <c r="P101" s="1"/>
    </row>
    <row r="102">
      <c r="A102" s="1"/>
      <c r="B102" s="7" t="s">
        <v>436</v>
      </c>
      <c r="C102" s="22">
        <f>C97+C98</f>
        <v>0</v>
      </c>
      <c r="D102" s="22">
        <f>D97+D98</f>
        <v>0</v>
      </c>
      <c r="E102" s="22">
        <f>E97+E98</f>
        <v>0</v>
      </c>
      <c r="F102" s="22">
        <f>F97+F98</f>
        <v>0</v>
      </c>
      <c r="G102" s="22">
        <f>G97+G98</f>
        <v>0</v>
      </c>
      <c r="H102" s="22">
        <f>H97+H98</f>
        <v>77</v>
      </c>
      <c r="I102" s="22">
        <f>I97+I98</f>
        <v>15</v>
      </c>
      <c r="J102" s="23">
        <f>J97+J98</f>
        <v>39.5</v>
      </c>
      <c r="K102" s="1"/>
      <c r="L102" s="1"/>
      <c r="M102" s="1"/>
      <c r="N102" s="1"/>
      <c r="O102" s="1"/>
      <c r="P102" s="1"/>
    </row>
    <row r="103">
      <c r="A103" s="1"/>
      <c r="B103" s="7" t="s">
        <v>437</v>
      </c>
      <c r="C103" s="22">
        <f>C62+C102</f>
        <v>1399</v>
      </c>
      <c r="D103" s="22">
        <f>D62+D102</f>
        <v>1532</v>
      </c>
      <c r="E103" s="22">
        <f>E62+E102</f>
        <v>1723</v>
      </c>
      <c r="F103" s="22">
        <f>F62+F102</f>
        <v>1922</v>
      </c>
      <c r="G103" s="22">
        <f>G62+G102</f>
        <v>6576</v>
      </c>
      <c r="H103" s="22">
        <f>H62+H102</f>
        <v>1752</v>
      </c>
      <c r="I103" s="22">
        <f>I62+I102</f>
        <v>1956</v>
      </c>
      <c r="J103" s="23">
        <f>J62+J102</f>
        <v>2005.2209234272432</v>
      </c>
      <c r="K103" s="1"/>
      <c r="L103" s="1"/>
      <c r="M103" s="1"/>
      <c r="N103" s="1"/>
      <c r="O103" s="1"/>
      <c r="P103" s="1"/>
    </row>
    <row r="104" ht="66.75">
      <c r="A104" s="1"/>
      <c r="B104" s="7" t="s">
        <v>438</v>
      </c>
      <c r="C104" s="70">
        <f>C103/C64</f>
        <v>3.5150753768844223</v>
      </c>
      <c r="D104" s="70">
        <f>D103/D64</f>
        <v>3.858942065491184</v>
      </c>
      <c r="E104" s="70">
        <f>E103/E64</f>
        <v>4.351010101010101</v>
      </c>
      <c r="F104" s="70">
        <f>F103/F64</f>
        <v>4.878172588832487</v>
      </c>
      <c r="G104" s="70">
        <f>G103/G64</f>
        <v>16.606060606060606</v>
      </c>
      <c r="H104" s="70">
        <f>H103/H64</f>
        <v>4.325925925925926</v>
      </c>
      <c r="I104" s="70">
        <f>I103/I64</f>
        <v>4.8535980148883375</v>
      </c>
      <c r="J104" s="73">
        <f>J103/J64</f>
        <v>5.0046799757979885</v>
      </c>
      <c r="K104" s="134" t="s">
        <v>439</v>
      </c>
      <c r="L104" s="1"/>
      <c r="M104" s="1"/>
      <c r="N104" s="1"/>
      <c r="O104" s="1"/>
      <c r="P104" s="1"/>
    </row>
    <row r="105">
      <c r="A105" s="1"/>
      <c r="B105" s="6" t="s">
        <v>143</v>
      </c>
      <c r="C105" s="21"/>
      <c r="D105" s="21"/>
      <c r="E105" s="21"/>
      <c r="F105" s="21"/>
      <c r="G105" s="21"/>
      <c r="H105" s="21">
        <f>IF(AND(ISNUMBER(H104),ISNUMBER(C104)),IF(C104&lt;=0,"n.m.",IFERROR(H104/C104-1,"n.a.")),"n.a.")</f>
        <v>0.2306779975114499</v>
      </c>
      <c r="I105" s="21">
        <f>IF(AND(ISNUMBER(I104),ISNUMBER(D104)),IF(D104&lt;=0,"n.m.",IFERROR(I104/D104-1,"n.a.")),"n.a.")</f>
        <v>0.2577535325787663</v>
      </c>
      <c r="J105" s="29">
        <f>IF(AND(ISNUMBER(J104),ISNUMBER(E104)),IF(E104&lt;=0,"n.m.",IFERROR(J104/E104-1,"n.a.")),"n.a.")</f>
        <v>0.15023405131514989</v>
      </c>
      <c r="K105" s="1"/>
      <c r="L105" s="1"/>
      <c r="M105" s="1"/>
      <c r="N105" s="1"/>
      <c r="O105" s="1"/>
      <c r="P105" s="1"/>
    </row>
    <row r="106">
      <c r="A106" s="1"/>
      <c r="B106" s="1" t="s">
        <v>440</v>
      </c>
      <c r="C106" s="53">
        <v>3.51</v>
      </c>
      <c r="D106" s="53">
        <v>3.85</v>
      </c>
      <c r="E106" s="53">
        <v>4.35</v>
      </c>
      <c r="F106" s="53">
        <v>4.88</v>
      </c>
      <c r="G106" s="34"/>
      <c r="H106" s="53">
        <v>4.32</v>
      </c>
      <c r="I106" s="53">
        <v>4.85</v>
      </c>
      <c r="J106" s="42"/>
      <c r="K106" s="1"/>
      <c r="L106" s="1"/>
      <c r="M106" s="1"/>
      <c r="N106" s="1"/>
      <c r="O106" s="1"/>
      <c r="P106" s="1"/>
    </row>
    <row r="107">
      <c r="A107" s="1"/>
      <c r="B107" s="1" t="s">
        <v>441</v>
      </c>
      <c r="C107" s="33">
        <f>Inputs!E84</f>
        <v>3.51</v>
      </c>
      <c r="D107" s="33">
        <f>Inputs!E85</f>
        <v>3.85</v>
      </c>
      <c r="E107" s="33">
        <f>Inputs!E86</f>
        <v>4.35</v>
      </c>
      <c r="F107" s="33">
        <f>Inputs!E87</f>
        <v>4.88</v>
      </c>
      <c r="G107" s="34"/>
      <c r="H107" s="33">
        <f>Inputs!E88</f>
        <v>4.32</v>
      </c>
      <c r="I107" s="33">
        <f>Inputs!E89</f>
        <v>4.85</v>
      </c>
      <c r="J107" s="42"/>
      <c r="K107" s="1"/>
      <c r="L107" s="1"/>
      <c r="M107" s="1"/>
      <c r="N107" s="1"/>
      <c r="O107" s="1"/>
      <c r="P107" s="1"/>
    </row>
    <row r="108">
      <c r="A108" s="1"/>
      <c r="B108" s="1" t="s">
        <v>442</v>
      </c>
      <c r="C108" s="66" t="b">
        <f>ABS(C104-C107)&lt;$C$68</f>
        <v>1</v>
      </c>
      <c r="D108" s="66" t="b">
        <f>ABS(D104-D107)&lt;$C$68</f>
        <v>1</v>
      </c>
      <c r="E108" s="66" t="b">
        <f>ABS(E104-E107)&lt;$C$68</f>
        <v>1</v>
      </c>
      <c r="F108" s="66" t="b">
        <f>ABS(F104-F107)&lt;$C$68</f>
        <v>1</v>
      </c>
      <c r="G108" s="66"/>
      <c r="H108" s="66" t="b">
        <f>ABS(H104-H107)&lt;$C$68</f>
        <v>1</v>
      </c>
      <c r="I108" s="66" t="b">
        <f>ABS(I104-I107)&lt;$C$68</f>
        <v>1</v>
      </c>
      <c r="J108" s="78"/>
      <c r="K108" s="1"/>
      <c r="L108" s="1"/>
      <c r="M108" s="1"/>
      <c r="N108" s="1"/>
      <c r="O108" s="1"/>
      <c r="P108" s="1"/>
    </row>
    <row r="109">
      <c r="A109" s="1"/>
      <c r="B109" s="7" t="s">
        <v>443</v>
      </c>
      <c r="C109" s="22">
        <f>C33+C91+C93+C94+C95</f>
        <v>5452</v>
      </c>
      <c r="D109" s="22">
        <f>D33+D91+D93+D94+D95</f>
        <v>5661</v>
      </c>
      <c r="E109" s="22">
        <f>E33+E91+E93+E94+E95</f>
        <v>5915</v>
      </c>
      <c r="F109" s="22">
        <f>F33+F91+F93+F94+F95</f>
        <v>6071</v>
      </c>
      <c r="G109" s="22">
        <f>G33+G91+G93+G94+G95</f>
        <v>23099</v>
      </c>
      <c r="H109" s="22">
        <f>H33+H91+H93+H94+H95</f>
        <v>6166</v>
      </c>
      <c r="I109" s="22">
        <f>I33+I91+I93+I94+I95</f>
        <v>6657</v>
      </c>
      <c r="J109" s="23">
        <f>J33+J91+J93+J94+J95</f>
        <v>6615.1055335923265</v>
      </c>
      <c r="K109" s="1"/>
      <c r="L109" s="1"/>
      <c r="M109" s="1"/>
      <c r="N109" s="1"/>
      <c r="O109" s="1"/>
      <c r="P109" s="1"/>
    </row>
    <row r="110">
      <c r="A110" s="1"/>
      <c r="B110" s="1" t="s">
        <v>444</v>
      </c>
      <c r="C110" s="14">
        <f>C45-C92-C96</f>
        <v>3387</v>
      </c>
      <c r="D110" s="14">
        <f>D45-D92-D96</f>
        <v>3383</v>
      </c>
      <c r="E110" s="14">
        <f>E45-E92-E96</f>
        <v>3461</v>
      </c>
      <c r="F110" s="14">
        <f>F45-F92-F96</f>
        <v>3603</v>
      </c>
      <c r="G110" s="14">
        <f>G45-G92-G96</f>
        <v>13834</v>
      </c>
      <c r="H110" s="14">
        <f>H45-H92-H96</f>
        <v>3671</v>
      </c>
      <c r="I110" s="14">
        <f>I45-I92-I96</f>
        <v>3837</v>
      </c>
      <c r="J110" s="10">
        <f>J45-J92-J96</f>
        <v>3752</v>
      </c>
      <c r="K110" s="1"/>
      <c r="L110" s="1"/>
      <c r="M110" s="1"/>
      <c r="N110" s="1"/>
      <c r="O110" s="1"/>
      <c r="P110" s="1"/>
    </row>
    <row r="111">
      <c r="A111" s="1"/>
      <c r="B111" s="6" t="s">
        <v>144</v>
      </c>
      <c r="C111" s="21"/>
      <c r="D111" s="21">
        <f>IF(AND(ISNUMBER(D110),ISNUMBER(C110)),IF(C110&lt;=0,"n.m.",IFERROR(D110/C110-1,"n.a.")),"n.a.")</f>
        <v>-0.001180986123412997</v>
      </c>
      <c r="E111" s="21">
        <f>IF(AND(ISNUMBER(E110),ISNUMBER(D110)),IF(D110&lt;=0,"n.m.",IFERROR(E110/D110-1,"n.a.")),"n.a.")</f>
        <v>0.023056458764410204</v>
      </c>
      <c r="F111" s="21">
        <f>IF(AND(ISNUMBER(F110),ISNUMBER(E110)),IF(E110&lt;=0,"n.m.",IFERROR(F110/E110-1,"n.a.")),"n.a.")</f>
        <v>0.04102860444958112</v>
      </c>
      <c r="G111" s="21"/>
      <c r="H111" s="21">
        <f>IF(AND(ISNUMBER(H110),ISNUMBER(F110)),IF(F110&lt;=0,"n.m.",IFERROR(H110/F110-1,"n.a.")),"n.a.")</f>
        <v>0.018873161254510107</v>
      </c>
      <c r="I111" s="21">
        <f>IF(AND(ISNUMBER(I110),ISNUMBER(H110)),IF(H110&lt;=0,"n.m.",IFERROR(I110/H110-1,"n.a.")),"n.a.")</f>
        <v>0.04521928629801142</v>
      </c>
      <c r="J111" s="29">
        <f>IF(AND(ISNUMBER(J110),ISNUMBER(I110)),IF(I110&lt;=0,"n.m.",IFERROR(J110/I110-1,"n.a.")),"n.a.")</f>
        <v>-0.022152723481886905</v>
      </c>
      <c r="K111" s="1"/>
      <c r="L111" s="1"/>
      <c r="M111" s="1"/>
      <c r="N111" s="1"/>
      <c r="O111" s="1"/>
      <c r="P111" s="1"/>
    </row>
    <row r="112">
      <c r="A112" s="1"/>
      <c r="B112" s="7" t="s">
        <v>445</v>
      </c>
      <c r="C112" s="22">
        <f>C109-C110</f>
        <v>2065</v>
      </c>
      <c r="D112" s="22">
        <f>D109-D110</f>
        <v>2278</v>
      </c>
      <c r="E112" s="22">
        <f>E109-E110</f>
        <v>2454</v>
      </c>
      <c r="F112" s="22">
        <f>F109-F110</f>
        <v>2468</v>
      </c>
      <c r="G112" s="22">
        <f>G109-G110</f>
        <v>9265</v>
      </c>
      <c r="H112" s="22">
        <f>H109-H110</f>
        <v>2495</v>
      </c>
      <c r="I112" s="22">
        <f>I109-I110</f>
        <v>2820</v>
      </c>
      <c r="J112" s="23">
        <f>J109-J110</f>
        <v>2863.1055335923265</v>
      </c>
      <c r="K112" s="1"/>
      <c r="L112" s="1"/>
      <c r="M112" s="1"/>
      <c r="N112" s="1"/>
      <c r="O112" s="1"/>
      <c r="P112" s="1"/>
    </row>
    <row r="113">
      <c r="A113" s="1"/>
      <c r="B113" s="7" t="s">
        <v>446</v>
      </c>
      <c r="C113" s="22">
        <f>C112-C37</f>
        <v>1846</v>
      </c>
      <c r="D113" s="22">
        <f>D112-D37</f>
        <v>2024</v>
      </c>
      <c r="E113" s="22">
        <f>E112-E37</f>
        <v>2287</v>
      </c>
      <c r="F113" s="22">
        <f>F112-F37</f>
        <v>2329</v>
      </c>
      <c r="G113" s="22">
        <f>G112-G37</f>
        <v>8486</v>
      </c>
      <c r="H113" s="22">
        <f>H112-H37</f>
        <v>2285</v>
      </c>
      <c r="I113" s="22">
        <f>I112-I37</f>
        <v>2629</v>
      </c>
      <c r="J113" s="23">
        <f>J112-J37</f>
        <v>2633.1055335923265</v>
      </c>
      <c r="K113" s="1"/>
      <c r="L113" s="1"/>
      <c r="M113" s="1"/>
      <c r="N113" s="1"/>
      <c r="O113" s="1"/>
      <c r="P113" s="1"/>
    </row>
    <row r="114">
      <c r="A114" s="1"/>
      <c r="B114" s="1" t="s">
        <v>447</v>
      </c>
      <c r="C114" s="14">
        <f>C51-C98</f>
        <v>347</v>
      </c>
      <c r="D114" s="14">
        <f>D51-D98</f>
        <v>381</v>
      </c>
      <c r="E114" s="14">
        <f>E51-E98</f>
        <v>465</v>
      </c>
      <c r="F114" s="14">
        <f>F51-F98</f>
        <v>296</v>
      </c>
      <c r="G114" s="14">
        <f>G51-G98</f>
        <v>1489</v>
      </c>
      <c r="H114" s="14">
        <f>H51-H98</f>
        <v>436</v>
      </c>
      <c r="I114" s="14">
        <f>I51-I98</f>
        <v>559</v>
      </c>
      <c r="J114" s="10">
        <f>J113*J115</f>
        <v>526.6211067184653</v>
      </c>
      <c r="K114" s="1"/>
      <c r="L114" s="1"/>
      <c r="M114" s="1"/>
      <c r="N114" s="1"/>
      <c r="O114" s="1"/>
      <c r="P114" s="1"/>
    </row>
    <row r="115" ht="28.5">
      <c r="A115" s="1"/>
      <c r="B115" s="6" t="s">
        <v>448</v>
      </c>
      <c r="C115" s="21">
        <f>C114/C113</f>
        <v>0.18797399783315277</v>
      </c>
      <c r="D115" s="21">
        <f>D114/D113</f>
        <v>0.18824110671936758</v>
      </c>
      <c r="E115" s="21">
        <f>E114/E113</f>
        <v>0.20332313073895933</v>
      </c>
      <c r="F115" s="21">
        <f>F114/F113</f>
        <v>0.1270931730356376</v>
      </c>
      <c r="G115" s="21">
        <f>G114/G113</f>
        <v>0.175465472543012</v>
      </c>
      <c r="H115" s="21">
        <f>H114/H113</f>
        <v>0.19080962800875273</v>
      </c>
      <c r="I115" s="21">
        <f>I114/I113</f>
        <v>0.21262837580829214</v>
      </c>
      <c r="J115" s="28">
        <v>0.2</v>
      </c>
      <c r="K115" s="134" t="s">
        <v>449</v>
      </c>
      <c r="L115" s="1"/>
      <c r="M115" s="1"/>
      <c r="N115" s="1"/>
      <c r="O115" s="1"/>
      <c r="P115" s="1"/>
    </row>
    <row r="116">
      <c r="A116" s="1"/>
      <c r="B116" s="6" t="s">
        <v>186</v>
      </c>
      <c r="C116" s="20"/>
      <c r="D116" s="20">
        <f>IF(AND(ISNUMBER(D115),ISNUMBER(C115)),(D115-C115)*10000,"n.a.")</f>
        <v>2.671088862148119</v>
      </c>
      <c r="E116" s="20">
        <f>IF(AND(ISNUMBER(E115),ISNUMBER(D115)),(E115-D115)*10000,"n.a.")</f>
        <v>150.82024019591745</v>
      </c>
      <c r="F116" s="20">
        <f>IF(AND(ISNUMBER(F115),ISNUMBER(E115)),(F115-E115)*10000,"n.a.")</f>
        <v>-762.2995770332172</v>
      </c>
      <c r="G116" s="20"/>
      <c r="H116" s="20">
        <f>IF(AND(ISNUMBER(H115),ISNUMBER(F115)),(H115-F115)*10000,"n.a.")</f>
        <v>637.1645497311512</v>
      </c>
      <c r="I116" s="20">
        <f>IF(AND(ISNUMBER(I115),ISNUMBER(H115)),(I115-H115)*10000,"n.a.")</f>
        <v>218.18747799539406</v>
      </c>
      <c r="J116" s="48">
        <f>IF(AND(ISNUMBER(J115),ISNUMBER(I115)),(J115-I115)*10000,"n.a.")</f>
        <v>-126.28375808292125</v>
      </c>
      <c r="K116" s="1"/>
      <c r="L116" s="1"/>
      <c r="M116" s="1"/>
      <c r="N116" s="1"/>
      <c r="O116" s="1"/>
      <c r="P116" s="1"/>
    </row>
    <row r="117">
      <c r="A117" s="1"/>
      <c r="B117" s="6" t="s">
        <v>187</v>
      </c>
      <c r="C117" s="20"/>
      <c r="D117" s="20"/>
      <c r="E117" s="20"/>
      <c r="F117" s="20"/>
      <c r="G117" s="20"/>
      <c r="H117" s="20">
        <f>IF(AND(ISNUMBER(H115),ISNUMBER(C115)),(H115-C115)*10000,"n.a.")</f>
        <v>28.356301755999567</v>
      </c>
      <c r="I117" s="20">
        <f>IF(AND(ISNUMBER(I115),ISNUMBER(D115)),(I115-D115)*10000,"n.a.")</f>
        <v>243.87269088924552</v>
      </c>
      <c r="J117" s="48">
        <f>IF(AND(ISNUMBER(J115),ISNUMBER(E115)),(J115-E115)*10000,"n.a.")</f>
        <v>-33.23130738959318</v>
      </c>
      <c r="K117" s="1"/>
      <c r="L117" s="1"/>
      <c r="M117" s="1"/>
      <c r="N117" s="1"/>
      <c r="O117" s="1"/>
      <c r="P117" s="1"/>
    </row>
    <row r="118">
      <c r="A118" s="1"/>
      <c r="B118" s="6" t="s">
        <v>450</v>
      </c>
      <c r="C118" s="21">
        <f>C110/C109</f>
        <v>0.6212399119589141</v>
      </c>
      <c r="D118" s="21">
        <f>D110/D109</f>
        <v>0.5975975975975976</v>
      </c>
      <c r="E118" s="21">
        <f>E110/E109</f>
        <v>0.5851225697379544</v>
      </c>
      <c r="F118" s="21">
        <f>F110/F109</f>
        <v>0.5934771866249382</v>
      </c>
      <c r="G118" s="21">
        <f>G110/G109</f>
        <v>0.5989003852980649</v>
      </c>
      <c r="H118" s="21">
        <f>H110/H109</f>
        <v>0.5953616607200779</v>
      </c>
      <c r="I118" s="21">
        <f>I110/I109</f>
        <v>0.5763857593510591</v>
      </c>
      <c r="J118" s="29">
        <f>J110/J109</f>
        <v>0.5671867184804352</v>
      </c>
      <c r="K118" s="1"/>
      <c r="L118" s="1"/>
      <c r="M118" s="1"/>
      <c r="N118" s="1"/>
      <c r="O118" s="1"/>
      <c r="P118" s="1"/>
    </row>
    <row r="119">
      <c r="A119" s="1"/>
      <c r="B119" s="6" t="s">
        <v>186</v>
      </c>
      <c r="C119" s="20"/>
      <c r="D119" s="20">
        <f>IF(AND(ISNUMBER(D118),ISNUMBER(C118)),(D118-C118)*10000,"n.a.")</f>
        <v>-236.42314361316585</v>
      </c>
      <c r="E119" s="20">
        <f>IF(AND(ISNUMBER(E118),ISNUMBER(D118)),(E118-D118)*10000,"n.a.")</f>
        <v>-124.75027859643161</v>
      </c>
      <c r="F119" s="20">
        <f>IF(AND(ISNUMBER(F118),ISNUMBER(E118)),(F118-E118)*10000,"n.a.")</f>
        <v>83.54616886983801</v>
      </c>
      <c r="G119" s="20"/>
      <c r="H119" s="20">
        <f>IF(AND(ISNUMBER(H118),ISNUMBER(F118)),(H118-F118)*10000,"n.a.")</f>
        <v>18.844740951396986</v>
      </c>
      <c r="I119" s="20">
        <f>IF(AND(ISNUMBER(I118),ISNUMBER(H118)),(I118-H118)*10000,"n.a.")</f>
        <v>-189.75901369018834</v>
      </c>
      <c r="J119" s="48">
        <f>IF(AND(ISNUMBER(J118),ISNUMBER(I118)),(J118-I118)*10000,"n.a.")</f>
        <v>-91.99040870623843</v>
      </c>
      <c r="K119" s="1"/>
      <c r="L119" s="1"/>
      <c r="M119" s="1"/>
      <c r="N119" s="1"/>
      <c r="O119" s="1"/>
      <c r="P119" s="1"/>
    </row>
    <row r="120">
      <c r="A120" s="1"/>
      <c r="B120" s="6" t="s">
        <v>187</v>
      </c>
      <c r="C120" s="20"/>
      <c r="D120" s="20"/>
      <c r="E120" s="20"/>
      <c r="F120" s="20"/>
      <c r="G120" s="20"/>
      <c r="H120" s="20">
        <f>IF(AND(ISNUMBER(H118),ISNUMBER(C118)),(H118-C118)*10000,"n.a.")</f>
        <v>-258.7825123883625</v>
      </c>
      <c r="I120" s="20">
        <f>IF(AND(ISNUMBER(I118),ISNUMBER(D118)),(I118-D118)*10000,"n.a.")</f>
        <v>-212.11838246538494</v>
      </c>
      <c r="J120" s="48">
        <f>IF(AND(ISNUMBER(J118),ISNUMBER(E118)),(J118-E118)*10000,"n.a.")</f>
        <v>-179.35851257519175</v>
      </c>
      <c r="K120" s="1"/>
      <c r="L120" s="1"/>
      <c r="M120" s="1"/>
      <c r="N120" s="1"/>
      <c r="O120" s="1"/>
      <c r="P120" s="1"/>
    </row>
    <row r="121">
      <c r="A121" s="1"/>
      <c r="B121" s="1"/>
      <c r="C121" s="11"/>
      <c r="D121" s="11"/>
      <c r="E121" s="11"/>
      <c r="F121" s="11"/>
      <c r="G121" s="11"/>
      <c r="H121" s="11"/>
      <c r="I121" s="11"/>
      <c r="J121" s="30"/>
      <c r="K121" s="1"/>
      <c r="L121" s="1"/>
      <c r="M121" s="1"/>
      <c r="N121" s="1"/>
      <c r="O121" s="1"/>
      <c r="P121" s="1"/>
    </row>
    <row r="122">
      <c r="A122" s="1"/>
      <c r="B122" s="32" t="s">
        <v>322</v>
      </c>
      <c r="C122" s="11"/>
      <c r="D122" s="11"/>
      <c r="E122" s="11"/>
      <c r="F122" s="11"/>
      <c r="G122" s="11"/>
      <c r="H122" s="11"/>
      <c r="I122" s="11"/>
      <c r="J122" s="30"/>
      <c r="K122" s="1"/>
      <c r="L122" s="1"/>
      <c r="M122" s="1"/>
      <c r="N122" s="1"/>
      <c r="O122" s="1"/>
      <c r="P122" s="1"/>
    </row>
    <row r="123" ht="28.5">
      <c r="A123" s="1"/>
      <c r="B123" s="1" t="s">
        <v>451</v>
      </c>
      <c r="C123" s="18">
        <v>205</v>
      </c>
      <c r="D123" s="18">
        <v>198</v>
      </c>
      <c r="E123" s="18">
        <v>179</v>
      </c>
      <c r="F123" s="18">
        <v>162</v>
      </c>
      <c r="G123" s="14">
        <f>SUM(C123:F123)</f>
        <v>744</v>
      </c>
      <c r="H123" s="18">
        <v>253</v>
      </c>
      <c r="I123" s="18">
        <v>226</v>
      </c>
      <c r="J123" s="35">
        <f>Guidance!J52</f>
        <v>225</v>
      </c>
      <c r="K123" s="134" t="s">
        <v>452</v>
      </c>
      <c r="L123" s="1"/>
      <c r="M123" s="1"/>
      <c r="N123" s="1"/>
      <c r="O123" s="1"/>
      <c r="P123" s="1"/>
    </row>
    <row r="124">
      <c r="A124" s="1"/>
      <c r="B124" s="6" t="s">
        <v>453</v>
      </c>
      <c r="C124" s="68">
        <f>C123/'Revenue summary'!C61*365/C$7</f>
        <v>0.0026257923874655393</v>
      </c>
      <c r="D124" s="68">
        <f>D123/'Revenue summary'!D61*365/D$7</f>
        <v>0.002460622716297317</v>
      </c>
      <c r="E124" s="68">
        <f>E123/'Revenue summary'!E61*365/E$7</f>
        <v>0.0021788687317546634</v>
      </c>
      <c r="F124" s="68">
        <f>F123/'Revenue summary'!F61*365/F$7</f>
        <v>0.0019599284945959273</v>
      </c>
      <c r="G124" s="68">
        <f>G123/'Revenue summary'!G61*365/G$7</f>
        <v>0.0023009272187641374</v>
      </c>
      <c r="H124" s="68">
        <f>H123/'Revenue summary'!H61*365/H$7</f>
        <v>0.002924209937658865</v>
      </c>
      <c r="I124" s="68">
        <f>I123/'Revenue summary'!I61*365/I$7</f>
        <v>0.0024958521472800265</v>
      </c>
      <c r="J124" s="65">
        <f>J123/'Revenue summary'!J61*365/J$7</f>
        <v>0.00242221311440597</v>
      </c>
      <c r="K124" s="1"/>
      <c r="L124" s="1"/>
      <c r="M124" s="1"/>
      <c r="N124" s="1"/>
      <c r="O124" s="1"/>
      <c r="P124" s="1"/>
    </row>
    <row r="125">
      <c r="A125" s="1"/>
      <c r="B125" s="6" t="s">
        <v>186</v>
      </c>
      <c r="C125" s="20"/>
      <c r="D125" s="20">
        <f>IF(AND(ISNUMBER(D124),ISNUMBER(C124)),(D124-C124)*10000,"n.a.")</f>
        <v>-1.651696711682223</v>
      </c>
      <c r="E125" s="20">
        <f>IF(AND(ISNUMBER(E124),ISNUMBER(D124)),(E124-D124)*10000,"n.a.")</f>
        <v>-2.817539845426536</v>
      </c>
      <c r="F125" s="20">
        <f>IF(AND(ISNUMBER(F124),ISNUMBER(E124)),(F124-E124)*10000,"n.a.")</f>
        <v>-2.1894023715873616</v>
      </c>
      <c r="G125" s="20"/>
      <c r="H125" s="20">
        <f>IF(AND(ISNUMBER(H124),ISNUMBER(F124)),(H124-F124)*10000,"n.a.")</f>
        <v>9.642814430629379</v>
      </c>
      <c r="I125" s="20">
        <f>IF(AND(ISNUMBER(I124),ISNUMBER(H124)),(I124-H124)*10000,"n.a.")</f>
        <v>-4.2835779037883865</v>
      </c>
      <c r="J125" s="48">
        <f>IF(AND(ISNUMBER(J124),ISNUMBER(I124)),(J124-I124)*10000,"n.a.")</f>
        <v>-0.7363903287405669</v>
      </c>
      <c r="K125" s="1"/>
      <c r="L125" s="1"/>
      <c r="M125" s="1"/>
      <c r="N125" s="1"/>
      <c r="O125" s="1"/>
      <c r="P125" s="1"/>
    </row>
    <row r="126">
      <c r="A126" s="1"/>
      <c r="B126" s="6" t="s">
        <v>187</v>
      </c>
      <c r="C126" s="20"/>
      <c r="D126" s="20"/>
      <c r="E126" s="20"/>
      <c r="F126" s="20"/>
      <c r="G126" s="20"/>
      <c r="H126" s="20">
        <f>IF(AND(ISNUMBER(H124),ISNUMBER(C124)),(H124-C124)*10000,"n.a.")</f>
        <v>2.9841755019332585</v>
      </c>
      <c r="I126" s="20">
        <f>IF(AND(ISNUMBER(I124),ISNUMBER(D124)),(I124-D124)*10000,"n.a.")</f>
        <v>0.3522943098270949</v>
      </c>
      <c r="J126" s="48">
        <f>IF(AND(ISNUMBER(J124),ISNUMBER(E124)),(J124-E124)*10000,"n.a.")</f>
        <v>2.4334438265130642</v>
      </c>
      <c r="K126" s="1"/>
      <c r="L126" s="1"/>
      <c r="M126" s="1"/>
      <c r="N126" s="1"/>
      <c r="O126" s="1"/>
      <c r="P126" s="1"/>
    </row>
    <row r="127">
      <c r="A127" s="1"/>
      <c r="B127" s="1" t="s">
        <v>454</v>
      </c>
      <c r="C127" s="14">
        <f>C37-C123</f>
        <v>14</v>
      </c>
      <c r="D127" s="14">
        <f>D37-D123</f>
        <v>56</v>
      </c>
      <c r="E127" s="14">
        <f>E37-E123</f>
        <v>-12</v>
      </c>
      <c r="F127" s="14">
        <f>F37-F123</f>
        <v>-23</v>
      </c>
      <c r="G127" s="14">
        <f>G37-G123</f>
        <v>35</v>
      </c>
      <c r="H127" s="14">
        <f>H37-H123</f>
        <v>-43</v>
      </c>
      <c r="I127" s="14">
        <f>I37-I123</f>
        <v>-35</v>
      </c>
      <c r="J127" s="10">
        <f>J37-J123</f>
        <v>5</v>
      </c>
      <c r="K127" s="1"/>
      <c r="L127" s="1"/>
      <c r="M127" s="1"/>
      <c r="N127" s="1"/>
      <c r="O127" s="1"/>
      <c r="P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455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456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1" t="s">
        <v>457</v>
      </c>
      <c r="C10" s="18">
        <v>6102</v>
      </c>
      <c r="D10" s="18">
        <v>5939</v>
      </c>
      <c r="E10" s="18">
        <v>5553</v>
      </c>
      <c r="F10" s="18">
        <v>6777</v>
      </c>
      <c r="G10" s="14">
        <f>F10</f>
        <v>6777</v>
      </c>
      <c r="H10" s="18">
        <v>5646</v>
      </c>
      <c r="I10" s="18">
        <v>5951</v>
      </c>
      <c r="J10" s="27">
        <v>6000</v>
      </c>
      <c r="K10" s="1"/>
      <c r="L10" s="1"/>
      <c r="M10" s="1"/>
      <c r="N10" s="1"/>
      <c r="O10" s="1"/>
      <c r="P10" s="1"/>
    </row>
    <row r="11" ht="28.5">
      <c r="A11" s="1"/>
      <c r="B11" s="1" t="s">
        <v>458</v>
      </c>
      <c r="C11" s="18">
        <v>32298</v>
      </c>
      <c r="D11" s="18">
        <v>24455</v>
      </c>
      <c r="E11" s="18">
        <v>33318</v>
      </c>
      <c r="F11" s="18">
        <v>32936</v>
      </c>
      <c r="G11" s="14">
        <f>F11</f>
        <v>32936</v>
      </c>
      <c r="H11" s="18">
        <v>26053</v>
      </c>
      <c r="I11" s="18">
        <v>22794</v>
      </c>
      <c r="J11" s="10">
        <f>J56-J10-J12-J13-J14-J19-J23-J24-J25-J26</f>
        <v>22132.52297687379</v>
      </c>
      <c r="K11" s="134" t="s">
        <v>459</v>
      </c>
      <c r="L11" s="1"/>
      <c r="M11" s="1"/>
      <c r="N11" s="1"/>
      <c r="O11" s="1"/>
      <c r="P11" s="1"/>
    </row>
    <row r="12">
      <c r="A12" s="1"/>
      <c r="B12" s="1" t="s">
        <v>460</v>
      </c>
      <c r="C12" s="18">
        <v>1236</v>
      </c>
      <c r="D12" s="18">
        <v>1837</v>
      </c>
      <c r="E12" s="18">
        <v>1104</v>
      </c>
      <c r="F12" s="18">
        <v>1939</v>
      </c>
      <c r="G12" s="14">
        <f>F12</f>
        <v>1939</v>
      </c>
      <c r="H12" s="18">
        <v>1332</v>
      </c>
      <c r="I12" s="18">
        <v>1522</v>
      </c>
      <c r="J12" s="27">
        <v>1500</v>
      </c>
      <c r="K12" s="1"/>
      <c r="L12" s="1"/>
      <c r="M12" s="1"/>
      <c r="N12" s="1"/>
      <c r="O12" s="1"/>
      <c r="P12" s="1"/>
    </row>
    <row r="13">
      <c r="A13" s="1"/>
      <c r="B13" s="1" t="s">
        <v>461</v>
      </c>
      <c r="C13" s="18">
        <v>63318</v>
      </c>
      <c r="D13" s="18">
        <v>67136</v>
      </c>
      <c r="E13" s="18">
        <v>68297</v>
      </c>
      <c r="F13" s="18">
        <v>68135</v>
      </c>
      <c r="G13" s="14">
        <f>F13</f>
        <v>68135</v>
      </c>
      <c r="H13" s="18">
        <v>71072</v>
      </c>
      <c r="I13" s="18">
        <v>71100</v>
      </c>
      <c r="J13" s="27">
        <v>71200</v>
      </c>
      <c r="K13" s="1"/>
      <c r="L13" s="1"/>
      <c r="M13" s="1"/>
      <c r="N13" s="1"/>
      <c r="O13" s="1"/>
      <c r="P13" s="1"/>
    </row>
    <row r="14">
      <c r="A14" s="1"/>
      <c r="B14" s="1" t="s">
        <v>462</v>
      </c>
      <c r="C14" s="18">
        <v>74457</v>
      </c>
      <c r="D14" s="18">
        <v>75212</v>
      </c>
      <c r="E14" s="18">
        <v>73226</v>
      </c>
      <c r="F14" s="18">
        <v>70105</v>
      </c>
      <c r="G14" s="14">
        <f>F14</f>
        <v>70105</v>
      </c>
      <c r="H14" s="18">
        <v>72040</v>
      </c>
      <c r="I14" s="18">
        <v>78406</v>
      </c>
      <c r="J14" s="27">
        <v>79300</v>
      </c>
      <c r="K14" s="1"/>
      <c r="L14" s="1"/>
      <c r="M14" s="1"/>
      <c r="N14" s="1"/>
      <c r="O14" s="1"/>
      <c r="P14" s="1"/>
    </row>
    <row r="15">
      <c r="A15" s="1"/>
      <c r="B15" s="1" t="s">
        <v>463</v>
      </c>
      <c r="C15" s="18">
        <v>318850</v>
      </c>
      <c r="D15" s="18">
        <v>326340</v>
      </c>
      <c r="E15" s="18">
        <v>326616</v>
      </c>
      <c r="F15" s="18">
        <v>331481</v>
      </c>
      <c r="G15" s="14">
        <f>F15</f>
        <v>331481</v>
      </c>
      <c r="H15" s="18">
        <v>360923</v>
      </c>
      <c r="I15" s="18">
        <v>367953</v>
      </c>
      <c r="J15" s="10">
        <f>I15*(1+J16)</f>
        <v>371632.53</v>
      </c>
      <c r="K15" s="1"/>
      <c r="L15" s="1"/>
      <c r="M15" s="1"/>
      <c r="N15" s="1"/>
      <c r="O15" s="1"/>
      <c r="P15" s="1"/>
    </row>
    <row r="16">
      <c r="A16" s="1"/>
      <c r="B16" s="6" t="s">
        <v>464</v>
      </c>
      <c r="C16" s="21"/>
      <c r="D16" s="21">
        <f>IF(AND(ISNUMBER(D15),ISNUMBER(C15)),IF(C15&lt;=0,"n.m.",IFERROR(D15/C15-1,"n.a.")),"n.a.")</f>
        <v>0.02349066959385282</v>
      </c>
      <c r="E16" s="21">
        <f>IF(AND(ISNUMBER(E15),ISNUMBER(D15)),IF(D15&lt;=0,"n.m.",IFERROR(E15/D15-1,"n.a.")),"n.a.")</f>
        <v>0.0008457437028865922</v>
      </c>
      <c r="F16" s="21">
        <f>IF(AND(ISNUMBER(F15),ISNUMBER(E15)),IF(E15&lt;=0,"n.m.",IFERROR(F15/E15-1,"n.a.")),"n.a.")</f>
        <v>0.014895167413721211</v>
      </c>
      <c r="G16" s="21"/>
      <c r="H16" s="21">
        <f>IF(AND(ISNUMBER(H15),ISNUMBER(F15)),IF(F15&lt;=0,"n.m.",IFERROR(H15/F15-1,"n.a.")),"n.a.")</f>
        <v>0.08881957035244858</v>
      </c>
      <c r="I16" s="21">
        <f>IF(AND(ISNUMBER(I15),ISNUMBER(H15)),IF(H15&lt;=0,"n.m.",IFERROR(I15/H15-1,"n.a.")),"n.a.")</f>
        <v>0.019477838763392707</v>
      </c>
      <c r="J16" s="28">
        <v>0.01</v>
      </c>
      <c r="K16" s="1"/>
      <c r="L16" s="1"/>
      <c r="M16" s="1"/>
      <c r="N16" s="1"/>
      <c r="O16" s="1"/>
      <c r="P16" s="1"/>
    </row>
    <row r="17">
      <c r="A17" s="1"/>
      <c r="B17" s="6" t="s">
        <v>143</v>
      </c>
      <c r="C17" s="21"/>
      <c r="D17" s="21"/>
      <c r="E17" s="21"/>
      <c r="F17" s="21"/>
      <c r="G17" s="21"/>
      <c r="H17" s="21">
        <f>IF(AND(ISNUMBER(H15),ISNUMBER(C15)),IF(C15&lt;=0,"n.m.",IFERROR(H15/C15-1,"n.a.")),"n.a.")</f>
        <v>0.1319523286811981</v>
      </c>
      <c r="I17" s="21">
        <f>IF(AND(ISNUMBER(I15),ISNUMBER(D15)),IF(D15&lt;=0,"n.m.",IFERROR(I15/D15-1,"n.a.")),"n.a.")</f>
        <v>0.12751424894282026</v>
      </c>
      <c r="J17" s="29">
        <f>IF(AND(ISNUMBER(J15),ISNUMBER(E15)),IF(E15&lt;=0,"n.m.",IFERROR(J15/E15-1,"n.a.")),"n.a.")</f>
        <v>0.13782708134322874</v>
      </c>
      <c r="K17" s="1"/>
      <c r="L17" s="1"/>
      <c r="M17" s="1"/>
      <c r="N17" s="1"/>
      <c r="O17" s="1"/>
      <c r="P17" s="1"/>
    </row>
    <row r="18" ht="28.5">
      <c r="A18" s="1"/>
      <c r="B18" s="1" t="s">
        <v>465</v>
      </c>
      <c r="C18" s="18">
        <v>-4544</v>
      </c>
      <c r="D18" s="18">
        <v>-4523</v>
      </c>
      <c r="E18" s="18">
        <v>-4478</v>
      </c>
      <c r="F18" s="18">
        <v>-4410</v>
      </c>
      <c r="G18" s="14">
        <f>F18</f>
        <v>-4410</v>
      </c>
      <c r="H18" s="18">
        <v>-4663</v>
      </c>
      <c r="I18" s="18">
        <v>-4652</v>
      </c>
      <c r="J18" s="35">
        <f>I18-'Income Statement'!J37+'Income Statement'!J123</f>
        <v>-4657</v>
      </c>
      <c r="K18" s="134" t="s">
        <v>466</v>
      </c>
      <c r="L18" s="1"/>
      <c r="M18" s="1"/>
      <c r="N18" s="1"/>
      <c r="O18" s="1"/>
      <c r="P18" s="1"/>
    </row>
    <row r="19">
      <c r="A19" s="1"/>
      <c r="B19" s="7" t="s">
        <v>467</v>
      </c>
      <c r="C19" s="22">
        <f>C15+C18</f>
        <v>314306</v>
      </c>
      <c r="D19" s="22">
        <f>D15+D18</f>
        <v>321817</v>
      </c>
      <c r="E19" s="22">
        <f>E15+E18</f>
        <v>322138</v>
      </c>
      <c r="F19" s="22">
        <f>F15+F18</f>
        <v>327071</v>
      </c>
      <c r="G19" s="22">
        <f>G15+G18</f>
        <v>327071</v>
      </c>
      <c r="H19" s="22">
        <f>H15+H18</f>
        <v>356260</v>
      </c>
      <c r="I19" s="22">
        <f>I15+I18</f>
        <v>363301</v>
      </c>
      <c r="J19" s="23">
        <f>J15+J18</f>
        <v>366975.53</v>
      </c>
      <c r="K19" s="1"/>
      <c r="L19" s="1"/>
      <c r="M19" s="1"/>
      <c r="N19" s="1"/>
      <c r="O19" s="1"/>
      <c r="P19" s="1"/>
    </row>
    <row r="20">
      <c r="A20" s="1"/>
      <c r="B20" s="6" t="s">
        <v>468</v>
      </c>
      <c r="C20" s="26">
        <f>-C18/C15</f>
        <v>0.014251215305002353</v>
      </c>
      <c r="D20" s="26">
        <f>-D18/D15</f>
        <v>0.013859778145492432</v>
      </c>
      <c r="E20" s="26">
        <f>-E18/E15</f>
        <v>0.013710289759227962</v>
      </c>
      <c r="F20" s="26">
        <f>-F18/F15</f>
        <v>0.013303929938669185</v>
      </c>
      <c r="G20" s="26">
        <f>-G18/G15</f>
        <v>0.013303929938669185</v>
      </c>
      <c r="H20" s="26">
        <f>-H18/H15</f>
        <v>0.012919653222432485</v>
      </c>
      <c r="I20" s="26">
        <f>-I18/I15</f>
        <v>0.012642919068467984</v>
      </c>
      <c r="J20" s="54">
        <f>-J18/J15</f>
        <v>0.012531195802477248</v>
      </c>
      <c r="K20" s="1"/>
      <c r="L20" s="1"/>
      <c r="M20" s="1"/>
      <c r="N20" s="1"/>
      <c r="O20" s="1"/>
      <c r="P20" s="1"/>
    </row>
    <row r="21">
      <c r="A21" s="1"/>
      <c r="B21" s="6" t="s">
        <v>186</v>
      </c>
      <c r="C21" s="20"/>
      <c r="D21" s="20">
        <f>IF(AND(ISNUMBER(D20),ISNUMBER(C20)),(D20-C20)*10000,"n.a.")</f>
        <v>-3.914371595099206</v>
      </c>
      <c r="E21" s="20">
        <f>IF(AND(ISNUMBER(E20),ISNUMBER(D20)),(E20-D20)*10000,"n.a.")</f>
        <v>-1.4948838626446976</v>
      </c>
      <c r="F21" s="20">
        <f>IF(AND(ISNUMBER(F20),ISNUMBER(E20)),(F20-E20)*10000,"n.a.")</f>
        <v>-4.063598205587774</v>
      </c>
      <c r="G21" s="20"/>
      <c r="H21" s="20">
        <f>IF(AND(ISNUMBER(H20),ISNUMBER(F20)),(H20-F20)*10000,"n.a.")</f>
        <v>-3.8427671623669952</v>
      </c>
      <c r="I21" s="20">
        <f>IF(AND(ISNUMBER(I20),ISNUMBER(H20)),(I20-H20)*10000,"n.a.")</f>
        <v>-2.767341539645016</v>
      </c>
      <c r="J21" s="48">
        <f>IF(AND(ISNUMBER(J20),ISNUMBER(I20)),(J20-I20)*10000,"n.a.")</f>
        <v>-1.1172326599073572</v>
      </c>
      <c r="K21" s="1"/>
      <c r="L21" s="1"/>
      <c r="M21" s="1"/>
      <c r="N21" s="1"/>
      <c r="O21" s="1"/>
      <c r="P21" s="1"/>
    </row>
    <row r="22">
      <c r="A22" s="1"/>
      <c r="B22" s="6" t="s">
        <v>187</v>
      </c>
      <c r="C22" s="20"/>
      <c r="D22" s="20"/>
      <c r="E22" s="20"/>
      <c r="F22" s="20"/>
      <c r="G22" s="20"/>
      <c r="H22" s="20">
        <f>IF(AND(ISNUMBER(H20),ISNUMBER(C20)),(H20-C20)*10000,"n.a.")</f>
        <v>-13.315620825698673</v>
      </c>
      <c r="I22" s="20">
        <f>IF(AND(ISNUMBER(I20),ISNUMBER(D20)),(I20-D20)*10000,"n.a.")</f>
        <v>-12.168590770244483</v>
      </c>
      <c r="J22" s="48">
        <f>IF(AND(ISNUMBER(J20),ISNUMBER(E20)),(J20-E20)*10000,"n.a.")</f>
        <v>-11.790939567507142</v>
      </c>
      <c r="K22" s="1"/>
      <c r="L22" s="1"/>
      <c r="M22" s="1"/>
      <c r="N22" s="1"/>
      <c r="O22" s="1"/>
      <c r="P22" s="1"/>
    </row>
    <row r="23">
      <c r="A23" s="1"/>
      <c r="B23" s="1" t="s">
        <v>469</v>
      </c>
      <c r="C23" s="18">
        <v>9448</v>
      </c>
      <c r="D23" s="18">
        <v>9755</v>
      </c>
      <c r="E23" s="18">
        <v>9972</v>
      </c>
      <c r="F23" s="18">
        <v>10790</v>
      </c>
      <c r="G23" s="14">
        <f>F23</f>
        <v>10790</v>
      </c>
      <c r="H23" s="18">
        <v>10512</v>
      </c>
      <c r="I23" s="18">
        <v>11735</v>
      </c>
      <c r="J23" s="27">
        <v>11735</v>
      </c>
      <c r="K23" s="1"/>
      <c r="L23" s="1"/>
      <c r="M23" s="1"/>
      <c r="N23" s="1"/>
      <c r="O23" s="1"/>
      <c r="P23" s="1"/>
    </row>
    <row r="24" ht="79.5">
      <c r="A24" s="1"/>
      <c r="B24" s="1" t="s">
        <v>470</v>
      </c>
      <c r="C24" s="18">
        <v>3564</v>
      </c>
      <c r="D24" s="18">
        <v>3467</v>
      </c>
      <c r="E24" s="18">
        <v>3627</v>
      </c>
      <c r="F24" s="18">
        <v>3659</v>
      </c>
      <c r="G24" s="14">
        <f>F24</f>
        <v>3659</v>
      </c>
      <c r="H24" s="18">
        <v>3816</v>
      </c>
      <c r="I24" s="18">
        <v>3801</v>
      </c>
      <c r="J24" s="125">
        <f>'Segment - Retail Banking'!J117+'Segment - Corp &amp; Inst Banking'!J124</f>
        <v>3910</v>
      </c>
      <c r="K24" s="123" t="s">
        <v>471</v>
      </c>
      <c r="L24" s="1"/>
      <c r="M24" s="1"/>
      <c r="N24" s="1"/>
      <c r="O24" s="1"/>
      <c r="P24" s="1"/>
    </row>
    <row r="25">
      <c r="A25" s="1"/>
      <c r="B25" s="1" t="s">
        <v>472</v>
      </c>
      <c r="C25" s="18">
        <v>10932</v>
      </c>
      <c r="D25" s="18">
        <v>10932</v>
      </c>
      <c r="E25" s="18">
        <v>10962</v>
      </c>
      <c r="F25" s="18">
        <v>10959</v>
      </c>
      <c r="G25" s="14">
        <f>F25</f>
        <v>10959</v>
      </c>
      <c r="H25" s="18">
        <v>13282</v>
      </c>
      <c r="I25" s="18">
        <v>13317</v>
      </c>
      <c r="J25" s="27">
        <v>13317</v>
      </c>
      <c r="K25" s="1"/>
      <c r="L25" s="1"/>
      <c r="M25" s="1"/>
      <c r="N25" s="1"/>
      <c r="O25" s="1"/>
      <c r="P25" s="1"/>
    </row>
    <row r="26">
      <c r="A26" s="1"/>
      <c r="B26" s="1" t="s">
        <v>473</v>
      </c>
      <c r="C26" s="18">
        <v>39061</v>
      </c>
      <c r="D26" s="18">
        <v>38557</v>
      </c>
      <c r="E26" s="18">
        <v>40570</v>
      </c>
      <c r="F26" s="18">
        <v>41201</v>
      </c>
      <c r="G26" s="14">
        <f>F26</f>
        <v>41201</v>
      </c>
      <c r="H26" s="18">
        <v>43015</v>
      </c>
      <c r="I26" s="18">
        <v>44107</v>
      </c>
      <c r="J26" s="27">
        <v>44107</v>
      </c>
      <c r="K26" s="1"/>
      <c r="L26" s="1"/>
      <c r="M26" s="1"/>
      <c r="N26" s="1"/>
      <c r="O26" s="1"/>
      <c r="P26" s="1"/>
    </row>
    <row r="27">
      <c r="A27" s="1"/>
      <c r="B27" s="7" t="s">
        <v>474</v>
      </c>
      <c r="C27" s="22">
        <f>C10+C11+C12+C13+C14+C19+C23+C24+C25+C26</f>
        <v>554722</v>
      </c>
      <c r="D27" s="22">
        <f>D10+D11+D12+D13+D14+D19+D23+D24+D25+D26</f>
        <v>559107</v>
      </c>
      <c r="E27" s="22">
        <f>E10+E11+E12+E13+E14+E19+E23+E24+E25+E26</f>
        <v>568767</v>
      </c>
      <c r="F27" s="22">
        <f>F10+F11+F12+F13+F14+F19+F23+F24+F25+F26</f>
        <v>573572</v>
      </c>
      <c r="G27" s="22">
        <f>G10+G11+G12+G13+G14+G19+G23+G24+G25+G26</f>
        <v>573572</v>
      </c>
      <c r="H27" s="22">
        <f>H10+H11+H12+H13+H14+H19+H23+H24+H25+H26</f>
        <v>603028</v>
      </c>
      <c r="I27" s="22">
        <f>I10+I11+I12+I13+I14+I19+I23+I24+I25+I26</f>
        <v>616034</v>
      </c>
      <c r="J27" s="23">
        <f>J10+J11+J12+J13+J14+J19+J23+J24+J25+J26</f>
        <v>620177.0529768738</v>
      </c>
      <c r="K27" s="1"/>
      <c r="L27" s="1"/>
      <c r="M27" s="1"/>
      <c r="N27" s="1"/>
      <c r="O27" s="1"/>
      <c r="P27" s="1"/>
    </row>
    <row r="28">
      <c r="A28" s="1"/>
      <c r="B28" s="1" t="s">
        <v>475</v>
      </c>
      <c r="C28" s="18">
        <v>554722</v>
      </c>
      <c r="D28" s="18">
        <v>559107</v>
      </c>
      <c r="E28" s="18">
        <v>568767</v>
      </c>
      <c r="F28" s="18">
        <v>573572</v>
      </c>
      <c r="G28" s="14"/>
      <c r="H28" s="18">
        <v>603028</v>
      </c>
      <c r="I28" s="18">
        <v>616034</v>
      </c>
      <c r="J28" s="10"/>
      <c r="K28" s="1"/>
      <c r="L28" s="1"/>
      <c r="M28" s="1"/>
      <c r="N28" s="1"/>
      <c r="O28" s="1"/>
      <c r="P28" s="1"/>
    </row>
    <row r="29">
      <c r="A29" s="1"/>
      <c r="B29" s="1" t="s">
        <v>476</v>
      </c>
      <c r="C29" s="14">
        <f>C27-C28</f>
        <v>0</v>
      </c>
      <c r="D29" s="14">
        <f>D27-D28</f>
        <v>0</v>
      </c>
      <c r="E29" s="14">
        <f>E27-E28</f>
        <v>0</v>
      </c>
      <c r="F29" s="14">
        <f>F27-F28</f>
        <v>0</v>
      </c>
      <c r="G29" s="14"/>
      <c r="H29" s="14">
        <f>H27-H28</f>
        <v>0</v>
      </c>
      <c r="I29" s="14">
        <f>I27-I28</f>
        <v>0</v>
      </c>
      <c r="J29" s="10"/>
      <c r="K29" s="1"/>
      <c r="L29" s="1"/>
      <c r="M29" s="1"/>
      <c r="N29" s="1"/>
      <c r="O29" s="1"/>
      <c r="P29" s="1"/>
    </row>
    <row r="30">
      <c r="A30" s="1"/>
      <c r="B30" s="32" t="s">
        <v>477</v>
      </c>
      <c r="C30" s="11"/>
      <c r="D30" s="11"/>
      <c r="E30" s="11"/>
      <c r="F30" s="11"/>
      <c r="G30" s="11"/>
      <c r="H30" s="11"/>
      <c r="I30" s="11"/>
      <c r="J30" s="30"/>
      <c r="K30" s="1"/>
      <c r="L30" s="1"/>
      <c r="M30" s="1"/>
      <c r="N30" s="1"/>
      <c r="O30" s="1"/>
      <c r="P30" s="1"/>
    </row>
    <row r="31">
      <c r="A31" s="1"/>
      <c r="B31" s="1" t="s">
        <v>271</v>
      </c>
      <c r="C31" s="18">
        <v>92369</v>
      </c>
      <c r="D31" s="18">
        <v>93253</v>
      </c>
      <c r="E31" s="18">
        <v>91207</v>
      </c>
      <c r="F31" s="18">
        <v>91748</v>
      </c>
      <c r="G31" s="14">
        <f>F31</f>
        <v>91748</v>
      </c>
      <c r="H31" s="18">
        <v>99297</v>
      </c>
      <c r="I31" s="18">
        <v>99356</v>
      </c>
      <c r="J31" s="27">
        <v>101000</v>
      </c>
      <c r="K31" s="1"/>
      <c r="L31" s="1"/>
      <c r="M31" s="1"/>
      <c r="N31" s="1"/>
      <c r="O31" s="1"/>
      <c r="P31" s="1"/>
    </row>
    <row r="32">
      <c r="A32" s="1"/>
      <c r="B32" s="1" t="s">
        <v>272</v>
      </c>
      <c r="C32" s="18">
        <v>330546</v>
      </c>
      <c r="D32" s="18">
        <v>333443</v>
      </c>
      <c r="E32" s="18">
        <v>341542</v>
      </c>
      <c r="F32" s="18">
        <v>349118</v>
      </c>
      <c r="G32" s="14">
        <f>F32</f>
        <v>349118</v>
      </c>
      <c r="H32" s="18">
        <v>358351</v>
      </c>
      <c r="I32" s="18">
        <v>350436</v>
      </c>
      <c r="J32" s="27">
        <v>355000</v>
      </c>
      <c r="K32" s="1"/>
      <c r="L32" s="1"/>
      <c r="M32" s="1"/>
      <c r="N32" s="1"/>
      <c r="O32" s="1"/>
      <c r="P32" s="1"/>
    </row>
    <row r="33">
      <c r="A33" s="1"/>
      <c r="B33" s="7" t="s">
        <v>478</v>
      </c>
      <c r="C33" s="22">
        <f>C31+C32</f>
        <v>422915</v>
      </c>
      <c r="D33" s="22">
        <f>D31+D32</f>
        <v>426696</v>
      </c>
      <c r="E33" s="22">
        <f>E31+E32</f>
        <v>432749</v>
      </c>
      <c r="F33" s="22">
        <f>F31+F32</f>
        <v>440866</v>
      </c>
      <c r="G33" s="22">
        <f>G31+G32</f>
        <v>440866</v>
      </c>
      <c r="H33" s="22">
        <f>H31+H32</f>
        <v>457648</v>
      </c>
      <c r="I33" s="22">
        <f>I31+I32</f>
        <v>449792</v>
      </c>
      <c r="J33" s="23">
        <f>J31+J32</f>
        <v>456000</v>
      </c>
      <c r="K33" s="1"/>
      <c r="L33" s="1"/>
      <c r="M33" s="1"/>
      <c r="N33" s="1"/>
      <c r="O33" s="1"/>
      <c r="P33" s="1"/>
    </row>
    <row r="34">
      <c r="A34" s="1"/>
      <c r="B34" s="6" t="s">
        <v>143</v>
      </c>
      <c r="C34" s="21"/>
      <c r="D34" s="21"/>
      <c r="E34" s="21"/>
      <c r="F34" s="21"/>
      <c r="G34" s="21"/>
      <c r="H34" s="21">
        <f>IF(AND(ISNUMBER(H33),ISNUMBER(C33)),IF(C33&lt;=0,"n.m.",IFERROR(H33/C33-1,"n.a.")),"n.a.")</f>
        <v>0.082127614296017</v>
      </c>
      <c r="I34" s="21">
        <f>IF(AND(ISNUMBER(I33),ISNUMBER(D33)),IF(D33&lt;=0,"n.m.",IFERROR(I33/D33-1,"n.a.")),"n.a.")</f>
        <v>0.05412752873239968</v>
      </c>
      <c r="J34" s="29">
        <f>IF(AND(ISNUMBER(J33),ISNUMBER(E33)),IF(E33&lt;=0,"n.m.",IFERROR(J33/E33-1,"n.a.")),"n.a.")</f>
        <v>0.05372860480324615</v>
      </c>
      <c r="K34" s="1"/>
      <c r="L34" s="1"/>
      <c r="M34" s="1"/>
      <c r="N34" s="1"/>
      <c r="O34" s="1"/>
      <c r="P34" s="1"/>
    </row>
    <row r="35">
      <c r="A35" s="1"/>
      <c r="B35" s="1" t="s">
        <v>162</v>
      </c>
      <c r="C35" s="14"/>
      <c r="D35" s="14">
        <f>IF(AND(ISNUMBER(D33),ISNUMBER(C33)),D33-C33,"n.a.")</f>
        <v>3781</v>
      </c>
      <c r="E35" s="14">
        <f>IF(AND(ISNUMBER(E33),ISNUMBER(D33)),E33-D33,"n.a.")</f>
        <v>6053</v>
      </c>
      <c r="F35" s="14">
        <f>IF(AND(ISNUMBER(F33),ISNUMBER(E33)),F33-E33,"n.a.")</f>
        <v>8117</v>
      </c>
      <c r="G35" s="14"/>
      <c r="H35" s="14">
        <f>IF(AND(ISNUMBER(H33),ISNUMBER(F33)),H33-F33,"n.a.")</f>
        <v>16782</v>
      </c>
      <c r="I35" s="14">
        <f>IF(AND(ISNUMBER(I33),ISNUMBER(H33)),I33-H33,"n.a.")</f>
        <v>-7856</v>
      </c>
      <c r="J35" s="10">
        <f>IF(AND(ISNUMBER(J33),ISNUMBER(I33)),J33-I33,"n.a.")</f>
        <v>6208</v>
      </c>
      <c r="K35" s="1"/>
      <c r="L35" s="1"/>
      <c r="M35" s="1"/>
      <c r="N35" s="1"/>
      <c r="O35" s="1"/>
      <c r="P35" s="1"/>
    </row>
    <row r="36">
      <c r="A36" s="1"/>
      <c r="B36" s="1" t="s">
        <v>479</v>
      </c>
      <c r="C36" s="18">
        <v>18000</v>
      </c>
      <c r="D36" s="18">
        <v>18000</v>
      </c>
      <c r="E36" s="18">
        <v>16100</v>
      </c>
      <c r="F36" s="18">
        <v>13000</v>
      </c>
      <c r="G36" s="14">
        <f>F36</f>
        <v>13000</v>
      </c>
      <c r="H36" s="18">
        <v>21417</v>
      </c>
      <c r="I36" s="18">
        <v>40416</v>
      </c>
      <c r="J36" s="27">
        <v>38000</v>
      </c>
      <c r="K36" s="1"/>
      <c r="L36" s="1"/>
      <c r="M36" s="1"/>
      <c r="N36" s="1"/>
      <c r="O36" s="1"/>
      <c r="P36" s="1"/>
    </row>
    <row r="37">
      <c r="A37" s="1"/>
      <c r="B37" s="1" t="s">
        <v>480</v>
      </c>
      <c r="C37" s="18">
        <v>34987</v>
      </c>
      <c r="D37" s="18">
        <v>35750</v>
      </c>
      <c r="E37" s="18">
        <v>38695</v>
      </c>
      <c r="F37" s="18">
        <v>38642</v>
      </c>
      <c r="G37" s="14">
        <f>F37</f>
        <v>38642</v>
      </c>
      <c r="H37" s="18">
        <v>38021</v>
      </c>
      <c r="I37" s="18">
        <v>38144</v>
      </c>
      <c r="J37" s="27">
        <v>38144</v>
      </c>
      <c r="K37" s="1"/>
      <c r="L37" s="1"/>
      <c r="M37" s="1"/>
      <c r="N37" s="1"/>
      <c r="O37" s="1"/>
      <c r="P37" s="1"/>
    </row>
    <row r="38">
      <c r="A38" s="1"/>
      <c r="B38" s="1" t="s">
        <v>481</v>
      </c>
      <c r="C38" s="18">
        <v>4163</v>
      </c>
      <c r="D38" s="18">
        <v>3490</v>
      </c>
      <c r="E38" s="18">
        <v>3512</v>
      </c>
      <c r="F38" s="18">
        <v>3016</v>
      </c>
      <c r="G38" s="14">
        <f>F38</f>
        <v>3016</v>
      </c>
      <c r="H38" s="18">
        <v>4502</v>
      </c>
      <c r="I38" s="18">
        <v>4396</v>
      </c>
      <c r="J38" s="27">
        <v>4396</v>
      </c>
      <c r="K38" s="1"/>
      <c r="L38" s="1"/>
      <c r="M38" s="1"/>
      <c r="N38" s="1"/>
      <c r="O38" s="1"/>
      <c r="P38" s="1"/>
    </row>
    <row r="39">
      <c r="A39" s="1"/>
      <c r="B39" s="1" t="s">
        <v>482</v>
      </c>
      <c r="C39" s="18">
        <v>3572</v>
      </c>
      <c r="D39" s="18">
        <v>3184</v>
      </c>
      <c r="E39" s="18">
        <v>4037</v>
      </c>
      <c r="F39" s="18">
        <v>2443</v>
      </c>
      <c r="G39" s="14">
        <f>F39</f>
        <v>2443</v>
      </c>
      <c r="H39" s="18">
        <v>2726</v>
      </c>
      <c r="I39" s="18">
        <v>2767</v>
      </c>
      <c r="J39" s="27">
        <v>2767</v>
      </c>
      <c r="K39" s="1"/>
      <c r="L39" s="1"/>
      <c r="M39" s="1"/>
      <c r="N39" s="1"/>
      <c r="O39" s="1"/>
      <c r="P39" s="1"/>
    </row>
    <row r="40">
      <c r="A40" s="1"/>
      <c r="B40" s="7" t="s">
        <v>483</v>
      </c>
      <c r="C40" s="22">
        <f>C36+C37+C38+C39</f>
        <v>60722</v>
      </c>
      <c r="D40" s="22">
        <f>D36+D37+D38+D39</f>
        <v>60424</v>
      </c>
      <c r="E40" s="22">
        <f>E36+E37+E38+E39</f>
        <v>62344</v>
      </c>
      <c r="F40" s="22">
        <f>F36+F37+F38+F39</f>
        <v>57101</v>
      </c>
      <c r="G40" s="22">
        <f>G36+G37+G38+G39</f>
        <v>57101</v>
      </c>
      <c r="H40" s="22">
        <f>H36+H37+H38+H39</f>
        <v>66666</v>
      </c>
      <c r="I40" s="22">
        <f>I36+I37+I38+I39</f>
        <v>85723</v>
      </c>
      <c r="J40" s="23">
        <f>J36+J37+J38+J39</f>
        <v>83307</v>
      </c>
      <c r="K40" s="1"/>
      <c r="L40" s="1"/>
      <c r="M40" s="1"/>
      <c r="N40" s="1"/>
      <c r="O40" s="1"/>
      <c r="P40" s="1"/>
    </row>
    <row r="41">
      <c r="A41" s="1"/>
      <c r="B41" s="1" t="s">
        <v>484</v>
      </c>
      <c r="C41" s="18">
        <v>674</v>
      </c>
      <c r="D41" s="18">
        <v>759</v>
      </c>
      <c r="E41" s="18">
        <v>775</v>
      </c>
      <c r="F41" s="18">
        <v>818</v>
      </c>
      <c r="G41" s="14">
        <f>F41</f>
        <v>818</v>
      </c>
      <c r="H41" s="18">
        <v>832</v>
      </c>
      <c r="I41" s="18">
        <v>809</v>
      </c>
      <c r="J41" s="27">
        <v>809</v>
      </c>
      <c r="K41" s="1"/>
      <c r="L41" s="1"/>
      <c r="M41" s="1"/>
      <c r="N41" s="1"/>
      <c r="O41" s="1"/>
      <c r="P41" s="1"/>
    </row>
    <row r="42">
      <c r="A42" s="1"/>
      <c r="B42" s="1" t="s">
        <v>485</v>
      </c>
      <c r="C42" s="18">
        <v>13960</v>
      </c>
      <c r="D42" s="18">
        <v>13573</v>
      </c>
      <c r="E42" s="18">
        <v>13861</v>
      </c>
      <c r="F42" s="18">
        <v>14151</v>
      </c>
      <c r="G42" s="14">
        <f>F42</f>
        <v>14151</v>
      </c>
      <c r="H42" s="18">
        <v>14206</v>
      </c>
      <c r="I42" s="18">
        <v>15649</v>
      </c>
      <c r="J42" s="27">
        <v>15649</v>
      </c>
      <c r="K42" s="1"/>
      <c r="L42" s="1"/>
      <c r="M42" s="1"/>
      <c r="N42" s="1"/>
      <c r="O42" s="1"/>
      <c r="P42" s="1"/>
    </row>
    <row r="43">
      <c r="A43" s="1"/>
      <c r="B43" s="7" t="s">
        <v>486</v>
      </c>
      <c r="C43" s="22">
        <f>C33+C40+C41+C42</f>
        <v>498271</v>
      </c>
      <c r="D43" s="22">
        <f>D33+D40+D41+D42</f>
        <v>501452</v>
      </c>
      <c r="E43" s="22">
        <f>E33+E40+E41+E42</f>
        <v>509729</v>
      </c>
      <c r="F43" s="22">
        <f>F33+F40+F41+F42</f>
        <v>512936</v>
      </c>
      <c r="G43" s="22">
        <f>G33+G40+G41+G42</f>
        <v>512936</v>
      </c>
      <c r="H43" s="22">
        <f>H33+H40+H41+H42</f>
        <v>539352</v>
      </c>
      <c r="I43" s="22">
        <f>I33+I40+I41+I42</f>
        <v>551973</v>
      </c>
      <c r="J43" s="23">
        <f>J33+J40+J41+J42</f>
        <v>555765</v>
      </c>
      <c r="K43" s="1"/>
      <c r="L43" s="1"/>
      <c r="M43" s="1"/>
      <c r="N43" s="1"/>
      <c r="O43" s="1"/>
      <c r="P43" s="1"/>
    </row>
    <row r="44">
      <c r="A44" s="1"/>
      <c r="B44" s="1" t="s">
        <v>487</v>
      </c>
      <c r="C44" s="18">
        <v>498271</v>
      </c>
      <c r="D44" s="18">
        <v>501452</v>
      </c>
      <c r="E44" s="18">
        <v>509729</v>
      </c>
      <c r="F44" s="18">
        <v>512936</v>
      </c>
      <c r="G44" s="14"/>
      <c r="H44" s="18">
        <v>539352</v>
      </c>
      <c r="I44" s="18">
        <v>551973</v>
      </c>
      <c r="J44" s="10"/>
      <c r="K44" s="1"/>
      <c r="L44" s="1"/>
      <c r="M44" s="1"/>
      <c r="N44" s="1"/>
      <c r="O44" s="1"/>
      <c r="P44" s="1"/>
    </row>
    <row r="45">
      <c r="A45" s="1"/>
      <c r="B45" s="1" t="s">
        <v>488</v>
      </c>
      <c r="C45" s="14">
        <f>C43-C44</f>
        <v>0</v>
      </c>
      <c r="D45" s="14">
        <f>D43-D44</f>
        <v>0</v>
      </c>
      <c r="E45" s="14">
        <f>E43-E44</f>
        <v>0</v>
      </c>
      <c r="F45" s="14">
        <f>F43-F44</f>
        <v>0</v>
      </c>
      <c r="G45" s="14"/>
      <c r="H45" s="14">
        <f>H43-H44</f>
        <v>0</v>
      </c>
      <c r="I45" s="14">
        <f>I43-I44</f>
        <v>0</v>
      </c>
      <c r="J45" s="10"/>
      <c r="K45" s="1"/>
      <c r="L45" s="1"/>
      <c r="M45" s="1"/>
      <c r="N45" s="1"/>
      <c r="O45" s="1"/>
      <c r="P45" s="1"/>
    </row>
    <row r="46">
      <c r="A46" s="1"/>
      <c r="B46" s="32" t="s">
        <v>489</v>
      </c>
      <c r="C46" s="11"/>
      <c r="D46" s="11"/>
      <c r="E46" s="11"/>
      <c r="F46" s="11"/>
      <c r="G46" s="11"/>
      <c r="H46" s="11"/>
      <c r="I46" s="11"/>
      <c r="J46" s="30"/>
      <c r="K46" s="1"/>
      <c r="L46" s="1"/>
      <c r="M46" s="1"/>
      <c r="N46" s="1"/>
      <c r="O46" s="1"/>
      <c r="P46" s="1"/>
    </row>
    <row r="47">
      <c r="A47" s="1"/>
      <c r="B47" s="1" t="s">
        <v>490</v>
      </c>
      <c r="C47" s="18">
        <v>0</v>
      </c>
      <c r="D47" s="18">
        <v>0</v>
      </c>
      <c r="E47" s="18">
        <v>0</v>
      </c>
      <c r="F47" s="18">
        <v>0</v>
      </c>
      <c r="G47" s="14">
        <f>F47</f>
        <v>0</v>
      </c>
      <c r="H47" s="18">
        <v>0</v>
      </c>
      <c r="I47" s="18">
        <v>0</v>
      </c>
      <c r="J47" s="10">
        <f>I47</f>
        <v>0</v>
      </c>
      <c r="K47" s="1"/>
      <c r="L47" s="1"/>
      <c r="M47" s="1"/>
      <c r="N47" s="1"/>
      <c r="O47" s="1"/>
      <c r="P47" s="1"/>
    </row>
    <row r="48">
      <c r="A48" s="1"/>
      <c r="B48" s="1" t="s">
        <v>491</v>
      </c>
      <c r="C48" s="18">
        <v>2717</v>
      </c>
      <c r="D48" s="18">
        <v>2717</v>
      </c>
      <c r="E48" s="18">
        <v>2717</v>
      </c>
      <c r="F48" s="18">
        <v>2717</v>
      </c>
      <c r="G48" s="14">
        <f>F48</f>
        <v>2717</v>
      </c>
      <c r="H48" s="18">
        <v>2786</v>
      </c>
      <c r="I48" s="18">
        <v>2786</v>
      </c>
      <c r="J48" s="10">
        <f>I48</f>
        <v>2786</v>
      </c>
      <c r="K48" s="1"/>
      <c r="L48" s="1"/>
      <c r="M48" s="1"/>
      <c r="N48" s="1"/>
      <c r="O48" s="1"/>
      <c r="P48" s="1"/>
    </row>
    <row r="49" ht="28.5">
      <c r="A49" s="1"/>
      <c r="B49" s="1" t="s">
        <v>492</v>
      </c>
      <c r="C49" s="18">
        <v>18731</v>
      </c>
      <c r="D49" s="18">
        <v>18809</v>
      </c>
      <c r="E49" s="18">
        <v>18859</v>
      </c>
      <c r="F49" s="18">
        <v>18922</v>
      </c>
      <c r="G49" s="14">
        <f>F49</f>
        <v>18922</v>
      </c>
      <c r="H49" s="18">
        <v>21926</v>
      </c>
      <c r="I49" s="18">
        <v>21999</v>
      </c>
      <c r="J49" s="35">
        <f>I49+J59+'Income Statement'!J56</f>
        <v>22061</v>
      </c>
      <c r="K49" s="134" t="s">
        <v>493</v>
      </c>
      <c r="L49" s="1"/>
      <c r="M49" s="1"/>
      <c r="N49" s="1"/>
      <c r="O49" s="1"/>
      <c r="P49" s="1"/>
    </row>
    <row r="50">
      <c r="A50" s="1"/>
      <c r="B50" s="1" t="s">
        <v>494</v>
      </c>
      <c r="C50" s="18">
        <v>60051</v>
      </c>
      <c r="D50" s="18">
        <v>60951</v>
      </c>
      <c r="E50" s="18">
        <v>62008</v>
      </c>
      <c r="F50" s="18">
        <v>63266</v>
      </c>
      <c r="G50" s="14">
        <f>F50</f>
        <v>63266</v>
      </c>
      <c r="H50" s="18">
        <v>64256</v>
      </c>
      <c r="I50" s="18">
        <v>65518</v>
      </c>
      <c r="J50" s="35">
        <f>I50+'Income Statement'!J52-'Income Statement'!J54-'Income Statement'!J55-'Income Statement'!J56-'Share Count'!J44</f>
        <v>66697.05297687386</v>
      </c>
      <c r="K50" s="1"/>
      <c r="L50" s="1"/>
      <c r="M50" s="1"/>
      <c r="N50" s="1"/>
      <c r="O50" s="1"/>
      <c r="P50" s="1"/>
    </row>
    <row r="51" ht="41.25">
      <c r="A51" s="1"/>
      <c r="B51" s="1" t="s">
        <v>495</v>
      </c>
      <c r="C51" s="18">
        <v>-5237</v>
      </c>
      <c r="D51" s="18">
        <v>-4682</v>
      </c>
      <c r="E51" s="18">
        <v>-4077</v>
      </c>
      <c r="F51" s="18">
        <v>-3408</v>
      </c>
      <c r="G51" s="14">
        <f>F51</f>
        <v>-3408</v>
      </c>
      <c r="H51" s="18">
        <v>-3773</v>
      </c>
      <c r="I51" s="18">
        <v>-4120</v>
      </c>
      <c r="J51" s="27">
        <v>-4400</v>
      </c>
      <c r="K51" s="134" t="s">
        <v>496</v>
      </c>
      <c r="L51" s="1"/>
      <c r="M51" s="1"/>
      <c r="N51" s="1"/>
      <c r="O51" s="1"/>
      <c r="P51" s="1"/>
    </row>
    <row r="52">
      <c r="A52" s="1"/>
      <c r="B52" s="1" t="s">
        <v>497</v>
      </c>
      <c r="C52" s="18">
        <v>-19857</v>
      </c>
      <c r="D52" s="18">
        <v>-20188</v>
      </c>
      <c r="E52" s="18">
        <v>-20517</v>
      </c>
      <c r="F52" s="18">
        <v>-20912</v>
      </c>
      <c r="G52" s="14">
        <f>F52</f>
        <v>-20912</v>
      </c>
      <c r="H52" s="18">
        <v>-21568</v>
      </c>
      <c r="I52" s="18">
        <v>-22175</v>
      </c>
      <c r="J52" s="35">
        <f>I52-'Share Count'!J22</f>
        <v>-22785</v>
      </c>
      <c r="K52" s="1"/>
      <c r="L52" s="1"/>
      <c r="M52" s="1"/>
      <c r="N52" s="1"/>
      <c r="O52" s="1"/>
      <c r="P52" s="1"/>
    </row>
    <row r="53">
      <c r="A53" s="1"/>
      <c r="B53" s="7" t="s">
        <v>498</v>
      </c>
      <c r="C53" s="22">
        <f>C47+C48+C49+C50+C51+C52</f>
        <v>56405</v>
      </c>
      <c r="D53" s="22">
        <f>D47+D48+D49+D50+D51+D52</f>
        <v>57607</v>
      </c>
      <c r="E53" s="22">
        <f>E47+E48+E49+E50+E51+E52</f>
        <v>58990</v>
      </c>
      <c r="F53" s="22">
        <f>F47+F48+F49+F50+F51+F52</f>
        <v>60585</v>
      </c>
      <c r="G53" s="22">
        <f>G47+G48+G49+G50+G51+G52</f>
        <v>60585</v>
      </c>
      <c r="H53" s="22">
        <f>H47+H48+H49+H50+H51+H52</f>
        <v>63627</v>
      </c>
      <c r="I53" s="22">
        <f>I47+I48+I49+I50+I51+I52</f>
        <v>64008</v>
      </c>
      <c r="J53" s="23">
        <f>J47+J48+J49+J50+J51+J52</f>
        <v>64359.05297687386</v>
      </c>
      <c r="K53" s="1"/>
      <c r="L53" s="1"/>
      <c r="M53" s="1"/>
      <c r="N53" s="1"/>
      <c r="O53" s="1"/>
      <c r="P53" s="1"/>
    </row>
    <row r="54">
      <c r="A54" s="1"/>
      <c r="B54" s="1" t="s">
        <v>319</v>
      </c>
      <c r="C54" s="18">
        <v>46</v>
      </c>
      <c r="D54" s="18">
        <v>48</v>
      </c>
      <c r="E54" s="18">
        <v>48</v>
      </c>
      <c r="F54" s="18">
        <v>51</v>
      </c>
      <c r="G54" s="14">
        <f>F54</f>
        <v>51</v>
      </c>
      <c r="H54" s="18">
        <v>49</v>
      </c>
      <c r="I54" s="18">
        <v>53</v>
      </c>
      <c r="J54" s="10">
        <f>I54</f>
        <v>53</v>
      </c>
      <c r="K54" s="1"/>
      <c r="L54" s="1"/>
      <c r="M54" s="1"/>
      <c r="N54" s="1"/>
      <c r="O54" s="1"/>
      <c r="P54" s="1"/>
    </row>
    <row r="55">
      <c r="A55" s="1"/>
      <c r="B55" s="7" t="s">
        <v>499</v>
      </c>
      <c r="C55" s="22">
        <f>C53+C54</f>
        <v>56451</v>
      </c>
      <c r="D55" s="22">
        <f>D53+D54</f>
        <v>57655</v>
      </c>
      <c r="E55" s="22">
        <f>E53+E54</f>
        <v>59038</v>
      </c>
      <c r="F55" s="22">
        <f>F53+F54</f>
        <v>60636</v>
      </c>
      <c r="G55" s="22">
        <f>G53+G54</f>
        <v>60636</v>
      </c>
      <c r="H55" s="22">
        <f>H53+H54</f>
        <v>63676</v>
      </c>
      <c r="I55" s="22">
        <f>I53+I54</f>
        <v>64061</v>
      </c>
      <c r="J55" s="23">
        <f>J53+J54</f>
        <v>64412.05297687386</v>
      </c>
      <c r="K55" s="1"/>
      <c r="L55" s="1"/>
      <c r="M55" s="1"/>
      <c r="N55" s="1"/>
      <c r="O55" s="1"/>
      <c r="P55" s="1"/>
    </row>
    <row r="56">
      <c r="A56" s="1"/>
      <c r="B56" s="7" t="s">
        <v>500</v>
      </c>
      <c r="C56" s="22">
        <f>C43+C55</f>
        <v>554722</v>
      </c>
      <c r="D56" s="22">
        <f>D43+D55</f>
        <v>559107</v>
      </c>
      <c r="E56" s="22">
        <f>E43+E55</f>
        <v>568767</v>
      </c>
      <c r="F56" s="22">
        <f>F43+F55</f>
        <v>573572</v>
      </c>
      <c r="G56" s="22">
        <f>G43+G55</f>
        <v>573572</v>
      </c>
      <c r="H56" s="22">
        <f>H43+H55</f>
        <v>603028</v>
      </c>
      <c r="I56" s="22">
        <f>I43+I55</f>
        <v>616034</v>
      </c>
      <c r="J56" s="23">
        <f>J43+J55</f>
        <v>620177.0529768738</v>
      </c>
      <c r="K56" s="1"/>
      <c r="L56" s="1"/>
      <c r="M56" s="1"/>
      <c r="N56" s="1"/>
      <c r="O56" s="1"/>
      <c r="P56" s="1"/>
    </row>
    <row r="57" ht="41.25">
      <c r="A57" s="1"/>
      <c r="B57" s="7" t="s">
        <v>501</v>
      </c>
      <c r="C57" s="24">
        <f>C27-C43-C55</f>
        <v>0</v>
      </c>
      <c r="D57" s="24">
        <f>D27-D43-D55</f>
        <v>0</v>
      </c>
      <c r="E57" s="24">
        <f>E27-E43-E55</f>
        <v>0</v>
      </c>
      <c r="F57" s="24">
        <f>F27-F43-F55</f>
        <v>0</v>
      </c>
      <c r="G57" s="24">
        <f>G27-G43-G55</f>
        <v>0</v>
      </c>
      <c r="H57" s="24">
        <f>H27-H43-H55</f>
        <v>0</v>
      </c>
      <c r="I57" s="24">
        <f>I27-I43-I55</f>
        <v>0</v>
      </c>
      <c r="J57" s="51">
        <f>J27-J43-J55</f>
        <v>0</v>
      </c>
      <c r="K57" s="134" t="s">
        <v>502</v>
      </c>
      <c r="L57" s="1"/>
      <c r="M57" s="1"/>
      <c r="N57" s="1"/>
      <c r="O57" s="1"/>
      <c r="P57" s="1"/>
    </row>
    <row r="58">
      <c r="A58" s="1"/>
      <c r="B58" s="32" t="s">
        <v>503</v>
      </c>
      <c r="C58" s="11"/>
      <c r="D58" s="11"/>
      <c r="E58" s="11"/>
      <c r="F58" s="11"/>
      <c r="G58" s="11"/>
      <c r="H58" s="11"/>
      <c r="I58" s="11"/>
      <c r="J58" s="30"/>
      <c r="K58" s="1"/>
      <c r="L58" s="1"/>
      <c r="M58" s="1"/>
      <c r="N58" s="1"/>
      <c r="O58" s="1"/>
      <c r="P58" s="1"/>
    </row>
    <row r="59">
      <c r="A59" s="1"/>
      <c r="B59" s="1" t="s">
        <v>504</v>
      </c>
      <c r="C59" s="14"/>
      <c r="D59" s="14"/>
      <c r="E59" s="14"/>
      <c r="F59" s="14"/>
      <c r="G59" s="14"/>
      <c r="H59" s="14"/>
      <c r="I59" s="14"/>
      <c r="J59" s="27">
        <v>60</v>
      </c>
      <c r="K59" s="1"/>
      <c r="L59" s="1"/>
      <c r="M59" s="1"/>
      <c r="N59" s="1"/>
      <c r="O59" s="1"/>
      <c r="P59" s="1"/>
    </row>
    <row r="60">
      <c r="A60" s="1"/>
      <c r="B60" s="1" t="s">
        <v>505</v>
      </c>
      <c r="C60" s="14">
        <f>C10+C11</f>
        <v>38400</v>
      </c>
      <c r="D60" s="14">
        <f>D10+D11</f>
        <v>30394</v>
      </c>
      <c r="E60" s="14">
        <f>E10+E11</f>
        <v>38871</v>
      </c>
      <c r="F60" s="14">
        <f>F10+F11</f>
        <v>39713</v>
      </c>
      <c r="G60" s="14">
        <f>G10+G11</f>
        <v>39713</v>
      </c>
      <c r="H60" s="14">
        <f>H10+H11</f>
        <v>31699</v>
      </c>
      <c r="I60" s="14">
        <f>I10+I11</f>
        <v>28745</v>
      </c>
      <c r="J60" s="10">
        <f>J10+J11</f>
        <v>28132.52297687379</v>
      </c>
      <c r="K60" s="1"/>
      <c r="L60" s="1"/>
      <c r="M60" s="1"/>
      <c r="N60" s="1"/>
      <c r="O60" s="1"/>
      <c r="P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P7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506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507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1" t="s">
        <v>392</v>
      </c>
      <c r="C10" s="12">
        <f>Inputs!C93</f>
        <v>1499</v>
      </c>
      <c r="D10" s="12">
        <f>Inputs!D93-Inputs!C93</f>
        <v>1643</v>
      </c>
      <c r="E10" s="12">
        <f>Inputs!E93-Inputs!D93</f>
        <v>1822</v>
      </c>
      <c r="F10" s="12">
        <f>Inputs!F93-Inputs!E93</f>
        <v>2033</v>
      </c>
      <c r="G10" s="14">
        <f>SUM(C10:F10)</f>
        <v>6997</v>
      </c>
      <c r="H10" s="12">
        <f>Inputs!G93</f>
        <v>1772</v>
      </c>
      <c r="I10" s="12">
        <f>Inputs!H93-Inputs!G93</f>
        <v>2055</v>
      </c>
      <c r="J10" s="35">
        <f>'Income Statement'!J52</f>
        <v>2066.984426873861</v>
      </c>
      <c r="K10" s="1"/>
      <c r="L10" s="1"/>
      <c r="M10" s="1"/>
      <c r="N10" s="1"/>
      <c r="O10" s="1"/>
      <c r="P10" s="1"/>
    </row>
    <row r="11">
      <c r="A11" s="1"/>
      <c r="B11" s="1" t="s">
        <v>309</v>
      </c>
      <c r="C11" s="12">
        <f>Inputs!C94</f>
        <v>219</v>
      </c>
      <c r="D11" s="12">
        <f>Inputs!D94-Inputs!C94</f>
        <v>254</v>
      </c>
      <c r="E11" s="12">
        <f>Inputs!E94-Inputs!D94</f>
        <v>167</v>
      </c>
      <c r="F11" s="12">
        <f>Inputs!F94-Inputs!E94</f>
        <v>139</v>
      </c>
      <c r="G11" s="14">
        <f>SUM(C11:F11)</f>
        <v>779</v>
      </c>
      <c r="H11" s="12">
        <f>Inputs!G94</f>
        <v>210</v>
      </c>
      <c r="I11" s="12">
        <f>Inputs!H94-Inputs!G94</f>
        <v>191</v>
      </c>
      <c r="J11" s="35">
        <f>'Income Statement'!J37</f>
        <v>230</v>
      </c>
      <c r="K11" s="1"/>
      <c r="L11" s="1"/>
      <c r="M11" s="1"/>
      <c r="N11" s="1"/>
      <c r="O11" s="1"/>
      <c r="P11" s="1"/>
    </row>
    <row r="12" ht="66.75">
      <c r="A12" s="1"/>
      <c r="B12" s="1" t="s">
        <v>312</v>
      </c>
      <c r="C12" s="12">
        <f>Inputs!C95</f>
        <v>90</v>
      </c>
      <c r="D12" s="12">
        <f>Inputs!D95-Inputs!C95</f>
        <v>82</v>
      </c>
      <c r="E12" s="12">
        <f>Inputs!E95-Inputs!D95</f>
        <v>101</v>
      </c>
      <c r="F12" s="12">
        <f>Inputs!F95-Inputs!E95</f>
        <v>108</v>
      </c>
      <c r="G12" s="14">
        <f>SUM(C12:F12)</f>
        <v>381</v>
      </c>
      <c r="H12" s="12">
        <f>Inputs!G95</f>
        <v>66</v>
      </c>
      <c r="I12" s="12">
        <f>Inputs!H95-Inputs!G95</f>
        <v>107</v>
      </c>
      <c r="J12" s="10"/>
      <c r="K12" s="134" t="s">
        <v>508</v>
      </c>
      <c r="L12" s="1"/>
      <c r="M12" s="1"/>
      <c r="N12" s="1"/>
      <c r="O12" s="1"/>
      <c r="P12" s="1"/>
    </row>
    <row r="13">
      <c r="A13" s="1"/>
      <c r="B13" s="1" t="s">
        <v>509</v>
      </c>
      <c r="C13" s="12">
        <f>Inputs!C96</f>
        <v>-47</v>
      </c>
      <c r="D13" s="12">
        <f>Inputs!D96-Inputs!C96</f>
        <v>-11</v>
      </c>
      <c r="E13" s="12">
        <f>Inputs!E96-Inputs!D96</f>
        <v>-10</v>
      </c>
      <c r="F13" s="12">
        <f>Inputs!F96-Inputs!E96</f>
        <v>28</v>
      </c>
      <c r="G13" s="14">
        <f>SUM(C13:F13)</f>
        <v>-40</v>
      </c>
      <c r="H13" s="12">
        <f>Inputs!G96</f>
        <v>-102</v>
      </c>
      <c r="I13" s="12">
        <f>Inputs!H96-Inputs!G96</f>
        <v>254</v>
      </c>
      <c r="J13" s="10"/>
      <c r="K13" s="114" t="s">
        <v>510</v>
      </c>
      <c r="L13" s="1"/>
      <c r="M13" s="1"/>
      <c r="N13" s="1"/>
      <c r="O13" s="1"/>
      <c r="P13" s="1"/>
    </row>
    <row r="14" ht="130.5">
      <c r="A14" s="1"/>
      <c r="B14" s="1" t="s">
        <v>511</v>
      </c>
      <c r="C14" s="12">
        <f>Inputs!C97</f>
        <v>0</v>
      </c>
      <c r="D14" s="12">
        <f>Inputs!D97-Inputs!C97</f>
        <v>2</v>
      </c>
      <c r="E14" s="12">
        <f>Inputs!E97-Inputs!D97</f>
        <v>0</v>
      </c>
      <c r="F14" s="12">
        <f>Inputs!F97-Inputs!E97</f>
        <v>7</v>
      </c>
      <c r="G14" s="14">
        <f>SUM(C14:F14)</f>
        <v>9</v>
      </c>
      <c r="H14" s="12">
        <f>Inputs!G97</f>
        <v>0</v>
      </c>
      <c r="I14" s="12">
        <f>Inputs!H97-Inputs!G97</f>
        <v>111</v>
      </c>
      <c r="J14" s="10"/>
      <c r="K14" s="123" t="s">
        <v>512</v>
      </c>
      <c r="L14" s="1"/>
      <c r="M14" s="1"/>
      <c r="N14" s="1"/>
      <c r="O14" s="1"/>
      <c r="P14" s="1"/>
    </row>
    <row r="15">
      <c r="A15" s="1"/>
      <c r="B15" s="1" t="s">
        <v>513</v>
      </c>
      <c r="C15" s="12">
        <f>Inputs!C98</f>
        <v>191</v>
      </c>
      <c r="D15" s="12">
        <f>Inputs!D98-Inputs!C98</f>
        <v>137</v>
      </c>
      <c r="E15" s="12">
        <f>Inputs!E98-Inputs!D98</f>
        <v>94</v>
      </c>
      <c r="F15" s="12">
        <f>Inputs!F98-Inputs!E98</f>
        <v>70</v>
      </c>
      <c r="G15" s="14">
        <f>SUM(C15:F15)</f>
        <v>492</v>
      </c>
      <c r="H15" s="12">
        <f>Inputs!G98</f>
        <v>108</v>
      </c>
      <c r="I15" s="12">
        <f>Inputs!H98-Inputs!G98</f>
        <v>77</v>
      </c>
      <c r="J15" s="10"/>
      <c r="K15" s="114" t="s">
        <v>510</v>
      </c>
      <c r="L15" s="1"/>
      <c r="M15" s="1"/>
      <c r="N15" s="1"/>
      <c r="O15" s="1"/>
      <c r="P15" s="1"/>
    </row>
    <row r="16" ht="28.5">
      <c r="A16" s="1"/>
      <c r="B16" s="1" t="s">
        <v>246</v>
      </c>
      <c r="C16" s="12">
        <f>Inputs!C99</f>
        <v>0</v>
      </c>
      <c r="D16" s="12">
        <f>Inputs!D99-Inputs!C99</f>
        <v>0</v>
      </c>
      <c r="E16" s="12">
        <f>Inputs!E99-Inputs!D99</f>
        <v>0</v>
      </c>
      <c r="F16" s="12">
        <f>Inputs!F99-Inputs!E99</f>
        <v>0</v>
      </c>
      <c r="G16" s="14">
        <f>SUM(C16:F16)</f>
        <v>0</v>
      </c>
      <c r="H16" s="12">
        <f>Inputs!G99</f>
        <v>0</v>
      </c>
      <c r="I16" s="12">
        <f>Inputs!H99-Inputs!G99</f>
        <v>-448</v>
      </c>
      <c r="J16" s="10"/>
      <c r="K16" s="134" t="s">
        <v>514</v>
      </c>
      <c r="L16" s="1"/>
      <c r="M16" s="1"/>
      <c r="N16" s="1"/>
      <c r="O16" s="1"/>
      <c r="P16" s="1"/>
    </row>
    <row r="17">
      <c r="A17" s="1"/>
      <c r="B17" s="1" t="s">
        <v>515</v>
      </c>
      <c r="C17" s="12">
        <f>Inputs!C100</f>
        <v>-1495</v>
      </c>
      <c r="D17" s="12">
        <f>Inputs!D100-Inputs!C100</f>
        <v>-151</v>
      </c>
      <c r="E17" s="12">
        <f>Inputs!E100-Inputs!D100</f>
        <v>-1647</v>
      </c>
      <c r="F17" s="12">
        <f>Inputs!F100-Inputs!E100</f>
        <v>-673</v>
      </c>
      <c r="G17" s="14">
        <f>SUM(C17:F17)</f>
        <v>-3966</v>
      </c>
      <c r="H17" s="12">
        <f>Inputs!G100</f>
        <v>105</v>
      </c>
      <c r="I17" s="12">
        <f>Inputs!H100-Inputs!G100</f>
        <v>-292</v>
      </c>
      <c r="J17" s="10"/>
      <c r="K17" s="114" t="s">
        <v>510</v>
      </c>
      <c r="L17" s="1"/>
      <c r="M17" s="1"/>
      <c r="N17" s="1"/>
      <c r="O17" s="1"/>
      <c r="P17" s="1"/>
    </row>
    <row r="18">
      <c r="A18" s="1"/>
      <c r="B18" s="1" t="s">
        <v>516</v>
      </c>
      <c r="C18" s="12">
        <f>Inputs!C101</f>
        <v>-297</v>
      </c>
      <c r="D18" s="12">
        <f>Inputs!D101-Inputs!C101</f>
        <v>-658</v>
      </c>
      <c r="E18" s="12">
        <f>Inputs!E101-Inputs!D101</f>
        <v>707</v>
      </c>
      <c r="F18" s="12">
        <f>Inputs!F101-Inputs!E101</f>
        <v>-854</v>
      </c>
      <c r="G18" s="14">
        <f>SUM(C18:F18)</f>
        <v>-1102</v>
      </c>
      <c r="H18" s="12">
        <f>Inputs!G101</f>
        <v>571</v>
      </c>
      <c r="I18" s="12">
        <f>Inputs!H101-Inputs!G101</f>
        <v>-194</v>
      </c>
      <c r="J18" s="35">
        <f>-('Balance Sheet'!J12-'Balance Sheet'!I12)</f>
        <v>22</v>
      </c>
      <c r="K18" s="1"/>
      <c r="L18" s="1"/>
      <c r="M18" s="1"/>
      <c r="N18" s="1"/>
      <c r="O18" s="1"/>
      <c r="P18" s="1"/>
    </row>
    <row r="19" ht="66.75">
      <c r="A19" s="1"/>
      <c r="B19" s="1" t="s">
        <v>517</v>
      </c>
      <c r="C19" s="12">
        <f>Inputs!C102</f>
        <v>964</v>
      </c>
      <c r="D19" s="12">
        <f>Inputs!D102-Inputs!C102</f>
        <v>818</v>
      </c>
      <c r="E19" s="12">
        <f>Inputs!E102-Inputs!D102</f>
        <v>863</v>
      </c>
      <c r="F19" s="12">
        <f>Inputs!F102-Inputs!E102</f>
        <v>-909</v>
      </c>
      <c r="G19" s="14">
        <f>SUM(C19:F19)</f>
        <v>1736</v>
      </c>
      <c r="H19" s="12">
        <f>Inputs!G102</f>
        <v>474</v>
      </c>
      <c r="I19" s="12">
        <f>Inputs!H102-Inputs!G102</f>
        <v>-759</v>
      </c>
      <c r="J19" s="35">
        <f>-(('Balance Sheet'!J23+'Balance Sheet'!J24+'Balance Sheet'!J25+'Balance Sheet'!J26)-('Balance Sheet'!I23+'Balance Sheet'!I24+'Balance Sheet'!I25+'Balance Sheet'!I26))</f>
        <v>-109</v>
      </c>
      <c r="K19" s="123" t="s">
        <v>518</v>
      </c>
      <c r="L19" s="1"/>
      <c r="M19" s="1"/>
      <c r="N19" s="1"/>
      <c r="O19" s="1"/>
      <c r="P19" s="1"/>
    </row>
    <row r="20">
      <c r="A20" s="1"/>
      <c r="B20" s="1" t="s">
        <v>485</v>
      </c>
      <c r="C20" s="12">
        <f>Inputs!C103</f>
        <v>-1611</v>
      </c>
      <c r="D20" s="12">
        <f>Inputs!D103-Inputs!C103</f>
        <v>-784</v>
      </c>
      <c r="E20" s="12">
        <f>Inputs!E103-Inputs!D103</f>
        <v>306</v>
      </c>
      <c r="F20" s="12">
        <f>Inputs!F103-Inputs!E103</f>
        <v>479</v>
      </c>
      <c r="G20" s="14">
        <f>SUM(C20:F20)</f>
        <v>-1610</v>
      </c>
      <c r="H20" s="12">
        <f>Inputs!G103</f>
        <v>-1756</v>
      </c>
      <c r="I20" s="12">
        <f>Inputs!H103-Inputs!G103</f>
        <v>472</v>
      </c>
      <c r="J20" s="35">
        <f>('Balance Sheet'!J41+'Balance Sheet'!J42)-('Balance Sheet'!I41+'Balance Sheet'!I42)</f>
        <v>0</v>
      </c>
      <c r="K20" s="1"/>
      <c r="L20" s="1"/>
      <c r="M20" s="1"/>
      <c r="N20" s="1"/>
      <c r="O20" s="1"/>
      <c r="P20" s="1"/>
    </row>
    <row r="21">
      <c r="A21" s="1"/>
      <c r="B21" s="1" t="s">
        <v>519</v>
      </c>
      <c r="C21" s="12">
        <f>Inputs!C104</f>
        <v>-22</v>
      </c>
      <c r="D21" s="12">
        <f>Inputs!D104-Inputs!C104</f>
        <v>148</v>
      </c>
      <c r="E21" s="12">
        <f>Inputs!E104-Inputs!D104</f>
        <v>253</v>
      </c>
      <c r="F21" s="12">
        <f>Inputs!F104-Inputs!E104</f>
        <v>329</v>
      </c>
      <c r="G21" s="14">
        <f>SUM(C21:F21)</f>
        <v>708</v>
      </c>
      <c r="H21" s="12">
        <f>Inputs!G104</f>
        <v>480</v>
      </c>
      <c r="I21" s="12">
        <f>Inputs!H104-Inputs!G104</f>
        <v>573</v>
      </c>
      <c r="J21" s="35">
        <f>'Balance Sheet'!J59</f>
        <v>60</v>
      </c>
      <c r="K21" s="114" t="s">
        <v>520</v>
      </c>
      <c r="L21" s="1"/>
      <c r="M21" s="1"/>
      <c r="N21" s="1"/>
      <c r="O21" s="1"/>
      <c r="P21" s="1"/>
    </row>
    <row r="22" ht="54">
      <c r="A22" s="1"/>
      <c r="B22" s="7" t="s">
        <v>521</v>
      </c>
      <c r="C22" s="22">
        <f>C10+C11+C12+C13+C14+C15+C16+C17+C18+C19+C20+C21</f>
        <v>-509</v>
      </c>
      <c r="D22" s="22">
        <f>D10+D11+D12+D13+D14+D15+D16+D17+D18+D19+D20+D21</f>
        <v>1480</v>
      </c>
      <c r="E22" s="22">
        <f>E10+E11+E12+E13+E14+E15+E16+E17+E18+E19+E20+E21</f>
        <v>2656</v>
      </c>
      <c r="F22" s="22">
        <f>F10+F11+F12+F13+F14+F15+F16+F17+F18+F19+F20+F21</f>
        <v>757</v>
      </c>
      <c r="G22" s="22">
        <f>G10+G11+G12+G13+G14+G15+G16+G17+G18+G19+G20+G21</f>
        <v>4384</v>
      </c>
      <c r="H22" s="22">
        <f>H10+H11+H12+H13+H14+H15+H16+H17+H18+H19+H20+H21</f>
        <v>1928</v>
      </c>
      <c r="I22" s="22">
        <f>I10+I11+I12+I13+I14+I15+I16+I17+I18+I19+I20+I21</f>
        <v>2147</v>
      </c>
      <c r="J22" s="23">
        <f>J10+J11+J12+J13+J14+J15+J16+J17+J18+J19+J20+J21</f>
        <v>2269.984426873861</v>
      </c>
      <c r="K22" s="134" t="s">
        <v>522</v>
      </c>
      <c r="L22" s="1"/>
      <c r="M22" s="1"/>
      <c r="N22" s="1"/>
      <c r="O22" s="1"/>
      <c r="P22" s="1"/>
    </row>
    <row r="23" ht="66.75">
      <c r="A23" s="1"/>
      <c r="B23" s="1" t="s">
        <v>523</v>
      </c>
      <c r="C23" s="12">
        <f>C22-(Inputs!C105)</f>
        <v>0</v>
      </c>
      <c r="D23" s="12">
        <f>D22-(Inputs!D105-Inputs!C105)</f>
        <v>0</v>
      </c>
      <c r="E23" s="12">
        <f>E22-(Inputs!E105-Inputs!D105)</f>
        <v>0</v>
      </c>
      <c r="F23" s="12">
        <f>F22-(Inputs!F105-Inputs!E105)</f>
        <v>0</v>
      </c>
      <c r="G23" s="132">
        <f>G22-(Inputs!F105)</f>
        <v>0</v>
      </c>
      <c r="H23" s="12">
        <f>H22-(Inputs!G105)</f>
        <v>0</v>
      </c>
      <c r="I23" s="12">
        <f>I22-(Inputs!H105-Inputs!G105)</f>
        <v>0</v>
      </c>
      <c r="J23" s="10"/>
      <c r="K23" s="134" t="s">
        <v>524</v>
      </c>
      <c r="L23" s="1"/>
      <c r="M23" s="1"/>
      <c r="N23" s="1"/>
      <c r="O23" s="1"/>
      <c r="P23" s="1"/>
    </row>
    <row r="24">
      <c r="A24" s="1"/>
      <c r="B24" s="32" t="s">
        <v>525</v>
      </c>
      <c r="C24" s="11"/>
      <c r="D24" s="11"/>
      <c r="E24" s="11"/>
      <c r="F24" s="11"/>
      <c r="G24" s="11"/>
      <c r="H24" s="11"/>
      <c r="I24" s="11"/>
      <c r="J24" s="30"/>
      <c r="K24" s="1"/>
      <c r="L24" s="1"/>
      <c r="M24" s="1"/>
      <c r="N24" s="1"/>
      <c r="O24" s="1"/>
      <c r="P24" s="1"/>
    </row>
    <row r="25" ht="66.75">
      <c r="A25" s="1"/>
      <c r="B25" s="1" t="s">
        <v>526</v>
      </c>
      <c r="C25" s="12">
        <f>Inputs!C106</f>
        <v>1241</v>
      </c>
      <c r="D25" s="12">
        <f>Inputs!D106-Inputs!C106</f>
        <v>90</v>
      </c>
      <c r="E25" s="12">
        <f>Inputs!E106-Inputs!D106</f>
        <v>-64</v>
      </c>
      <c r="F25" s="12">
        <f>Inputs!F106-Inputs!E106</f>
        <v>1884</v>
      </c>
      <c r="G25" s="14">
        <f>SUM(C25:F25)</f>
        <v>3151</v>
      </c>
      <c r="H25" s="12">
        <f>Inputs!G106</f>
        <v>7729</v>
      </c>
      <c r="I25" s="12">
        <f>Inputs!H106-Inputs!G106</f>
        <v>4248</v>
      </c>
      <c r="J25" s="10"/>
      <c r="K25" s="134" t="s">
        <v>527</v>
      </c>
      <c r="L25" s="1"/>
      <c r="M25" s="1"/>
      <c r="N25" s="1"/>
      <c r="O25" s="1"/>
      <c r="P25" s="1"/>
    </row>
    <row r="26">
      <c r="A26" s="1"/>
      <c r="B26" s="1" t="s">
        <v>528</v>
      </c>
      <c r="C26" s="12">
        <f>Inputs!C107</f>
        <v>143</v>
      </c>
      <c r="D26" s="12">
        <f>Inputs!D107-Inputs!C107</f>
        <v>150</v>
      </c>
      <c r="E26" s="12">
        <f>Inputs!E107-Inputs!D107</f>
        <v>281</v>
      </c>
      <c r="F26" s="12">
        <f>Inputs!F107-Inputs!E107</f>
        <v>302</v>
      </c>
      <c r="G26" s="14">
        <f>SUM(C26:F26)</f>
        <v>876</v>
      </c>
      <c r="H26" s="12">
        <f>Inputs!G107</f>
        <v>177</v>
      </c>
      <c r="I26" s="12">
        <f>Inputs!H107-Inputs!G107</f>
        <v>226</v>
      </c>
      <c r="J26" s="10"/>
      <c r="K26" s="1"/>
      <c r="L26" s="1"/>
      <c r="M26" s="1"/>
      <c r="N26" s="1"/>
      <c r="O26" s="1"/>
      <c r="P26" s="1"/>
    </row>
    <row r="27">
      <c r="A27" s="1"/>
      <c r="B27" s="1" t="s">
        <v>529</v>
      </c>
      <c r="C27" s="12">
        <f>Inputs!C108</f>
        <v>1671</v>
      </c>
      <c r="D27" s="12">
        <f>Inputs!D108-Inputs!C108</f>
        <v>1721</v>
      </c>
      <c r="E27" s="12">
        <f>Inputs!E108-Inputs!D108</f>
        <v>2247</v>
      </c>
      <c r="F27" s="12">
        <f>Inputs!F108-Inputs!E108</f>
        <v>1029</v>
      </c>
      <c r="G27" s="14">
        <f>SUM(C27:F27)</f>
        <v>6668</v>
      </c>
      <c r="H27" s="12">
        <f>Inputs!G108</f>
        <v>1904</v>
      </c>
      <c r="I27" s="12">
        <f>Inputs!H108-Inputs!G108</f>
        <v>2502</v>
      </c>
      <c r="J27" s="10"/>
      <c r="K27" s="1"/>
      <c r="L27" s="1"/>
      <c r="M27" s="1"/>
      <c r="N27" s="1"/>
      <c r="O27" s="1"/>
      <c r="P27" s="1"/>
    </row>
    <row r="28">
      <c r="A28" s="1"/>
      <c r="B28" s="1" t="s">
        <v>530</v>
      </c>
      <c r="C28" s="12">
        <f>Inputs!C109</f>
        <v>3480</v>
      </c>
      <c r="D28" s="12">
        <f>Inputs!D109-Inputs!C109</f>
        <v>3363</v>
      </c>
      <c r="E28" s="12">
        <f>Inputs!E109-Inputs!D109</f>
        <v>3403</v>
      </c>
      <c r="F28" s="12">
        <f>Inputs!F109-Inputs!E109</f>
        <v>4760</v>
      </c>
      <c r="G28" s="14">
        <f>SUM(C28:F28)</f>
        <v>15006</v>
      </c>
      <c r="H28" s="12">
        <f>Inputs!G109</f>
        <v>4503</v>
      </c>
      <c r="I28" s="12">
        <f>Inputs!H109-Inputs!G109</f>
        <v>2079</v>
      </c>
      <c r="J28" s="10"/>
      <c r="K28" s="1"/>
      <c r="L28" s="1"/>
      <c r="M28" s="1"/>
      <c r="N28" s="1"/>
      <c r="O28" s="1"/>
      <c r="P28" s="1"/>
    </row>
    <row r="29" ht="92.25">
      <c r="A29" s="1"/>
      <c r="B29" s="1" t="s">
        <v>531</v>
      </c>
      <c r="C29" s="12">
        <f>Inputs!C110</f>
        <v>-4098</v>
      </c>
      <c r="D29" s="12">
        <f>Inputs!D110-Inputs!C110</f>
        <v>-4947</v>
      </c>
      <c r="E29" s="12">
        <f>Inputs!E110-Inputs!D110</f>
        <v>-3076</v>
      </c>
      <c r="F29" s="12">
        <f>Inputs!F110-Inputs!E110</f>
        <v>-3304</v>
      </c>
      <c r="G29" s="14">
        <f>SUM(C29:F29)</f>
        <v>-15425</v>
      </c>
      <c r="H29" s="12">
        <f>Inputs!G110</f>
        <v>-5725</v>
      </c>
      <c r="I29" s="12">
        <f>Inputs!H110-Inputs!G110</f>
        <v>-7947</v>
      </c>
      <c r="J29" s="35">
        <f>-(('Balance Sheet'!J13+'Balance Sheet'!J14)-('Balance Sheet'!I13+'Balance Sheet'!I14))+('Balance Sheet'!J51-'Balance Sheet'!I51)</f>
        <v>-1274</v>
      </c>
      <c r="K29" s="134" t="s">
        <v>532</v>
      </c>
      <c r="L29" s="1"/>
      <c r="M29" s="1"/>
      <c r="N29" s="1"/>
      <c r="O29" s="1"/>
      <c r="P29" s="1"/>
    </row>
    <row r="30">
      <c r="A30" s="1"/>
      <c r="B30" s="1" t="s">
        <v>533</v>
      </c>
      <c r="C30" s="12">
        <f>Inputs!C111</f>
        <v>-31</v>
      </c>
      <c r="D30" s="12">
        <f>Inputs!D111-Inputs!C111</f>
        <v>-3948</v>
      </c>
      <c r="E30" s="12">
        <f>Inputs!E111-Inputs!D111</f>
        <v>-1203</v>
      </c>
      <c r="F30" s="12">
        <f>Inputs!F111-Inputs!E111</f>
        <v>-1475</v>
      </c>
      <c r="G30" s="14">
        <f>SUM(C30:F30)</f>
        <v>-6657</v>
      </c>
      <c r="H30" s="12">
        <f>Inputs!G111</f>
        <v>-3341</v>
      </c>
      <c r="I30" s="12">
        <f>Inputs!H111-Inputs!G111</f>
        <v>-7725</v>
      </c>
      <c r="J30" s="10"/>
      <c r="K30" s="1"/>
      <c r="L30" s="1"/>
      <c r="M30" s="1"/>
      <c r="N30" s="1"/>
      <c r="O30" s="1"/>
      <c r="P30" s="1"/>
    </row>
    <row r="31">
      <c r="A31" s="1"/>
      <c r="B31" s="1" t="s">
        <v>534</v>
      </c>
      <c r="C31" s="12">
        <f>Inputs!C112</f>
        <v>-403</v>
      </c>
      <c r="D31" s="12">
        <f>Inputs!D112-Inputs!C112</f>
        <v>-450</v>
      </c>
      <c r="E31" s="12">
        <f>Inputs!E112-Inputs!D112</f>
        <v>-739</v>
      </c>
      <c r="F31" s="12">
        <f>Inputs!F112-Inputs!E112</f>
        <v>-720</v>
      </c>
      <c r="G31" s="14">
        <f>SUM(C31:F31)</f>
        <v>-2312</v>
      </c>
      <c r="H31" s="12">
        <f>Inputs!G112</f>
        <v>-600</v>
      </c>
      <c r="I31" s="12">
        <f>Inputs!H112-Inputs!G112</f>
        <v>-528</v>
      </c>
      <c r="J31" s="10"/>
      <c r="K31" s="1"/>
      <c r="L31" s="1"/>
      <c r="M31" s="1"/>
      <c r="N31" s="1"/>
      <c r="O31" s="1"/>
      <c r="P31" s="1"/>
    </row>
    <row r="32">
      <c r="A32" s="1"/>
      <c r="B32" s="1" t="s">
        <v>535</v>
      </c>
      <c r="C32" s="12">
        <f>Inputs!C113</f>
        <v>-445</v>
      </c>
      <c r="D32" s="12">
        <f>Inputs!D113-Inputs!C113</f>
        <v>257</v>
      </c>
      <c r="E32" s="12">
        <f>Inputs!E113-Inputs!D113</f>
        <v>-669</v>
      </c>
      <c r="F32" s="12">
        <f>Inputs!F113-Inputs!E113</f>
        <v>1305</v>
      </c>
      <c r="G32" s="14">
        <f>SUM(C32:F32)</f>
        <v>448</v>
      </c>
      <c r="H32" s="12">
        <f>Inputs!G113</f>
        <v>260</v>
      </c>
      <c r="I32" s="12">
        <f>Inputs!H113-Inputs!G113</f>
        <v>241</v>
      </c>
      <c r="J32" s="10"/>
      <c r="K32" s="1"/>
      <c r="L32" s="1"/>
      <c r="M32" s="1"/>
      <c r="N32" s="1"/>
      <c r="O32" s="1"/>
      <c r="P32" s="1"/>
    </row>
    <row r="33">
      <c r="A33" s="1"/>
      <c r="B33" s="1" t="s">
        <v>536</v>
      </c>
      <c r="C33" s="12">
        <f>Inputs!C114</f>
        <v>-2393</v>
      </c>
      <c r="D33" s="12">
        <f>Inputs!D114-Inputs!C114</f>
        <v>-7419</v>
      </c>
      <c r="E33" s="12">
        <f>Inputs!E114-Inputs!D114</f>
        <v>-173</v>
      </c>
      <c r="F33" s="12">
        <f>Inputs!F114-Inputs!E114</f>
        <v>-4751</v>
      </c>
      <c r="G33" s="14">
        <f>SUM(C33:F33)</f>
        <v>-14736</v>
      </c>
      <c r="H33" s="12">
        <f>Inputs!G114</f>
        <v>-13773</v>
      </c>
      <c r="I33" s="12">
        <f>Inputs!H114-Inputs!G114</f>
        <v>-6717</v>
      </c>
      <c r="J33" s="35">
        <f>-('Balance Sheet'!J15-'Balance Sheet'!I15)-'Income Statement'!J123</f>
        <v>-3904.530000000028</v>
      </c>
      <c r="K33" s="114" t="s">
        <v>537</v>
      </c>
      <c r="L33" s="1"/>
      <c r="M33" s="1"/>
      <c r="N33" s="1"/>
      <c r="O33" s="1"/>
      <c r="P33" s="1"/>
    </row>
    <row r="34">
      <c r="A34" s="1"/>
      <c r="B34" s="1" t="s">
        <v>538</v>
      </c>
      <c r="C34" s="12">
        <f>Inputs!C115</f>
        <v>0</v>
      </c>
      <c r="D34" s="12">
        <f>Inputs!D115-Inputs!C115</f>
        <v>0</v>
      </c>
      <c r="E34" s="12">
        <f>Inputs!E115-Inputs!D115</f>
        <v>0</v>
      </c>
      <c r="F34" s="12">
        <f>Inputs!F115-Inputs!E115</f>
        <v>0</v>
      </c>
      <c r="G34" s="14">
        <f>SUM(C34:F34)</f>
        <v>0</v>
      </c>
      <c r="H34" s="12">
        <f>Inputs!G115</f>
        <v>-80</v>
      </c>
      <c r="I34" s="12">
        <f>Inputs!H115-Inputs!G115</f>
        <v>0</v>
      </c>
      <c r="J34" s="10"/>
      <c r="K34" s="1"/>
      <c r="L34" s="1"/>
      <c r="M34" s="1"/>
      <c r="N34" s="1"/>
      <c r="O34" s="1"/>
      <c r="P34" s="1"/>
    </row>
    <row r="35">
      <c r="A35" s="1"/>
      <c r="B35" s="1" t="s">
        <v>539</v>
      </c>
      <c r="C35" s="12">
        <f>Inputs!C116</f>
        <v>-145</v>
      </c>
      <c r="D35" s="12">
        <f>Inputs!D116-Inputs!C116</f>
        <v>-525</v>
      </c>
      <c r="E35" s="12">
        <f>Inputs!E116-Inputs!D116</f>
        <v>-827</v>
      </c>
      <c r="F35" s="12">
        <f>Inputs!F116-Inputs!E116</f>
        <v>-1139</v>
      </c>
      <c r="G35" s="14">
        <f>SUM(C35:F35)</f>
        <v>-2636</v>
      </c>
      <c r="H35" s="12">
        <f>Inputs!G116</f>
        <v>-1640</v>
      </c>
      <c r="I35" s="12">
        <f>Inputs!H116-Inputs!G116</f>
        <v>-1439</v>
      </c>
      <c r="J35" s="10"/>
      <c r="K35" s="1"/>
      <c r="L35" s="1"/>
      <c r="M35" s="1"/>
      <c r="N35" s="1"/>
      <c r="O35" s="1"/>
      <c r="P35" s="1"/>
    </row>
    <row r="36">
      <c r="A36" s="1"/>
      <c r="B36" s="7" t="s">
        <v>540</v>
      </c>
      <c r="C36" s="22">
        <f>C25+C26+C27+C28+C29+C30+C31+C32+C33+C34+C35</f>
        <v>-980</v>
      </c>
      <c r="D36" s="22">
        <f>D25+D26+D27+D28+D29+D30+D31+D32+D33+D34+D35</f>
        <v>-11708</v>
      </c>
      <c r="E36" s="22">
        <f>E25+E26+E27+E28+E29+E30+E31+E32+E33+E34+E35</f>
        <v>-820</v>
      </c>
      <c r="F36" s="22">
        <f>F25+F26+F27+F28+F29+F30+F31+F32+F33+F34+F35</f>
        <v>-2109</v>
      </c>
      <c r="G36" s="22">
        <f>G25+G26+G27+G28+G29+G30+G31+G32+G33+G34+G35</f>
        <v>-15617</v>
      </c>
      <c r="H36" s="22">
        <f>H25+H26+H27+H28+H29+H30+H31+H32+H33+H34+H35</f>
        <v>-10586</v>
      </c>
      <c r="I36" s="22">
        <f>I25+I26+I27+I28+I29+I30+I31+I32+I33+I34+I35</f>
        <v>-15060</v>
      </c>
      <c r="J36" s="23">
        <f>J25+J26+J27+J28+J29+J30+J31+J32+J33+J34+J35</f>
        <v>-5178.530000000028</v>
      </c>
      <c r="K36" s="1"/>
      <c r="L36" s="1"/>
      <c r="M36" s="1"/>
      <c r="N36" s="1"/>
      <c r="O36" s="1"/>
      <c r="P36" s="1"/>
    </row>
    <row r="37">
      <c r="A37" s="1"/>
      <c r="B37" s="1" t="s">
        <v>523</v>
      </c>
      <c r="C37" s="12">
        <f>C36-(Inputs!C117)</f>
        <v>0</v>
      </c>
      <c r="D37" s="12">
        <f>D36-(Inputs!D117-Inputs!C117)</f>
        <v>0</v>
      </c>
      <c r="E37" s="12">
        <f>E36-(Inputs!E117-Inputs!D117)</f>
        <v>0</v>
      </c>
      <c r="F37" s="12">
        <f>F36-(Inputs!F117-Inputs!E117)</f>
        <v>0</v>
      </c>
      <c r="G37" s="132">
        <f>G36-(Inputs!F117)</f>
        <v>0</v>
      </c>
      <c r="H37" s="12">
        <f>H36-(Inputs!G117)</f>
        <v>0</v>
      </c>
      <c r="I37" s="12">
        <f>I36-(Inputs!H117-Inputs!G117)</f>
        <v>0</v>
      </c>
      <c r="J37" s="10"/>
      <c r="K37" s="1"/>
      <c r="L37" s="1"/>
      <c r="M37" s="1"/>
      <c r="N37" s="1"/>
      <c r="O37" s="1"/>
      <c r="P37" s="1"/>
    </row>
    <row r="38">
      <c r="A38" s="1"/>
      <c r="B38" s="32" t="s">
        <v>541</v>
      </c>
      <c r="C38" s="11"/>
      <c r="D38" s="11"/>
      <c r="E38" s="11"/>
      <c r="F38" s="11"/>
      <c r="G38" s="11"/>
      <c r="H38" s="11"/>
      <c r="I38" s="11"/>
      <c r="J38" s="30"/>
      <c r="K38" s="1"/>
      <c r="L38" s="1"/>
      <c r="M38" s="1"/>
      <c r="N38" s="1"/>
      <c r="O38" s="1"/>
      <c r="P38" s="1"/>
    </row>
    <row r="39">
      <c r="A39" s="1"/>
      <c r="B39" s="1" t="s">
        <v>542</v>
      </c>
      <c r="C39" s="12">
        <f>Inputs!C118</f>
        <v>-272</v>
      </c>
      <c r="D39" s="12">
        <f>Inputs!D118-Inputs!C118</f>
        <v>885</v>
      </c>
      <c r="E39" s="12">
        <f>Inputs!E118-Inputs!D118</f>
        <v>-2048</v>
      </c>
      <c r="F39" s="12">
        <f>Inputs!F118-Inputs!E118</f>
        <v>540</v>
      </c>
      <c r="G39" s="14">
        <f>SUM(C39:F39)</f>
        <v>-895</v>
      </c>
      <c r="H39" s="12">
        <f>Inputs!G118</f>
        <v>-2345</v>
      </c>
      <c r="I39" s="12">
        <f>Inputs!H118-Inputs!G118</f>
        <v>63</v>
      </c>
      <c r="J39" s="35">
        <f>('Balance Sheet'!J31-'Balance Sheet'!I31)</f>
        <v>1644</v>
      </c>
      <c r="K39" s="1"/>
      <c r="L39" s="1"/>
      <c r="M39" s="1"/>
      <c r="N39" s="1"/>
      <c r="O39" s="1"/>
      <c r="P39" s="1"/>
    </row>
    <row r="40">
      <c r="A40" s="1"/>
      <c r="B40" s="1" t="s">
        <v>543</v>
      </c>
      <c r="C40" s="12">
        <f>Inputs!C119</f>
        <v>-3551</v>
      </c>
      <c r="D40" s="12">
        <f>Inputs!D119-Inputs!C119</f>
        <v>2897</v>
      </c>
      <c r="E40" s="12">
        <f>Inputs!E119-Inputs!D119</f>
        <v>8099</v>
      </c>
      <c r="F40" s="12">
        <f>Inputs!F119-Inputs!E119</f>
        <v>7576</v>
      </c>
      <c r="G40" s="14">
        <f>SUM(C40:F40)</f>
        <v>15021</v>
      </c>
      <c r="H40" s="12">
        <f>Inputs!G119</f>
        <v>-3947</v>
      </c>
      <c r="I40" s="12">
        <f>Inputs!H119-Inputs!G119</f>
        <v>-7915</v>
      </c>
      <c r="J40" s="35">
        <f>('Balance Sheet'!J32-'Balance Sheet'!I32)</f>
        <v>4564</v>
      </c>
      <c r="K40" s="1"/>
      <c r="L40" s="1"/>
      <c r="M40" s="1"/>
      <c r="N40" s="1"/>
      <c r="O40" s="1"/>
      <c r="P40" s="1"/>
    </row>
    <row r="41">
      <c r="A41" s="1"/>
      <c r="B41" s="1" t="s">
        <v>544</v>
      </c>
      <c r="C41" s="12">
        <f>Inputs!C120</f>
        <v>-3</v>
      </c>
      <c r="D41" s="12">
        <f>Inputs!D120-Inputs!C120</f>
        <v>-33</v>
      </c>
      <c r="E41" s="12">
        <f>Inputs!E120-Inputs!D120</f>
        <v>132</v>
      </c>
      <c r="F41" s="12">
        <f>Inputs!F120-Inputs!E120</f>
        <v>-19</v>
      </c>
      <c r="G41" s="14">
        <f>SUM(C41:F41)</f>
        <v>77</v>
      </c>
      <c r="H41" s="12">
        <f>Inputs!G120</f>
        <v>-28</v>
      </c>
      <c r="I41" s="12">
        <f>Inputs!H120-Inputs!G120</f>
        <v>-16</v>
      </c>
      <c r="J41" s="10"/>
      <c r="K41" s="1"/>
      <c r="L41" s="1"/>
      <c r="M41" s="1"/>
      <c r="N41" s="1"/>
      <c r="O41" s="1"/>
      <c r="P41" s="1"/>
    </row>
    <row r="42" ht="54">
      <c r="A42" s="1"/>
      <c r="B42" s="1" t="s">
        <v>545</v>
      </c>
      <c r="C42" s="12">
        <f>Inputs!C121</f>
        <v>0</v>
      </c>
      <c r="D42" s="12">
        <f>Inputs!D121-Inputs!C121</f>
        <v>0</v>
      </c>
      <c r="E42" s="12">
        <f>Inputs!E121-Inputs!D121</f>
        <v>0</v>
      </c>
      <c r="F42" s="12">
        <f>Inputs!F121-Inputs!E121</f>
        <v>0</v>
      </c>
      <c r="G42" s="14">
        <f>SUM(C42:F42)</f>
        <v>0</v>
      </c>
      <c r="H42" s="12">
        <f>Inputs!G121</f>
        <v>0</v>
      </c>
      <c r="I42" s="12">
        <f>Inputs!H121-Inputs!G121</f>
        <v>4000</v>
      </c>
      <c r="J42" s="10"/>
      <c r="K42" s="134" t="s">
        <v>546</v>
      </c>
      <c r="L42" s="1"/>
      <c r="M42" s="1"/>
      <c r="N42" s="1"/>
      <c r="O42" s="1"/>
      <c r="P42" s="1"/>
    </row>
    <row r="43">
      <c r="A43" s="1"/>
      <c r="B43" s="1" t="s">
        <v>547</v>
      </c>
      <c r="C43" s="12">
        <f>Inputs!C122</f>
        <v>419</v>
      </c>
      <c r="D43" s="12">
        <f>Inputs!D122-Inputs!C122</f>
        <v>-270</v>
      </c>
      <c r="E43" s="12">
        <f>Inputs!E122-Inputs!D122</f>
        <v>621</v>
      </c>
      <c r="F43" s="12">
        <f>Inputs!F122-Inputs!E122</f>
        <v>-1147</v>
      </c>
      <c r="G43" s="14">
        <f>SUM(C43:F43)</f>
        <v>-377</v>
      </c>
      <c r="H43" s="12">
        <f>Inputs!G122</f>
        <v>290</v>
      </c>
      <c r="I43" s="12">
        <f>Inputs!H122-Inputs!G122</f>
        <v>-92</v>
      </c>
      <c r="J43" s="35">
        <f>('Balance Sheet'!J39-'Balance Sheet'!I39)</f>
        <v>0</v>
      </c>
      <c r="K43" s="1"/>
      <c r="L43" s="1"/>
      <c r="M43" s="1"/>
      <c r="N43" s="1"/>
      <c r="O43" s="1"/>
      <c r="P43" s="1"/>
    </row>
    <row r="44">
      <c r="A44" s="1"/>
      <c r="B44" s="1" t="s">
        <v>548</v>
      </c>
      <c r="C44" s="12">
        <f>Inputs!C123</f>
        <v>0</v>
      </c>
      <c r="D44" s="12">
        <f>Inputs!D123-Inputs!C123</f>
        <v>3000</v>
      </c>
      <c r="E44" s="12">
        <f>Inputs!E123-Inputs!D123</f>
        <v>1100</v>
      </c>
      <c r="F44" s="12">
        <f>Inputs!F123-Inputs!E123</f>
        <v>0</v>
      </c>
      <c r="G44" s="14">
        <f>SUM(C44:F44)</f>
        <v>4100</v>
      </c>
      <c r="H44" s="12">
        <f>Inputs!G123</f>
        <v>10000</v>
      </c>
      <c r="I44" s="12">
        <f>Inputs!H123-Inputs!G123</f>
        <v>18000</v>
      </c>
      <c r="J44" s="35">
        <f>('Balance Sheet'!J36-'Balance Sheet'!I36)</f>
        <v>-2416</v>
      </c>
      <c r="K44" s="114" t="s">
        <v>549</v>
      </c>
      <c r="L44" s="1"/>
      <c r="M44" s="1"/>
      <c r="N44" s="1"/>
      <c r="O44" s="1"/>
      <c r="P44" s="1"/>
    </row>
    <row r="45">
      <c r="A45" s="1"/>
      <c r="B45" s="1" t="s">
        <v>550</v>
      </c>
      <c r="C45" s="12">
        <f>Inputs!C124</f>
        <v>2742</v>
      </c>
      <c r="D45" s="12">
        <f>Inputs!D124-Inputs!C124</f>
        <v>2495</v>
      </c>
      <c r="E45" s="12">
        <f>Inputs!E124-Inputs!D124</f>
        <v>2793</v>
      </c>
      <c r="F45" s="12">
        <f>Inputs!F124-Inputs!E124</f>
        <v>0</v>
      </c>
      <c r="G45" s="14">
        <f>SUM(C45:F45)</f>
        <v>8030</v>
      </c>
      <c r="H45" s="12">
        <f>Inputs!G124</f>
        <v>2564</v>
      </c>
      <c r="I45" s="12">
        <f>Inputs!H124-Inputs!G124</f>
        <v>1647</v>
      </c>
      <c r="J45" s="35">
        <f>('Balance Sheet'!J37-'Balance Sheet'!I37)</f>
        <v>0</v>
      </c>
      <c r="K45" s="114" t="s">
        <v>551</v>
      </c>
      <c r="L45" s="1"/>
      <c r="M45" s="1"/>
      <c r="N45" s="1"/>
      <c r="O45" s="1"/>
      <c r="P45" s="1"/>
    </row>
    <row r="46">
      <c r="A46" s="1"/>
      <c r="B46" s="1" t="s">
        <v>552</v>
      </c>
      <c r="C46" s="12">
        <f>Inputs!C125</f>
        <v>0</v>
      </c>
      <c r="D46" s="12">
        <f>Inputs!D125-Inputs!C125</f>
        <v>0</v>
      </c>
      <c r="E46" s="12">
        <f>Inputs!E125-Inputs!D125</f>
        <v>0</v>
      </c>
      <c r="F46" s="12">
        <f>Inputs!F125-Inputs!E125</f>
        <v>0</v>
      </c>
      <c r="G46" s="14">
        <f>SUM(C46:F46)</f>
        <v>0</v>
      </c>
      <c r="H46" s="12">
        <f>Inputs!G125</f>
        <v>1495</v>
      </c>
      <c r="I46" s="12">
        <f>Inputs!H125-Inputs!G125</f>
        <v>0</v>
      </c>
      <c r="J46" s="35">
        <f>('Balance Sheet'!J38-'Balance Sheet'!I38)</f>
        <v>0</v>
      </c>
      <c r="K46" s="114" t="s">
        <v>553</v>
      </c>
      <c r="L46" s="1"/>
      <c r="M46" s="1"/>
      <c r="N46" s="1"/>
      <c r="O46" s="1"/>
      <c r="P46" s="1"/>
    </row>
    <row r="47">
      <c r="A47" s="1"/>
      <c r="B47" s="1" t="s">
        <v>554</v>
      </c>
      <c r="C47" s="12">
        <f>Inputs!C126</f>
        <v>0</v>
      </c>
      <c r="D47" s="12">
        <f>Inputs!D126-Inputs!C126</f>
        <v>0</v>
      </c>
      <c r="E47" s="12">
        <f>Inputs!E126-Inputs!D126</f>
        <v>0</v>
      </c>
      <c r="F47" s="12">
        <f>Inputs!F126-Inputs!E126</f>
        <v>0</v>
      </c>
      <c r="G47" s="14">
        <f>SUM(C47:F47)</f>
        <v>0</v>
      </c>
      <c r="H47" s="12">
        <f>Inputs!G126</f>
        <v>0</v>
      </c>
      <c r="I47" s="12">
        <f>Inputs!H126-Inputs!G126</f>
        <v>0</v>
      </c>
      <c r="J47" s="10"/>
      <c r="K47" s="1"/>
      <c r="L47" s="1"/>
      <c r="M47" s="1"/>
      <c r="N47" s="1"/>
      <c r="O47" s="1"/>
      <c r="P47" s="1"/>
    </row>
    <row r="48">
      <c r="A48" s="1"/>
      <c r="B48" s="1" t="s">
        <v>555</v>
      </c>
      <c r="C48" s="12">
        <f>Inputs!C127</f>
        <v>0</v>
      </c>
      <c r="D48" s="12">
        <f>Inputs!D127-Inputs!C127</f>
        <v>0</v>
      </c>
      <c r="E48" s="12">
        <f>Inputs!E127-Inputs!D127</f>
        <v>0</v>
      </c>
      <c r="F48" s="12">
        <f>Inputs!F127-Inputs!E127</f>
        <v>0</v>
      </c>
      <c r="G48" s="14">
        <f>SUM(C48:F48)</f>
        <v>0</v>
      </c>
      <c r="H48" s="12">
        <f>Inputs!G127</f>
        <v>0</v>
      </c>
      <c r="I48" s="12">
        <f>Inputs!H127-Inputs!G127</f>
        <v>0</v>
      </c>
      <c r="J48" s="10"/>
      <c r="K48" s="1"/>
      <c r="L48" s="1"/>
      <c r="M48" s="1"/>
      <c r="N48" s="1"/>
      <c r="O48" s="1"/>
      <c r="P48" s="1"/>
    </row>
    <row r="49">
      <c r="A49" s="1"/>
      <c r="B49" s="1" t="s">
        <v>556</v>
      </c>
      <c r="C49" s="12">
        <f>Inputs!C128</f>
        <v>25</v>
      </c>
      <c r="D49" s="12">
        <f>Inputs!D128-Inputs!C128</f>
        <v>9</v>
      </c>
      <c r="E49" s="12">
        <f>Inputs!E128-Inputs!D128</f>
        <v>27</v>
      </c>
      <c r="F49" s="12">
        <f>Inputs!F128-Inputs!E128</f>
        <v>9</v>
      </c>
      <c r="G49" s="14">
        <f>SUM(C49:F49)</f>
        <v>70</v>
      </c>
      <c r="H49" s="12">
        <f>Inputs!G128</f>
        <v>26</v>
      </c>
      <c r="I49" s="12">
        <f>Inputs!H128-Inputs!G128</f>
        <v>8</v>
      </c>
      <c r="J49" s="10"/>
      <c r="K49" s="1"/>
      <c r="L49" s="1"/>
      <c r="M49" s="1"/>
      <c r="N49" s="1"/>
      <c r="O49" s="1"/>
      <c r="P49" s="1"/>
    </row>
    <row r="50">
      <c r="A50" s="1"/>
      <c r="B50" s="1" t="s">
        <v>557</v>
      </c>
      <c r="C50" s="12">
        <f>Inputs!C129</f>
        <v>-4000</v>
      </c>
      <c r="D50" s="12">
        <f>Inputs!D129-Inputs!C129</f>
        <v>-3000</v>
      </c>
      <c r="E50" s="12">
        <f>Inputs!E129-Inputs!D129</f>
        <v>-3000</v>
      </c>
      <c r="F50" s="12">
        <f>Inputs!F129-Inputs!E129</f>
        <v>-3100</v>
      </c>
      <c r="G50" s="14">
        <f>SUM(C50:F50)</f>
        <v>-13100</v>
      </c>
      <c r="H50" s="12">
        <f>Inputs!G129</f>
        <v>-3000</v>
      </c>
      <c r="I50" s="12">
        <f>Inputs!H129-Inputs!G129</f>
        <v>-3000</v>
      </c>
      <c r="J50" s="10"/>
      <c r="K50" s="1"/>
      <c r="L50" s="1"/>
      <c r="M50" s="1"/>
      <c r="N50" s="1"/>
      <c r="O50" s="1"/>
      <c r="P50" s="1"/>
    </row>
    <row r="51">
      <c r="A51" s="1"/>
      <c r="B51" s="1" t="s">
        <v>558</v>
      </c>
      <c r="C51" s="12">
        <f>Inputs!C130</f>
        <v>-750</v>
      </c>
      <c r="D51" s="12">
        <f>Inputs!D130-Inputs!C130</f>
        <v>-2000</v>
      </c>
      <c r="E51" s="12">
        <f>Inputs!E130-Inputs!D130</f>
        <v>0</v>
      </c>
      <c r="F51" s="12">
        <f>Inputs!F130-Inputs!E130</f>
        <v>0</v>
      </c>
      <c r="G51" s="14">
        <f>SUM(C51:F51)</f>
        <v>-2750</v>
      </c>
      <c r="H51" s="12">
        <f>Inputs!G130</f>
        <v>-3000</v>
      </c>
      <c r="I51" s="12">
        <f>Inputs!H130-Inputs!G130</f>
        <v>-1250</v>
      </c>
      <c r="J51" s="10"/>
      <c r="K51" s="1"/>
      <c r="L51" s="1"/>
      <c r="M51" s="1"/>
      <c r="N51" s="1"/>
      <c r="O51" s="1"/>
      <c r="P51" s="1"/>
    </row>
    <row r="52">
      <c r="A52" s="1"/>
      <c r="B52" s="1" t="s">
        <v>559</v>
      </c>
      <c r="C52" s="12">
        <f>Inputs!C131</f>
        <v>0</v>
      </c>
      <c r="D52" s="12">
        <f>Inputs!D131-Inputs!C131</f>
        <v>-700</v>
      </c>
      <c r="E52" s="12">
        <f>Inputs!E131-Inputs!D131</f>
        <v>0</v>
      </c>
      <c r="F52" s="12">
        <f>Inputs!F131-Inputs!E131</f>
        <v>-500</v>
      </c>
      <c r="G52" s="14">
        <f>SUM(C52:F52)</f>
        <v>-1200</v>
      </c>
      <c r="H52" s="12">
        <f>Inputs!G131</f>
        <v>0</v>
      </c>
      <c r="I52" s="12">
        <f>Inputs!H131-Inputs!G131</f>
        <v>-71</v>
      </c>
      <c r="J52" s="10"/>
      <c r="K52" s="1"/>
      <c r="L52" s="1"/>
      <c r="M52" s="1"/>
      <c r="N52" s="1"/>
      <c r="O52" s="1"/>
      <c r="P52" s="1"/>
    </row>
    <row r="53">
      <c r="A53" s="1"/>
      <c r="B53" s="1" t="s">
        <v>560</v>
      </c>
      <c r="C53" s="12">
        <f>Inputs!C132</f>
        <v>0</v>
      </c>
      <c r="D53" s="12">
        <f>Inputs!D132-Inputs!C132</f>
        <v>0</v>
      </c>
      <c r="E53" s="12">
        <f>Inputs!E132-Inputs!D132</f>
        <v>0</v>
      </c>
      <c r="F53" s="12">
        <f>Inputs!F132-Inputs!E132</f>
        <v>0</v>
      </c>
      <c r="G53" s="14">
        <f>SUM(C53:F53)</f>
        <v>0</v>
      </c>
      <c r="H53" s="12">
        <f>Inputs!G132</f>
        <v>0</v>
      </c>
      <c r="I53" s="12">
        <f>Inputs!H132-Inputs!G132</f>
        <v>0</v>
      </c>
      <c r="J53" s="10"/>
      <c r="K53" s="1"/>
      <c r="L53" s="1"/>
      <c r="M53" s="1"/>
      <c r="N53" s="1"/>
      <c r="O53" s="1"/>
      <c r="P53" s="1"/>
    </row>
    <row r="54">
      <c r="A54" s="1"/>
      <c r="B54" s="1" t="s">
        <v>561</v>
      </c>
      <c r="C54" s="12">
        <f>Inputs!C133</f>
        <v>0</v>
      </c>
      <c r="D54" s="12">
        <f>Inputs!D133-Inputs!C133</f>
        <v>0</v>
      </c>
      <c r="E54" s="12">
        <f>Inputs!E133-Inputs!D133</f>
        <v>0</v>
      </c>
      <c r="F54" s="12">
        <f>Inputs!F133-Inputs!E133</f>
        <v>0</v>
      </c>
      <c r="G54" s="14">
        <f>SUM(C54:F54)</f>
        <v>0</v>
      </c>
      <c r="H54" s="12">
        <f>Inputs!G133</f>
        <v>0</v>
      </c>
      <c r="I54" s="12">
        <f>Inputs!H133-Inputs!G133</f>
        <v>0</v>
      </c>
      <c r="J54" s="10"/>
      <c r="K54" s="1"/>
      <c r="L54" s="1"/>
      <c r="M54" s="1"/>
      <c r="N54" s="1"/>
      <c r="O54" s="1"/>
      <c r="P54" s="1"/>
    </row>
    <row r="55">
      <c r="A55" s="1"/>
      <c r="B55" s="1" t="s">
        <v>562</v>
      </c>
      <c r="C55" s="12">
        <f>Inputs!C134</f>
        <v>-262</v>
      </c>
      <c r="D55" s="12">
        <f>Inputs!D134-Inputs!C134</f>
        <v>-336</v>
      </c>
      <c r="E55" s="12">
        <f>Inputs!E134-Inputs!D134</f>
        <v>-334</v>
      </c>
      <c r="F55" s="12">
        <f>Inputs!F134-Inputs!E134</f>
        <v>-406</v>
      </c>
      <c r="G55" s="14">
        <f>SUM(C55:F55)</f>
        <v>-1338</v>
      </c>
      <c r="H55" s="12">
        <f>Inputs!G134</f>
        <v>-796</v>
      </c>
      <c r="I55" s="12">
        <f>Inputs!H134-Inputs!G134</f>
        <v>-622</v>
      </c>
      <c r="J55" s="35">
        <f>-'Share Count'!J22</f>
        <v>-610</v>
      </c>
      <c r="K55" s="1"/>
      <c r="L55" s="1"/>
      <c r="M55" s="1"/>
      <c r="N55" s="1"/>
      <c r="O55" s="1"/>
      <c r="P55" s="1"/>
    </row>
    <row r="56">
      <c r="A56" s="1"/>
      <c r="B56" s="1" t="s">
        <v>563</v>
      </c>
      <c r="C56" s="12">
        <f>Inputs!C135</f>
        <v>-71</v>
      </c>
      <c r="D56" s="12">
        <f>Inputs!D135-Inputs!C135</f>
        <v>-83</v>
      </c>
      <c r="E56" s="12">
        <f>Inputs!E135-Inputs!D135</f>
        <v>-71</v>
      </c>
      <c r="F56" s="12">
        <f>Inputs!F135-Inputs!E135</f>
        <v>-83</v>
      </c>
      <c r="G56" s="14">
        <f>SUM(C56:F56)</f>
        <v>-308</v>
      </c>
      <c r="H56" s="12">
        <f>Inputs!G135</f>
        <v>-73</v>
      </c>
      <c r="I56" s="12">
        <f>Inputs!H135-Inputs!G135</f>
        <v>-85</v>
      </c>
      <c r="J56" s="35">
        <f>-'Income Statement'!J55</f>
        <v>-73</v>
      </c>
      <c r="K56" s="1"/>
      <c r="L56" s="1"/>
      <c r="M56" s="1"/>
      <c r="N56" s="1"/>
      <c r="O56" s="1"/>
      <c r="P56" s="1"/>
    </row>
    <row r="57">
      <c r="A57" s="1"/>
      <c r="B57" s="1" t="s">
        <v>564</v>
      </c>
      <c r="C57" s="12">
        <f>Inputs!C136</f>
        <v>-639</v>
      </c>
      <c r="D57" s="12">
        <f>Inputs!D136-Inputs!C136</f>
        <v>-642</v>
      </c>
      <c r="E57" s="12">
        <f>Inputs!E136-Inputs!D136</f>
        <v>-678</v>
      </c>
      <c r="F57" s="12">
        <f>Inputs!F136-Inputs!E136</f>
        <v>-676</v>
      </c>
      <c r="G57" s="14">
        <f>SUM(C57:F57)</f>
        <v>-2635</v>
      </c>
      <c r="H57" s="12">
        <f>Inputs!G136</f>
        <v>-696</v>
      </c>
      <c r="I57" s="12">
        <f>Inputs!H136-Inputs!G136</f>
        <v>-691</v>
      </c>
      <c r="J57" s="35">
        <f>-'Share Count'!J44</f>
        <v>-798.93145</v>
      </c>
      <c r="K57" s="1"/>
      <c r="L57" s="1"/>
      <c r="M57" s="1"/>
      <c r="N57" s="1"/>
      <c r="O57" s="1"/>
      <c r="P57" s="1"/>
    </row>
    <row r="58" ht="41.25">
      <c r="A58" s="1"/>
      <c r="B58" s="1" t="s">
        <v>565</v>
      </c>
      <c r="C58" s="12">
        <f>Inputs!C137</f>
        <v>0</v>
      </c>
      <c r="D58" s="12">
        <f>Inputs!D137-Inputs!C137</f>
        <v>0</v>
      </c>
      <c r="E58" s="12">
        <f>Inputs!E137-Inputs!D137</f>
        <v>0</v>
      </c>
      <c r="F58" s="12">
        <f>Inputs!F137-Inputs!E137</f>
        <v>0</v>
      </c>
      <c r="G58" s="14">
        <f>SUM(C58:F58)</f>
        <v>0</v>
      </c>
      <c r="H58" s="12">
        <f>Inputs!G137</f>
        <v>154</v>
      </c>
      <c r="I58" s="12">
        <f>Inputs!H137-Inputs!G137</f>
        <v>-17</v>
      </c>
      <c r="J58" s="35">
        <f>-'Income Statement'!J54</f>
        <v>-14</v>
      </c>
      <c r="K58" s="134" t="s">
        <v>566</v>
      </c>
      <c r="L58" s="1"/>
      <c r="M58" s="1"/>
      <c r="N58" s="1"/>
      <c r="O58" s="1"/>
      <c r="P58" s="1"/>
    </row>
    <row r="59">
      <c r="A59" s="1"/>
      <c r="B59" s="7" t="s">
        <v>567</v>
      </c>
      <c r="C59" s="22">
        <f>C39+C40+C41+C42+C43+C44+C45+C46+C47+C48+C49+C50+C51+C52+C53+C54+C55+C56+C57+C58</f>
        <v>-6362</v>
      </c>
      <c r="D59" s="22">
        <f>D39+D40+D41+D42+D43+D44+D45+D46+D47+D48+D49+D50+D51+D52+D53+D54+D55+D56+D57+D58</f>
        <v>2222</v>
      </c>
      <c r="E59" s="22">
        <f>E39+E40+E41+E42+E43+E44+E45+E46+E47+E48+E49+E50+E51+E52+E53+E54+E55+E56+E57+E58</f>
        <v>6641</v>
      </c>
      <c r="F59" s="22">
        <f>F39+F40+F41+F42+F43+F44+F45+F46+F47+F48+F49+F50+F51+F52+F53+F54+F55+F56+F57+F58</f>
        <v>2194</v>
      </c>
      <c r="G59" s="22">
        <f>G39+G40+G41+G42+G43+G44+G45+G46+G47+G48+G49+G50+G51+G52+G53+G54+G55+G56+G57+G58</f>
        <v>4695</v>
      </c>
      <c r="H59" s="22">
        <f>H39+H40+H41+H42+H43+H44+H45+H46+H47+H48+H49+H50+H51+H52+H53+H54+H55+H56+H57+H58</f>
        <v>644</v>
      </c>
      <c r="I59" s="22">
        <f>I39+I40+I41+I42+I43+I44+I45+I46+I47+I48+I49+I50+I51+I52+I53+I54+I55+I56+I57+I58</f>
        <v>9959</v>
      </c>
      <c r="J59" s="23">
        <f>J39+J40+J41+J42+J43+J44+J45+J46+J47+J48+J49+J50+J51+J52+J53+J54+J55+J56+J57+J58</f>
        <v>2296.06855</v>
      </c>
      <c r="K59" s="1"/>
      <c r="L59" s="1"/>
      <c r="M59" s="1"/>
      <c r="N59" s="1"/>
      <c r="O59" s="1"/>
      <c r="P59" s="1"/>
    </row>
    <row r="60">
      <c r="A60" s="1"/>
      <c r="B60" s="1" t="s">
        <v>523</v>
      </c>
      <c r="C60" s="12">
        <f>C59-(Inputs!C138)</f>
        <v>0</v>
      </c>
      <c r="D60" s="12">
        <f>D59-(Inputs!D138-Inputs!C138)</f>
        <v>0</v>
      </c>
      <c r="E60" s="12">
        <f>E59-(Inputs!E138-Inputs!D138)</f>
        <v>0</v>
      </c>
      <c r="F60" s="12">
        <f>F59-(Inputs!F138-Inputs!E138)</f>
        <v>0</v>
      </c>
      <c r="G60" s="132">
        <f>G59-(Inputs!F138)</f>
        <v>0</v>
      </c>
      <c r="H60" s="12">
        <f>H59-(Inputs!G138)</f>
        <v>0</v>
      </c>
      <c r="I60" s="12">
        <f>I59-(Inputs!H138-Inputs!G138)</f>
        <v>0</v>
      </c>
      <c r="J60" s="10"/>
      <c r="K60" s="1"/>
      <c r="L60" s="1"/>
      <c r="M60" s="1"/>
      <c r="N60" s="1"/>
      <c r="O60" s="1"/>
      <c r="P60" s="1"/>
    </row>
    <row r="61">
      <c r="A61" s="1"/>
      <c r="B61" s="1"/>
      <c r="C61" s="11"/>
      <c r="D61" s="11"/>
      <c r="E61" s="11"/>
      <c r="F61" s="11"/>
      <c r="G61" s="11"/>
      <c r="H61" s="11"/>
      <c r="I61" s="11"/>
      <c r="J61" s="30"/>
      <c r="K61" s="1"/>
      <c r="L61" s="1"/>
      <c r="M61" s="1"/>
      <c r="N61" s="1"/>
      <c r="O61" s="1"/>
      <c r="P61" s="1"/>
    </row>
    <row r="62">
      <c r="A62" s="1"/>
      <c r="B62" s="7" t="s">
        <v>568</v>
      </c>
      <c r="C62" s="22">
        <f>C22+C36+C59</f>
        <v>-7851</v>
      </c>
      <c r="D62" s="22">
        <f>D22+D36+D59</f>
        <v>-8006</v>
      </c>
      <c r="E62" s="22">
        <f>E22+E36+E59</f>
        <v>8477</v>
      </c>
      <c r="F62" s="22">
        <f>F22+F36+F59</f>
        <v>842</v>
      </c>
      <c r="G62" s="22">
        <f>G22+G36+G59</f>
        <v>-6538</v>
      </c>
      <c r="H62" s="22">
        <f>H22+H36+H59</f>
        <v>-8014</v>
      </c>
      <c r="I62" s="22">
        <f>I22+I36+I59</f>
        <v>-2954</v>
      </c>
      <c r="J62" s="23">
        <f>J22+J36+J59</f>
        <v>-612.4770231261668</v>
      </c>
      <c r="K62" s="1"/>
      <c r="L62" s="1"/>
      <c r="M62" s="1"/>
      <c r="N62" s="1"/>
      <c r="O62" s="1"/>
      <c r="P62" s="1"/>
    </row>
    <row r="63">
      <c r="A63" s="1"/>
      <c r="B63" s="1" t="s">
        <v>569</v>
      </c>
      <c r="C63" s="12">
        <f>Inputs!C139</f>
        <v>46251</v>
      </c>
      <c r="D63" s="14">
        <f>C64</f>
        <v>38400</v>
      </c>
      <c r="E63" s="14">
        <f>D64</f>
        <v>30394</v>
      </c>
      <c r="F63" s="14">
        <f>E64</f>
        <v>38871</v>
      </c>
      <c r="G63" s="14">
        <f>C63</f>
        <v>46251</v>
      </c>
      <c r="H63" s="14">
        <f>F64</f>
        <v>39713</v>
      </c>
      <c r="I63" s="14">
        <f>H64</f>
        <v>31699</v>
      </c>
      <c r="J63" s="10">
        <f>I64</f>
        <v>28745</v>
      </c>
      <c r="K63" s="1"/>
      <c r="L63" s="1"/>
      <c r="M63" s="1"/>
      <c r="N63" s="1"/>
      <c r="O63" s="1"/>
      <c r="P63" s="1"/>
    </row>
    <row r="64">
      <c r="A64" s="1"/>
      <c r="B64" s="7" t="s">
        <v>570</v>
      </c>
      <c r="C64" s="22">
        <f>C63+C62</f>
        <v>38400</v>
      </c>
      <c r="D64" s="22">
        <f>D63+D62</f>
        <v>30394</v>
      </c>
      <c r="E64" s="22">
        <f>E63+E62</f>
        <v>38871</v>
      </c>
      <c r="F64" s="22">
        <f>F63+F62</f>
        <v>39713</v>
      </c>
      <c r="G64" s="22">
        <f>G63+G62</f>
        <v>39713</v>
      </c>
      <c r="H64" s="22">
        <f>H63+H62</f>
        <v>31699</v>
      </c>
      <c r="I64" s="22">
        <f>I63+I62</f>
        <v>28745</v>
      </c>
      <c r="J64" s="23">
        <f>J63+J62</f>
        <v>28132.52297687383</v>
      </c>
      <c r="K64" s="1"/>
      <c r="L64" s="1"/>
      <c r="M64" s="1"/>
      <c r="N64" s="1"/>
      <c r="O64" s="1"/>
      <c r="P64" s="1"/>
    </row>
    <row r="65">
      <c r="A65" s="1"/>
      <c r="B65" s="1" t="s">
        <v>571</v>
      </c>
      <c r="C65" s="12">
        <f>'Balance Sheet'!C60</f>
        <v>38400</v>
      </c>
      <c r="D65" s="12">
        <f>'Balance Sheet'!D60</f>
        <v>30394</v>
      </c>
      <c r="E65" s="12">
        <f>'Balance Sheet'!E60</f>
        <v>38871</v>
      </c>
      <c r="F65" s="12">
        <f>'Balance Sheet'!F60</f>
        <v>39713</v>
      </c>
      <c r="G65" s="12">
        <f>'Balance Sheet'!G60</f>
        <v>39713</v>
      </c>
      <c r="H65" s="12">
        <f>'Balance Sheet'!H60</f>
        <v>31699</v>
      </c>
      <c r="I65" s="12">
        <f>'Balance Sheet'!I60</f>
        <v>28745</v>
      </c>
      <c r="J65" s="35">
        <f>'Balance Sheet'!J60</f>
        <v>28132.52297687379</v>
      </c>
      <c r="K65" s="1"/>
      <c r="L65" s="1"/>
      <c r="M65" s="1"/>
      <c r="N65" s="1"/>
      <c r="O65" s="1"/>
      <c r="P65" s="1"/>
    </row>
    <row r="66" ht="41.25">
      <c r="A66" s="1"/>
      <c r="B66" s="7" t="s">
        <v>572</v>
      </c>
      <c r="C66" s="24">
        <f>C64-C65</f>
        <v>0</v>
      </c>
      <c r="D66" s="24">
        <f>D64-D65</f>
        <v>0</v>
      </c>
      <c r="E66" s="24">
        <f>E64-E65</f>
        <v>0</v>
      </c>
      <c r="F66" s="24">
        <f>F64-F65</f>
        <v>0</v>
      </c>
      <c r="G66" s="24">
        <f>G64-G65</f>
        <v>0</v>
      </c>
      <c r="H66" s="24">
        <f>H64-H65</f>
        <v>0</v>
      </c>
      <c r="I66" s="24">
        <f>I64-I65</f>
        <v>0</v>
      </c>
      <c r="J66" s="51">
        <f>J64-J65</f>
        <v>0</v>
      </c>
      <c r="K66" s="134" t="s">
        <v>573</v>
      </c>
      <c r="L66" s="1"/>
      <c r="M66" s="1"/>
      <c r="N66" s="1"/>
      <c r="O66" s="1"/>
      <c r="P66" s="1"/>
    </row>
    <row r="67" ht="28.5">
      <c r="A67" s="1"/>
      <c r="B67" s="1" t="s">
        <v>574</v>
      </c>
      <c r="C67" s="14"/>
      <c r="D67" s="14">
        <f>(D65-C65)-D62</f>
        <v>0</v>
      </c>
      <c r="E67" s="14">
        <f>(E65-D65)-E62</f>
        <v>0</v>
      </c>
      <c r="F67" s="14">
        <f>(F65-E65)-F62</f>
        <v>0</v>
      </c>
      <c r="G67" s="14"/>
      <c r="H67" s="14">
        <f>(H65-F65)-H62</f>
        <v>0</v>
      </c>
      <c r="I67" s="14">
        <f>(I65-H65)-I62</f>
        <v>0</v>
      </c>
      <c r="J67" s="10">
        <f>(J65-I65)-J62</f>
        <v>0</v>
      </c>
      <c r="K67" s="134" t="s">
        <v>575</v>
      </c>
      <c r="L67" s="1"/>
      <c r="M67" s="1"/>
      <c r="N67" s="1"/>
      <c r="O67" s="1"/>
      <c r="P67" s="1"/>
    </row>
    <row r="68">
      <c r="A68" s="1"/>
      <c r="B68" s="32" t="s">
        <v>503</v>
      </c>
      <c r="C68" s="11"/>
      <c r="D68" s="11"/>
      <c r="E68" s="11"/>
      <c r="F68" s="11"/>
      <c r="G68" s="11"/>
      <c r="H68" s="11"/>
      <c r="I68" s="11"/>
      <c r="J68" s="30"/>
      <c r="K68" s="1"/>
      <c r="L68" s="1"/>
      <c r="M68" s="1"/>
      <c r="N68" s="1"/>
      <c r="O68" s="1"/>
      <c r="P68" s="1"/>
    </row>
    <row r="69" ht="28.5">
      <c r="A69" s="1"/>
      <c r="B69" s="1" t="s">
        <v>576</v>
      </c>
      <c r="C69" s="18" t="s">
        <v>129</v>
      </c>
      <c r="D69" s="18" t="s">
        <v>129</v>
      </c>
      <c r="E69" s="18" t="s">
        <v>129</v>
      </c>
      <c r="F69" s="18" t="s">
        <v>129</v>
      </c>
      <c r="G69" s="18" t="s">
        <v>129</v>
      </c>
      <c r="H69" s="18" t="s">
        <v>129</v>
      </c>
      <c r="I69" s="18" t="s">
        <v>129</v>
      </c>
      <c r="J69" s="27" t="s">
        <v>129</v>
      </c>
      <c r="K69" s="134" t="s">
        <v>577</v>
      </c>
      <c r="L69" s="1"/>
      <c r="M69" s="1"/>
      <c r="N69" s="1"/>
      <c r="O69" s="1"/>
      <c r="P69" s="1"/>
    </row>
    <row r="70" ht="15.75">
      <c r="A70" s="1"/>
      <c r="B70" s="1" t="s">
        <v>578</v>
      </c>
      <c r="C70" s="18" t="s">
        <v>40</v>
      </c>
      <c r="D70" s="18" t="s">
        <v>40</v>
      </c>
      <c r="E70" s="18" t="s">
        <v>40</v>
      </c>
      <c r="F70" s="18" t="s">
        <v>40</v>
      </c>
      <c r="G70" s="18" t="s">
        <v>40</v>
      </c>
      <c r="H70" s="18" t="s">
        <v>40</v>
      </c>
      <c r="I70" s="18" t="s">
        <v>40</v>
      </c>
      <c r="J70" s="27" t="s">
        <v>40</v>
      </c>
      <c r="K70" s="134" t="s">
        <v>579</v>
      </c>
      <c r="L70" s="1"/>
      <c r="M70" s="1"/>
      <c r="N70" s="1"/>
      <c r="O70" s="1"/>
      <c r="P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P4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580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581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19" t="s">
        <v>134</v>
      </c>
      <c r="D5" s="19" t="s">
        <v>135</v>
      </c>
      <c r="E5" s="19" t="s">
        <v>136</v>
      </c>
      <c r="F5" s="19" t="s">
        <v>137</v>
      </c>
      <c r="G5" s="19" t="s">
        <v>138</v>
      </c>
      <c r="H5" s="19" t="s">
        <v>139</v>
      </c>
      <c r="I5" s="19" t="s">
        <v>140</v>
      </c>
      <c r="J5" s="5" t="s">
        <v>4</v>
      </c>
      <c r="K5" s="115" t="s">
        <v>5</v>
      </c>
      <c r="L5" s="1"/>
      <c r="M5" s="1"/>
      <c r="N5" s="1"/>
      <c r="O5" s="1"/>
      <c r="P5" s="1"/>
    </row>
    <row r="6">
      <c r="A6" s="1"/>
      <c r="B6" s="16" t="s">
        <v>6</v>
      </c>
      <c r="C6" s="13">
        <v>45747</v>
      </c>
      <c r="D6" s="13">
        <v>45838</v>
      </c>
      <c r="E6" s="13">
        <v>45930</v>
      </c>
      <c r="F6" s="13">
        <v>46022</v>
      </c>
      <c r="G6" s="13">
        <v>46022</v>
      </c>
      <c r="H6" s="13">
        <v>46112</v>
      </c>
      <c r="I6" s="13">
        <v>46203</v>
      </c>
      <c r="J6" s="15">
        <v>46295</v>
      </c>
      <c r="K6" s="1"/>
      <c r="L6" s="1"/>
      <c r="M6" s="1"/>
      <c r="N6" s="1"/>
      <c r="O6" s="1"/>
      <c r="P6" s="1"/>
    </row>
    <row r="7">
      <c r="A7" s="1"/>
      <c r="B7" s="8" t="s">
        <v>7</v>
      </c>
      <c r="C7" s="25">
        <f>C6-EOMONTH(C6,-3)</f>
        <v>90</v>
      </c>
      <c r="D7" s="25">
        <f>D6-EOMONTH(D6,-3)</f>
        <v>91</v>
      </c>
      <c r="E7" s="25">
        <f>E6-EOMONTH(E6,-3)</f>
        <v>92</v>
      </c>
      <c r="F7" s="25">
        <f>F6-EOMONTH(F6,-3)</f>
        <v>92</v>
      </c>
      <c r="G7" s="25">
        <f>G6-DATE(YEAR(G6)-1,12,31)</f>
        <v>365</v>
      </c>
      <c r="H7" s="25">
        <f>H6-EOMONTH(H6,-3)</f>
        <v>90</v>
      </c>
      <c r="I7" s="25">
        <f>I6-EOMONTH(I6,-3)</f>
        <v>91</v>
      </c>
      <c r="J7" s="4">
        <f>J6-EOMONTH(J6,-3)</f>
        <v>92</v>
      </c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582</v>
      </c>
      <c r="C9" s="11"/>
      <c r="D9" s="11"/>
      <c r="E9" s="11"/>
      <c r="F9" s="11"/>
      <c r="G9" s="11"/>
      <c r="H9" s="11"/>
      <c r="I9" s="11"/>
      <c r="J9" s="30"/>
      <c r="K9" s="1"/>
      <c r="L9" s="1"/>
      <c r="M9" s="1"/>
      <c r="N9" s="1"/>
      <c r="O9" s="1"/>
      <c r="P9" s="1"/>
    </row>
    <row r="10">
      <c r="A10" s="1"/>
      <c r="B10" s="1" t="s">
        <v>583</v>
      </c>
      <c r="C10" s="18">
        <v>543.310646</v>
      </c>
      <c r="D10" s="18">
        <v>543.412101</v>
      </c>
      <c r="E10" s="18">
        <v>543.412079</v>
      </c>
      <c r="F10" s="18">
        <v>543.497966</v>
      </c>
      <c r="G10" s="14">
        <f>F10</f>
        <v>543.497966</v>
      </c>
      <c r="H10" s="18">
        <v>557.213012</v>
      </c>
      <c r="I10" s="18">
        <v>557.291838</v>
      </c>
      <c r="J10" s="10">
        <f>I10+J15</f>
        <v>557.3418379999999</v>
      </c>
      <c r="K10" s="1"/>
      <c r="L10" s="1"/>
      <c r="M10" s="1"/>
      <c r="N10" s="1"/>
      <c r="O10" s="1"/>
      <c r="P10" s="1"/>
    </row>
    <row r="11">
      <c r="A11" s="1"/>
      <c r="B11" s="1" t="s">
        <v>584</v>
      </c>
      <c r="C11" s="18">
        <v>147.519772</v>
      </c>
      <c r="D11" s="18">
        <v>149.426326</v>
      </c>
      <c r="E11" s="18">
        <v>151.030533</v>
      </c>
      <c r="F11" s="18">
        <v>153.084091</v>
      </c>
      <c r="G11" s="14">
        <f>F11</f>
        <v>153.084091</v>
      </c>
      <c r="H11" s="18">
        <v>155.167491</v>
      </c>
      <c r="I11" s="18">
        <v>157.826113</v>
      </c>
      <c r="J11" s="10">
        <f>I11+J18</f>
        <v>160.31590891836734</v>
      </c>
      <c r="K11" s="1"/>
      <c r="L11" s="1"/>
      <c r="M11" s="1"/>
      <c r="N11" s="1"/>
      <c r="O11" s="1"/>
      <c r="P11" s="1"/>
    </row>
    <row r="12">
      <c r="A12" s="1"/>
      <c r="B12" s="7" t="s">
        <v>585</v>
      </c>
      <c r="C12" s="22">
        <f>C10-C11</f>
        <v>395.79087400000003</v>
      </c>
      <c r="D12" s="22">
        <f>D10-D11</f>
        <v>393.985775</v>
      </c>
      <c r="E12" s="22">
        <f>E10-E11</f>
        <v>392.38154599999996</v>
      </c>
      <c r="F12" s="22">
        <f>F10-F11</f>
        <v>390.413875</v>
      </c>
      <c r="G12" s="22">
        <f>G10-G11</f>
        <v>390.413875</v>
      </c>
      <c r="H12" s="22">
        <f>H10-H11</f>
        <v>402.045521</v>
      </c>
      <c r="I12" s="22">
        <f>I10-I11</f>
        <v>399.465725</v>
      </c>
      <c r="J12" s="23">
        <f>J10-J11</f>
        <v>397.0259290816326</v>
      </c>
      <c r="K12" s="1"/>
      <c r="L12" s="1"/>
      <c r="M12" s="1"/>
      <c r="N12" s="1"/>
      <c r="O12" s="1"/>
      <c r="P12" s="1"/>
    </row>
    <row r="13">
      <c r="A13" s="1"/>
      <c r="B13" s="32" t="s">
        <v>586</v>
      </c>
      <c r="C13" s="11"/>
      <c r="D13" s="11"/>
      <c r="E13" s="11"/>
      <c r="F13" s="11"/>
      <c r="G13" s="11"/>
      <c r="H13" s="11"/>
      <c r="I13" s="11"/>
      <c r="J13" s="30"/>
      <c r="K13" s="1"/>
      <c r="L13" s="1"/>
      <c r="M13" s="1"/>
      <c r="N13" s="1"/>
      <c r="O13" s="1"/>
      <c r="P13" s="1"/>
    </row>
    <row r="14">
      <c r="A14" s="1"/>
      <c r="B14" s="1" t="s">
        <v>587</v>
      </c>
      <c r="C14" s="14"/>
      <c r="D14" s="14">
        <f>C12</f>
        <v>395.79087400000003</v>
      </c>
      <c r="E14" s="14">
        <f>D12</f>
        <v>393.985775</v>
      </c>
      <c r="F14" s="14">
        <f>E12</f>
        <v>392.38154599999996</v>
      </c>
      <c r="G14" s="14"/>
      <c r="H14" s="14">
        <f>F12</f>
        <v>390.413875</v>
      </c>
      <c r="I14" s="14">
        <f>H12</f>
        <v>402.045521</v>
      </c>
      <c r="J14" s="10">
        <f>I12</f>
        <v>399.465725</v>
      </c>
      <c r="K14" s="1"/>
      <c r="L14" s="1"/>
      <c r="M14" s="1"/>
      <c r="N14" s="1"/>
      <c r="O14" s="1"/>
      <c r="P14" s="1"/>
    </row>
    <row r="15" ht="28.5">
      <c r="A15" s="1"/>
      <c r="B15" s="1" t="s">
        <v>588</v>
      </c>
      <c r="C15" s="14"/>
      <c r="D15" s="14">
        <f>D10-C10</f>
        <v>0.1014549999999872</v>
      </c>
      <c r="E15" s="14">
        <f>E10-D10</f>
        <v>-0.000022000000058142177</v>
      </c>
      <c r="F15" s="14">
        <f>F10-E10</f>
        <v>0.08588700000007066</v>
      </c>
      <c r="G15" s="14"/>
      <c r="H15" s="14">
        <f>H10-F10</f>
        <v>13.71504600000003</v>
      </c>
      <c r="I15" s="14">
        <f>I10-H10</f>
        <v>0.07882599999993545</v>
      </c>
      <c r="J15" s="27">
        <v>0.05</v>
      </c>
      <c r="K15" s="134" t="s">
        <v>589</v>
      </c>
      <c r="L15" s="1"/>
      <c r="M15" s="1"/>
      <c r="N15" s="1"/>
      <c r="O15" s="1"/>
      <c r="P15" s="1"/>
    </row>
    <row r="16">
      <c r="A16" s="1"/>
      <c r="B16" s="6" t="s">
        <v>143</v>
      </c>
      <c r="C16" s="21"/>
      <c r="D16" s="21"/>
      <c r="E16" s="21"/>
      <c r="F16" s="21"/>
      <c r="G16" s="21"/>
      <c r="H16" s="21" t="str">
        <f>IF(AND(ISNUMBER(H15),ISNUMBER(C15)),IF(C15&lt;=0,"n.m.",IFERROR(H15/C15-1,"n.a.")),"n.a.")</f>
        <v>n.a.</v>
      </c>
      <c r="I16" s="21">
        <f>IF(AND(ISNUMBER(I15),ISNUMBER(D15)),IF(D15&lt;=0,"n.m.",IFERROR(I15/D15-1,"n.a.")),"n.a.")</f>
        <v>-0.22304469962105966</v>
      </c>
      <c r="J16" s="29" t="str">
        <f>IF(AND(ISNUMBER(J15),ISNUMBER(E15)),IF(E15&lt;=0,"n.m.",IFERROR(J15/E15-1,"n.a.")),"n.a.")</f>
        <v>n.m.</v>
      </c>
      <c r="K16" s="1"/>
      <c r="L16" s="1"/>
      <c r="M16" s="1"/>
      <c r="N16" s="1"/>
      <c r="O16" s="1"/>
      <c r="P16" s="1"/>
    </row>
    <row r="17">
      <c r="A17" s="1"/>
      <c r="B17" s="1" t="s">
        <v>162</v>
      </c>
      <c r="C17" s="14"/>
      <c r="D17" s="14" t="str">
        <f>IF(AND(ISNUMBER(D15),ISNUMBER(C15)),D15-C15,"n.a.")</f>
        <v>n.a.</v>
      </c>
      <c r="E17" s="14">
        <f>IF(AND(ISNUMBER(E15),ISNUMBER(D15)),E15-D15,"n.a.")</f>
        <v>-0.10147700000004534</v>
      </c>
      <c r="F17" s="14">
        <f>IF(AND(ISNUMBER(F15),ISNUMBER(E15)),F15-E15,"n.a.")</f>
        <v>0.0859090000001288</v>
      </c>
      <c r="G17" s="14"/>
      <c r="H17" s="14">
        <f>IF(AND(ISNUMBER(H15),ISNUMBER(F15)),H15-F15,"n.a.")</f>
        <v>13.629158999999959</v>
      </c>
      <c r="I17" s="14">
        <f>IF(AND(ISNUMBER(I15),ISNUMBER(H15)),I15-H15,"n.a.")</f>
        <v>-13.636220000000094</v>
      </c>
      <c r="J17" s="10">
        <f>IF(AND(ISNUMBER(J15),ISNUMBER(I15)),J15-I15,"n.a.")</f>
        <v>-0.028825999999935445</v>
      </c>
      <c r="K17" s="1"/>
      <c r="L17" s="1"/>
      <c r="M17" s="1"/>
      <c r="N17" s="1"/>
      <c r="O17" s="1"/>
      <c r="P17" s="1"/>
    </row>
    <row r="18">
      <c r="A18" s="1"/>
      <c r="B18" s="1" t="s">
        <v>590</v>
      </c>
      <c r="C18" s="14"/>
      <c r="D18" s="14">
        <f>D11-C11</f>
        <v>1.9065539999999999</v>
      </c>
      <c r="E18" s="14">
        <f>E11-D11</f>
        <v>1.6042070000000024</v>
      </c>
      <c r="F18" s="14">
        <f>F11-E11</f>
        <v>2.0535580000000095</v>
      </c>
      <c r="G18" s="14"/>
      <c r="H18" s="14">
        <f>H11-F11</f>
        <v>2.0834000000000117</v>
      </c>
      <c r="I18" s="14">
        <f>I11-H11</f>
        <v>2.65862199999998</v>
      </c>
      <c r="J18" s="10">
        <f>J22/J25</f>
        <v>2.489795918367347</v>
      </c>
      <c r="K18" s="1"/>
      <c r="L18" s="1"/>
      <c r="M18" s="1"/>
      <c r="N18" s="1"/>
      <c r="O18" s="1"/>
      <c r="P18" s="1"/>
    </row>
    <row r="19">
      <c r="A19" s="1"/>
      <c r="B19" s="7" t="s">
        <v>591</v>
      </c>
      <c r="C19" s="22"/>
      <c r="D19" s="22">
        <f>D14+D15-D18</f>
        <v>393.985775</v>
      </c>
      <c r="E19" s="22">
        <f>E14+E15-E18</f>
        <v>392.38154599999996</v>
      </c>
      <c r="F19" s="22">
        <f>F14+F15-F18</f>
        <v>390.413875</v>
      </c>
      <c r="G19" s="22"/>
      <c r="H19" s="22">
        <f>H14+H15-H18</f>
        <v>402.045521</v>
      </c>
      <c r="I19" s="22">
        <f>I14+I15-I18</f>
        <v>399.46572499999996</v>
      </c>
      <c r="J19" s="23">
        <f>J14+J15-J18</f>
        <v>397.0259290816327</v>
      </c>
      <c r="K19" s="1"/>
      <c r="L19" s="1"/>
      <c r="M19" s="1"/>
      <c r="N19" s="1"/>
      <c r="O19" s="1"/>
      <c r="P19" s="1"/>
    </row>
    <row r="20" ht="41.25">
      <c r="A20" s="1"/>
      <c r="B20" s="1" t="s">
        <v>592</v>
      </c>
      <c r="C20" s="14"/>
      <c r="D20" s="116">
        <f>D19-D12</f>
        <v>0</v>
      </c>
      <c r="E20" s="116">
        <f>E19-E12</f>
        <v>0</v>
      </c>
      <c r="F20" s="116">
        <f>F19-F12</f>
        <v>0</v>
      </c>
      <c r="G20" s="116"/>
      <c r="H20" s="116">
        <f>H19-H12</f>
        <v>0</v>
      </c>
      <c r="I20" s="116">
        <f>I19-I12</f>
        <v>0</v>
      </c>
      <c r="J20" s="117">
        <f>J19-J12</f>
        <v>0</v>
      </c>
      <c r="K20" s="134" t="s">
        <v>593</v>
      </c>
      <c r="L20" s="1"/>
      <c r="M20" s="1"/>
      <c r="N20" s="1"/>
      <c r="O20" s="1"/>
      <c r="P20" s="1"/>
    </row>
    <row r="21">
      <c r="A21" s="1"/>
      <c r="B21" s="32" t="s">
        <v>594</v>
      </c>
      <c r="C21" s="11"/>
      <c r="D21" s="11"/>
      <c r="E21" s="11"/>
      <c r="F21" s="11"/>
      <c r="G21" s="11"/>
      <c r="H21" s="11"/>
      <c r="I21" s="11"/>
      <c r="J21" s="30"/>
      <c r="K21" s="1"/>
      <c r="L21" s="1"/>
      <c r="M21" s="1"/>
      <c r="N21" s="1"/>
      <c r="O21" s="1"/>
      <c r="P21" s="1"/>
    </row>
    <row r="22" ht="92.25">
      <c r="A22" s="1"/>
      <c r="B22" s="1" t="s">
        <v>595</v>
      </c>
      <c r="C22" s="12">
        <f>-'Cash Flow Statement'!C55</f>
        <v>262</v>
      </c>
      <c r="D22" s="12">
        <f>-'Cash Flow Statement'!D55</f>
        <v>336</v>
      </c>
      <c r="E22" s="12">
        <f>-'Cash Flow Statement'!E55</f>
        <v>334</v>
      </c>
      <c r="F22" s="12">
        <f>-'Cash Flow Statement'!F55</f>
        <v>406</v>
      </c>
      <c r="G22" s="12">
        <f>-'Cash Flow Statement'!G55</f>
        <v>1338</v>
      </c>
      <c r="H22" s="12">
        <f>-'Cash Flow Statement'!H55</f>
        <v>796</v>
      </c>
      <c r="I22" s="12">
        <f>-'Cash Flow Statement'!I55</f>
        <v>622</v>
      </c>
      <c r="J22" s="27">
        <v>610</v>
      </c>
      <c r="K22" s="123" t="s">
        <v>596</v>
      </c>
      <c r="L22" s="1"/>
      <c r="M22" s="1"/>
      <c r="N22" s="1"/>
      <c r="O22" s="1"/>
      <c r="P22" s="1"/>
    </row>
    <row r="23">
      <c r="A23" s="1"/>
      <c r="B23" s="6" t="s">
        <v>143</v>
      </c>
      <c r="C23" s="21"/>
      <c r="D23" s="21"/>
      <c r="E23" s="21"/>
      <c r="F23" s="21"/>
      <c r="G23" s="21"/>
      <c r="H23" s="21">
        <f>IF(AND(ISNUMBER(H22),ISNUMBER(C22)),IF(C22&lt;=0,"n.m.",IFERROR(H22/C22-1,"n.a.")),"n.a.")</f>
        <v>2.0381679389312977</v>
      </c>
      <c r="I23" s="21">
        <f>IF(AND(ISNUMBER(I22),ISNUMBER(D22)),IF(D22&lt;=0,"n.m.",IFERROR(I22/D22-1,"n.a.")),"n.a.")</f>
        <v>0.8511904761904763</v>
      </c>
      <c r="J23" s="29">
        <f>IF(AND(ISNUMBER(J22),ISNUMBER(E22)),IF(E22&lt;=0,"n.m.",IFERROR(J22/E22-1,"n.a.")),"n.a.")</f>
        <v>0.8263473053892216</v>
      </c>
      <c r="K23" s="1"/>
      <c r="L23" s="1"/>
      <c r="M23" s="1"/>
      <c r="N23" s="1"/>
      <c r="O23" s="1"/>
      <c r="P23" s="1"/>
    </row>
    <row r="24">
      <c r="A24" s="1"/>
      <c r="B24" s="1" t="s">
        <v>162</v>
      </c>
      <c r="C24" s="14"/>
      <c r="D24" s="14">
        <f>IF(AND(ISNUMBER(D22),ISNUMBER(C22)),D22-C22,"n.a.")</f>
        <v>74</v>
      </c>
      <c r="E24" s="14">
        <f>IF(AND(ISNUMBER(E22),ISNUMBER(D22)),E22-D22,"n.a.")</f>
        <v>-2</v>
      </c>
      <c r="F24" s="14">
        <f>IF(AND(ISNUMBER(F22),ISNUMBER(E22)),F22-E22,"n.a.")</f>
        <v>72</v>
      </c>
      <c r="G24" s="14"/>
      <c r="H24" s="14">
        <f>IF(AND(ISNUMBER(H22),ISNUMBER(F22)),H22-F22,"n.a.")</f>
        <v>390</v>
      </c>
      <c r="I24" s="14">
        <f>IF(AND(ISNUMBER(I22),ISNUMBER(H22)),I22-H22,"n.a.")</f>
        <v>-174</v>
      </c>
      <c r="J24" s="10">
        <f>IF(AND(ISNUMBER(J22),ISNUMBER(I22)),J22-I22,"n.a.")</f>
        <v>-12</v>
      </c>
      <c r="K24" s="1"/>
      <c r="L24" s="1"/>
      <c r="M24" s="1"/>
      <c r="N24" s="1"/>
      <c r="O24" s="1"/>
      <c r="P24" s="1"/>
    </row>
    <row r="25" ht="54">
      <c r="A25" s="1"/>
      <c r="B25" s="1" t="s">
        <v>597</v>
      </c>
      <c r="C25" s="34"/>
      <c r="D25" s="34">
        <f>IFERROR(D22/D18,"")</f>
        <v>176.2341900622799</v>
      </c>
      <c r="E25" s="34">
        <f>IFERROR(E22/E18,"")</f>
        <v>208.2025574006344</v>
      </c>
      <c r="F25" s="34">
        <f>IFERROR(F22/F18,"")</f>
        <v>197.70564064905793</v>
      </c>
      <c r="G25" s="34"/>
      <c r="H25" s="34">
        <f>IFERROR(H22/H18,"")</f>
        <v>382.06777383123523</v>
      </c>
      <c r="I25" s="34">
        <f>IFERROR(I22/I18,"")</f>
        <v>233.95578611777256</v>
      </c>
      <c r="J25" s="49">
        <v>245</v>
      </c>
      <c r="K25" s="134" t="s">
        <v>598</v>
      </c>
      <c r="L25" s="1"/>
      <c r="M25" s="1"/>
      <c r="N25" s="1"/>
      <c r="O25" s="1"/>
      <c r="P25" s="1"/>
    </row>
    <row r="26">
      <c r="A26" s="1"/>
      <c r="B26" s="6" t="s">
        <v>143</v>
      </c>
      <c r="C26" s="21"/>
      <c r="D26" s="21"/>
      <c r="E26" s="21"/>
      <c r="F26" s="21"/>
      <c r="G26" s="21"/>
      <c r="H26" s="21" t="str">
        <f>IF(AND(ISNUMBER(H25),ISNUMBER(C25)),IF(C25&lt;=0,"n.m.",IFERROR(H25/C25-1,"n.a.")),"n.a.")</f>
        <v>n.a.</v>
      </c>
      <c r="I26" s="21">
        <f>IF(AND(ISNUMBER(I25),ISNUMBER(D25)),IF(D25&lt;=0,"n.m.",IFERROR(I25/D25-1,"n.a.")),"n.a.")</f>
        <v>0.3275277971606658</v>
      </c>
      <c r="J26" s="29">
        <f>IF(AND(ISNUMBER(J25),ISNUMBER(E25)),IF(E25&lt;=0,"n.m.",IFERROR(J25/E25-1,"n.a.")),"n.a.")</f>
        <v>0.1767386676646725</v>
      </c>
      <c r="K26" s="1"/>
      <c r="L26" s="1"/>
      <c r="M26" s="1"/>
      <c r="N26" s="1"/>
      <c r="O26" s="1"/>
      <c r="P26" s="1"/>
    </row>
    <row r="27">
      <c r="A27" s="1"/>
      <c r="B27" s="1" t="s">
        <v>162</v>
      </c>
      <c r="C27" s="14"/>
      <c r="D27" s="14" t="str">
        <f>IF(AND(ISNUMBER(D25),ISNUMBER(C25)),D25-C25,"n.a.")</f>
        <v>n.a.</v>
      </c>
      <c r="E27" s="14">
        <f>IF(AND(ISNUMBER(E25),ISNUMBER(D25)),E25-D25,"n.a.")</f>
        <v>31.968367338354483</v>
      </c>
      <c r="F27" s="14">
        <f>IF(AND(ISNUMBER(F25),ISNUMBER(E25)),F25-E25,"n.a.")</f>
        <v>-10.496916751576464</v>
      </c>
      <c r="G27" s="14"/>
      <c r="H27" s="14">
        <f>IF(AND(ISNUMBER(H25),ISNUMBER(F25)),H25-F25,"n.a.")</f>
        <v>184.3621331821773</v>
      </c>
      <c r="I27" s="14">
        <f>IF(AND(ISNUMBER(I25),ISNUMBER(H25)),I25-H25,"n.a.")</f>
        <v>-148.11198771346267</v>
      </c>
      <c r="J27" s="10">
        <f>IF(AND(ISNUMBER(J25),ISNUMBER(I25)),J25-I25,"n.a.")</f>
        <v>11.044213882227439</v>
      </c>
      <c r="K27" s="1"/>
      <c r="L27" s="1"/>
      <c r="M27" s="1"/>
      <c r="N27" s="1"/>
      <c r="O27" s="1"/>
      <c r="P27" s="1"/>
    </row>
    <row r="28">
      <c r="A28" s="1"/>
      <c r="B28" s="32" t="s">
        <v>599</v>
      </c>
      <c r="C28" s="11"/>
      <c r="D28" s="11"/>
      <c r="E28" s="11"/>
      <c r="F28" s="11"/>
      <c r="G28" s="11"/>
      <c r="H28" s="11"/>
      <c r="I28" s="11"/>
      <c r="J28" s="30"/>
      <c r="K28" s="1"/>
      <c r="L28" s="1"/>
      <c r="M28" s="1"/>
      <c r="N28" s="1"/>
      <c r="O28" s="1"/>
      <c r="P28" s="1"/>
    </row>
    <row r="29">
      <c r="A29" s="1"/>
      <c r="B29" s="1" t="s">
        <v>600</v>
      </c>
      <c r="C29" s="14"/>
      <c r="D29" s="14">
        <f>AVERAGE(D14,D19)</f>
        <v>394.8883245</v>
      </c>
      <c r="E29" s="14">
        <f>AVERAGE(E14,E19)</f>
        <v>393.1836605</v>
      </c>
      <c r="F29" s="14">
        <f>AVERAGE(F14,F19)</f>
        <v>391.3977105</v>
      </c>
      <c r="G29" s="14"/>
      <c r="H29" s="14">
        <f>AVERAGE(H14,H19)</f>
        <v>396.229698</v>
      </c>
      <c r="I29" s="14">
        <f>AVERAGE(I14,I19)</f>
        <v>400.755623</v>
      </c>
      <c r="J29" s="10">
        <f>AVERAGE(J14,J19)</f>
        <v>398.2458270408164</v>
      </c>
      <c r="K29" s="1"/>
      <c r="L29" s="1"/>
      <c r="M29" s="1"/>
      <c r="N29" s="1"/>
      <c r="O29" s="1"/>
      <c r="P29" s="1"/>
    </row>
    <row r="30" ht="41.25">
      <c r="A30" s="1"/>
      <c r="B30" s="1" t="s">
        <v>601</v>
      </c>
      <c r="C30" s="14"/>
      <c r="D30" s="14">
        <f>D37-D29</f>
        <v>2.11167549999999</v>
      </c>
      <c r="E30" s="14">
        <f>E37-E29</f>
        <v>2.8163395000000264</v>
      </c>
      <c r="F30" s="14">
        <f>F37-F29</f>
        <v>2.6022894999999835</v>
      </c>
      <c r="G30" s="14"/>
      <c r="H30" s="14">
        <f>H37-H29</f>
        <v>8.770302000000015</v>
      </c>
      <c r="I30" s="14">
        <f>I37-I29</f>
        <v>2.244376999999986</v>
      </c>
      <c r="J30" s="10">
        <f>AVERAGE(F30,I30)</f>
        <v>2.4233332499999847</v>
      </c>
      <c r="K30" s="134" t="s">
        <v>602</v>
      </c>
      <c r="L30" s="1"/>
      <c r="M30" s="1"/>
      <c r="N30" s="1"/>
      <c r="O30" s="1"/>
      <c r="P30" s="1"/>
    </row>
    <row r="31">
      <c r="A31" s="1"/>
      <c r="B31" s="6" t="s">
        <v>143</v>
      </c>
      <c r="C31" s="21"/>
      <c r="D31" s="21"/>
      <c r="E31" s="21"/>
      <c r="F31" s="21"/>
      <c r="G31" s="21"/>
      <c r="H31" s="21" t="str">
        <f>IF(AND(ISNUMBER(H30),ISNUMBER(C30)),IF(C30&lt;=0,"n.m.",IFERROR(H30/C30-1,"n.a.")),"n.a.")</f>
        <v>n.a.</v>
      </c>
      <c r="I31" s="21">
        <f>IF(AND(ISNUMBER(I30),ISNUMBER(D30)),IF(D30&lt;=0,"n.m.",IFERROR(I30/D30-1,"n.a.")),"n.a.")</f>
        <v>0.06284180500270842</v>
      </c>
      <c r="J31" s="29">
        <f>IF(AND(ISNUMBER(J30),ISNUMBER(E30)),IF(E30&lt;=0,"n.m.",IFERROR(J30/E30-1,"n.a.")),"n.a.")</f>
        <v>-0.13954505484869206</v>
      </c>
      <c r="K31" s="1"/>
      <c r="L31" s="1"/>
      <c r="M31" s="1"/>
      <c r="N31" s="1"/>
      <c r="O31" s="1"/>
      <c r="P31" s="1"/>
    </row>
    <row r="32">
      <c r="A32" s="1"/>
      <c r="B32" s="1" t="s">
        <v>162</v>
      </c>
      <c r="C32" s="14"/>
      <c r="D32" s="14" t="str">
        <f>IF(AND(ISNUMBER(D30),ISNUMBER(C30)),D30-C30,"n.a.")</f>
        <v>n.a.</v>
      </c>
      <c r="E32" s="14">
        <f>IF(AND(ISNUMBER(E30),ISNUMBER(D30)),E30-D30,"n.a.")</f>
        <v>0.7046640000000366</v>
      </c>
      <c r="F32" s="14">
        <f>IF(AND(ISNUMBER(F30),ISNUMBER(E30)),F30-E30,"n.a.")</f>
        <v>-0.21405000000004293</v>
      </c>
      <c r="G32" s="14"/>
      <c r="H32" s="14">
        <f>IF(AND(ISNUMBER(H30),ISNUMBER(F30)),H30-F30,"n.a.")</f>
        <v>6.168012500000032</v>
      </c>
      <c r="I32" s="14">
        <f>IF(AND(ISNUMBER(I30),ISNUMBER(H30)),I30-H30,"n.a.")</f>
        <v>-6.525925000000029</v>
      </c>
      <c r="J32" s="10">
        <f>IF(AND(ISNUMBER(J30),ISNUMBER(I30)),J30-I30,"n.a.")</f>
        <v>0.17895624999999882</v>
      </c>
      <c r="K32" s="1"/>
      <c r="L32" s="1"/>
      <c r="M32" s="1"/>
      <c r="N32" s="1"/>
      <c r="O32" s="1"/>
      <c r="P32" s="1"/>
    </row>
    <row r="33" ht="28.5">
      <c r="A33" s="1"/>
      <c r="B33" s="7" t="s">
        <v>603</v>
      </c>
      <c r="C33" s="31">
        <v>398</v>
      </c>
      <c r="D33" s="31">
        <v>397</v>
      </c>
      <c r="E33" s="31">
        <v>396</v>
      </c>
      <c r="F33" s="31">
        <v>394</v>
      </c>
      <c r="G33" s="31">
        <v>396</v>
      </c>
      <c r="H33" s="31">
        <v>405</v>
      </c>
      <c r="I33" s="31">
        <v>403</v>
      </c>
      <c r="J33" s="51">
        <f>J37-J34</f>
        <v>400.4691602908164</v>
      </c>
      <c r="K33" s="134" t="s">
        <v>604</v>
      </c>
      <c r="L33" s="1"/>
      <c r="M33" s="1"/>
      <c r="N33" s="1"/>
      <c r="O33" s="1"/>
      <c r="P33" s="1"/>
    </row>
    <row r="34" ht="54">
      <c r="A34" s="1"/>
      <c r="B34" s="1" t="s">
        <v>605</v>
      </c>
      <c r="C34" s="14">
        <f>C37-C33</f>
        <v>0</v>
      </c>
      <c r="D34" s="14">
        <f>D37-D33</f>
        <v>0</v>
      </c>
      <c r="E34" s="14">
        <f>E37-E33</f>
        <v>0</v>
      </c>
      <c r="F34" s="14">
        <f>F37-F33</f>
        <v>0</v>
      </c>
      <c r="G34" s="14">
        <f>G37-G33</f>
        <v>0</v>
      </c>
      <c r="H34" s="14">
        <f>H37-H33</f>
        <v>0</v>
      </c>
      <c r="I34" s="14">
        <f>I37-I33</f>
        <v>0</v>
      </c>
      <c r="J34" s="27">
        <v>0.2</v>
      </c>
      <c r="K34" s="133" t="s">
        <v>606</v>
      </c>
      <c r="L34" s="1"/>
      <c r="M34" s="1"/>
      <c r="N34" s="1"/>
      <c r="O34" s="1"/>
      <c r="P34" s="1"/>
    </row>
    <row r="35">
      <c r="A35" s="1"/>
      <c r="B35" s="6" t="s">
        <v>143</v>
      </c>
      <c r="C35" s="21"/>
      <c r="D35" s="21"/>
      <c r="E35" s="21"/>
      <c r="F35" s="21"/>
      <c r="G35" s="21"/>
      <c r="H35" s="21" t="str">
        <f>IF(AND(ISNUMBER(H34),ISNUMBER(C34)),IF(C34&lt;=0,"n.m.",IFERROR(H34/C34-1,"n.a.")),"n.a.")</f>
        <v>n.m.</v>
      </c>
      <c r="I35" s="21" t="str">
        <f>IF(AND(ISNUMBER(I34),ISNUMBER(D34)),IF(D34&lt;=0,"n.m.",IFERROR(I34/D34-1,"n.a.")),"n.a.")</f>
        <v>n.m.</v>
      </c>
      <c r="J35" s="29" t="str">
        <f>IF(AND(ISNUMBER(J34),ISNUMBER(E34)),IF(E34&lt;=0,"n.m.",IFERROR(J34/E34-1,"n.a.")),"n.a.")</f>
        <v>n.m.</v>
      </c>
      <c r="K35" s="1"/>
      <c r="L35" s="1"/>
      <c r="M35" s="1"/>
      <c r="N35" s="1"/>
      <c r="O35" s="1"/>
      <c r="P35" s="1"/>
    </row>
    <row r="36">
      <c r="A36" s="1"/>
      <c r="B36" s="1" t="s">
        <v>162</v>
      </c>
      <c r="C36" s="14"/>
      <c r="D36" s="14">
        <f>IF(AND(ISNUMBER(D34),ISNUMBER(C34)),D34-C34,"n.a.")</f>
        <v>0</v>
      </c>
      <c r="E36" s="14">
        <f>IF(AND(ISNUMBER(E34),ISNUMBER(D34)),E34-D34,"n.a.")</f>
        <v>0</v>
      </c>
      <c r="F36" s="14">
        <f>IF(AND(ISNUMBER(F34),ISNUMBER(E34)),F34-E34,"n.a.")</f>
        <v>0</v>
      </c>
      <c r="G36" s="14"/>
      <c r="H36" s="14">
        <f>IF(AND(ISNUMBER(H34),ISNUMBER(F34)),H34-F34,"n.a.")</f>
        <v>0</v>
      </c>
      <c r="I36" s="14">
        <f>IF(AND(ISNUMBER(I34),ISNUMBER(H34)),I34-H34,"n.a.")</f>
        <v>0</v>
      </c>
      <c r="J36" s="10">
        <f>IF(AND(ISNUMBER(J34),ISNUMBER(I34)),J34-I34,"n.a.")</f>
        <v>0.2</v>
      </c>
      <c r="K36" s="1"/>
      <c r="L36" s="1"/>
      <c r="M36" s="1"/>
      <c r="N36" s="1"/>
      <c r="O36" s="1"/>
      <c r="P36" s="1"/>
    </row>
    <row r="37">
      <c r="A37" s="1"/>
      <c r="B37" s="7" t="s">
        <v>607</v>
      </c>
      <c r="C37" s="36">
        <v>398</v>
      </c>
      <c r="D37" s="36">
        <v>397</v>
      </c>
      <c r="E37" s="36">
        <v>396</v>
      </c>
      <c r="F37" s="36">
        <v>394</v>
      </c>
      <c r="G37" s="36">
        <v>396</v>
      </c>
      <c r="H37" s="36">
        <v>405</v>
      </c>
      <c r="I37" s="36">
        <v>403</v>
      </c>
      <c r="J37" s="23">
        <f>J29+J30</f>
        <v>400.66916029081636</v>
      </c>
      <c r="K37" s="1"/>
      <c r="L37" s="1"/>
      <c r="M37" s="1"/>
      <c r="N37" s="1"/>
      <c r="O37" s="1"/>
      <c r="P37" s="1"/>
    </row>
    <row r="38">
      <c r="A38" s="1"/>
      <c r="B38" s="6" t="s">
        <v>143</v>
      </c>
      <c r="C38" s="21"/>
      <c r="D38" s="21"/>
      <c r="E38" s="21"/>
      <c r="F38" s="21"/>
      <c r="G38" s="21"/>
      <c r="H38" s="21">
        <f>IF(AND(ISNUMBER(H37),ISNUMBER(C37)),IF(C37&lt;=0,"n.m.",IFERROR(H37/C37-1,"n.a.")),"n.a.")</f>
        <v>0.017587939698492372</v>
      </c>
      <c r="I38" s="21">
        <f>IF(AND(ISNUMBER(I37),ISNUMBER(D37)),IF(D37&lt;=0,"n.m.",IFERROR(I37/D37-1,"n.a.")),"n.a.")</f>
        <v>0.015113350125944613</v>
      </c>
      <c r="J38" s="29">
        <f>IF(AND(ISNUMBER(J37),ISNUMBER(E37)),IF(E37&lt;=0,"n.m.",IFERROR(J37/E37-1,"n.a.")),"n.a.")</f>
        <v>0.011790808815192788</v>
      </c>
      <c r="K38" s="1"/>
      <c r="L38" s="1"/>
      <c r="M38" s="1"/>
      <c r="N38" s="1"/>
      <c r="O38" s="1"/>
      <c r="P38" s="1"/>
    </row>
    <row r="39">
      <c r="A39" s="1"/>
      <c r="B39" s="1" t="s">
        <v>162</v>
      </c>
      <c r="C39" s="14"/>
      <c r="D39" s="14">
        <f>IF(AND(ISNUMBER(D37),ISNUMBER(C37)),D37-C37,"n.a.")</f>
        <v>-1</v>
      </c>
      <c r="E39" s="14">
        <f>IF(AND(ISNUMBER(E37),ISNUMBER(D37)),E37-D37,"n.a.")</f>
        <v>-1</v>
      </c>
      <c r="F39" s="14">
        <f>IF(AND(ISNUMBER(F37),ISNUMBER(E37)),F37-E37,"n.a.")</f>
        <v>-2</v>
      </c>
      <c r="G39" s="14"/>
      <c r="H39" s="14">
        <f>IF(AND(ISNUMBER(H37),ISNUMBER(F37)),H37-F37,"n.a.")</f>
        <v>11</v>
      </c>
      <c r="I39" s="14">
        <f>IF(AND(ISNUMBER(I37),ISNUMBER(H37)),I37-H37,"n.a.")</f>
        <v>-2</v>
      </c>
      <c r="J39" s="10">
        <f>IF(AND(ISNUMBER(J37),ISNUMBER(I37)),J37-I37,"n.a.")</f>
        <v>-2.3308397091836355</v>
      </c>
      <c r="K39" s="1"/>
      <c r="L39" s="1"/>
      <c r="M39" s="1"/>
      <c r="N39" s="1"/>
      <c r="O39" s="1"/>
      <c r="P39" s="1"/>
    </row>
    <row r="40">
      <c r="A40" s="1"/>
      <c r="B40" s="32" t="s">
        <v>608</v>
      </c>
      <c r="C40" s="11"/>
      <c r="D40" s="11"/>
      <c r="E40" s="11"/>
      <c r="F40" s="11"/>
      <c r="G40" s="11"/>
      <c r="H40" s="11"/>
      <c r="I40" s="11"/>
      <c r="J40" s="30"/>
      <c r="K40" s="1"/>
      <c r="L40" s="1"/>
      <c r="M40" s="1"/>
      <c r="N40" s="1"/>
      <c r="O40" s="1"/>
      <c r="P40" s="1"/>
    </row>
    <row r="41">
      <c r="A41" s="1"/>
      <c r="B41" s="1" t="s">
        <v>609</v>
      </c>
      <c r="C41" s="33">
        <f>'Income Statement'!C71</f>
        <v>1.6</v>
      </c>
      <c r="D41" s="33">
        <f>'Income Statement'!D71</f>
        <v>1.6</v>
      </c>
      <c r="E41" s="33">
        <f>'Income Statement'!E71</f>
        <v>1.7</v>
      </c>
      <c r="F41" s="33">
        <f>'Income Statement'!F71</f>
        <v>1.7</v>
      </c>
      <c r="G41" s="33">
        <f>'Income Statement'!G71</f>
        <v>6.6</v>
      </c>
      <c r="H41" s="33">
        <f>'Income Statement'!H71</f>
        <v>1.7</v>
      </c>
      <c r="I41" s="33">
        <f>'Income Statement'!I71</f>
        <v>1.7</v>
      </c>
      <c r="J41" s="40">
        <f>'Income Statement'!J71</f>
        <v>2</v>
      </c>
      <c r="K41" s="1"/>
      <c r="L41" s="1"/>
      <c r="M41" s="1"/>
      <c r="N41" s="1"/>
      <c r="O41" s="1"/>
      <c r="P41" s="1"/>
    </row>
    <row r="42">
      <c r="A42" s="1"/>
      <c r="B42" s="6" t="s">
        <v>143</v>
      </c>
      <c r="C42" s="21"/>
      <c r="D42" s="21"/>
      <c r="E42" s="21"/>
      <c r="F42" s="21"/>
      <c r="G42" s="21"/>
      <c r="H42" s="21">
        <f>IF(AND(ISNUMBER(H41),ISNUMBER(C41)),IF(C41&lt;=0,"n.m.",IFERROR(H41/C41-1,"n.a.")),"n.a.")</f>
        <v>0.0625</v>
      </c>
      <c r="I42" s="21">
        <f>IF(AND(ISNUMBER(I41),ISNUMBER(D41)),IF(D41&lt;=0,"n.m.",IFERROR(I41/D41-1,"n.a.")),"n.a.")</f>
        <v>0.0625</v>
      </c>
      <c r="J42" s="29">
        <f>IF(AND(ISNUMBER(J41),ISNUMBER(E41)),IF(E41&lt;=0,"n.m.",IFERROR(J41/E41-1,"n.a.")),"n.a.")</f>
        <v>0.17647058823529416</v>
      </c>
      <c r="K42" s="1"/>
      <c r="L42" s="1"/>
      <c r="M42" s="1"/>
      <c r="N42" s="1"/>
      <c r="O42" s="1"/>
      <c r="P42" s="1"/>
    </row>
    <row r="43">
      <c r="A43" s="1"/>
      <c r="B43" s="1" t="s">
        <v>162</v>
      </c>
      <c r="C43" s="34"/>
      <c r="D43" s="34">
        <f>IF(AND(ISNUMBER(D41),ISNUMBER(C41)),D41-C41,"n.a.")</f>
        <v>0</v>
      </c>
      <c r="E43" s="34">
        <f>IF(AND(ISNUMBER(E41),ISNUMBER(D41)),E41-D41,"n.a.")</f>
        <v>0.09999999999999987</v>
      </c>
      <c r="F43" s="34">
        <f>IF(AND(ISNUMBER(F41),ISNUMBER(E41)),F41-E41,"n.a.")</f>
        <v>0</v>
      </c>
      <c r="G43" s="34"/>
      <c r="H43" s="34">
        <f>IF(AND(ISNUMBER(H41),ISNUMBER(F41)),H41-F41,"n.a.")</f>
        <v>0</v>
      </c>
      <c r="I43" s="34">
        <f>IF(AND(ISNUMBER(I41),ISNUMBER(H41)),I41-H41,"n.a.")</f>
        <v>0</v>
      </c>
      <c r="J43" s="42">
        <f>IF(AND(ISNUMBER(J41),ISNUMBER(I41)),J41-I41,"n.a.")</f>
        <v>0.30000000000000004</v>
      </c>
      <c r="K43" s="1"/>
      <c r="L43" s="1"/>
      <c r="M43" s="1"/>
      <c r="N43" s="1"/>
      <c r="O43" s="1"/>
      <c r="P43" s="1"/>
    </row>
    <row r="44" ht="54">
      <c r="A44" s="1"/>
      <c r="B44" s="1" t="s">
        <v>610</v>
      </c>
      <c r="C44" s="14"/>
      <c r="D44" s="14"/>
      <c r="E44" s="14"/>
      <c r="F44" s="14"/>
      <c r="G44" s="14"/>
      <c r="H44" s="14"/>
      <c r="I44" s="14"/>
      <c r="J44" s="10">
        <f>J41*J14</f>
        <v>798.93145</v>
      </c>
      <c r="K44" s="134" t="s">
        <v>611</v>
      </c>
      <c r="L44" s="1"/>
      <c r="M44" s="1"/>
      <c r="N44" s="1"/>
      <c r="O44" s="1"/>
      <c r="P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P9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2" width="12" customWidth="1"/>
    <col min="13" max="13" width="15" customWidth="1"/>
    <col min="14" max="15" width="12" customWidth="1"/>
    <col min="16" max="16" width="6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612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5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7" t="s">
        <v>5</v>
      </c>
    </row>
    <row r="6">
      <c r="A6" s="1"/>
      <c r="B6" s="16" t="s">
        <v>6</v>
      </c>
      <c r="C6" s="15">
        <v>46295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>
      <c r="A7" s="1"/>
      <c r="B7" s="8" t="s">
        <v>7</v>
      </c>
      <c r="C7" s="4">
        <f>C6-EOMONTH(C6,-3)</f>
        <v>92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ht="28.5">
      <c r="A9" s="1"/>
      <c r="B9" s="1" t="s">
        <v>613</v>
      </c>
      <c r="C9" s="50">
        <v>0.005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33" t="s">
        <v>614</v>
      </c>
    </row>
    <row r="10">
      <c r="A10" s="1"/>
      <c r="B10" s="3" t="s">
        <v>615</v>
      </c>
      <c r="C10" s="44" t="s">
        <v>616</v>
      </c>
      <c r="D10" s="44" t="s">
        <v>3</v>
      </c>
      <c r="E10" s="44" t="s">
        <v>617</v>
      </c>
      <c r="F10" s="44" t="s">
        <v>618</v>
      </c>
      <c r="G10" s="44" t="s">
        <v>619</v>
      </c>
      <c r="H10" s="44" t="s">
        <v>620</v>
      </c>
      <c r="I10" s="44" t="s">
        <v>621</v>
      </c>
      <c r="J10" s="44" t="s">
        <v>622</v>
      </c>
      <c r="K10" s="44" t="s">
        <v>623</v>
      </c>
      <c r="L10" s="44" t="s">
        <v>624</v>
      </c>
      <c r="M10" s="44" t="s">
        <v>625</v>
      </c>
      <c r="N10" s="44" t="s">
        <v>626</v>
      </c>
      <c r="O10" s="63" t="s">
        <v>627</v>
      </c>
      <c r="P10" s="1"/>
    </row>
    <row r="11">
      <c r="A11" s="1"/>
      <c r="B11" s="32" t="s">
        <v>628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>
      <c r="A12" s="1"/>
      <c r="B12" s="1" t="s">
        <v>629</v>
      </c>
      <c r="C12" s="58">
        <v>45854</v>
      </c>
      <c r="D12" s="11" t="s">
        <v>630</v>
      </c>
      <c r="E12" s="12">
        <f>'Revenue summary'!D61</f>
        <v>322754</v>
      </c>
      <c r="F12" s="50">
        <v>0.01</v>
      </c>
      <c r="G12" s="50">
        <v>0.01</v>
      </c>
      <c r="H12" s="14">
        <f>E12*(1+F12)</f>
        <v>325981.54</v>
      </c>
      <c r="I12" s="14">
        <f>E12*(1+G12)</f>
        <v>325981.54</v>
      </c>
      <c r="J12" s="14">
        <f>AVERAGE(H12,I12)</f>
        <v>325981.54</v>
      </c>
      <c r="K12" s="12">
        <f>'Revenue summary'!E61</f>
        <v>325932</v>
      </c>
      <c r="L12" s="11" t="str">
        <f>IF(ISNUMBER(K12),IF(O12="higher",IF(K12&gt;I12*(1+$C$9),"Beat",IF(K12&lt;H12*(1-$C$9),"Miss","In line")),IF(K12&lt;H12*(1-$C$9),"Beat",IF(K12&gt;I12*(1+$C$9),"Miss","In line"))),"n.a.")</f>
        <v>In line</v>
      </c>
      <c r="M12" s="14"/>
      <c r="N12" s="47">
        <f>IF(ISNUMBER(M12),M12/J12-1,IF(ISNUMBER(K12),K12/J12-1,""))</f>
        <v>-0.00015197179570347608</v>
      </c>
      <c r="O12" s="57" t="s">
        <v>631</v>
      </c>
      <c r="P12" s="1"/>
    </row>
    <row r="13">
      <c r="A13" s="1"/>
      <c r="B13" s="1" t="s">
        <v>227</v>
      </c>
      <c r="C13" s="58">
        <v>45854</v>
      </c>
      <c r="D13" s="11" t="s">
        <v>630</v>
      </c>
      <c r="E13" s="12">
        <f>'Income Statement'!D17</f>
        <v>3555</v>
      </c>
      <c r="F13" s="50">
        <v>0.03</v>
      </c>
      <c r="G13" s="50">
        <v>0.03</v>
      </c>
      <c r="H13" s="14">
        <f>E13*(1+F13)</f>
        <v>3661.65</v>
      </c>
      <c r="I13" s="14">
        <f>E13*(1+G13)</f>
        <v>3661.65</v>
      </c>
      <c r="J13" s="14">
        <f>AVERAGE(H13,I13)</f>
        <v>3661.65</v>
      </c>
      <c r="K13" s="12">
        <f>'Income Statement'!E17</f>
        <v>3648</v>
      </c>
      <c r="L13" s="11" t="str">
        <f>IF(ISNUMBER(K13),IF(O13="higher",IF(K13&gt;I13*(1+$C$9),"Beat",IF(K13&lt;H13*(1-$C$9),"Miss","In line")),IF(K13&lt;H13*(1-$C$9),"Beat",IF(K13&gt;I13*(1+$C$9),"Miss","In line"))),"n.a.")</f>
        <v>In line</v>
      </c>
      <c r="M13" s="14"/>
      <c r="N13" s="47">
        <f>IF(ISNUMBER(M13),M13/J13-1,IF(ISNUMBER(K13),K13/J13-1,""))</f>
        <v>-0.0037278276186965</v>
      </c>
      <c r="O13" s="57" t="s">
        <v>631</v>
      </c>
      <c r="P13" s="1"/>
    </row>
    <row r="14">
      <c r="A14" s="1"/>
      <c r="B14" s="1" t="s">
        <v>243</v>
      </c>
      <c r="C14" s="58">
        <v>45854</v>
      </c>
      <c r="D14" s="11" t="s">
        <v>630</v>
      </c>
      <c r="E14" s="12">
        <f>'Income Statement'!D25</f>
        <v>1894</v>
      </c>
      <c r="F14" s="50">
        <v>0.03</v>
      </c>
      <c r="G14" s="50">
        <v>0.04</v>
      </c>
      <c r="H14" s="14">
        <f>E14*(1+F14)</f>
        <v>1950.8200000000002</v>
      </c>
      <c r="I14" s="14">
        <f>E14*(1+G14)</f>
        <v>1969.76</v>
      </c>
      <c r="J14" s="14">
        <f>AVERAGE(H14,I14)</f>
        <v>1960.29</v>
      </c>
      <c r="K14" s="12">
        <f>'Income Statement'!E25</f>
        <v>2069</v>
      </c>
      <c r="L14" s="11" t="str">
        <f>IF(ISNUMBER(K14),IF(O14="higher",IF(K14&gt;I14*(1+$C$9),"Beat",IF(K14&lt;H14*(1-$C$9),"Miss","In line")),IF(K14&lt;H14*(1-$C$9),"Beat",IF(K14&gt;I14*(1+$C$9),"Miss","In line"))),"n.a.")</f>
        <v>Beat</v>
      </c>
      <c r="M14" s="14"/>
      <c r="N14" s="47">
        <f>IF(ISNUMBER(M14),M14/J14-1,IF(ISNUMBER(K14),K14/J14-1,""))</f>
        <v>0.055456080477888525</v>
      </c>
      <c r="O14" s="57" t="s">
        <v>631</v>
      </c>
      <c r="P14" s="1"/>
    </row>
    <row r="15" ht="54">
      <c r="A15" s="1"/>
      <c r="B15" s="1" t="s">
        <v>251</v>
      </c>
      <c r="C15" s="58">
        <v>45854</v>
      </c>
      <c r="D15" s="11" t="s">
        <v>630</v>
      </c>
      <c r="E15" s="14"/>
      <c r="F15" s="47"/>
      <c r="G15" s="47"/>
      <c r="H15" s="18">
        <v>150</v>
      </c>
      <c r="I15" s="18">
        <v>200</v>
      </c>
      <c r="J15" s="14">
        <f>AVERAGE(H15,I15)</f>
        <v>175</v>
      </c>
      <c r="K15" s="12">
        <f>'Income Statement'!E29</f>
        <v>198</v>
      </c>
      <c r="L15" s="11" t="str">
        <f>IF(ISNUMBER(K15),IF(O15="higher",IF(K15&gt;I15*(1+$C$9),"Beat",IF(K15&lt;H15*(1-$C$9),"Miss","In line")),IF(K15&lt;H15*(1-$C$9),"Beat",IF(K15&gt;I15*(1+$C$9),"Miss","In line"))),"n.a.")</f>
        <v>In line</v>
      </c>
      <c r="M15" s="14"/>
      <c r="N15" s="47">
        <f>IF(ISNUMBER(M15),M15/J15-1,IF(ISNUMBER(K15),K15/J15-1,""))</f>
        <v>0.13142857142857145</v>
      </c>
      <c r="O15" s="57" t="s">
        <v>631</v>
      </c>
      <c r="P15" s="133" t="s">
        <v>632</v>
      </c>
    </row>
    <row r="16">
      <c r="A16" s="1"/>
      <c r="B16" s="1" t="s">
        <v>142</v>
      </c>
      <c r="C16" s="58">
        <v>45854</v>
      </c>
      <c r="D16" s="11" t="s">
        <v>630</v>
      </c>
      <c r="E16" s="12">
        <f>'Income Statement'!D33</f>
        <v>5661</v>
      </c>
      <c r="F16" s="50">
        <v>0.02</v>
      </c>
      <c r="G16" s="50">
        <v>0.03</v>
      </c>
      <c r="H16" s="14">
        <f>E16*(1+F16)</f>
        <v>5774.22</v>
      </c>
      <c r="I16" s="14">
        <f>E16*(1+G16)</f>
        <v>5830.83</v>
      </c>
      <c r="J16" s="14">
        <f>AVERAGE(H16,I16)</f>
        <v>5802.525</v>
      </c>
      <c r="K16" s="12">
        <f>'Income Statement'!E33</f>
        <v>5915</v>
      </c>
      <c r="L16" s="11" t="str">
        <f>IF(ISNUMBER(K16),IF(O16="higher",IF(K16&gt;I16*(1+$C$9),"Beat",IF(K16&lt;H16*(1-$C$9),"Miss","In line")),IF(K16&lt;H16*(1-$C$9),"Beat",IF(K16&gt;I16*(1+$C$9),"Miss","In line"))),"n.a.")</f>
        <v>Beat</v>
      </c>
      <c r="M16" s="14"/>
      <c r="N16" s="47">
        <f>IF(ISNUMBER(M16),M16/J16-1,IF(ISNUMBER(K16),K16/J16-1,""))</f>
        <v>0.01938380274104823</v>
      </c>
      <c r="O16" s="57" t="s">
        <v>631</v>
      </c>
      <c r="P16" s="1"/>
    </row>
    <row r="17">
      <c r="A17" s="1"/>
      <c r="B17" s="1" t="s">
        <v>633</v>
      </c>
      <c r="C17" s="58">
        <v>45854</v>
      </c>
      <c r="D17" s="11" t="s">
        <v>630</v>
      </c>
      <c r="E17" s="12">
        <f>'Income Statement'!D45</f>
        <v>3383</v>
      </c>
      <c r="F17" s="50">
        <v>0.02</v>
      </c>
      <c r="G17" s="50">
        <v>0.02</v>
      </c>
      <c r="H17" s="14">
        <f>E17*(1+F17)</f>
        <v>3450.66</v>
      </c>
      <c r="I17" s="14">
        <f>E17*(1+G17)</f>
        <v>3450.66</v>
      </c>
      <c r="J17" s="14">
        <f>AVERAGE(H17,I17)</f>
        <v>3450.66</v>
      </c>
      <c r="K17" s="12">
        <f>'Income Statement'!E110</f>
        <v>3461</v>
      </c>
      <c r="L17" s="11" t="str">
        <f>IF(ISNUMBER(K17),IF(O17="higher",IF(K17&gt;I17*(1+$C$9),"Beat",IF(K17&lt;H17*(1-$C$9),"Miss","In line")),IF(K17&lt;H17*(1-$C$9),"Beat",IF(K17&gt;I17*(1+$C$9),"Miss","In line"))),"n.a.")</f>
        <v>In line</v>
      </c>
      <c r="M17" s="14"/>
      <c r="N17" s="47">
        <f>IF(ISNUMBER(M17),M17/J17-1,IF(ISNUMBER(K17),K17/J17-1,""))</f>
        <v>0.002996528200402304</v>
      </c>
      <c r="O17" s="57" t="s">
        <v>634</v>
      </c>
      <c r="P17" s="1"/>
    </row>
    <row r="18">
      <c r="A18" s="1"/>
      <c r="B18" s="1" t="s">
        <v>324</v>
      </c>
      <c r="C18" s="58">
        <v>45854</v>
      </c>
      <c r="D18" s="11" t="s">
        <v>630</v>
      </c>
      <c r="E18" s="14"/>
      <c r="F18" s="47"/>
      <c r="G18" s="47"/>
      <c r="H18" s="18">
        <v>275</v>
      </c>
      <c r="I18" s="18">
        <v>300</v>
      </c>
      <c r="J18" s="14">
        <f>AVERAGE(H18,I18)</f>
        <v>287.5</v>
      </c>
      <c r="K18" s="12">
        <f>'Income Statement'!E123</f>
        <v>179</v>
      </c>
      <c r="L18" s="11" t="str">
        <f>IF(ISNUMBER(K18),IF(O18="higher",IF(K18&gt;I18*(1+$C$9),"Beat",IF(K18&lt;H18*(1-$C$9),"Miss","In line")),IF(K18&lt;H18*(1-$C$9),"Beat",IF(K18&gt;I18*(1+$C$9),"Miss","In line"))),"n.a.")</f>
        <v>Beat</v>
      </c>
      <c r="M18" s="14"/>
      <c r="N18" s="47">
        <f>IF(ISNUMBER(M18),M18/J18-1,IF(ISNUMBER(K18),K18/J18-1,""))</f>
        <v>-0.3773913043478261</v>
      </c>
      <c r="O18" s="57" t="s">
        <v>634</v>
      </c>
      <c r="P18" s="1"/>
    </row>
    <row r="19">
      <c r="A19" s="1"/>
      <c r="B19" s="32" t="s">
        <v>635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>
      <c r="A20" s="1"/>
      <c r="B20" s="1" t="s">
        <v>629</v>
      </c>
      <c r="C20" s="58">
        <v>45945</v>
      </c>
      <c r="D20" s="11" t="s">
        <v>636</v>
      </c>
      <c r="E20" s="12">
        <f>'Revenue summary'!E61</f>
        <v>325932</v>
      </c>
      <c r="F20" s="50">
        <v>0</v>
      </c>
      <c r="G20" s="50">
        <v>0.01</v>
      </c>
      <c r="H20" s="14">
        <f>E20*(1+F20)</f>
        <v>325932</v>
      </c>
      <c r="I20" s="14">
        <f>E20*(1+G20)</f>
        <v>329191.32</v>
      </c>
      <c r="J20" s="14">
        <f>AVERAGE(H20,I20)</f>
        <v>327561.66000000003</v>
      </c>
      <c r="K20" s="12">
        <f>'Revenue summary'!F61</f>
        <v>327929</v>
      </c>
      <c r="L20" s="11" t="str">
        <f>IF(ISNUMBER(K20),IF(O20="higher",IF(K20&gt;I20*(1+$C$9),"Beat",IF(K20&lt;H20*(1-$C$9),"Miss","In line")),IF(K20&lt;H20*(1-$C$9),"Beat",IF(K20&gt;I20*(1+$C$9),"Miss","In line"))),"n.a.")</f>
        <v>In line</v>
      </c>
      <c r="M20" s="14"/>
      <c r="N20" s="47">
        <f>IF(ISNUMBER(M20),M20/J20-1,IF(ISNUMBER(K20),K20/J20-1,""))</f>
        <v>0.0011214377164896483</v>
      </c>
      <c r="O20" s="57" t="s">
        <v>631</v>
      </c>
      <c r="P20" s="1"/>
    </row>
    <row r="21">
      <c r="A21" s="1"/>
      <c r="B21" s="1" t="s">
        <v>227</v>
      </c>
      <c r="C21" s="58">
        <v>45945</v>
      </c>
      <c r="D21" s="11" t="s">
        <v>636</v>
      </c>
      <c r="E21" s="12">
        <f>'Income Statement'!E17</f>
        <v>3648</v>
      </c>
      <c r="F21" s="50">
        <v>0.015</v>
      </c>
      <c r="G21" s="50">
        <v>0.015</v>
      </c>
      <c r="H21" s="14">
        <f>E21*(1+F21)</f>
        <v>3702.72</v>
      </c>
      <c r="I21" s="14">
        <f>E21*(1+G21)</f>
        <v>3702.72</v>
      </c>
      <c r="J21" s="14">
        <f>AVERAGE(H21,I21)</f>
        <v>3702.72</v>
      </c>
      <c r="K21" s="12">
        <f>'Income Statement'!F17</f>
        <v>3731</v>
      </c>
      <c r="L21" s="11" t="str">
        <f>IF(ISNUMBER(K21),IF(O21="higher",IF(K21&gt;I21*(1+$C$9),"Beat",IF(K21&lt;H21*(1-$C$9),"Miss","In line")),IF(K21&lt;H21*(1-$C$9),"Beat",IF(K21&gt;I21*(1+$C$9),"Miss","In line"))),"n.a.")</f>
        <v>Beat</v>
      </c>
      <c r="M21" s="14"/>
      <c r="N21" s="47">
        <f>IF(ISNUMBER(M21),M21/J21-1,IF(ISNUMBER(K21),K21/J21-1,""))</f>
        <v>0.00763762855414396</v>
      </c>
      <c r="O21" s="57" t="s">
        <v>631</v>
      </c>
      <c r="P21" s="1"/>
    </row>
    <row r="22">
      <c r="A22" s="1"/>
      <c r="B22" s="1" t="s">
        <v>243</v>
      </c>
      <c r="C22" s="58">
        <v>45945</v>
      </c>
      <c r="D22" s="11" t="s">
        <v>636</v>
      </c>
      <c r="E22" s="12">
        <f>'Income Statement'!E25</f>
        <v>2069</v>
      </c>
      <c r="F22" s="50">
        <v>-0.03</v>
      </c>
      <c r="G22" s="50">
        <v>-0.03</v>
      </c>
      <c r="H22" s="14">
        <f>E22*(1+F22)</f>
        <v>2006.9299999999998</v>
      </c>
      <c r="I22" s="14">
        <f>E22*(1+G22)</f>
        <v>2006.9299999999998</v>
      </c>
      <c r="J22" s="14">
        <f>AVERAGE(H22,I22)</f>
        <v>2006.9299999999998</v>
      </c>
      <c r="K22" s="12">
        <f>'Income Statement'!F25</f>
        <v>2123</v>
      </c>
      <c r="L22" s="11" t="str">
        <f>IF(ISNUMBER(K22),IF(O22="higher",IF(K22&gt;I22*(1+$C$9),"Beat",IF(K22&lt;H22*(1-$C$9),"Miss","In line")),IF(K22&lt;H22*(1-$C$9),"Beat",IF(K22&gt;I22*(1+$C$9),"Miss","In line"))),"n.a.")</f>
        <v>Beat</v>
      </c>
      <c r="M22" s="14"/>
      <c r="N22" s="47">
        <f>IF(ISNUMBER(M22),M22/J22-1,IF(ISNUMBER(K22),K22/J22-1,""))</f>
        <v>0.057834603100257675</v>
      </c>
      <c r="O22" s="57" t="s">
        <v>631</v>
      </c>
      <c r="P22" s="1"/>
    </row>
    <row r="23" ht="41.25">
      <c r="A23" s="1"/>
      <c r="B23" s="1" t="s">
        <v>251</v>
      </c>
      <c r="C23" s="58">
        <v>45945</v>
      </c>
      <c r="D23" s="11" t="s">
        <v>636</v>
      </c>
      <c r="E23" s="14"/>
      <c r="F23" s="47"/>
      <c r="G23" s="47"/>
      <c r="H23" s="18">
        <v>150</v>
      </c>
      <c r="I23" s="18">
        <v>200</v>
      </c>
      <c r="J23" s="14">
        <f>AVERAGE(H23,I23)</f>
        <v>175</v>
      </c>
      <c r="K23" s="12">
        <f>'Income Statement'!F29</f>
        <v>217</v>
      </c>
      <c r="L23" s="11" t="str">
        <f>IF(ISNUMBER(K23),IF(O23="higher",IF(K23&gt;I23*(1+$C$9),"Beat",IF(K23&lt;H23*(1-$C$9),"Miss","In line")),IF(K23&lt;H23*(1-$C$9),"Beat",IF(K23&gt;I23*(1+$C$9),"Miss","In line"))),"n.a.")</f>
        <v>Beat</v>
      </c>
      <c r="M23" s="14"/>
      <c r="N23" s="47">
        <f>IF(ISNUMBER(M23),M23/J23-1,IF(ISNUMBER(K23),K23/J23-1,""))</f>
        <v>0.24</v>
      </c>
      <c r="O23" s="57" t="s">
        <v>631</v>
      </c>
      <c r="P23" s="133" t="s">
        <v>637</v>
      </c>
    </row>
    <row r="24">
      <c r="A24" s="1"/>
      <c r="B24" s="1" t="s">
        <v>142</v>
      </c>
      <c r="C24" s="58">
        <v>45945</v>
      </c>
      <c r="D24" s="11" t="s">
        <v>636</v>
      </c>
      <c r="E24" s="12">
        <f>'Income Statement'!E33</f>
        <v>5915</v>
      </c>
      <c r="F24" s="50">
        <v>-0.01</v>
      </c>
      <c r="G24" s="50">
        <v>0</v>
      </c>
      <c r="H24" s="14">
        <f>E24*(1+F24)</f>
        <v>5855.85</v>
      </c>
      <c r="I24" s="14">
        <f>E24*(1+G24)</f>
        <v>5915</v>
      </c>
      <c r="J24" s="14">
        <f>AVERAGE(H24,I24)</f>
        <v>5885.425</v>
      </c>
      <c r="K24" s="12">
        <f>'Income Statement'!F33</f>
        <v>6071</v>
      </c>
      <c r="L24" s="11" t="str">
        <f>IF(ISNUMBER(K24),IF(O24="higher",IF(K24&gt;I24*(1+$C$9),"Beat",IF(K24&lt;H24*(1-$C$9),"Miss","In line")),IF(K24&lt;H24*(1-$C$9),"Beat",IF(K24&gt;I24*(1+$C$9),"Miss","In line"))),"n.a.")</f>
        <v>Beat</v>
      </c>
      <c r="M24" s="14"/>
      <c r="N24" s="47">
        <f>IF(ISNUMBER(M24),M24/J24-1,IF(ISNUMBER(K24),K24/J24-1,""))</f>
        <v>0.03153128278756423</v>
      </c>
      <c r="O24" s="57" t="s">
        <v>631</v>
      </c>
      <c r="P24" s="1"/>
    </row>
    <row r="25">
      <c r="A25" s="1"/>
      <c r="B25" s="1" t="s">
        <v>633</v>
      </c>
      <c r="C25" s="58">
        <v>45945</v>
      </c>
      <c r="D25" s="11" t="s">
        <v>636</v>
      </c>
      <c r="E25" s="12">
        <f>'Income Statement'!E45</f>
        <v>3461</v>
      </c>
      <c r="F25" s="50">
        <v>0.01</v>
      </c>
      <c r="G25" s="50">
        <v>0.02</v>
      </c>
      <c r="H25" s="14">
        <f>E25*(1+F25)</f>
        <v>3495.61</v>
      </c>
      <c r="I25" s="14">
        <f>E25*(1+G25)</f>
        <v>3530.2200000000003</v>
      </c>
      <c r="J25" s="14">
        <f>AVERAGE(H25,I25)</f>
        <v>3512.915</v>
      </c>
      <c r="K25" s="12">
        <f>'Income Statement'!F110</f>
        <v>3603</v>
      </c>
      <c r="L25" s="11" t="str">
        <f>IF(ISNUMBER(K25),IF(O25="higher",IF(K25&gt;I25*(1+$C$9),"Beat",IF(K25&lt;H25*(1-$C$9),"Miss","In line")),IF(K25&lt;H25*(1-$C$9),"Beat",IF(K25&gt;I25*(1+$C$9),"Miss","In line"))),"n.a.")</f>
        <v>Miss</v>
      </c>
      <c r="M25" s="14"/>
      <c r="N25" s="47">
        <f>IF(ISNUMBER(M25),M25/J25-1,IF(ISNUMBER(K25),K25/J25-1,""))</f>
        <v>0.025643945270523272</v>
      </c>
      <c r="O25" s="57" t="s">
        <v>634</v>
      </c>
      <c r="P25" s="1"/>
    </row>
    <row r="26">
      <c r="A26" s="1"/>
      <c r="B26" s="1" t="s">
        <v>324</v>
      </c>
      <c r="C26" s="58">
        <v>45945</v>
      </c>
      <c r="D26" s="11" t="s">
        <v>636</v>
      </c>
      <c r="E26" s="14"/>
      <c r="F26" s="47"/>
      <c r="G26" s="47"/>
      <c r="H26" s="18">
        <v>200</v>
      </c>
      <c r="I26" s="18">
        <v>225</v>
      </c>
      <c r="J26" s="14">
        <f>AVERAGE(H26,I26)</f>
        <v>212.5</v>
      </c>
      <c r="K26" s="12">
        <f>'Income Statement'!F123</f>
        <v>162</v>
      </c>
      <c r="L26" s="11" t="str">
        <f>IF(ISNUMBER(K26),IF(O26="higher",IF(K26&gt;I26*(1+$C$9),"Beat",IF(K26&lt;H26*(1-$C$9),"Miss","In line")),IF(K26&lt;H26*(1-$C$9),"Beat",IF(K26&gt;I26*(1+$C$9),"Miss","In line"))),"n.a.")</f>
        <v>Beat</v>
      </c>
      <c r="M26" s="14"/>
      <c r="N26" s="47">
        <f>IF(ISNUMBER(M26),M26/J26-1,IF(ISNUMBER(K26),K26/J26-1,""))</f>
        <v>-0.23764705882352943</v>
      </c>
      <c r="O26" s="57" t="s">
        <v>634</v>
      </c>
      <c r="P26" s="1"/>
    </row>
    <row r="27">
      <c r="A27" s="1"/>
      <c r="B27" s="32" t="s">
        <v>638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>
      <c r="A28" s="1"/>
      <c r="B28" s="1" t="s">
        <v>629</v>
      </c>
      <c r="C28" s="58">
        <v>46038</v>
      </c>
      <c r="D28" s="11" t="s">
        <v>639</v>
      </c>
      <c r="E28" s="12">
        <f>'Revenue summary'!F61</f>
        <v>327929</v>
      </c>
      <c r="F28" s="50">
        <v>0.05</v>
      </c>
      <c r="G28" s="50">
        <v>0.05</v>
      </c>
      <c r="H28" s="14">
        <f>E28*(1+F28)</f>
        <v>344325.45</v>
      </c>
      <c r="I28" s="14">
        <f>E28*(1+G28)</f>
        <v>344325.45</v>
      </c>
      <c r="J28" s="14">
        <f>AVERAGE(H28,I28)</f>
        <v>344325.45</v>
      </c>
      <c r="K28" s="12">
        <f>'Revenue summary'!H61</f>
        <v>350883</v>
      </c>
      <c r="L28" s="11" t="str">
        <f>IF(ISNUMBER(K28),IF(O28="higher",IF(K28&gt;I28*(1+$C$9),"Beat",IF(K28&lt;H28*(1-$C$9),"Miss","In line")),IF(K28&lt;H28*(1-$C$9),"Beat",IF(K28&gt;I28*(1+$C$9),"Miss","In line"))),"n.a.")</f>
        <v>Beat</v>
      </c>
      <c r="M28" s="14"/>
      <c r="N28" s="47">
        <f>IF(ISNUMBER(M28),M28/J28-1,IF(ISNUMBER(K28),K28/J28-1,""))</f>
        <v>0.019044627691621407</v>
      </c>
      <c r="O28" s="57" t="s">
        <v>631</v>
      </c>
      <c r="P28" s="1"/>
    </row>
    <row r="29">
      <c r="A29" s="1"/>
      <c r="B29" s="1" t="s">
        <v>227</v>
      </c>
      <c r="C29" s="58">
        <v>46038</v>
      </c>
      <c r="D29" s="11" t="s">
        <v>639</v>
      </c>
      <c r="E29" s="12">
        <f>'Income Statement'!F17</f>
        <v>3731</v>
      </c>
      <c r="F29" s="50">
        <v>0.06</v>
      </c>
      <c r="G29" s="50">
        <v>0.06</v>
      </c>
      <c r="H29" s="14">
        <f>E29*(1+F29)</f>
        <v>3954.86</v>
      </c>
      <c r="I29" s="14">
        <f>E29*(1+G29)</f>
        <v>3954.86</v>
      </c>
      <c r="J29" s="14">
        <f>AVERAGE(H29,I29)</f>
        <v>3954.86</v>
      </c>
      <c r="K29" s="12">
        <f>'Income Statement'!H17</f>
        <v>3961</v>
      </c>
      <c r="L29" s="11" t="str">
        <f>IF(ISNUMBER(K29),IF(O29="higher",IF(K29&gt;I29*(1+$C$9),"Beat",IF(K29&lt;H29*(1-$C$9),"Miss","In line")),IF(K29&lt;H29*(1-$C$9),"Beat",IF(K29&gt;I29*(1+$C$9),"Miss","In line"))),"n.a.")</f>
        <v>In line</v>
      </c>
      <c r="M29" s="14"/>
      <c r="N29" s="47">
        <f>IF(ISNUMBER(M29),M29/J29-1,IF(ISNUMBER(K29),K29/J29-1,""))</f>
        <v>0.0015525201903481278</v>
      </c>
      <c r="O29" s="57" t="s">
        <v>631</v>
      </c>
      <c r="P29" s="1"/>
    </row>
    <row r="30">
      <c r="A30" s="1"/>
      <c r="B30" s="1" t="s">
        <v>243</v>
      </c>
      <c r="C30" s="58">
        <v>46038</v>
      </c>
      <c r="D30" s="11" t="s">
        <v>639</v>
      </c>
      <c r="E30" s="12">
        <f>'Income Statement'!F25</f>
        <v>2123</v>
      </c>
      <c r="F30" s="50">
        <v>-0.02</v>
      </c>
      <c r="G30" s="50">
        <v>-0.01</v>
      </c>
      <c r="H30" s="14">
        <f>E30*(1+F30)</f>
        <v>2080.54</v>
      </c>
      <c r="I30" s="14">
        <f>E30*(1+G30)</f>
        <v>2101.77</v>
      </c>
      <c r="J30" s="14">
        <f>AVERAGE(H30,I30)</f>
        <v>2091.1549999999997</v>
      </c>
      <c r="K30" s="12">
        <f>'Income Statement'!H25</f>
        <v>2079</v>
      </c>
      <c r="L30" s="11" t="str">
        <f>IF(ISNUMBER(K30),IF(O30="higher",IF(K30&gt;I30*(1+$C$9),"Beat",IF(K30&lt;H30*(1-$C$9),"Miss","In line")),IF(K30&lt;H30*(1-$C$9),"Beat",IF(K30&gt;I30*(1+$C$9),"Miss","In line"))),"n.a.")</f>
        <v>In line</v>
      </c>
      <c r="M30" s="14"/>
      <c r="N30" s="47">
        <f>IF(ISNUMBER(M30),M30/J30-1,IF(ISNUMBER(K30),K30/J30-1,""))</f>
        <v>-0.0058125772599352254</v>
      </c>
      <c r="O30" s="57" t="s">
        <v>631</v>
      </c>
      <c r="P30" s="1"/>
    </row>
    <row r="31" ht="54">
      <c r="A31" s="1"/>
      <c r="B31" s="1" t="s">
        <v>251</v>
      </c>
      <c r="C31" s="58">
        <v>46038</v>
      </c>
      <c r="D31" s="11" t="s">
        <v>639</v>
      </c>
      <c r="E31" s="14"/>
      <c r="F31" s="47"/>
      <c r="G31" s="47"/>
      <c r="H31" s="18">
        <v>150</v>
      </c>
      <c r="I31" s="18">
        <v>200</v>
      </c>
      <c r="J31" s="14">
        <f>AVERAGE(H31,I31)</f>
        <v>175</v>
      </c>
      <c r="K31" s="12">
        <f>'Income Statement'!H29</f>
        <v>125</v>
      </c>
      <c r="L31" s="11" t="str">
        <f>IF(ISNUMBER(K31),IF(O31="higher",IF(K31&gt;I31*(1+$C$9),"Beat",IF(K31&lt;H31*(1-$C$9),"Miss","In line")),IF(K31&lt;H31*(1-$C$9),"Beat",IF(K31&gt;I31*(1+$C$9),"Miss","In line"))),"n.a.")</f>
        <v>Miss</v>
      </c>
      <c r="M31" s="14"/>
      <c r="N31" s="47">
        <f>IF(ISNUMBER(M31),M31/J31-1,IF(ISNUMBER(K31),K31/J31-1,""))</f>
        <v>-0.2857142857142857</v>
      </c>
      <c r="O31" s="57" t="s">
        <v>631</v>
      </c>
      <c r="P31" s="133" t="s">
        <v>640</v>
      </c>
    </row>
    <row r="32">
      <c r="A32" s="1"/>
      <c r="B32" s="1" t="s">
        <v>142</v>
      </c>
      <c r="C32" s="58">
        <v>46038</v>
      </c>
      <c r="D32" s="11" t="s">
        <v>639</v>
      </c>
      <c r="E32" s="12">
        <f>'Income Statement'!F33</f>
        <v>6071</v>
      </c>
      <c r="F32" s="50">
        <v>0.02</v>
      </c>
      <c r="G32" s="50">
        <v>0.03</v>
      </c>
      <c r="H32" s="14">
        <f>E32*(1+F32)</f>
        <v>6192.42</v>
      </c>
      <c r="I32" s="14">
        <f>E32*(1+G32)</f>
        <v>6253.13</v>
      </c>
      <c r="J32" s="14">
        <f>AVERAGE(H32,I32)</f>
        <v>6222.775</v>
      </c>
      <c r="K32" s="12">
        <f>'Income Statement'!H33</f>
        <v>6165</v>
      </c>
      <c r="L32" s="11" t="str">
        <f>IF(ISNUMBER(K32),IF(O32="higher",IF(K32&gt;I32*(1+$C$9),"Beat",IF(K32&lt;H32*(1-$C$9),"Miss","In line")),IF(K32&lt;H32*(1-$C$9),"Beat",IF(K32&gt;I32*(1+$C$9),"Miss","In line"))),"n.a.")</f>
        <v>In line</v>
      </c>
      <c r="M32" s="14"/>
      <c r="N32" s="47">
        <f>IF(ISNUMBER(M32),M32/J32-1,IF(ISNUMBER(K32),K32/J32-1,""))</f>
        <v>-0.00928444303385545</v>
      </c>
      <c r="O32" s="57" t="s">
        <v>631</v>
      </c>
      <c r="P32" s="1"/>
    </row>
    <row r="33">
      <c r="A33" s="1"/>
      <c r="B33" s="1" t="s">
        <v>641</v>
      </c>
      <c r="C33" s="58">
        <v>46038</v>
      </c>
      <c r="D33" s="11" t="s">
        <v>639</v>
      </c>
      <c r="E33" s="12">
        <f>'Income Statement'!F45</f>
        <v>3603</v>
      </c>
      <c r="F33" s="50">
        <v>0.04</v>
      </c>
      <c r="G33" s="50">
        <v>0.04</v>
      </c>
      <c r="H33" s="14">
        <f>E33*(1+F33)</f>
        <v>3747.1200000000003</v>
      </c>
      <c r="I33" s="14">
        <f>E33*(1+G33)</f>
        <v>3747.1200000000003</v>
      </c>
      <c r="J33" s="14">
        <f>AVERAGE(H33,I33)</f>
        <v>3747.1200000000003</v>
      </c>
      <c r="K33" s="12">
        <f>'Income Statement'!H110</f>
        <v>3671</v>
      </c>
      <c r="L33" s="11" t="str">
        <f>IF(ISNUMBER(K33),IF(O33="higher",IF(K33&gt;I33*(1+$C$9),"Beat",IF(K33&lt;H33*(1-$C$9),"Miss","In line")),IF(K33&lt;H33*(1-$C$9),"Beat",IF(K33&gt;I33*(1+$C$9),"Miss","In line"))),"n.a.")</f>
        <v>Beat</v>
      </c>
      <c r="M33" s="14"/>
      <c r="N33" s="47">
        <f>IF(ISNUMBER(M33),M33/J33-1,IF(ISNUMBER(K33),K33/J33-1,""))</f>
        <v>-0.02031426802450953</v>
      </c>
      <c r="O33" s="57" t="s">
        <v>634</v>
      </c>
      <c r="P33" s="1"/>
    </row>
    <row r="34">
      <c r="A34" s="1"/>
      <c r="B34" s="1" t="s">
        <v>324</v>
      </c>
      <c r="C34" s="58">
        <v>46038</v>
      </c>
      <c r="D34" s="11" t="s">
        <v>639</v>
      </c>
      <c r="E34" s="14"/>
      <c r="F34" s="47"/>
      <c r="G34" s="47"/>
      <c r="H34" s="18">
        <v>200</v>
      </c>
      <c r="I34" s="18">
        <v>200</v>
      </c>
      <c r="J34" s="14">
        <f>AVERAGE(H34,I34)</f>
        <v>200</v>
      </c>
      <c r="K34" s="12">
        <f>'Income Statement'!H123</f>
        <v>253</v>
      </c>
      <c r="L34" s="11" t="str">
        <f>IF(ISNUMBER(K34),IF(O34="higher",IF(K34&gt;I34*(1+$C$9),"Beat",IF(K34&lt;H34*(1-$C$9),"Miss","In line")),IF(K34&lt;H34*(1-$C$9),"Beat",IF(K34&gt;I34*(1+$C$9),"Miss","In line"))),"n.a.")</f>
        <v>Miss</v>
      </c>
      <c r="M34" s="14"/>
      <c r="N34" s="47">
        <f>IF(ISNUMBER(M34),M34/J34-1,IF(ISNUMBER(K34),K34/J34-1,""))</f>
        <v>0.2649999999999999</v>
      </c>
      <c r="O34" s="57" t="s">
        <v>634</v>
      </c>
      <c r="P34" s="1"/>
    </row>
    <row r="35">
      <c r="A35" s="1"/>
      <c r="B35" s="1" t="s">
        <v>642</v>
      </c>
      <c r="C35" s="58">
        <v>46038</v>
      </c>
      <c r="D35" s="11" t="s">
        <v>639</v>
      </c>
      <c r="E35" s="14"/>
      <c r="F35" s="47"/>
      <c r="G35" s="47"/>
      <c r="H35" s="18">
        <v>406</v>
      </c>
      <c r="I35" s="18">
        <v>406</v>
      </c>
      <c r="J35" s="14">
        <f>AVERAGE(H35,I35)</f>
        <v>406</v>
      </c>
      <c r="K35" s="12">
        <f>'Income Statement'!H64</f>
        <v>405</v>
      </c>
      <c r="L35" s="11" t="str">
        <f>IF(ISNUMBER(K35),IF(O35="higher",IF(K35&gt;I35*(1+$C$9),"Beat",IF(K35&lt;H35*(1-$C$9),"Miss","In line")),IF(K35&lt;H35*(1-$C$9),"Beat",IF(K35&gt;I35*(1+$C$9),"Miss","In line"))),"n.a.")</f>
        <v>In line</v>
      </c>
      <c r="M35" s="14"/>
      <c r="N35" s="47">
        <f>IF(ISNUMBER(M35),M35/J35-1,IF(ISNUMBER(K35),K35/J35-1,""))</f>
        <v>-0.0024630541871921707</v>
      </c>
      <c r="O35" s="57" t="s">
        <v>634</v>
      </c>
      <c r="P35" s="1"/>
    </row>
    <row r="36">
      <c r="A36" s="1"/>
      <c r="B36" s="32" t="s">
        <v>643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>
      <c r="A37" s="1"/>
      <c r="B37" s="1" t="s">
        <v>629</v>
      </c>
      <c r="C37" s="58">
        <v>46127</v>
      </c>
      <c r="D37" s="11" t="s">
        <v>644</v>
      </c>
      <c r="E37" s="12">
        <f>'Revenue summary'!H61</f>
        <v>350883</v>
      </c>
      <c r="F37" s="50">
        <v>0.02</v>
      </c>
      <c r="G37" s="50">
        <v>0.03</v>
      </c>
      <c r="H37" s="14">
        <f>E37*(1+F37)</f>
        <v>357900.66000000003</v>
      </c>
      <c r="I37" s="14">
        <f>E37*(1+G37)</f>
        <v>361409.49</v>
      </c>
      <c r="J37" s="14">
        <f>AVERAGE(H37,I37)</f>
        <v>359655.075</v>
      </c>
      <c r="K37" s="12">
        <f>'Revenue summary'!I61</f>
        <v>363196</v>
      </c>
      <c r="L37" s="11" t="str">
        <f>IF(ISNUMBER(K37),IF(O37="higher",IF(K37&gt;I37*(1+$C$9),"Beat",IF(K37&lt;H37*(1-$C$9),"Miss","In line")),IF(K37&lt;H37*(1-$C$9),"Beat",IF(K37&gt;I37*(1+$C$9),"Miss","In line"))),"n.a.")</f>
        <v>In line</v>
      </c>
      <c r="M37" s="14"/>
      <c r="N37" s="47">
        <f>IF(ISNUMBER(M37),M37/J37-1,IF(ISNUMBER(K37),K37/J37-1,""))</f>
        <v>0.009845335840179548</v>
      </c>
      <c r="O37" s="57" t="s">
        <v>631</v>
      </c>
      <c r="P37" s="1"/>
    </row>
    <row r="38">
      <c r="A38" s="1"/>
      <c r="B38" s="1" t="s">
        <v>227</v>
      </c>
      <c r="C38" s="58">
        <v>46127</v>
      </c>
      <c r="D38" s="11" t="s">
        <v>644</v>
      </c>
      <c r="E38" s="12">
        <f>'Income Statement'!H17</f>
        <v>3961</v>
      </c>
      <c r="F38" s="50">
        <v>0.03</v>
      </c>
      <c r="G38" s="50">
        <v>0.03</v>
      </c>
      <c r="H38" s="14">
        <f>E38*(1+F38)</f>
        <v>4079.83</v>
      </c>
      <c r="I38" s="14">
        <f>E38*(1+G38)</f>
        <v>4079.83</v>
      </c>
      <c r="J38" s="14">
        <f>AVERAGE(H38,I38)</f>
        <v>4079.83</v>
      </c>
      <c r="K38" s="12">
        <f>'Income Statement'!I17</f>
        <v>4107</v>
      </c>
      <c r="L38" s="11" t="str">
        <f>IF(ISNUMBER(K38),IF(O38="higher",IF(K38&gt;I38*(1+$C$9),"Beat",IF(K38&lt;H38*(1-$C$9),"Miss","In line")),IF(K38&lt;H38*(1-$C$9),"Beat",IF(K38&gt;I38*(1+$C$9),"Miss","In line"))),"n.a.")</f>
        <v>Beat</v>
      </c>
      <c r="M38" s="14"/>
      <c r="N38" s="47">
        <f>IF(ISNUMBER(M38),M38/J38-1,IF(ISNUMBER(K38),K38/J38-1,""))</f>
        <v>0.006659591208457272</v>
      </c>
      <c r="O38" s="57" t="s">
        <v>631</v>
      </c>
      <c r="P38" s="1"/>
    </row>
    <row r="39">
      <c r="A39" s="1"/>
      <c r="B39" s="1" t="s">
        <v>243</v>
      </c>
      <c r="C39" s="58">
        <v>46127</v>
      </c>
      <c r="D39" s="11" t="s">
        <v>644</v>
      </c>
      <c r="E39" s="12">
        <f>'Income Statement'!H25</f>
        <v>2079</v>
      </c>
      <c r="F39" s="50">
        <v>0.025</v>
      </c>
      <c r="G39" s="50">
        <v>0.025</v>
      </c>
      <c r="H39" s="14">
        <f>E39*(1+F39)</f>
        <v>2130.975</v>
      </c>
      <c r="I39" s="14">
        <f>E39*(1+G39)</f>
        <v>2130.975</v>
      </c>
      <c r="J39" s="14">
        <f>AVERAGE(H39,I39)</f>
        <v>2130.975</v>
      </c>
      <c r="K39" s="12">
        <f>'Income Statement'!I25</f>
        <v>2279</v>
      </c>
      <c r="L39" s="11" t="str">
        <f>IF(ISNUMBER(K39),IF(O39="higher",IF(K39&gt;I39*(1+$C$9),"Beat",IF(K39&lt;H39*(1-$C$9),"Miss","In line")),IF(K39&lt;H39*(1-$C$9),"Beat",IF(K39&gt;I39*(1+$C$9),"Miss","In line"))),"n.a.")</f>
        <v>Beat</v>
      </c>
      <c r="M39" s="14"/>
      <c r="N39" s="47">
        <f>IF(ISNUMBER(M39),M39/J39-1,IF(ISNUMBER(K39),K39/J39-1,""))</f>
        <v>0.06946350848789873</v>
      </c>
      <c r="O39" s="57" t="s">
        <v>631</v>
      </c>
      <c r="P39" s="1"/>
    </row>
    <row r="40" ht="54">
      <c r="A40" s="1"/>
      <c r="B40" s="1" t="s">
        <v>645</v>
      </c>
      <c r="C40" s="58">
        <v>46127</v>
      </c>
      <c r="D40" s="11" t="s">
        <v>644</v>
      </c>
      <c r="E40" s="14"/>
      <c r="F40" s="47"/>
      <c r="G40" s="47"/>
      <c r="H40" s="18">
        <v>150</v>
      </c>
      <c r="I40" s="18">
        <v>200</v>
      </c>
      <c r="J40" s="14">
        <f>AVERAGE(H40,I40)</f>
        <v>175</v>
      </c>
      <c r="K40" s="12">
        <f>'Income Statement'!I109-'Income Statement'!I17-'Income Statement'!I25</f>
        <v>271</v>
      </c>
      <c r="L40" s="11" t="str">
        <f>IF(ISNUMBER(K40),IF(O40="higher",IF(K40&gt;I40*(1+$C$9),"Beat",IF(K40&lt;H40*(1-$C$9),"Miss","In line")),IF(K40&lt;H40*(1-$C$9),"Beat",IF(K40&gt;I40*(1+$C$9),"Miss","In line"))),"n.a.")</f>
        <v>Beat</v>
      </c>
      <c r="M40" s="14"/>
      <c r="N40" s="47">
        <f>IF(ISNUMBER(M40),M40/J40-1,IF(ISNUMBER(K40),K40/J40-1,""))</f>
        <v>0.5485714285714285</v>
      </c>
      <c r="O40" s="57" t="s">
        <v>631</v>
      </c>
      <c r="P40" s="133" t="s">
        <v>646</v>
      </c>
    </row>
    <row r="41">
      <c r="A41" s="1"/>
      <c r="B41" s="1" t="s">
        <v>647</v>
      </c>
      <c r="C41" s="58">
        <v>46127</v>
      </c>
      <c r="D41" s="11" t="s">
        <v>644</v>
      </c>
      <c r="E41" s="12">
        <f>'Income Statement'!H33</f>
        <v>6165</v>
      </c>
      <c r="F41" s="50">
        <v>0.035</v>
      </c>
      <c r="G41" s="50">
        <v>0.035</v>
      </c>
      <c r="H41" s="14">
        <f>E41*(1+F41)</f>
        <v>6380.775</v>
      </c>
      <c r="I41" s="14">
        <f>E41*(1+G41)</f>
        <v>6380.775</v>
      </c>
      <c r="J41" s="14">
        <f>AVERAGE(H41,I41)</f>
        <v>6380.775</v>
      </c>
      <c r="K41" s="12">
        <f>'Income Statement'!I109</f>
        <v>6657</v>
      </c>
      <c r="L41" s="11" t="str">
        <f>IF(ISNUMBER(K41),IF(O41="higher",IF(K41&gt;I41*(1+$C$9),"Beat",IF(K41&lt;H41*(1-$C$9),"Miss","In line")),IF(K41&lt;H41*(1-$C$9),"Beat",IF(K41&gt;I41*(1+$C$9),"Miss","In line"))),"n.a.")</f>
        <v>Beat</v>
      </c>
      <c r="M41" s="14"/>
      <c r="N41" s="47">
        <f>IF(ISNUMBER(M41),M41/J41-1,IF(ISNUMBER(K41),K41/J41-1,""))</f>
        <v>0.04329019594014838</v>
      </c>
      <c r="O41" s="57" t="s">
        <v>631</v>
      </c>
      <c r="P41" s="1"/>
    </row>
    <row r="42">
      <c r="A42" s="1"/>
      <c r="B42" s="1" t="s">
        <v>648</v>
      </c>
      <c r="C42" s="58">
        <v>46127</v>
      </c>
      <c r="D42" s="11" t="s">
        <v>644</v>
      </c>
      <c r="E42" s="12">
        <f>'Income Statement'!H110</f>
        <v>3671</v>
      </c>
      <c r="F42" s="50">
        <v>0.02</v>
      </c>
      <c r="G42" s="50">
        <v>0.02</v>
      </c>
      <c r="H42" s="14">
        <f>E42*(1+F42)</f>
        <v>3744.42</v>
      </c>
      <c r="I42" s="14">
        <f>E42*(1+G42)</f>
        <v>3744.42</v>
      </c>
      <c r="J42" s="14">
        <f>AVERAGE(H42,I42)</f>
        <v>3744.42</v>
      </c>
      <c r="K42" s="12">
        <f>'Income Statement'!I110</f>
        <v>3837</v>
      </c>
      <c r="L42" s="11" t="str">
        <f>IF(ISNUMBER(K42),IF(O42="higher",IF(K42&gt;I42*(1+$C$9),"Beat",IF(K42&lt;H42*(1-$C$9),"Miss","In line")),IF(K42&lt;H42*(1-$C$9),"Beat",IF(K42&gt;I42*(1+$C$9),"Miss","In line"))),"n.a.")</f>
        <v>Miss</v>
      </c>
      <c r="M42" s="14"/>
      <c r="N42" s="47">
        <f>IF(ISNUMBER(M42),M42/J42-1,IF(ISNUMBER(K42),K42/J42-1,""))</f>
        <v>0.024724790488246384</v>
      </c>
      <c r="O42" s="57" t="s">
        <v>634</v>
      </c>
      <c r="P42" s="1"/>
    </row>
    <row r="43">
      <c r="A43" s="1"/>
      <c r="B43" s="1" t="s">
        <v>324</v>
      </c>
      <c r="C43" s="58">
        <v>46127</v>
      </c>
      <c r="D43" s="11" t="s">
        <v>644</v>
      </c>
      <c r="E43" s="14"/>
      <c r="F43" s="47"/>
      <c r="G43" s="47"/>
      <c r="H43" s="18">
        <v>225</v>
      </c>
      <c r="I43" s="18">
        <v>225</v>
      </c>
      <c r="J43" s="14">
        <f>AVERAGE(H43,I43)</f>
        <v>225</v>
      </c>
      <c r="K43" s="12">
        <f>'Income Statement'!I123</f>
        <v>226</v>
      </c>
      <c r="L43" s="11" t="str">
        <f>IF(ISNUMBER(K43),IF(O43="higher",IF(K43&gt;I43*(1+$C$9),"Beat",IF(K43&lt;H43*(1-$C$9),"Miss","In line")),IF(K43&lt;H43*(1-$C$9),"Beat",IF(K43&gt;I43*(1+$C$9),"Miss","In line"))),"n.a.")</f>
        <v>In line</v>
      </c>
      <c r="M43" s="14"/>
      <c r="N43" s="47">
        <f>IF(ISNUMBER(M43),M43/J43-1,IF(ISNUMBER(K43),K43/J43-1,""))</f>
        <v>0.004444444444444473</v>
      </c>
      <c r="O43" s="57" t="s">
        <v>634</v>
      </c>
      <c r="P43" s="1"/>
    </row>
    <row r="44">
      <c r="A44" s="1"/>
      <c r="B44" s="32" t="s">
        <v>649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>
      <c r="A45" s="1"/>
      <c r="B45" s="1" t="s">
        <v>629</v>
      </c>
      <c r="C45" s="58">
        <v>46218</v>
      </c>
      <c r="D45" s="11" t="s">
        <v>650</v>
      </c>
      <c r="E45" s="12">
        <f>'Revenue summary'!I61</f>
        <v>363196</v>
      </c>
      <c r="F45" s="50">
        <v>0.01</v>
      </c>
      <c r="G45" s="50">
        <v>0.02</v>
      </c>
      <c r="H45" s="14">
        <f>E45*(1+F45)</f>
        <v>366827.96</v>
      </c>
      <c r="I45" s="14">
        <f>E45*(1+G45)</f>
        <v>370459.92</v>
      </c>
      <c r="J45" s="14">
        <f>AVERAGE(H45,I45)</f>
        <v>368643.94</v>
      </c>
      <c r="K45" s="14" t="s">
        <v>40</v>
      </c>
      <c r="L45" s="11" t="str">
        <f>IF(ISNUMBER(K45),IF(O45="higher",IF(K45&gt;I45*(1+$C$9),"Beat",IF(K45&lt;H45*(1-$C$9),"Miss","In line")),IF(K45&lt;H45*(1-$C$9),"Beat",IF(K45&gt;I45*(1+$C$9),"Miss","In line"))),"n.a.")</f>
        <v>n.a.</v>
      </c>
      <c r="M45" s="12">
        <f>'Revenue summary'!J61</f>
        <v>368532</v>
      </c>
      <c r="N45" s="47">
        <f>IF(ISNUMBER(M45),M45/J45-1,IF(ISNUMBER(K45),K45/J45-1,""))</f>
        <v>-0.00030365343859983795</v>
      </c>
      <c r="O45" s="57" t="s">
        <v>631</v>
      </c>
      <c r="P45" s="1"/>
    </row>
    <row r="46">
      <c r="A46" s="1"/>
      <c r="B46" s="1" t="s">
        <v>227</v>
      </c>
      <c r="C46" s="58">
        <v>46218</v>
      </c>
      <c r="D46" s="11" t="s">
        <v>650</v>
      </c>
      <c r="E46" s="12">
        <f>'Income Statement'!I17</f>
        <v>4107</v>
      </c>
      <c r="F46" s="50">
        <v>0.03</v>
      </c>
      <c r="G46" s="50">
        <v>0.035</v>
      </c>
      <c r="H46" s="14">
        <f>E46*(1+F46)</f>
        <v>4230.21</v>
      </c>
      <c r="I46" s="14">
        <f>E46*(1+G46)</f>
        <v>4250.745</v>
      </c>
      <c r="J46" s="14">
        <f>AVERAGE(H46,I46)</f>
        <v>4240.4775</v>
      </c>
      <c r="K46" s="14" t="s">
        <v>40</v>
      </c>
      <c r="L46" s="11" t="str">
        <f>IF(ISNUMBER(K46),IF(O46="higher",IF(K46&gt;I46*(1+$C$9),"Beat",IF(K46&lt;H46*(1-$C$9),"Miss","In line")),IF(K46&lt;H46*(1-$C$9),"Beat",IF(K46&gt;I46*(1+$C$9),"Miss","In line"))),"n.a.")</f>
        <v>n.a.</v>
      </c>
      <c r="M46" s="12">
        <f>'Income Statement'!J17</f>
        <v>4245.026533592327</v>
      </c>
      <c r="N46" s="47">
        <f>IF(ISNUMBER(M46),M46/J46-1,IF(ISNUMBER(K46),K46/J46-1,""))</f>
        <v>0.0010727644687011928</v>
      </c>
      <c r="O46" s="57" t="s">
        <v>631</v>
      </c>
      <c r="P46" s="1"/>
    </row>
    <row r="47" ht="41.25">
      <c r="A47" s="1"/>
      <c r="B47" s="1" t="s">
        <v>243</v>
      </c>
      <c r="C47" s="58">
        <v>46218</v>
      </c>
      <c r="D47" s="11" t="s">
        <v>650</v>
      </c>
      <c r="E47" s="12">
        <f>'Income Statement'!I25</f>
        <v>2279</v>
      </c>
      <c r="F47" s="50">
        <v>-0.055</v>
      </c>
      <c r="G47" s="50">
        <v>-0.05</v>
      </c>
      <c r="H47" s="14">
        <f>E47*(1+F47)</f>
        <v>2153.6549999999997</v>
      </c>
      <c r="I47" s="14">
        <f>E47*(1+G47)</f>
        <v>2165.0499999999997</v>
      </c>
      <c r="J47" s="14">
        <f>AVERAGE(H47,I47)</f>
        <v>2159.3525</v>
      </c>
      <c r="K47" s="14" t="s">
        <v>40</v>
      </c>
      <c r="L47" s="11" t="str">
        <f>IF(ISNUMBER(K47),IF(O47="higher",IF(K47&gt;I47*(1+$C$9),"Beat",IF(K47&lt;H47*(1-$C$9),"Miss","In line")),IF(K47&lt;H47*(1-$C$9),"Beat",IF(K47&gt;I47*(1+$C$9),"Miss","In line"))),"n.a.")</f>
        <v>n.a.</v>
      </c>
      <c r="M47" s="12">
        <f>'Income Statement'!J25</f>
        <v>2200.079</v>
      </c>
      <c r="N47" s="47">
        <f>IF(ISNUMBER(M47),M47/J47-1,IF(ISNUMBER(K47),K47/J47-1,""))</f>
        <v>0.01886051489972118</v>
      </c>
      <c r="O47" s="57" t="s">
        <v>631</v>
      </c>
      <c r="P47" s="133" t="s">
        <v>651</v>
      </c>
    </row>
    <row r="48" ht="66.75">
      <c r="A48" s="1"/>
      <c r="B48" s="1" t="s">
        <v>652</v>
      </c>
      <c r="C48" s="58">
        <v>46218</v>
      </c>
      <c r="D48" s="11" t="s">
        <v>650</v>
      </c>
      <c r="E48" s="14"/>
      <c r="F48" s="47"/>
      <c r="G48" s="47"/>
      <c r="H48" s="18">
        <v>150</v>
      </c>
      <c r="I48" s="18">
        <v>200</v>
      </c>
      <c r="J48" s="14">
        <f>AVERAGE(H48,I48)</f>
        <v>175</v>
      </c>
      <c r="K48" s="14" t="s">
        <v>40</v>
      </c>
      <c r="L48" s="11" t="str">
        <f>IF(ISNUMBER(K48),IF(O48="higher",IF(K48&gt;I48*(1+$C$9),"Beat",IF(K48&lt;H48*(1-$C$9),"Miss","In line")),IF(K48&lt;H48*(1-$C$9),"Beat",IF(K48&gt;I48*(1+$C$9),"Miss","In line"))),"n.a.")</f>
        <v>n.a.</v>
      </c>
      <c r="M48" s="12">
        <f>'Revenue summary'!J271-'Revenue summary'!J253-'Revenue summary'!J259-'Revenue summary'!J277</f>
        <v>215</v>
      </c>
      <c r="N48" s="47">
        <f>IF(ISNUMBER(M48),M48/J48-1,IF(ISNUMBER(K48),K48/J48-1,""))</f>
        <v>0.22857142857142865</v>
      </c>
      <c r="O48" s="57" t="s">
        <v>631</v>
      </c>
      <c r="P48" s="133" t="s">
        <v>653</v>
      </c>
    </row>
    <row r="49" ht="54">
      <c r="A49" s="1"/>
      <c r="B49" s="1" t="s">
        <v>654</v>
      </c>
      <c r="C49" s="58">
        <v>46218</v>
      </c>
      <c r="D49" s="11" t="s">
        <v>650</v>
      </c>
      <c r="E49" s="14"/>
      <c r="F49" s="47"/>
      <c r="G49" s="47"/>
      <c r="H49" s="14">
        <f>H46+H47+H48</f>
        <v>6533.865</v>
      </c>
      <c r="I49" s="14">
        <f>I46+I47+I48</f>
        <v>6615.795</v>
      </c>
      <c r="J49" s="14">
        <f>AVERAGE(H49,I49)</f>
        <v>6574.83</v>
      </c>
      <c r="K49" s="14" t="s">
        <v>40</v>
      </c>
      <c r="L49" s="11" t="s">
        <v>40</v>
      </c>
      <c r="M49" s="135">
        <f>M46+M47+M48</f>
        <v>6660.1055335923265</v>
      </c>
      <c r="N49" s="47">
        <f>M49/J49-1</f>
        <v>0.012969998249738213</v>
      </c>
      <c r="O49" s="57" t="s">
        <v>631</v>
      </c>
      <c r="P49" s="133" t="s">
        <v>655</v>
      </c>
    </row>
    <row r="50">
      <c r="A50" s="1"/>
      <c r="B50" s="1" t="s">
        <v>656</v>
      </c>
      <c r="C50" s="58">
        <v>46218</v>
      </c>
      <c r="D50" s="11" t="s">
        <v>650</v>
      </c>
      <c r="E50" s="12">
        <f>'Income Statement'!I110</f>
        <v>3837</v>
      </c>
      <c r="F50" s="50">
        <v>-0.03</v>
      </c>
      <c r="G50" s="50">
        <v>-0.02</v>
      </c>
      <c r="H50" s="14">
        <f>E50*(1+F50)</f>
        <v>3721.89</v>
      </c>
      <c r="I50" s="14">
        <f>E50*(1+G50)</f>
        <v>3760.2599999999998</v>
      </c>
      <c r="J50" s="14">
        <f>AVERAGE(H50,I50)</f>
        <v>3741.075</v>
      </c>
      <c r="K50" s="14" t="s">
        <v>40</v>
      </c>
      <c r="L50" s="11" t="str">
        <f>IF(ISNUMBER(K50),IF(O50="higher",IF(K50&gt;I50*(1+$C$9),"Beat",IF(K50&lt;H50*(1-$C$9),"Miss","In line")),IF(K50&lt;H50*(1-$C$9),"Beat",IF(K50&gt;I50*(1+$C$9),"Miss","In line"))),"n.a.")</f>
        <v>n.a.</v>
      </c>
      <c r="M50" s="12">
        <f>'Income Statement'!J110</f>
        <v>3752</v>
      </c>
      <c r="N50" s="47">
        <f>IF(ISNUMBER(M50),M50/J50-1,IF(ISNUMBER(K50),K50/J50-1,""))</f>
        <v>0.0029202836083210837</v>
      </c>
      <c r="O50" s="57" t="s">
        <v>634</v>
      </c>
      <c r="P50" s="1"/>
    </row>
    <row r="51">
      <c r="A51" s="1"/>
      <c r="B51" s="1" t="s">
        <v>657</v>
      </c>
      <c r="C51" s="58">
        <v>46218</v>
      </c>
      <c r="D51" s="11" t="s">
        <v>650</v>
      </c>
      <c r="E51" s="14"/>
      <c r="F51" s="47"/>
      <c r="G51" s="47"/>
      <c r="H51" s="18">
        <v>50</v>
      </c>
      <c r="I51" s="18">
        <v>50</v>
      </c>
      <c r="J51" s="14">
        <f>AVERAGE(H51,I51)</f>
        <v>50</v>
      </c>
      <c r="K51" s="14" t="s">
        <v>40</v>
      </c>
      <c r="L51" s="11" t="str">
        <f>IF(ISNUMBER(K51),IF(O51="higher",IF(K51&gt;I51*(1+$C$9),"Beat",IF(K51&lt;H51*(1-$C$9),"Miss","In line")),IF(K51&lt;H51*(1-$C$9),"Beat",IF(K51&gt;I51*(1+$C$9),"Miss","In line"))),"n.a.")</f>
        <v>n.a.</v>
      </c>
      <c r="M51" s="12">
        <f>'Income Statement'!J92</f>
        <v>50</v>
      </c>
      <c r="N51" s="47">
        <f>IF(ISNUMBER(M51),M51/J51-1,IF(ISNUMBER(K51),K51/J51-1,""))</f>
        <v>0</v>
      </c>
      <c r="O51" s="57" t="s">
        <v>634</v>
      </c>
      <c r="P51" s="1"/>
    </row>
    <row r="52">
      <c r="A52" s="1"/>
      <c r="B52" s="1" t="s">
        <v>324</v>
      </c>
      <c r="C52" s="58">
        <v>46218</v>
      </c>
      <c r="D52" s="11" t="s">
        <v>650</v>
      </c>
      <c r="E52" s="14"/>
      <c r="F52" s="47"/>
      <c r="G52" s="47"/>
      <c r="H52" s="18">
        <v>225</v>
      </c>
      <c r="I52" s="18">
        <v>225</v>
      </c>
      <c r="J52" s="14">
        <f>AVERAGE(H52,I52)</f>
        <v>225</v>
      </c>
      <c r="K52" s="14" t="s">
        <v>40</v>
      </c>
      <c r="L52" s="11" t="str">
        <f>IF(ISNUMBER(K52),IF(O52="higher",IF(K52&gt;I52*(1+$C$9),"Beat",IF(K52&lt;H52*(1-$C$9),"Miss","In line")),IF(K52&lt;H52*(1-$C$9),"Beat",IF(K52&gt;I52*(1+$C$9),"Miss","In line"))),"n.a.")</f>
        <v>n.a.</v>
      </c>
      <c r="M52" s="12">
        <f>'Income Statement'!J123</f>
        <v>225</v>
      </c>
      <c r="N52" s="47">
        <f>IF(ISNUMBER(M52),M52/J52-1,IF(ISNUMBER(K52),K52/J52-1,""))</f>
        <v>0</v>
      </c>
      <c r="O52" s="57" t="s">
        <v>634</v>
      </c>
      <c r="P52" s="1"/>
    </row>
    <row r="53">
      <c r="A53" s="1"/>
      <c r="B53" s="32" t="s">
        <v>658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>
      <c r="A54" s="1"/>
      <c r="B54" s="1" t="s">
        <v>629</v>
      </c>
      <c r="C54" s="58">
        <v>46218</v>
      </c>
      <c r="D54" s="11" t="s">
        <v>659</v>
      </c>
      <c r="E54" s="12">
        <f>'Revenue summary'!G61</f>
        <v>323347.9068493151</v>
      </c>
      <c r="F54" s="50">
        <v>0.125</v>
      </c>
      <c r="G54" s="50">
        <v>0.125</v>
      </c>
      <c r="H54" s="14">
        <f>E54*(1+F54)</f>
        <v>363766.39520547946</v>
      </c>
      <c r="I54" s="14">
        <f>E54*(1+G54)</f>
        <v>363766.39520547946</v>
      </c>
      <c r="J54" s="14">
        <f>AVERAGE(H54,I54)</f>
        <v>363766.39520547946</v>
      </c>
      <c r="K54" s="14" t="s">
        <v>40</v>
      </c>
      <c r="L54" s="11" t="str">
        <f>IF(ISNUMBER(K54),IF(O54="higher",IF(K54&gt;I54*(1+$C$9),"Beat",IF(K54&lt;H54*(1-$C$9),"Miss","In line")),IF(K54&lt;H54*(1-$C$9),"Beat",IF(K54&gt;I54*(1+$C$9),"Miss","In line"))),"n.a.")</f>
        <v>n.a.</v>
      </c>
      <c r="M54" s="14"/>
      <c r="N54" s="47" t="str">
        <f>IF(ISNUMBER(M54),M54/J54-1,IF(ISNUMBER(K54),K54/J54-1,""))</f>
        <v/>
      </c>
      <c r="O54" s="57" t="s">
        <v>631</v>
      </c>
      <c r="P54" s="1"/>
    </row>
    <row r="55">
      <c r="A55" s="1"/>
      <c r="B55" s="1" t="s">
        <v>227</v>
      </c>
      <c r="C55" s="58">
        <v>46218</v>
      </c>
      <c r="D55" s="11" t="s">
        <v>659</v>
      </c>
      <c r="E55" s="12">
        <f>'Income Statement'!G17</f>
        <v>14410</v>
      </c>
      <c r="F55" s="50">
        <v>0.15</v>
      </c>
      <c r="G55" s="50">
        <v>0.155</v>
      </c>
      <c r="H55" s="14">
        <f>E55*(1+F55)</f>
        <v>16571.5</v>
      </c>
      <c r="I55" s="14">
        <f>E55*(1+G55)</f>
        <v>16643.55</v>
      </c>
      <c r="J55" s="14">
        <f>AVERAGE(H55,I55)</f>
        <v>16607.525</v>
      </c>
      <c r="K55" s="14" t="s">
        <v>40</v>
      </c>
      <c r="L55" s="11" t="str">
        <f>IF(ISNUMBER(K55),IF(O55="higher",IF(K55&gt;I55*(1+$C$9),"Beat",IF(K55&lt;H55*(1-$C$9),"Miss","In line")),IF(K55&lt;H55*(1-$C$9),"Beat",IF(K55&gt;I55*(1+$C$9),"Miss","In line"))),"n.a.")</f>
        <v>n.a.</v>
      </c>
      <c r="M55" s="14"/>
      <c r="N55" s="47" t="str">
        <f>IF(ISNUMBER(M55),M55/J55-1,IF(ISNUMBER(K55),K55/J55-1,""))</f>
        <v/>
      </c>
      <c r="O55" s="57" t="s">
        <v>631</v>
      </c>
      <c r="P55" s="1"/>
    </row>
    <row r="56">
      <c r="A56" s="1"/>
      <c r="B56" s="1" t="s">
        <v>279</v>
      </c>
      <c r="C56" s="58">
        <v>46218</v>
      </c>
      <c r="D56" s="11" t="s">
        <v>659</v>
      </c>
      <c r="E56" s="12">
        <f>'Income Statement'!G30</f>
        <v>8689</v>
      </c>
      <c r="F56" s="50">
        <v>0.09</v>
      </c>
      <c r="G56" s="50">
        <v>0.09</v>
      </c>
      <c r="H56" s="14">
        <f>E56*(1+F56)</f>
        <v>9471.01</v>
      </c>
      <c r="I56" s="14">
        <f>E56*(1+G56)</f>
        <v>9471.01</v>
      </c>
      <c r="J56" s="14">
        <f>AVERAGE(H56,I56)</f>
        <v>9471.01</v>
      </c>
      <c r="K56" s="14" t="s">
        <v>40</v>
      </c>
      <c r="L56" s="11" t="str">
        <f>IF(ISNUMBER(K56),IF(O56="higher",IF(K56&gt;I56*(1+$C$9),"Beat",IF(K56&lt;H56*(1-$C$9),"Miss","In line")),IF(K56&lt;H56*(1-$C$9),"Beat",IF(K56&gt;I56*(1+$C$9),"Miss","In line"))),"n.a.")</f>
        <v>n.a.</v>
      </c>
      <c r="M56" s="14"/>
      <c r="N56" s="47" t="str">
        <f>IF(ISNUMBER(M56),M56/J56-1,IF(ISNUMBER(K56),K56/J56-1,""))</f>
        <v/>
      </c>
      <c r="O56" s="57" t="s">
        <v>631</v>
      </c>
      <c r="P56" s="1"/>
    </row>
    <row r="57">
      <c r="A57" s="1"/>
      <c r="B57" s="1" t="s">
        <v>142</v>
      </c>
      <c r="C57" s="58">
        <v>46218</v>
      </c>
      <c r="D57" s="11" t="s">
        <v>659</v>
      </c>
      <c r="E57" s="12">
        <f>'Income Statement'!G33</f>
        <v>23099</v>
      </c>
      <c r="F57" s="50">
        <v>0.13</v>
      </c>
      <c r="G57" s="50">
        <v>0.13</v>
      </c>
      <c r="H57" s="14">
        <f>E57*(1+F57)</f>
        <v>26101.87</v>
      </c>
      <c r="I57" s="14">
        <f>E57*(1+G57)</f>
        <v>26101.87</v>
      </c>
      <c r="J57" s="14">
        <f>AVERAGE(H57,I57)</f>
        <v>26101.87</v>
      </c>
      <c r="K57" s="14" t="s">
        <v>40</v>
      </c>
      <c r="L57" s="11" t="str">
        <f>IF(ISNUMBER(K57),IF(O57="higher",IF(K57&gt;I57*(1+$C$9),"Beat",IF(K57&lt;H57*(1-$C$9),"Miss","In line")),IF(K57&lt;H57*(1-$C$9),"Beat",IF(K57&gt;I57*(1+$C$9),"Miss","In line"))),"n.a.")</f>
        <v>n.a.</v>
      </c>
      <c r="M57" s="14"/>
      <c r="N57" s="47" t="str">
        <f>IF(ISNUMBER(M57),M57/J57-1,IF(ISNUMBER(K57),K57/J57-1,""))</f>
        <v/>
      </c>
      <c r="O57" s="57" t="s">
        <v>631</v>
      </c>
      <c r="P57" s="1"/>
    </row>
    <row r="58">
      <c r="A58" s="1"/>
      <c r="B58" s="1" t="s">
        <v>633</v>
      </c>
      <c r="C58" s="58">
        <v>46218</v>
      </c>
      <c r="D58" s="11" t="s">
        <v>659</v>
      </c>
      <c r="E58" s="12">
        <f>'Income Statement'!G45</f>
        <v>13834</v>
      </c>
      <c r="F58" s="50">
        <v>0.085</v>
      </c>
      <c r="G58" s="50">
        <v>0.085</v>
      </c>
      <c r="H58" s="14">
        <f>E58*(1+F58)</f>
        <v>15009.89</v>
      </c>
      <c r="I58" s="14">
        <f>E58*(1+G58)</f>
        <v>15009.89</v>
      </c>
      <c r="J58" s="14">
        <f>AVERAGE(H58,I58)</f>
        <v>15009.89</v>
      </c>
      <c r="K58" s="14" t="s">
        <v>40</v>
      </c>
      <c r="L58" s="11" t="str">
        <f>IF(ISNUMBER(K58),IF(O58="higher",IF(K58&gt;I58*(1+$C$9),"Beat",IF(K58&lt;H58*(1-$C$9),"Miss","In line")),IF(K58&lt;H58*(1-$C$9),"Beat",IF(K58&gt;I58*(1+$C$9),"Miss","In line"))),"n.a.")</f>
        <v>n.a.</v>
      </c>
      <c r="M58" s="14"/>
      <c r="N58" s="47" t="str">
        <f>IF(ISNUMBER(M58),M58/J58-1,IF(ISNUMBER(K58),K58/J58-1,""))</f>
        <v/>
      </c>
      <c r="O58" s="57" t="s">
        <v>634</v>
      </c>
      <c r="P58" s="1"/>
    </row>
    <row r="59">
      <c r="A59" s="1"/>
      <c r="B59" s="1" t="s">
        <v>660</v>
      </c>
      <c r="C59" s="58">
        <v>46218</v>
      </c>
      <c r="D59" s="11" t="s">
        <v>659</v>
      </c>
      <c r="E59" s="47"/>
      <c r="F59" s="47"/>
      <c r="G59" s="47"/>
      <c r="H59" s="50">
        <v>0.195</v>
      </c>
      <c r="I59" s="50">
        <v>0.195</v>
      </c>
      <c r="J59" s="47">
        <f>AVERAGE(H59,I59)</f>
        <v>0.195</v>
      </c>
      <c r="K59" s="47" t="s">
        <v>40</v>
      </c>
      <c r="L59" s="11" t="str">
        <f>IF(ISNUMBER(K59),IF(O59="higher",IF(K59&gt;I59*(1+$C$9),"Beat",IF(K59&lt;H59*(1-$C$9),"Miss","In line")),IF(K59&lt;H59*(1-$C$9),"Beat",IF(K59&gt;I59*(1+$C$9),"Miss","In line"))),"n.a.")</f>
        <v>n.a.</v>
      </c>
      <c r="M59" s="47"/>
      <c r="N59" s="47" t="str">
        <f>IF(ISNUMBER(M59),M59/J59-1,IF(ISNUMBER(K59),K59/J59-1,""))</f>
        <v/>
      </c>
      <c r="O59" s="57" t="s">
        <v>634</v>
      </c>
      <c r="P59" s="1"/>
    </row>
    <row r="60">
      <c r="A60" s="1"/>
      <c r="B60" s="32" t="s">
        <v>661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>
      <c r="A61" s="1"/>
      <c r="B61" s="1" t="s">
        <v>662</v>
      </c>
      <c r="C61" s="58">
        <v>46127</v>
      </c>
      <c r="D61" s="11" t="s">
        <v>659</v>
      </c>
      <c r="E61" s="12">
        <f>'Revenue summary'!G61</f>
        <v>323347.9068493151</v>
      </c>
      <c r="F61" s="50">
        <v>0.11</v>
      </c>
      <c r="G61" s="50">
        <v>0.11</v>
      </c>
      <c r="H61" s="14">
        <f>E61*(1+F61)</f>
        <v>358916.1766027398</v>
      </c>
      <c r="I61" s="14">
        <f>E61*(1+G61)</f>
        <v>358916.1766027398</v>
      </c>
      <c r="J61" s="14">
        <f>AVERAGE(H61,I61)</f>
        <v>358916.1766027398</v>
      </c>
      <c r="K61" s="14" t="s">
        <v>40</v>
      </c>
      <c r="L61" s="11" t="str">
        <f>IF(ISNUMBER(K61),IF(O61="higher",IF(K61&gt;I61*(1+$C$9),"Beat",IF(K61&lt;H61*(1-$C$9),"Miss","In line")),IF(K61&lt;H61*(1-$C$9),"Beat",IF(K61&gt;I61*(1+$C$9),"Miss","In line"))),"n.a.")</f>
        <v>n.a.</v>
      </c>
      <c r="M61" s="14"/>
      <c r="N61" s="47" t="str">
        <f>IF(ISNUMBER(M61),M61/J61-1,IF(ISNUMBER(K61),K61/J61-1,""))</f>
        <v/>
      </c>
      <c r="O61" s="57" t="s">
        <v>631</v>
      </c>
      <c r="P61" s="1"/>
    </row>
    <row r="62">
      <c r="A62" s="1"/>
      <c r="B62" s="1" t="s">
        <v>663</v>
      </c>
      <c r="C62" s="58">
        <v>46127</v>
      </c>
      <c r="D62" s="11" t="s">
        <v>659</v>
      </c>
      <c r="E62" s="12">
        <f>'Income Statement'!G17</f>
        <v>14410</v>
      </c>
      <c r="F62" s="50">
        <v>0.145</v>
      </c>
      <c r="G62" s="50">
        <v>0.145</v>
      </c>
      <c r="H62" s="14">
        <f>E62*(1+F62)</f>
        <v>16499.45</v>
      </c>
      <c r="I62" s="14">
        <f>E62*(1+G62)</f>
        <v>16499.45</v>
      </c>
      <c r="J62" s="14">
        <f>AVERAGE(H62,I62)</f>
        <v>16499.45</v>
      </c>
      <c r="K62" s="14" t="s">
        <v>40</v>
      </c>
      <c r="L62" s="11" t="str">
        <f>IF(ISNUMBER(K62),IF(O62="higher",IF(K62&gt;I62*(1+$C$9),"Beat",IF(K62&lt;H62*(1-$C$9),"Miss","In line")),IF(K62&lt;H62*(1-$C$9),"Beat",IF(K62&gt;I62*(1+$C$9),"Miss","In line"))),"n.a.")</f>
        <v>n.a.</v>
      </c>
      <c r="M62" s="14"/>
      <c r="N62" s="47" t="str">
        <f>IF(ISNUMBER(M62),M62/J62-1,IF(ISNUMBER(K62),K62/J62-1,""))</f>
        <v/>
      </c>
      <c r="O62" s="57" t="s">
        <v>631</v>
      </c>
      <c r="P62" s="1"/>
    </row>
    <row r="63">
      <c r="A63" s="1"/>
      <c r="B63" s="1" t="s">
        <v>664</v>
      </c>
      <c r="C63" s="58">
        <v>46127</v>
      </c>
      <c r="D63" s="11" t="s">
        <v>659</v>
      </c>
      <c r="E63" s="12">
        <f>'Income Statement'!G30</f>
        <v>8689</v>
      </c>
      <c r="F63" s="50">
        <v>0.06</v>
      </c>
      <c r="G63" s="50">
        <v>0.06</v>
      </c>
      <c r="H63" s="14">
        <f>E63*(1+F63)</f>
        <v>9210.34</v>
      </c>
      <c r="I63" s="14">
        <f>E63*(1+G63)</f>
        <v>9210.34</v>
      </c>
      <c r="J63" s="14">
        <f>AVERAGE(H63,I63)</f>
        <v>9210.34</v>
      </c>
      <c r="K63" s="14" t="s">
        <v>40</v>
      </c>
      <c r="L63" s="11" t="str">
        <f>IF(ISNUMBER(K63),IF(O63="higher",IF(K63&gt;I63*(1+$C$9),"Beat",IF(K63&lt;H63*(1-$C$9),"Miss","In line")),IF(K63&lt;H63*(1-$C$9),"Beat",IF(K63&gt;I63*(1+$C$9),"Miss","In line"))),"n.a.")</f>
        <v>n.a.</v>
      </c>
      <c r="M63" s="14"/>
      <c r="N63" s="47" t="str">
        <f>IF(ISNUMBER(M63),M63/J63-1,IF(ISNUMBER(K63),K63/J63-1,""))</f>
        <v/>
      </c>
      <c r="O63" s="57" t="s">
        <v>631</v>
      </c>
      <c r="P63" s="1"/>
    </row>
    <row r="64">
      <c r="A64" s="1"/>
      <c r="B64" s="1" t="s">
        <v>665</v>
      </c>
      <c r="C64" s="58">
        <v>46127</v>
      </c>
      <c r="D64" s="11" t="s">
        <v>659</v>
      </c>
      <c r="E64" s="12">
        <f>'Income Statement'!G33</f>
        <v>23099</v>
      </c>
      <c r="F64" s="50">
        <v>0.11</v>
      </c>
      <c r="G64" s="50">
        <v>0.11</v>
      </c>
      <c r="H64" s="14">
        <f>E64*(1+F64)</f>
        <v>25639.890000000003</v>
      </c>
      <c r="I64" s="14">
        <f>E64*(1+G64)</f>
        <v>25639.890000000003</v>
      </c>
      <c r="J64" s="14">
        <f>AVERAGE(H64,I64)</f>
        <v>25639.890000000003</v>
      </c>
      <c r="K64" s="14" t="s">
        <v>40</v>
      </c>
      <c r="L64" s="11" t="str">
        <f>IF(ISNUMBER(K64),IF(O64="higher",IF(K64&gt;I64*(1+$C$9),"Beat",IF(K64&lt;H64*(1-$C$9),"Miss","In line")),IF(K64&lt;H64*(1-$C$9),"Beat",IF(K64&gt;I64*(1+$C$9),"Miss","In line"))),"n.a.")</f>
        <v>n.a.</v>
      </c>
      <c r="M64" s="14"/>
      <c r="N64" s="47" t="str">
        <f>IF(ISNUMBER(M64),M64/J64-1,IF(ISNUMBER(K64),K64/J64-1,""))</f>
        <v/>
      </c>
      <c r="O64" s="57" t="s">
        <v>631</v>
      </c>
      <c r="P64" s="1"/>
    </row>
    <row r="65">
      <c r="A65" s="1"/>
      <c r="B65" s="1" t="s">
        <v>666</v>
      </c>
      <c r="C65" s="58">
        <v>46127</v>
      </c>
      <c r="D65" s="11" t="s">
        <v>659</v>
      </c>
      <c r="E65" s="12">
        <f>'Income Statement'!G45</f>
        <v>13834</v>
      </c>
      <c r="F65" s="50">
        <v>0.07</v>
      </c>
      <c r="G65" s="50">
        <v>0.07</v>
      </c>
      <c r="H65" s="14">
        <f>E65*(1+F65)</f>
        <v>14802.380000000001</v>
      </c>
      <c r="I65" s="14">
        <f>E65*(1+G65)</f>
        <v>14802.380000000001</v>
      </c>
      <c r="J65" s="14">
        <f>AVERAGE(H65,I65)</f>
        <v>14802.380000000001</v>
      </c>
      <c r="K65" s="14" t="s">
        <v>40</v>
      </c>
      <c r="L65" s="11" t="str">
        <f>IF(ISNUMBER(K65),IF(O65="higher",IF(K65&gt;I65*(1+$C$9),"Beat",IF(K65&lt;H65*(1-$C$9),"Miss","In line")),IF(K65&lt;H65*(1-$C$9),"Beat",IF(K65&gt;I65*(1+$C$9),"Miss","In line"))),"n.a.")</f>
        <v>n.a.</v>
      </c>
      <c r="M65" s="14"/>
      <c r="N65" s="47" t="str">
        <f>IF(ISNUMBER(M65),M65/J65-1,IF(ISNUMBER(K65),K65/J65-1,""))</f>
        <v/>
      </c>
      <c r="O65" s="57" t="s">
        <v>634</v>
      </c>
      <c r="P65" s="1"/>
    </row>
    <row r="66">
      <c r="A66" s="1"/>
      <c r="B66" s="1" t="s">
        <v>667</v>
      </c>
      <c r="C66" s="58">
        <v>46038</v>
      </c>
      <c r="D66" s="11" t="s">
        <v>659</v>
      </c>
      <c r="E66" s="12">
        <f>'Revenue summary'!G61</f>
        <v>323347.9068493151</v>
      </c>
      <c r="F66" s="50">
        <v>0.08</v>
      </c>
      <c r="G66" s="50">
        <v>0.08</v>
      </c>
      <c r="H66" s="14">
        <f>E66*(1+F66)</f>
        <v>349215.7393972603</v>
      </c>
      <c r="I66" s="14">
        <f>E66*(1+G66)</f>
        <v>349215.7393972603</v>
      </c>
      <c r="J66" s="14">
        <f>AVERAGE(H66,I66)</f>
        <v>349215.7393972603</v>
      </c>
      <c r="K66" s="14" t="s">
        <v>40</v>
      </c>
      <c r="L66" s="11" t="str">
        <f>IF(ISNUMBER(K66),IF(O66="higher",IF(K66&gt;I66*(1+$C$9),"Beat",IF(K66&lt;H66*(1-$C$9),"Miss","In line")),IF(K66&lt;H66*(1-$C$9),"Beat",IF(K66&gt;I66*(1+$C$9),"Miss","In line"))),"n.a.")</f>
        <v>n.a.</v>
      </c>
      <c r="M66" s="14"/>
      <c r="N66" s="47" t="str">
        <f>IF(ISNUMBER(M66),M66/J66-1,IF(ISNUMBER(K66),K66/J66-1,""))</f>
        <v/>
      </c>
      <c r="O66" s="57" t="s">
        <v>631</v>
      </c>
      <c r="P66" s="1"/>
    </row>
    <row r="67">
      <c r="A67" s="1"/>
      <c r="B67" s="1" t="s">
        <v>668</v>
      </c>
      <c r="C67" s="58">
        <v>46038</v>
      </c>
      <c r="D67" s="11" t="s">
        <v>659</v>
      </c>
      <c r="E67" s="12">
        <f>'Income Statement'!G17</f>
        <v>14410</v>
      </c>
      <c r="F67" s="50">
        <v>0.14</v>
      </c>
      <c r="G67" s="50">
        <v>0.14</v>
      </c>
      <c r="H67" s="14">
        <f>E67*(1+F67)</f>
        <v>16427.4</v>
      </c>
      <c r="I67" s="14">
        <f>E67*(1+G67)</f>
        <v>16427.4</v>
      </c>
      <c r="J67" s="14">
        <f>AVERAGE(H67,I67)</f>
        <v>16427.4</v>
      </c>
      <c r="K67" s="14" t="s">
        <v>40</v>
      </c>
      <c r="L67" s="11" t="str">
        <f>IF(ISNUMBER(K67),IF(O67="higher",IF(K67&gt;I67*(1+$C$9),"Beat",IF(K67&lt;H67*(1-$C$9),"Miss","In line")),IF(K67&lt;H67*(1-$C$9),"Beat",IF(K67&gt;I67*(1+$C$9),"Miss","In line"))),"n.a.")</f>
        <v>n.a.</v>
      </c>
      <c r="M67" s="14"/>
      <c r="N67" s="47" t="str">
        <f>IF(ISNUMBER(M67),M67/J67-1,IF(ISNUMBER(K67),K67/J67-1,""))</f>
        <v/>
      </c>
      <c r="O67" s="57" t="s">
        <v>631</v>
      </c>
      <c r="P67" s="1"/>
    </row>
    <row r="68">
      <c r="A68" s="1"/>
      <c r="B68" s="1" t="s">
        <v>669</v>
      </c>
      <c r="C68" s="58">
        <v>46038</v>
      </c>
      <c r="D68" s="11" t="s">
        <v>659</v>
      </c>
      <c r="E68" s="12">
        <f>'Income Statement'!G30</f>
        <v>8689</v>
      </c>
      <c r="F68" s="50">
        <v>0.06</v>
      </c>
      <c r="G68" s="50">
        <v>0.06</v>
      </c>
      <c r="H68" s="14">
        <f>E68*(1+F68)</f>
        <v>9210.34</v>
      </c>
      <c r="I68" s="14">
        <f>E68*(1+G68)</f>
        <v>9210.34</v>
      </c>
      <c r="J68" s="14">
        <f>AVERAGE(H68,I68)</f>
        <v>9210.34</v>
      </c>
      <c r="K68" s="14" t="s">
        <v>40</v>
      </c>
      <c r="L68" s="11" t="str">
        <f>IF(ISNUMBER(K68),IF(O68="higher",IF(K68&gt;I68*(1+$C$9),"Beat",IF(K68&lt;H68*(1-$C$9),"Miss","In line")),IF(K68&lt;H68*(1-$C$9),"Beat",IF(K68&gt;I68*(1+$C$9),"Miss","In line"))),"n.a.")</f>
        <v>n.a.</v>
      </c>
      <c r="M68" s="14"/>
      <c r="N68" s="47" t="str">
        <f>IF(ISNUMBER(M68),M68/J68-1,IF(ISNUMBER(K68),K68/J68-1,""))</f>
        <v/>
      </c>
      <c r="O68" s="57" t="s">
        <v>631</v>
      </c>
      <c r="P68" s="1"/>
    </row>
    <row r="69">
      <c r="A69" s="1"/>
      <c r="B69" s="1" t="s">
        <v>670</v>
      </c>
      <c r="C69" s="58">
        <v>46038</v>
      </c>
      <c r="D69" s="11" t="s">
        <v>659</v>
      </c>
      <c r="E69" s="12">
        <f>'Income Statement'!G33</f>
        <v>23099</v>
      </c>
      <c r="F69" s="50">
        <v>0.11</v>
      </c>
      <c r="G69" s="50">
        <v>0.11</v>
      </c>
      <c r="H69" s="14">
        <f>E69*(1+F69)</f>
        <v>25639.890000000003</v>
      </c>
      <c r="I69" s="14">
        <f>E69*(1+G69)</f>
        <v>25639.890000000003</v>
      </c>
      <c r="J69" s="14">
        <f>AVERAGE(H69,I69)</f>
        <v>25639.890000000003</v>
      </c>
      <c r="K69" s="14" t="s">
        <v>40</v>
      </c>
      <c r="L69" s="11" t="str">
        <f>IF(ISNUMBER(K69),IF(O69="higher",IF(K69&gt;I69*(1+$C$9),"Beat",IF(K69&lt;H69*(1-$C$9),"Miss","In line")),IF(K69&lt;H69*(1-$C$9),"Beat",IF(K69&gt;I69*(1+$C$9),"Miss","In line"))),"n.a.")</f>
        <v>n.a.</v>
      </c>
      <c r="M69" s="14"/>
      <c r="N69" s="47" t="str">
        <f>IF(ISNUMBER(M69),M69/J69-1,IF(ISNUMBER(K69),K69/J69-1,""))</f>
        <v/>
      </c>
      <c r="O69" s="57" t="s">
        <v>631</v>
      </c>
      <c r="P69" s="1"/>
    </row>
    <row r="70">
      <c r="A70" s="1"/>
      <c r="B70" s="1" t="s">
        <v>671</v>
      </c>
      <c r="C70" s="58">
        <v>46038</v>
      </c>
      <c r="D70" s="11" t="s">
        <v>659</v>
      </c>
      <c r="E70" s="12">
        <f>'Income Statement'!G45</f>
        <v>13834</v>
      </c>
      <c r="F70" s="50">
        <v>0.07</v>
      </c>
      <c r="G70" s="50">
        <v>0.07</v>
      </c>
      <c r="H70" s="14">
        <f>E70*(1+F70)</f>
        <v>14802.380000000001</v>
      </c>
      <c r="I70" s="14">
        <f>E70*(1+G70)</f>
        <v>14802.380000000001</v>
      </c>
      <c r="J70" s="14">
        <f>AVERAGE(H70,I70)</f>
        <v>14802.380000000001</v>
      </c>
      <c r="K70" s="14" t="s">
        <v>40</v>
      </c>
      <c r="L70" s="11" t="str">
        <f>IF(ISNUMBER(K70),IF(O70="higher",IF(K70&gt;I70*(1+$C$9),"Beat",IF(K70&lt;H70*(1-$C$9),"Miss","In line")),IF(K70&lt;H70*(1-$C$9),"Beat",IF(K70&gt;I70*(1+$C$9),"Miss","In line"))),"n.a.")</f>
        <v>n.a.</v>
      </c>
      <c r="M70" s="14"/>
      <c r="N70" s="47" t="str">
        <f>IF(ISNUMBER(M70),M70/J70-1,IF(ISNUMBER(K70),K70/J70-1,""))</f>
        <v/>
      </c>
      <c r="O70" s="57" t="s">
        <v>634</v>
      </c>
      <c r="P70" s="1"/>
    </row>
    <row r="71">
      <c r="A71" s="1"/>
      <c r="B71" s="1" t="s">
        <v>672</v>
      </c>
      <c r="C71" s="58">
        <v>46038</v>
      </c>
      <c r="D71" s="11" t="s">
        <v>659</v>
      </c>
      <c r="E71" s="47"/>
      <c r="F71" s="47"/>
      <c r="G71" s="47"/>
      <c r="H71" s="50">
        <v>0.195</v>
      </c>
      <c r="I71" s="50">
        <v>0.195</v>
      </c>
      <c r="J71" s="47">
        <f>AVERAGE(H71,I71)</f>
        <v>0.195</v>
      </c>
      <c r="K71" s="47" t="s">
        <v>40</v>
      </c>
      <c r="L71" s="11" t="str">
        <f>IF(ISNUMBER(K71),IF(O71="higher",IF(K71&gt;I71*(1+$C$9),"Beat",IF(K71&lt;H71*(1-$C$9),"Miss","In line")),IF(K71&lt;H71*(1-$C$9),"Beat",IF(K71&gt;I71*(1+$C$9),"Miss","In line"))),"n.a.")</f>
        <v>n.a.</v>
      </c>
      <c r="M71" s="47"/>
      <c r="N71" s="47" t="str">
        <f>IF(ISNUMBER(M71),M71/J71-1,IF(ISNUMBER(K71),K71/J71-1,""))</f>
        <v/>
      </c>
      <c r="O71" s="57" t="s">
        <v>634</v>
      </c>
      <c r="P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>
      <c r="A73" s="1"/>
      <c r="B73" s="32" t="s">
        <v>673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>
      <c r="A74" s="1"/>
      <c r="B74" s="3" t="s">
        <v>674</v>
      </c>
      <c r="C74" s="44" t="s">
        <v>675</v>
      </c>
      <c r="D74" s="44" t="s">
        <v>676</v>
      </c>
      <c r="E74" s="44" t="s">
        <v>677</v>
      </c>
      <c r="F74" s="44" t="s">
        <v>678</v>
      </c>
      <c r="G74" s="44" t="s">
        <v>679</v>
      </c>
      <c r="H74" s="1"/>
      <c r="I74" s="1"/>
      <c r="J74" s="1"/>
      <c r="K74" s="1"/>
      <c r="L74" s="1"/>
      <c r="M74" s="1"/>
      <c r="N74" s="1"/>
      <c r="O74" s="1"/>
      <c r="P74" s="1"/>
    </row>
    <row r="75">
      <c r="A75" s="1"/>
      <c r="B75" s="1" t="s">
        <v>630</v>
      </c>
      <c r="C75" s="14">
        <f>J16</f>
        <v>5802.525</v>
      </c>
      <c r="D75" s="14">
        <f>J17</f>
        <v>3450.66</v>
      </c>
      <c r="E75" s="14">
        <f>C75-D75</f>
        <v>2351.865</v>
      </c>
      <c r="F75" s="12">
        <f>'Income Statement'!E112</f>
        <v>2454</v>
      </c>
      <c r="G75" s="47">
        <f>F75/E75-1</f>
        <v>0.04342723753276667</v>
      </c>
      <c r="H75" s="1"/>
      <c r="I75" s="1"/>
      <c r="J75" s="1"/>
      <c r="K75" s="1"/>
      <c r="L75" s="1"/>
      <c r="M75" s="1"/>
      <c r="N75" s="1"/>
      <c r="O75" s="1"/>
      <c r="P75" s="1"/>
    </row>
    <row r="76">
      <c r="A76" s="1"/>
      <c r="B76" s="1" t="s">
        <v>636</v>
      </c>
      <c r="C76" s="14">
        <f>J24</f>
        <v>5885.425</v>
      </c>
      <c r="D76" s="14">
        <f>J25</f>
        <v>3512.915</v>
      </c>
      <c r="E76" s="14">
        <f>C76-D76</f>
        <v>2372.51</v>
      </c>
      <c r="F76" s="12">
        <f>'Income Statement'!F112</f>
        <v>2468</v>
      </c>
      <c r="G76" s="47">
        <f>F76/E76-1</f>
        <v>0.04024851317802658</v>
      </c>
      <c r="H76" s="1"/>
      <c r="I76" s="1"/>
      <c r="J76" s="1"/>
      <c r="K76" s="1"/>
      <c r="L76" s="1"/>
      <c r="M76" s="1"/>
      <c r="N76" s="1"/>
      <c r="O76" s="1"/>
      <c r="P76" s="1"/>
    </row>
    <row r="77">
      <c r="A77" s="1"/>
      <c r="B77" s="1" t="s">
        <v>639</v>
      </c>
      <c r="C77" s="14">
        <f>J32</f>
        <v>6222.775</v>
      </c>
      <c r="D77" s="14">
        <f>J33</f>
        <v>3747.1200000000003</v>
      </c>
      <c r="E77" s="14">
        <f>C77-D77</f>
        <v>2475.6549999999993</v>
      </c>
      <c r="F77" s="12">
        <f>'Income Statement'!H112</f>
        <v>2495</v>
      </c>
      <c r="G77" s="47">
        <f>F77/E77-1</f>
        <v>0.007814093643904618</v>
      </c>
      <c r="H77" s="1"/>
      <c r="I77" s="1"/>
      <c r="J77" s="1"/>
      <c r="K77" s="1"/>
      <c r="L77" s="1"/>
      <c r="M77" s="1"/>
      <c r="N77" s="1"/>
      <c r="O77" s="1"/>
      <c r="P77" s="1"/>
    </row>
    <row r="78">
      <c r="A78" s="1"/>
      <c r="B78" s="1" t="s">
        <v>644</v>
      </c>
      <c r="C78" s="14">
        <f>J41</f>
        <v>6380.775</v>
      </c>
      <c r="D78" s="14">
        <f>J42</f>
        <v>3744.42</v>
      </c>
      <c r="E78" s="14">
        <f>C78-D78</f>
        <v>2636.3549999999996</v>
      </c>
      <c r="F78" s="12">
        <f>'Income Statement'!I112</f>
        <v>2820</v>
      </c>
      <c r="G78" s="47">
        <f>F78/E78-1</f>
        <v>0.06965867646807822</v>
      </c>
      <c r="H78" s="1"/>
      <c r="I78" s="1"/>
      <c r="J78" s="1"/>
      <c r="K78" s="1"/>
      <c r="L78" s="1"/>
      <c r="M78" s="1"/>
      <c r="N78" s="1"/>
      <c r="O78" s="1"/>
      <c r="P78" s="1"/>
    </row>
    <row r="79" ht="41.25">
      <c r="A79" s="1"/>
      <c r="B79" s="1" t="s">
        <v>680</v>
      </c>
      <c r="C79" s="14">
        <f>J49</f>
        <v>6574.83</v>
      </c>
      <c r="D79" s="14">
        <f>J50</f>
        <v>3741.075</v>
      </c>
      <c r="E79" s="14">
        <f>C79-D79</f>
        <v>2833.755</v>
      </c>
      <c r="F79" s="12">
        <f>'Income Statement'!J112</f>
        <v>2863.1055335923265</v>
      </c>
      <c r="G79" s="47">
        <f>F79/E79-1</f>
        <v>0.010357470420811365</v>
      </c>
      <c r="H79" s="1"/>
      <c r="I79" s="1"/>
      <c r="J79" s="1"/>
      <c r="K79" s="1"/>
      <c r="L79" s="1"/>
      <c r="M79" s="1"/>
      <c r="N79" s="1"/>
      <c r="O79" s="1"/>
      <c r="P79" s="133" t="s">
        <v>681</v>
      </c>
    </row>
    <row r="80" ht="28.5">
      <c r="A80" s="1"/>
      <c r="B80" s="7" t="s">
        <v>682</v>
      </c>
      <c r="C80" s="24"/>
      <c r="D80" s="14"/>
      <c r="E80" s="14"/>
      <c r="F80" s="14"/>
      <c r="G80" s="47">
        <f>AVERAGE(G75:G78)</f>
        <v>0.04028713020569402</v>
      </c>
      <c r="H80" s="1"/>
      <c r="I80" s="1"/>
      <c r="J80" s="1"/>
      <c r="K80" s="1"/>
      <c r="L80" s="1"/>
      <c r="M80" s="1"/>
      <c r="N80" s="1"/>
      <c r="O80" s="1"/>
      <c r="P80" s="133" t="s">
        <v>683</v>
      </c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>
      <c r="A82" s="1"/>
      <c r="B82" s="32" t="s">
        <v>684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>
      <c r="A83" s="1"/>
      <c r="B83" s="1" t="s">
        <v>685</v>
      </c>
      <c r="C83" s="14">
        <f>J49</f>
        <v>6574.83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>
      <c r="A84" s="1"/>
      <c r="B84" s="1" t="s">
        <v>686</v>
      </c>
      <c r="C84" s="14">
        <f>J50</f>
        <v>3741.075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>
      <c r="A85" s="1"/>
      <c r="B85" s="7" t="s">
        <v>445</v>
      </c>
      <c r="C85" s="24">
        <f>C83-C84</f>
        <v>2833.755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>
      <c r="A86" s="1"/>
      <c r="B86" s="1" t="s">
        <v>687</v>
      </c>
      <c r="C86" s="14">
        <f>J52</f>
        <v>225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>
      <c r="A87" s="1"/>
      <c r="B87" s="1" t="s">
        <v>446</v>
      </c>
      <c r="C87" s="14">
        <f>C85-C86</f>
        <v>2608.755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>
      <c r="A88" s="1"/>
      <c r="B88" s="1" t="s">
        <v>688</v>
      </c>
      <c r="C88" s="47">
        <f>J59</f>
        <v>0.195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>
      <c r="A89" s="1"/>
      <c r="B89" s="1" t="s">
        <v>689</v>
      </c>
      <c r="C89" s="14">
        <f>C87*(1-C88)</f>
        <v>2100.047775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>
      <c r="A90" s="1"/>
      <c r="B90" s="1" t="s">
        <v>690</v>
      </c>
      <c r="C90" s="12">
        <f>'Income Statement'!J54+'Income Statement'!J55+'Income Statement'!J56</f>
        <v>89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66.75">
      <c r="A91" s="1"/>
      <c r="B91" s="1" t="s">
        <v>691</v>
      </c>
      <c r="C91" s="12">
        <f>(C89-C90-'Income Statement'!J102)*'Income Statement'!J59</f>
        <v>12.223596205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33" t="s">
        <v>692</v>
      </c>
    </row>
    <row r="92">
      <c r="A92" s="1"/>
      <c r="B92" s="7" t="s">
        <v>437</v>
      </c>
      <c r="C92" s="24">
        <f>C89-C90-C91</f>
        <v>1998.824178795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>
      <c r="A93" s="1"/>
      <c r="B93" s="1" t="s">
        <v>693</v>
      </c>
      <c r="C93" s="12">
        <f>'Share Count'!J37</f>
        <v>400.66916029081636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54">
      <c r="A94" s="1"/>
      <c r="B94" s="7" t="s">
        <v>694</v>
      </c>
      <c r="C94" s="59">
        <f>C92/C93</f>
        <v>4.9887148223342175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33" t="s">
        <v>695</v>
      </c>
    </row>
    <row r="95">
      <c r="A95" s="1"/>
      <c r="B95" s="1" t="s">
        <v>696</v>
      </c>
      <c r="C95" s="33">
        <f>Inputs!C22</f>
        <v>4.98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>
      <c r="A96" s="1"/>
      <c r="B96" s="1" t="s">
        <v>697</v>
      </c>
      <c r="C96" s="33">
        <f>'Income Statement'!J104</f>
        <v>5.0046799757979885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P43"/>
  <sheetViews>
    <sheetView showGridLines="0" workbookViewId="0"/>
  </sheetViews>
  <sheetFormatPr defaultColWidth="8.42578125" defaultRowHeight="15"/>
  <cols>
    <col min="1" max="1" width="2" customWidth="1"/>
    <col min="2" max="2" width="14" customWidth="1"/>
    <col min="3" max="3" width="12" customWidth="1"/>
    <col min="4" max="4" width="44" customWidth="1"/>
    <col min="5" max="5" width="88" customWidth="1"/>
    <col min="6" max="6" width="9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698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5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>
      <c r="A6" s="1"/>
      <c r="B6" s="16" t="s">
        <v>6</v>
      </c>
      <c r="C6" s="15">
        <v>46295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>
      <c r="A7" s="1"/>
      <c r="B7" s="8" t="s">
        <v>7</v>
      </c>
      <c r="C7" s="4">
        <f>C6-EOMONTH(C6,-3)</f>
        <v>92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" t="s">
        <v>699</v>
      </c>
      <c r="C9" s="108" t="s">
        <v>700</v>
      </c>
      <c r="D9" s="3" t="s">
        <v>701</v>
      </c>
      <c r="E9" s="3" t="s">
        <v>702</v>
      </c>
      <c r="F9" s="3" t="s">
        <v>703</v>
      </c>
      <c r="G9" s="1"/>
      <c r="H9" s="1"/>
      <c r="I9" s="1"/>
      <c r="J9" s="1"/>
      <c r="K9" s="1"/>
      <c r="L9" s="1"/>
      <c r="M9" s="1"/>
      <c r="N9" s="1"/>
      <c r="O9" s="1"/>
      <c r="P9" s="1"/>
    </row>
    <row r="10">
      <c r="A10" s="1"/>
      <c r="B10" s="1" t="s">
        <v>704</v>
      </c>
      <c r="C10" s="2">
        <v>46218</v>
      </c>
      <c r="D10" s="1" t="s">
        <v>705</v>
      </c>
      <c r="E10" s="1" t="s">
        <v>706</v>
      </c>
      <c r="F10" s="1" t="s">
        <v>707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>
      <c r="A11" s="1"/>
      <c r="B11" s="1" t="s">
        <v>708</v>
      </c>
      <c r="C11" s="2">
        <v>46218</v>
      </c>
      <c r="D11" s="1" t="s">
        <v>709</v>
      </c>
      <c r="E11" s="1" t="s">
        <v>710</v>
      </c>
      <c r="F11" s="1" t="s">
        <v>711</v>
      </c>
      <c r="G11" s="1"/>
      <c r="H11" s="1"/>
      <c r="I11" s="1"/>
      <c r="J11" s="1"/>
      <c r="K11" s="1"/>
      <c r="L11" s="1"/>
      <c r="M11" s="1"/>
      <c r="N11" s="1"/>
      <c r="O11" s="1"/>
      <c r="P11" s="1"/>
    </row>
    <row r="12">
      <c r="A12" s="1"/>
      <c r="B12" s="1" t="s">
        <v>712</v>
      </c>
      <c r="C12" s="2">
        <v>46218</v>
      </c>
      <c r="D12" s="1" t="s">
        <v>713</v>
      </c>
      <c r="E12" s="1" t="s">
        <v>714</v>
      </c>
      <c r="F12" s="1" t="s">
        <v>715</v>
      </c>
      <c r="G12" s="1"/>
      <c r="H12" s="1"/>
      <c r="I12" s="1"/>
      <c r="J12" s="1"/>
      <c r="K12" s="1"/>
      <c r="L12" s="1"/>
      <c r="M12" s="1"/>
      <c r="N12" s="1"/>
      <c r="O12" s="1"/>
      <c r="P12" s="1"/>
    </row>
    <row r="13">
      <c r="A13" s="1"/>
      <c r="B13" s="1" t="s">
        <v>716</v>
      </c>
      <c r="C13" s="2">
        <v>46127</v>
      </c>
      <c r="D13" s="1" t="s">
        <v>709</v>
      </c>
      <c r="E13" s="1" t="s">
        <v>717</v>
      </c>
      <c r="F13" s="1" t="s">
        <v>718</v>
      </c>
      <c r="G13" s="1"/>
      <c r="H13" s="1"/>
      <c r="I13" s="1"/>
      <c r="J13" s="1"/>
      <c r="K13" s="1"/>
      <c r="L13" s="1"/>
      <c r="M13" s="1"/>
      <c r="N13" s="1"/>
      <c r="O13" s="1"/>
      <c r="P13" s="1"/>
    </row>
    <row r="14">
      <c r="A14" s="1"/>
      <c r="B14" s="1" t="s">
        <v>719</v>
      </c>
      <c r="C14" s="2">
        <v>46127</v>
      </c>
      <c r="D14" s="1" t="s">
        <v>720</v>
      </c>
      <c r="E14" s="1" t="s">
        <v>721</v>
      </c>
      <c r="F14" s="1" t="s">
        <v>722</v>
      </c>
      <c r="G14" s="1"/>
      <c r="H14" s="1"/>
      <c r="I14" s="1"/>
      <c r="J14" s="1"/>
      <c r="K14" s="1"/>
      <c r="L14" s="1"/>
      <c r="M14" s="1"/>
      <c r="N14" s="1"/>
      <c r="O14" s="1"/>
      <c r="P14" s="1"/>
    </row>
    <row r="15">
      <c r="A15" s="1"/>
      <c r="B15" s="1" t="s">
        <v>723</v>
      </c>
      <c r="C15" s="2">
        <v>46038</v>
      </c>
      <c r="D15" s="1" t="s">
        <v>724</v>
      </c>
      <c r="E15" s="1" t="s">
        <v>725</v>
      </c>
      <c r="F15" s="1" t="s">
        <v>726</v>
      </c>
      <c r="G15" s="1"/>
      <c r="H15" s="1"/>
      <c r="I15" s="1"/>
      <c r="J15" s="1"/>
      <c r="K15" s="1"/>
      <c r="L15" s="1"/>
      <c r="M15" s="1"/>
      <c r="N15" s="1"/>
      <c r="O15" s="1"/>
      <c r="P15" s="1"/>
    </row>
    <row r="16">
      <c r="A16" s="1"/>
      <c r="B16" s="1" t="s">
        <v>727</v>
      </c>
      <c r="C16" s="2">
        <v>45945</v>
      </c>
      <c r="D16" s="1" t="s">
        <v>728</v>
      </c>
      <c r="E16" s="1" t="s">
        <v>729</v>
      </c>
      <c r="F16" s="1" t="s">
        <v>730</v>
      </c>
      <c r="G16" s="1"/>
      <c r="H16" s="1"/>
      <c r="I16" s="1"/>
      <c r="J16" s="1"/>
      <c r="K16" s="1"/>
      <c r="L16" s="1"/>
      <c r="M16" s="1"/>
      <c r="N16" s="1"/>
      <c r="O16" s="1"/>
      <c r="P16" s="1"/>
    </row>
    <row r="17">
      <c r="A17" s="1"/>
      <c r="B17" s="1" t="s">
        <v>731</v>
      </c>
      <c r="C17" s="2">
        <v>45854</v>
      </c>
      <c r="D17" s="1" t="s">
        <v>732</v>
      </c>
      <c r="E17" s="1" t="s">
        <v>733</v>
      </c>
      <c r="F17" s="1" t="s">
        <v>734</v>
      </c>
      <c r="G17" s="1"/>
      <c r="H17" s="1"/>
      <c r="I17" s="1"/>
      <c r="J17" s="1"/>
      <c r="K17" s="1"/>
      <c r="L17" s="1"/>
      <c r="M17" s="1"/>
      <c r="N17" s="1"/>
      <c r="O17" s="1"/>
      <c r="P17" s="1"/>
    </row>
    <row r="18">
      <c r="A18" s="1"/>
      <c r="B18" s="1" t="s">
        <v>735</v>
      </c>
      <c r="C18" s="2">
        <v>46239</v>
      </c>
      <c r="D18" s="1" t="s">
        <v>736</v>
      </c>
      <c r="E18" s="1" t="s">
        <v>737</v>
      </c>
      <c r="F18" s="1" t="s">
        <v>738</v>
      </c>
      <c r="G18" s="1"/>
      <c r="H18" s="1"/>
      <c r="I18" s="1"/>
      <c r="J18" s="1"/>
      <c r="K18" s="1"/>
      <c r="L18" s="1"/>
      <c r="M18" s="1"/>
      <c r="N18" s="1"/>
      <c r="O18" s="1"/>
      <c r="P18" s="1"/>
    </row>
    <row r="19">
      <c r="A19" s="1"/>
      <c r="B19" s="1" t="s">
        <v>739</v>
      </c>
      <c r="C19" s="2">
        <v>46147</v>
      </c>
      <c r="D19" s="1" t="s">
        <v>740</v>
      </c>
      <c r="E19" s="1" t="s">
        <v>741</v>
      </c>
      <c r="F19" s="1" t="s">
        <v>742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>
      <c r="A20" s="1"/>
      <c r="B20" s="1" t="s">
        <v>743</v>
      </c>
      <c r="C20" s="2">
        <v>45964</v>
      </c>
      <c r="D20" s="1" t="s">
        <v>744</v>
      </c>
      <c r="E20" s="1" t="s">
        <v>745</v>
      </c>
      <c r="F20" s="1" t="s">
        <v>746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>
      <c r="A21" s="1"/>
      <c r="B21" s="1" t="s">
        <v>747</v>
      </c>
      <c r="C21" s="2">
        <v>46073</v>
      </c>
      <c r="D21" s="1" t="s">
        <v>748</v>
      </c>
      <c r="E21" s="1" t="s">
        <v>749</v>
      </c>
      <c r="F21" s="1" t="s">
        <v>750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>
      <c r="A22" s="1"/>
      <c r="B22" s="1" t="s">
        <v>751</v>
      </c>
      <c r="C22" s="2">
        <v>46239</v>
      </c>
      <c r="D22" s="1" t="s">
        <v>752</v>
      </c>
      <c r="E22" s="1" t="s">
        <v>753</v>
      </c>
      <c r="F22" s="1" t="s">
        <v>754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>
      <c r="A23" s="1"/>
      <c r="B23" s="1" t="s">
        <v>755</v>
      </c>
      <c r="C23" s="2">
        <v>46279</v>
      </c>
      <c r="D23" s="1" t="s">
        <v>756</v>
      </c>
      <c r="E23" s="1" t="s">
        <v>757</v>
      </c>
      <c r="F23" s="1" t="s">
        <v>758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>
      <c r="A24" s="1"/>
      <c r="B24" s="1" t="s">
        <v>759</v>
      </c>
      <c r="C24" s="2">
        <v>46268</v>
      </c>
      <c r="D24" s="1" t="s">
        <v>760</v>
      </c>
      <c r="E24" s="1" t="s">
        <v>761</v>
      </c>
      <c r="F24" s="1" t="s">
        <v>762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>
      <c r="A25" s="1"/>
      <c r="B25" s="1" t="s">
        <v>763</v>
      </c>
      <c r="C25" s="2">
        <v>46294</v>
      </c>
      <c r="D25" s="1" t="s">
        <v>760</v>
      </c>
      <c r="E25" s="1" t="s">
        <v>764</v>
      </c>
      <c r="F25" s="1" t="s">
        <v>765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>
      <c r="A26" s="1"/>
      <c r="B26" s="1" t="s">
        <v>766</v>
      </c>
      <c r="C26" s="2">
        <v>46281</v>
      </c>
      <c r="D26" s="1" t="s">
        <v>767</v>
      </c>
      <c r="E26" s="1" t="s">
        <v>768</v>
      </c>
      <c r="F26" s="1" t="s">
        <v>769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>
      <c r="A27" s="1"/>
      <c r="B27" s="1" t="s">
        <v>770</v>
      </c>
      <c r="C27" s="2">
        <v>46288</v>
      </c>
      <c r="D27" s="1" t="s">
        <v>771</v>
      </c>
      <c r="E27" s="1" t="s">
        <v>772</v>
      </c>
      <c r="F27" s="1" t="s">
        <v>773</v>
      </c>
      <c r="G27" s="1"/>
      <c r="H27" s="1"/>
      <c r="I27" s="1"/>
      <c r="J27" s="1"/>
      <c r="K27" s="1"/>
      <c r="L27" s="1"/>
      <c r="M27" s="1"/>
      <c r="N27" s="1"/>
      <c r="O27" s="1"/>
      <c r="P27" s="1"/>
    </row>
    <row r="28">
      <c r="A28" s="1"/>
      <c r="B28" s="1" t="s">
        <v>774</v>
      </c>
      <c r="C28" s="2">
        <v>46279</v>
      </c>
      <c r="D28" s="1" t="s">
        <v>775</v>
      </c>
      <c r="E28" s="1" t="s">
        <v>776</v>
      </c>
      <c r="F28" s="1" t="s">
        <v>777</v>
      </c>
      <c r="G28" s="1"/>
      <c r="H28" s="1"/>
      <c r="I28" s="1"/>
      <c r="J28" s="1"/>
      <c r="K28" s="1"/>
      <c r="L28" s="1"/>
      <c r="M28" s="1"/>
      <c r="N28" s="1"/>
      <c r="O28" s="1"/>
      <c r="P28" s="1"/>
    </row>
    <row r="29">
      <c r="A29" s="1"/>
      <c r="B29" s="1" t="s">
        <v>778</v>
      </c>
      <c r="C29" s="2">
        <v>46283</v>
      </c>
      <c r="D29" s="1" t="s">
        <v>779</v>
      </c>
      <c r="E29" s="1" t="s">
        <v>776</v>
      </c>
      <c r="F29" s="1" t="s">
        <v>780</v>
      </c>
      <c r="G29" s="1"/>
      <c r="H29" s="1"/>
      <c r="I29" s="1"/>
      <c r="J29" s="1"/>
      <c r="K29" s="1"/>
      <c r="L29" s="1"/>
      <c r="M29" s="1"/>
      <c r="N29" s="1"/>
      <c r="O29" s="1"/>
      <c r="P29" s="1"/>
    </row>
    <row r="30">
      <c r="A30" s="1"/>
      <c r="B30" s="1" t="s">
        <v>781</v>
      </c>
      <c r="C30" s="2">
        <v>46304</v>
      </c>
      <c r="D30" s="1" t="s">
        <v>782</v>
      </c>
      <c r="E30" s="1" t="s">
        <v>783</v>
      </c>
      <c r="F30" s="1" t="s">
        <v>784</v>
      </c>
      <c r="G30" s="1"/>
      <c r="H30" s="1"/>
      <c r="I30" s="1"/>
      <c r="J30" s="1"/>
      <c r="K30" s="1"/>
      <c r="L30" s="1"/>
      <c r="M30" s="1"/>
      <c r="N30" s="1"/>
      <c r="O30" s="1"/>
      <c r="P30" s="1"/>
    </row>
    <row r="31">
      <c r="A31" s="1"/>
      <c r="B31" s="1" t="s">
        <v>785</v>
      </c>
      <c r="C31" s="2">
        <v>46303</v>
      </c>
      <c r="D31" s="1" t="s">
        <v>786</v>
      </c>
      <c r="E31" s="1" t="s">
        <v>787</v>
      </c>
      <c r="F31" s="1" t="s">
        <v>788</v>
      </c>
      <c r="G31" s="1"/>
      <c r="H31" s="1"/>
      <c r="I31" s="1"/>
      <c r="J31" s="1"/>
      <c r="K31" s="1"/>
      <c r="L31" s="1"/>
      <c r="M31" s="1"/>
      <c r="N31" s="1"/>
      <c r="O31" s="1"/>
      <c r="P31" s="1"/>
    </row>
    <row r="32">
      <c r="A32" s="1"/>
      <c r="B32" s="1" t="s">
        <v>789</v>
      </c>
      <c r="C32" s="2">
        <v>46303</v>
      </c>
      <c r="D32" s="1" t="s">
        <v>790</v>
      </c>
      <c r="E32" s="1" t="s">
        <v>791</v>
      </c>
      <c r="F32" s="1" t="s">
        <v>792</v>
      </c>
      <c r="G32" s="1"/>
      <c r="H32" s="1"/>
      <c r="I32" s="1"/>
      <c r="J32" s="1"/>
      <c r="K32" s="1"/>
      <c r="L32" s="1"/>
      <c r="M32" s="1"/>
      <c r="N32" s="1"/>
      <c r="O32" s="1"/>
      <c r="P32" s="1"/>
    </row>
    <row r="33">
      <c r="A33" s="1"/>
      <c r="B33" s="1" t="s">
        <v>793</v>
      </c>
      <c r="C33" s="2">
        <v>46306</v>
      </c>
      <c r="D33" s="1" t="s">
        <v>794</v>
      </c>
      <c r="E33" s="1" t="s">
        <v>795</v>
      </c>
      <c r="F33" s="1" t="s">
        <v>796</v>
      </c>
      <c r="G33" s="1"/>
      <c r="H33" s="1"/>
      <c r="I33" s="1"/>
      <c r="J33" s="1"/>
      <c r="K33" s="1"/>
      <c r="L33" s="1"/>
      <c r="M33" s="1"/>
      <c r="N33" s="1"/>
      <c r="O33" s="1"/>
      <c r="P33" s="1"/>
    </row>
    <row r="34">
      <c r="A34" s="1"/>
      <c r="B34" s="1" t="s">
        <v>797</v>
      </c>
      <c r="C34" s="2">
        <v>46306</v>
      </c>
      <c r="D34" s="1" t="s">
        <v>798</v>
      </c>
      <c r="E34" s="1" t="s">
        <v>799</v>
      </c>
      <c r="F34" s="1" t="s">
        <v>800</v>
      </c>
      <c r="G34" s="1"/>
      <c r="H34" s="1"/>
      <c r="I34" s="1"/>
      <c r="J34" s="1"/>
      <c r="K34" s="1"/>
      <c r="L34" s="1"/>
      <c r="M34" s="1"/>
      <c r="N34" s="1"/>
      <c r="O34" s="1"/>
      <c r="P34" s="1"/>
    </row>
    <row r="35">
      <c r="A35" s="1"/>
      <c r="B35" s="1" t="s">
        <v>801</v>
      </c>
      <c r="C35" s="2">
        <v>46306</v>
      </c>
      <c r="D35" s="1" t="s">
        <v>798</v>
      </c>
      <c r="E35" s="1" t="s">
        <v>802</v>
      </c>
      <c r="F35" s="1" t="s">
        <v>803</v>
      </c>
      <c r="G35" s="1"/>
      <c r="H35" s="1"/>
      <c r="I35" s="1"/>
      <c r="J35" s="1"/>
      <c r="K35" s="1"/>
      <c r="L35" s="1"/>
      <c r="M35" s="1"/>
      <c r="N35" s="1"/>
      <c r="O35" s="1"/>
      <c r="P35" s="1"/>
    </row>
    <row r="36">
      <c r="A36" s="1"/>
      <c r="B36" s="1" t="s">
        <v>804</v>
      </c>
      <c r="C36" s="2">
        <v>46027</v>
      </c>
      <c r="D36" s="1" t="s">
        <v>760</v>
      </c>
      <c r="E36" s="1" t="s">
        <v>805</v>
      </c>
      <c r="F36" s="1" t="s">
        <v>806</v>
      </c>
      <c r="G36" s="1"/>
      <c r="H36" s="1"/>
      <c r="I36" s="1"/>
      <c r="J36" s="1"/>
      <c r="K36" s="1"/>
      <c r="L36" s="1"/>
      <c r="M36" s="1"/>
      <c r="N36" s="1"/>
      <c r="O36" s="1"/>
      <c r="P36" s="1"/>
    </row>
    <row r="37">
      <c r="A37" s="1"/>
      <c r="B37" s="1" t="s">
        <v>807</v>
      </c>
      <c r="C37" s="2">
        <v>46304</v>
      </c>
      <c r="D37" s="1" t="s">
        <v>808</v>
      </c>
      <c r="E37" s="1" t="s">
        <v>809</v>
      </c>
      <c r="F37" s="1" t="s">
        <v>810</v>
      </c>
      <c r="G37" s="1"/>
      <c r="H37" s="1"/>
      <c r="I37" s="1"/>
      <c r="J37" s="1"/>
      <c r="K37" s="1"/>
      <c r="L37" s="1"/>
      <c r="M37" s="1"/>
      <c r="N37" s="1"/>
      <c r="O37" s="1"/>
      <c r="P37" s="1"/>
    </row>
    <row r="38">
      <c r="A38" s="1"/>
      <c r="B38" s="1" t="s">
        <v>811</v>
      </c>
      <c r="C38" s="2">
        <v>45799</v>
      </c>
      <c r="D38" s="1" t="s">
        <v>760</v>
      </c>
      <c r="E38" s="1" t="s">
        <v>812</v>
      </c>
      <c r="F38" s="1" t="s">
        <v>813</v>
      </c>
      <c r="G38" s="1"/>
      <c r="H38" s="1"/>
      <c r="I38" s="1"/>
      <c r="J38" s="1"/>
      <c r="K38" s="1"/>
      <c r="L38" s="1"/>
      <c r="M38" s="1"/>
      <c r="N38" s="1"/>
      <c r="O38" s="1"/>
      <c r="P38" s="1"/>
    </row>
    <row r="39">
      <c r="A39" s="1"/>
      <c r="B39" s="106" t="s">
        <v>814</v>
      </c>
      <c r="C39" s="107">
        <v>46038</v>
      </c>
      <c r="D39" s="106" t="s">
        <v>815</v>
      </c>
      <c r="E39" s="106" t="s">
        <v>816</v>
      </c>
      <c r="F39" s="106" t="s">
        <v>817</v>
      </c>
      <c r="G39" s="1"/>
      <c r="H39" s="1"/>
      <c r="I39" s="1"/>
      <c r="J39" s="1"/>
      <c r="K39" s="1"/>
      <c r="L39" s="1"/>
      <c r="M39" s="1"/>
      <c r="N39" s="1"/>
      <c r="O39" s="1"/>
      <c r="P39" s="1"/>
    </row>
    <row r="40" ht="27">
      <c r="A40" s="1"/>
      <c r="B40" s="130" t="s">
        <v>818</v>
      </c>
      <c r="C40" s="1"/>
      <c r="D40" s="1"/>
      <c r="E40" s="129" t="s">
        <v>819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ht="82.5">
      <c r="A41" s="1"/>
      <c r="B41" s="130" t="s">
        <v>820</v>
      </c>
      <c r="C41" s="1"/>
      <c r="D41" s="1"/>
      <c r="E41" s="129" t="s">
        <v>821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P192"/>
  <sheetViews>
    <sheetView showGridLines="0" workbookViewId="0"/>
  </sheetViews>
  <sheetFormatPr defaultColWidth="8.42578125" defaultRowHeight="15"/>
  <cols>
    <col min="1" max="1" width="2" customWidth="1"/>
    <col min="2" max="2" width="62" customWidth="1"/>
    <col min="3" max="3" width="40" customWidth="1"/>
    <col min="4" max="9" width="26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>
      <c r="A2" s="1"/>
      <c r="B2" s="7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>
      <c r="A3" s="1"/>
      <c r="B3" s="17" t="s">
        <v>822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>
      <c r="A4" s="1"/>
      <c r="B4" s="6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>
      <c r="A5" s="1"/>
      <c r="B5" s="9" t="s">
        <v>3</v>
      </c>
      <c r="C5" s="5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>
      <c r="A6" s="1"/>
      <c r="B6" s="16" t="s">
        <v>6</v>
      </c>
      <c r="C6" s="15">
        <v>46295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>
      <c r="A7" s="1"/>
      <c r="B7" s="8" t="s">
        <v>7</v>
      </c>
      <c r="C7" s="4">
        <f>C6-EOMONTH(C6,-3)</f>
        <v>92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>
      <c r="A9" s="1"/>
      <c r="B9" s="32" t="s">
        <v>823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>
      <c r="A10" s="1"/>
      <c r="B10" s="3" t="s">
        <v>824</v>
      </c>
      <c r="C10" s="63" t="s">
        <v>825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>
      <c r="A11" s="1"/>
      <c r="B11" s="1" t="s">
        <v>826</v>
      </c>
      <c r="C11" s="77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>
      <c r="A12" s="1"/>
      <c r="B12" s="1" t="s">
        <v>827</v>
      </c>
      <c r="C12" s="77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>
      <c r="A13" s="1"/>
      <c r="B13" s="1" t="s">
        <v>828</v>
      </c>
      <c r="C13" s="77" t="s">
        <v>829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>
      <c r="A14" s="1"/>
      <c r="B14" s="1" t="s">
        <v>830</v>
      </c>
      <c r="C14" s="127">
        <v>294585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>
      <c r="A15" s="1"/>
      <c r="B15" s="1" t="s">
        <v>831</v>
      </c>
      <c r="C15" s="77" t="s">
        <v>832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>
      <c r="A16" s="1"/>
      <c r="B16" s="1" t="s">
        <v>833</v>
      </c>
      <c r="C16" s="8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>
      <c r="A17" s="1"/>
      <c r="B17" s="1" t="s">
        <v>834</v>
      </c>
      <c r="C17" s="77" t="s">
        <v>835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>
      <c r="A18" s="1"/>
      <c r="B18" s="1" t="s">
        <v>836</v>
      </c>
      <c r="C18" s="118">
        <v>46295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>
      <c r="A19" s="1"/>
      <c r="B19" s="1" t="s">
        <v>837</v>
      </c>
      <c r="C19" s="118">
        <v>46310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>
      <c r="A20" s="1"/>
      <c r="B20" s="1" t="s">
        <v>838</v>
      </c>
      <c r="C20" s="77" t="s">
        <v>839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>
      <c r="A21" s="1"/>
      <c r="B21" s="1" t="s">
        <v>840</v>
      </c>
      <c r="C21" s="38">
        <v>23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>
      <c r="A22" s="1"/>
      <c r="B22" s="1" t="s">
        <v>841</v>
      </c>
      <c r="C22" s="53">
        <v>4.98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>
      <c r="A23" s="1"/>
      <c r="B23" s="1" t="s">
        <v>842</v>
      </c>
      <c r="C23" s="53">
        <v>4.98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>
      <c r="A24" s="1"/>
      <c r="B24" s="1" t="s">
        <v>843</v>
      </c>
      <c r="C24" s="53">
        <v>5.09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>
      <c r="A25" s="1"/>
      <c r="B25" s="1" t="s">
        <v>844</v>
      </c>
      <c r="C25" s="53">
        <v>4.82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>
      <c r="A26" s="1"/>
      <c r="B26" s="1" t="s">
        <v>845</v>
      </c>
      <c r="C26" s="53">
        <v>0.08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>
      <c r="A27" s="1"/>
      <c r="B27" s="1" t="s">
        <v>846</v>
      </c>
      <c r="C27" s="119">
        <v>16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>
      <c r="A28" s="1"/>
      <c r="B28" s="1" t="s">
        <v>847</v>
      </c>
      <c r="C28" s="8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>
      <c r="A29" s="1"/>
      <c r="B29" s="1" t="s">
        <v>848</v>
      </c>
      <c r="C29" s="8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>
      <c r="A30" s="1"/>
      <c r="B30" s="1" t="s">
        <v>849</v>
      </c>
      <c r="C30" s="8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>
      <c r="A31" s="1"/>
      <c r="B31" s="1" t="s">
        <v>850</v>
      </c>
      <c r="C31" s="53">
        <v>4.89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>
      <c r="A32" s="1"/>
      <c r="B32" s="1" t="s">
        <v>851</v>
      </c>
      <c r="C32" s="53">
        <v>4.89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>
      <c r="A33" s="1"/>
      <c r="B33" s="1" t="s">
        <v>852</v>
      </c>
      <c r="C33" s="53">
        <v>5.07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>
      <c r="A34" s="1"/>
      <c r="B34" s="1" t="s">
        <v>853</v>
      </c>
      <c r="C34" s="53">
        <v>4.77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>
      <c r="A35" s="1"/>
      <c r="B35" s="1" t="s">
        <v>854</v>
      </c>
      <c r="C35" s="53">
        <v>0.09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>
      <c r="A36" s="1"/>
      <c r="B36" s="1" t="s">
        <v>855</v>
      </c>
      <c r="C36" s="119">
        <v>16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>
      <c r="A37" s="1"/>
      <c r="B37" s="1" t="s">
        <v>856</v>
      </c>
      <c r="C37" s="8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>
      <c r="A38" s="1"/>
      <c r="B38" s="1" t="s">
        <v>857</v>
      </c>
      <c r="C38" s="79">
        <v>6591.5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>
      <c r="A39" s="1"/>
      <c r="B39" s="1" t="s">
        <v>858</v>
      </c>
      <c r="C39" s="79">
        <v>6590.5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>
      <c r="A40" s="1"/>
      <c r="B40" s="1" t="s">
        <v>859</v>
      </c>
      <c r="C40" s="79">
        <v>6632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>
      <c r="A41" s="1"/>
      <c r="B41" s="1" t="s">
        <v>860</v>
      </c>
      <c r="C41" s="79">
        <v>6553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>
      <c r="A42" s="1"/>
      <c r="B42" s="1" t="s">
        <v>861</v>
      </c>
      <c r="C42" s="79">
        <v>28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>
      <c r="A43" s="1"/>
      <c r="B43" s="1" t="s">
        <v>862</v>
      </c>
      <c r="C43" s="38">
        <v>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>
      <c r="A44" s="1"/>
      <c r="B44" s="1" t="s">
        <v>863</v>
      </c>
      <c r="C44" s="8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>
      <c r="A45" s="1"/>
      <c r="B45" s="1" t="s">
        <v>864</v>
      </c>
      <c r="C45" s="8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>
      <c r="A46" s="1"/>
      <c r="B46" s="1" t="s">
        <v>865</v>
      </c>
      <c r="C46" s="8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>
      <c r="A47" s="1"/>
      <c r="B47" s="1" t="s">
        <v>866</v>
      </c>
      <c r="C47" s="8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>
      <c r="A48" s="1"/>
      <c r="B48" s="1" t="s">
        <v>867</v>
      </c>
      <c r="C48" s="18">
        <v>2834.71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>
      <c r="A49" s="1"/>
      <c r="B49" s="1" t="s">
        <v>868</v>
      </c>
      <c r="C49" s="18">
        <v>2584.01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>
      <c r="A50" s="1"/>
      <c r="B50" s="1" t="s">
        <v>869</v>
      </c>
      <c r="C50" s="18">
        <v>2565.99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>
      <c r="A51" s="1"/>
      <c r="B51" s="1" t="s">
        <v>870</v>
      </c>
      <c r="C51" s="18">
        <v>1992.3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>
      <c r="A52" s="1"/>
      <c r="B52" s="1" t="s">
        <v>871</v>
      </c>
      <c r="C52" s="18">
        <v>1970.93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>
      <c r="A53" s="1"/>
      <c r="B53" s="1" t="s">
        <v>872</v>
      </c>
      <c r="C53" s="79">
        <v>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>
      <c r="A54" s="1"/>
      <c r="B54" s="1" t="s">
        <v>873</v>
      </c>
      <c r="C54" s="79">
        <v>19.55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>
      <c r="A55" s="1"/>
      <c r="B55" s="1" t="s">
        <v>874</v>
      </c>
      <c r="C55" s="8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>
      <c r="A56" s="1"/>
      <c r="B56" s="1" t="s">
        <v>875</v>
      </c>
      <c r="C56" s="8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>
      <c r="A57" s="1"/>
      <c r="B57" s="1" t="s">
        <v>876</v>
      </c>
      <c r="C57" s="8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>
      <c r="A58" s="1"/>
      <c r="B58" s="1" t="s">
        <v>877</v>
      </c>
      <c r="C58" s="8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>
      <c r="A59" s="1"/>
      <c r="B59" s="1" t="s">
        <v>878</v>
      </c>
      <c r="C59" s="8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>
      <c r="A60" s="1"/>
      <c r="B60" s="1" t="s">
        <v>879</v>
      </c>
      <c r="C60" s="8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>
      <c r="A61" s="1"/>
      <c r="B61" s="1" t="s">
        <v>880</v>
      </c>
      <c r="C61" s="8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>
      <c r="A62" s="1"/>
      <c r="B62" s="1" t="s">
        <v>881</v>
      </c>
      <c r="C62" s="8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>
      <c r="A63" s="1"/>
      <c r="B63" s="1" t="s">
        <v>882</v>
      </c>
      <c r="C63" s="8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>
      <c r="A64" s="1"/>
      <c r="B64" s="1" t="s">
        <v>883</v>
      </c>
      <c r="C64" s="18">
        <v>44954.75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>
      <c r="A65" s="1"/>
      <c r="B65" s="1" t="s">
        <v>884</v>
      </c>
      <c r="C65" s="8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>
      <c r="A66" s="1"/>
      <c r="B66" s="1" t="s">
        <v>885</v>
      </c>
      <c r="C66" s="79">
        <v>13.36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>
      <c r="A67" s="1"/>
      <c r="B67" s="1" t="s">
        <v>886</v>
      </c>
      <c r="C67" s="53">
        <v>270.29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>
      <c r="A68" s="1"/>
      <c r="B68" s="1" t="s">
        <v>887</v>
      </c>
      <c r="C68" s="53">
        <v>275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>
      <c r="A69" s="1"/>
      <c r="B69" s="1" t="s">
        <v>888</v>
      </c>
      <c r="C69" s="53">
        <v>290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>
      <c r="A70" s="1"/>
      <c r="B70" s="1" t="s">
        <v>889</v>
      </c>
      <c r="C70" s="53">
        <v>245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>
      <c r="A71" s="1"/>
      <c r="B71" s="1" t="s">
        <v>890</v>
      </c>
      <c r="C71" s="53">
        <v>13.06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>
      <c r="A72" s="1"/>
      <c r="B72" s="1" t="s">
        <v>891</v>
      </c>
      <c r="C72" s="119">
        <v>21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>
      <c r="A73" s="1"/>
      <c r="B73" s="1" t="s">
        <v>892</v>
      </c>
      <c r="C73" s="77" t="s">
        <v>893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>
      <c r="A74" s="1"/>
      <c r="B74" s="1" t="s">
        <v>894</v>
      </c>
      <c r="C74" s="79">
        <v>1.83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>
      <c r="A75" s="1"/>
      <c r="B75" s="1" t="s">
        <v>895</v>
      </c>
      <c r="C75" s="53">
        <v>219.21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>
      <c r="A76" s="1"/>
      <c r="B76" s="1" t="s">
        <v>896</v>
      </c>
      <c r="C76" s="77" t="s">
        <v>897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>
      <c r="A77" s="1"/>
      <c r="B77" s="1" t="s">
        <v>898</v>
      </c>
      <c r="C77" s="77" t="s">
        <v>899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>
      <c r="A78" s="1"/>
      <c r="B78" s="1" t="s">
        <v>900</v>
      </c>
      <c r="C78" s="77" t="s">
        <v>901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>
      <c r="A79" s="1"/>
      <c r="B79" s="1" t="s">
        <v>902</v>
      </c>
      <c r="C79" s="118">
        <v>46306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>
      <c r="A80" s="1"/>
      <c r="B80" s="1" t="s">
        <v>903</v>
      </c>
      <c r="C80" s="77" t="s">
        <v>904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>
      <c r="A82" s="1"/>
      <c r="B82" s="32" t="s">
        <v>905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>
      <c r="A83" s="1"/>
      <c r="B83" s="108" t="s">
        <v>906</v>
      </c>
      <c r="C83" s="63" t="s">
        <v>907</v>
      </c>
      <c r="D83" s="63" t="s">
        <v>908</v>
      </c>
      <c r="E83" s="63" t="s">
        <v>909</v>
      </c>
      <c r="F83" s="63" t="s">
        <v>910</v>
      </c>
      <c r="G83" s="63" t="s">
        <v>911</v>
      </c>
      <c r="H83" s="63" t="s">
        <v>912</v>
      </c>
      <c r="I83" s="63" t="s">
        <v>913</v>
      </c>
      <c r="J83" s="1"/>
      <c r="K83" s="1"/>
      <c r="L83" s="1"/>
      <c r="M83" s="1"/>
      <c r="N83" s="1"/>
      <c r="O83" s="1"/>
      <c r="P83" s="1"/>
    </row>
    <row r="84">
      <c r="A84" s="1"/>
      <c r="B84" s="118">
        <v>45747</v>
      </c>
      <c r="C84" s="118">
        <v>45762</v>
      </c>
      <c r="D84" s="53">
        <v>3.39</v>
      </c>
      <c r="E84" s="53">
        <v>3.51</v>
      </c>
      <c r="F84" s="53">
        <v>3.38</v>
      </c>
      <c r="G84" s="53">
        <v>3.51</v>
      </c>
      <c r="H84" s="18">
        <v>5481.88</v>
      </c>
      <c r="I84" s="18">
        <v>5452</v>
      </c>
      <c r="J84" s="1"/>
      <c r="K84" s="1"/>
      <c r="L84" s="1"/>
      <c r="M84" s="1"/>
      <c r="N84" s="1"/>
      <c r="O84" s="1"/>
      <c r="P84" s="1"/>
    </row>
    <row r="85">
      <c r="A85" s="1"/>
      <c r="B85" s="118">
        <v>45838</v>
      </c>
      <c r="C85" s="118">
        <v>45854</v>
      </c>
      <c r="D85" s="53">
        <v>3.56</v>
      </c>
      <c r="E85" s="53">
        <v>3.85</v>
      </c>
      <c r="F85" s="53">
        <v>3.55</v>
      </c>
      <c r="G85" s="53">
        <v>3.85</v>
      </c>
      <c r="H85" s="18">
        <v>5603.54</v>
      </c>
      <c r="I85" s="18">
        <v>5661</v>
      </c>
      <c r="J85" s="1"/>
      <c r="K85" s="1"/>
      <c r="L85" s="1"/>
      <c r="M85" s="1"/>
      <c r="N85" s="1"/>
      <c r="O85" s="1"/>
      <c r="P85" s="1"/>
    </row>
    <row r="86">
      <c r="A86" s="1"/>
      <c r="B86" s="118">
        <v>45930</v>
      </c>
      <c r="C86" s="118">
        <v>45945</v>
      </c>
      <c r="D86" s="53">
        <v>4.05</v>
      </c>
      <c r="E86" s="53">
        <v>4.35</v>
      </c>
      <c r="F86" s="53">
        <v>4.04</v>
      </c>
      <c r="G86" s="53">
        <v>4.35</v>
      </c>
      <c r="H86" s="18">
        <v>5812.56</v>
      </c>
      <c r="I86" s="18">
        <v>5915</v>
      </c>
      <c r="J86" s="1"/>
      <c r="K86" s="1"/>
      <c r="L86" s="1"/>
      <c r="M86" s="1"/>
      <c r="N86" s="1"/>
      <c r="O86" s="1"/>
      <c r="P86" s="1"/>
    </row>
    <row r="87">
      <c r="A87" s="1"/>
      <c r="B87" s="118">
        <v>46022</v>
      </c>
      <c r="C87" s="118">
        <v>46038</v>
      </c>
      <c r="D87" s="53">
        <v>4.23</v>
      </c>
      <c r="E87" s="53">
        <v>4.88</v>
      </c>
      <c r="F87" s="53">
        <v>4.21</v>
      </c>
      <c r="G87" s="53">
        <v>4.88</v>
      </c>
      <c r="H87" s="18">
        <v>5947.2</v>
      </c>
      <c r="I87" s="18">
        <v>6071</v>
      </c>
      <c r="J87" s="1"/>
      <c r="K87" s="1"/>
      <c r="L87" s="1"/>
      <c r="M87" s="1"/>
      <c r="N87" s="1"/>
      <c r="O87" s="1"/>
      <c r="P87" s="1"/>
    </row>
    <row r="88">
      <c r="A88" s="1"/>
      <c r="B88" s="118">
        <v>46112</v>
      </c>
      <c r="C88" s="118">
        <v>46127</v>
      </c>
      <c r="D88" s="53">
        <v>4.16</v>
      </c>
      <c r="E88" s="53">
        <v>4.32</v>
      </c>
      <c r="F88" s="53">
        <v>3.95</v>
      </c>
      <c r="G88" s="53">
        <v>4.13</v>
      </c>
      <c r="H88" s="18">
        <v>6208.2</v>
      </c>
      <c r="I88" s="18">
        <v>6165</v>
      </c>
      <c r="J88" s="1"/>
      <c r="K88" s="1"/>
      <c r="L88" s="1"/>
      <c r="M88" s="1"/>
      <c r="N88" s="1"/>
      <c r="O88" s="1"/>
      <c r="P88" s="1"/>
    </row>
    <row r="89">
      <c r="A89" s="1"/>
      <c r="B89" s="118">
        <v>46203</v>
      </c>
      <c r="C89" s="118">
        <v>46218</v>
      </c>
      <c r="D89" s="53">
        <v>4.55</v>
      </c>
      <c r="E89" s="53">
        <v>4.85</v>
      </c>
      <c r="F89" s="53">
        <v>4.45</v>
      </c>
      <c r="G89" s="53">
        <v>4.81</v>
      </c>
      <c r="H89" s="18">
        <v>6428.33</v>
      </c>
      <c r="I89" s="18">
        <v>6875</v>
      </c>
      <c r="J89" s="1"/>
      <c r="K89" s="1"/>
      <c r="L89" s="1"/>
      <c r="M89" s="1"/>
      <c r="N89" s="1"/>
      <c r="O89" s="1"/>
      <c r="P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>
      <c r="A91" s="1"/>
      <c r="B91" s="32" t="s">
        <v>914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>
      <c r="A92" s="1"/>
      <c r="B92" s="3" t="s">
        <v>915</v>
      </c>
      <c r="C92" s="63" t="s">
        <v>916</v>
      </c>
      <c r="D92" s="63" t="s">
        <v>917</v>
      </c>
      <c r="E92" s="63" t="s">
        <v>918</v>
      </c>
      <c r="F92" s="63" t="s">
        <v>919</v>
      </c>
      <c r="G92" s="63" t="s">
        <v>920</v>
      </c>
      <c r="H92" s="63" t="s">
        <v>921</v>
      </c>
      <c r="I92" s="1"/>
      <c r="J92" s="1"/>
      <c r="K92" s="1"/>
      <c r="L92" s="1"/>
      <c r="M92" s="1"/>
      <c r="N92" s="1"/>
      <c r="O92" s="1"/>
      <c r="P92" s="1"/>
    </row>
    <row r="93">
      <c r="A93" s="1"/>
      <c r="B93" s="1" t="s">
        <v>392</v>
      </c>
      <c r="C93" s="75">
        <v>1499</v>
      </c>
      <c r="D93" s="75">
        <v>3142</v>
      </c>
      <c r="E93" s="75">
        <v>4964</v>
      </c>
      <c r="F93" s="75">
        <v>6997</v>
      </c>
      <c r="G93" s="75">
        <v>1772</v>
      </c>
      <c r="H93" s="75">
        <v>3827</v>
      </c>
      <c r="I93" s="1"/>
      <c r="J93" s="1"/>
      <c r="K93" s="1"/>
      <c r="L93" s="1"/>
      <c r="M93" s="1"/>
      <c r="N93" s="1"/>
      <c r="O93" s="1"/>
      <c r="P93" s="1"/>
    </row>
    <row r="94">
      <c r="A94" s="1"/>
      <c r="B94" s="1" t="s">
        <v>309</v>
      </c>
      <c r="C94" s="75">
        <v>219</v>
      </c>
      <c r="D94" s="75">
        <v>473</v>
      </c>
      <c r="E94" s="75">
        <v>640</v>
      </c>
      <c r="F94" s="75">
        <v>779</v>
      </c>
      <c r="G94" s="75">
        <v>210</v>
      </c>
      <c r="H94" s="75">
        <v>401</v>
      </c>
      <c r="I94" s="1"/>
      <c r="J94" s="1"/>
      <c r="K94" s="1"/>
      <c r="L94" s="1"/>
      <c r="M94" s="1"/>
      <c r="N94" s="1"/>
      <c r="O94" s="1"/>
      <c r="P94" s="1"/>
    </row>
    <row r="95">
      <c r="A95" s="1"/>
      <c r="B95" s="1" t="s">
        <v>922</v>
      </c>
      <c r="C95" s="75">
        <v>90</v>
      </c>
      <c r="D95" s="75">
        <v>172</v>
      </c>
      <c r="E95" s="75">
        <v>273</v>
      </c>
      <c r="F95" s="75">
        <v>381</v>
      </c>
      <c r="G95" s="75">
        <v>66</v>
      </c>
      <c r="H95" s="75">
        <v>173</v>
      </c>
      <c r="I95" s="1"/>
      <c r="J95" s="1"/>
      <c r="K95" s="1"/>
      <c r="L95" s="1"/>
      <c r="M95" s="1"/>
      <c r="N95" s="1"/>
      <c r="O95" s="1"/>
      <c r="P95" s="1"/>
    </row>
    <row r="96">
      <c r="A96" s="1"/>
      <c r="B96" s="1" t="s">
        <v>509</v>
      </c>
      <c r="C96" s="75">
        <v>-47</v>
      </c>
      <c r="D96" s="75">
        <v>-58</v>
      </c>
      <c r="E96" s="75">
        <v>-68</v>
      </c>
      <c r="F96" s="75">
        <v>-40</v>
      </c>
      <c r="G96" s="75">
        <v>-102</v>
      </c>
      <c r="H96" s="75">
        <v>152</v>
      </c>
      <c r="I96" s="1"/>
      <c r="J96" s="1"/>
      <c r="K96" s="1"/>
      <c r="L96" s="1"/>
      <c r="M96" s="1"/>
      <c r="N96" s="1"/>
      <c r="O96" s="1"/>
      <c r="P96" s="1"/>
    </row>
    <row r="97">
      <c r="A97" s="1"/>
      <c r="B97" s="1" t="s">
        <v>511</v>
      </c>
      <c r="C97" s="76"/>
      <c r="D97" s="75">
        <v>2</v>
      </c>
      <c r="E97" s="75">
        <v>2</v>
      </c>
      <c r="F97" s="75">
        <v>9</v>
      </c>
      <c r="G97" s="76"/>
      <c r="H97" s="75">
        <v>111</v>
      </c>
      <c r="I97" s="1"/>
      <c r="J97" s="1"/>
      <c r="K97" s="1"/>
      <c r="L97" s="1"/>
      <c r="M97" s="1"/>
      <c r="N97" s="1"/>
      <c r="O97" s="1"/>
      <c r="P97" s="1"/>
    </row>
    <row r="98">
      <c r="A98" s="1"/>
      <c r="B98" s="1" t="s">
        <v>923</v>
      </c>
      <c r="C98" s="75">
        <v>191</v>
      </c>
      <c r="D98" s="75">
        <v>328</v>
      </c>
      <c r="E98" s="75">
        <v>422</v>
      </c>
      <c r="F98" s="75">
        <v>492</v>
      </c>
      <c r="G98" s="75">
        <v>108</v>
      </c>
      <c r="H98" s="75">
        <v>185</v>
      </c>
      <c r="I98" s="1"/>
      <c r="J98" s="1"/>
      <c r="K98" s="1"/>
      <c r="L98" s="1"/>
      <c r="M98" s="1"/>
      <c r="N98" s="1"/>
      <c r="O98" s="1"/>
      <c r="P98" s="1"/>
    </row>
    <row r="99">
      <c r="A99" s="1"/>
      <c r="B99" s="1" t="s">
        <v>246</v>
      </c>
      <c r="C99" s="76"/>
      <c r="D99" s="75">
        <v>0</v>
      </c>
      <c r="E99" s="75">
        <v>0</v>
      </c>
      <c r="F99" s="75">
        <v>0</v>
      </c>
      <c r="G99" s="76"/>
      <c r="H99" s="75">
        <v>-448</v>
      </c>
      <c r="I99" s="1"/>
      <c r="J99" s="1"/>
      <c r="K99" s="1"/>
      <c r="L99" s="1"/>
      <c r="M99" s="1"/>
      <c r="N99" s="1"/>
      <c r="O99" s="1"/>
      <c r="P99" s="1"/>
    </row>
    <row r="100">
      <c r="A100" s="1"/>
      <c r="B100" s="1" t="s">
        <v>924</v>
      </c>
      <c r="C100" s="75">
        <v>-1495</v>
      </c>
      <c r="D100" s="75">
        <v>-1646</v>
      </c>
      <c r="E100" s="75">
        <v>-3293</v>
      </c>
      <c r="F100" s="75">
        <v>-3966</v>
      </c>
      <c r="G100" s="75">
        <v>105</v>
      </c>
      <c r="H100" s="75">
        <v>-187</v>
      </c>
      <c r="I100" s="1"/>
      <c r="J100" s="1"/>
      <c r="K100" s="1"/>
      <c r="L100" s="1"/>
      <c r="M100" s="1"/>
      <c r="N100" s="1"/>
      <c r="O100" s="1"/>
      <c r="P100" s="1"/>
    </row>
    <row r="101">
      <c r="A101" s="1"/>
      <c r="B101" s="1" t="s">
        <v>925</v>
      </c>
      <c r="C101" s="75">
        <v>-297</v>
      </c>
      <c r="D101" s="75">
        <v>-955</v>
      </c>
      <c r="E101" s="75">
        <v>-248</v>
      </c>
      <c r="F101" s="75">
        <v>-1102</v>
      </c>
      <c r="G101" s="75">
        <v>571</v>
      </c>
      <c r="H101" s="75">
        <v>377</v>
      </c>
      <c r="I101" s="1"/>
      <c r="J101" s="1"/>
      <c r="K101" s="1"/>
      <c r="L101" s="1"/>
      <c r="M101" s="1"/>
      <c r="N101" s="1"/>
      <c r="O101" s="1"/>
      <c r="P101" s="1"/>
    </row>
    <row r="102">
      <c r="A102" s="1"/>
      <c r="B102" s="1" t="s">
        <v>517</v>
      </c>
      <c r="C102" s="75">
        <v>964</v>
      </c>
      <c r="D102" s="75">
        <v>1782</v>
      </c>
      <c r="E102" s="75">
        <v>2645</v>
      </c>
      <c r="F102" s="75">
        <v>1736</v>
      </c>
      <c r="G102" s="75">
        <v>474</v>
      </c>
      <c r="H102" s="75">
        <v>-285</v>
      </c>
      <c r="I102" s="1"/>
      <c r="J102" s="1"/>
      <c r="K102" s="1"/>
      <c r="L102" s="1"/>
      <c r="M102" s="1"/>
      <c r="N102" s="1"/>
      <c r="O102" s="1"/>
      <c r="P102" s="1"/>
    </row>
    <row r="103">
      <c r="A103" s="1"/>
      <c r="B103" s="1" t="s">
        <v>926</v>
      </c>
      <c r="C103" s="75">
        <v>-1611</v>
      </c>
      <c r="D103" s="75">
        <v>-2395</v>
      </c>
      <c r="E103" s="75">
        <v>-2089</v>
      </c>
      <c r="F103" s="75">
        <v>-1610</v>
      </c>
      <c r="G103" s="75">
        <v>-1756</v>
      </c>
      <c r="H103" s="75">
        <v>-1284</v>
      </c>
      <c r="I103" s="1"/>
      <c r="J103" s="1"/>
      <c r="K103" s="1"/>
      <c r="L103" s="1"/>
      <c r="M103" s="1"/>
      <c r="N103" s="1"/>
      <c r="O103" s="1"/>
      <c r="P103" s="1"/>
    </row>
    <row r="104">
      <c r="A104" s="1"/>
      <c r="B104" s="1" t="s">
        <v>519</v>
      </c>
      <c r="C104" s="75">
        <v>-22</v>
      </c>
      <c r="D104" s="75">
        <v>126</v>
      </c>
      <c r="E104" s="75">
        <v>379</v>
      </c>
      <c r="F104" s="75">
        <v>708</v>
      </c>
      <c r="G104" s="75">
        <v>480</v>
      </c>
      <c r="H104" s="75">
        <v>1053</v>
      </c>
      <c r="I104" s="1"/>
      <c r="J104" s="1"/>
      <c r="K104" s="1"/>
      <c r="L104" s="1"/>
      <c r="M104" s="1"/>
      <c r="N104" s="1"/>
      <c r="O104" s="1"/>
      <c r="P104" s="1"/>
    </row>
    <row r="105">
      <c r="A105" s="1"/>
      <c r="B105" s="1" t="s">
        <v>927</v>
      </c>
      <c r="C105" s="75">
        <v>-509</v>
      </c>
      <c r="D105" s="75">
        <v>971</v>
      </c>
      <c r="E105" s="75">
        <v>3627</v>
      </c>
      <c r="F105" s="75">
        <v>4384</v>
      </c>
      <c r="G105" s="75">
        <v>1928</v>
      </c>
      <c r="H105" s="75">
        <v>4075</v>
      </c>
      <c r="I105" s="1"/>
      <c r="J105" s="1"/>
      <c r="K105" s="1"/>
      <c r="L105" s="1"/>
      <c r="M105" s="1"/>
      <c r="N105" s="1"/>
      <c r="O105" s="1"/>
      <c r="P105" s="1"/>
    </row>
    <row r="106">
      <c r="A106" s="1"/>
      <c r="B106" s="1" t="s">
        <v>526</v>
      </c>
      <c r="C106" s="75">
        <v>1241</v>
      </c>
      <c r="D106" s="75">
        <v>1331</v>
      </c>
      <c r="E106" s="75">
        <v>1267</v>
      </c>
      <c r="F106" s="75">
        <v>3151</v>
      </c>
      <c r="G106" s="75">
        <v>7729</v>
      </c>
      <c r="H106" s="75">
        <v>11977</v>
      </c>
      <c r="I106" s="1"/>
      <c r="J106" s="1"/>
      <c r="K106" s="1"/>
      <c r="L106" s="1"/>
      <c r="M106" s="1"/>
      <c r="N106" s="1"/>
      <c r="O106" s="1"/>
      <c r="P106" s="1"/>
    </row>
    <row r="107">
      <c r="A107" s="1"/>
      <c r="B107" s="1" t="s">
        <v>528</v>
      </c>
      <c r="C107" s="75">
        <v>143</v>
      </c>
      <c r="D107" s="75">
        <v>293</v>
      </c>
      <c r="E107" s="75">
        <v>574</v>
      </c>
      <c r="F107" s="75">
        <v>876</v>
      </c>
      <c r="G107" s="75">
        <v>177</v>
      </c>
      <c r="H107" s="75">
        <v>403</v>
      </c>
      <c r="I107" s="1"/>
      <c r="J107" s="1"/>
      <c r="K107" s="1"/>
      <c r="L107" s="1"/>
      <c r="M107" s="1"/>
      <c r="N107" s="1"/>
      <c r="O107" s="1"/>
      <c r="P107" s="1"/>
    </row>
    <row r="108">
      <c r="A108" s="1"/>
      <c r="B108" s="1" t="s">
        <v>928</v>
      </c>
      <c r="C108" s="75">
        <v>1671</v>
      </c>
      <c r="D108" s="75">
        <v>3392</v>
      </c>
      <c r="E108" s="75">
        <v>5639</v>
      </c>
      <c r="F108" s="75">
        <v>6668</v>
      </c>
      <c r="G108" s="75">
        <v>1904</v>
      </c>
      <c r="H108" s="75">
        <v>4406</v>
      </c>
      <c r="I108" s="1"/>
      <c r="J108" s="1"/>
      <c r="K108" s="1"/>
      <c r="L108" s="1"/>
      <c r="M108" s="1"/>
      <c r="N108" s="1"/>
      <c r="O108" s="1"/>
      <c r="P108" s="1"/>
    </row>
    <row r="109">
      <c r="A109" s="1"/>
      <c r="B109" s="1" t="s">
        <v>929</v>
      </c>
      <c r="C109" s="75">
        <v>3480</v>
      </c>
      <c r="D109" s="75">
        <v>6843</v>
      </c>
      <c r="E109" s="75">
        <v>10246</v>
      </c>
      <c r="F109" s="75">
        <v>15006</v>
      </c>
      <c r="G109" s="75">
        <v>4503</v>
      </c>
      <c r="H109" s="75">
        <v>6582</v>
      </c>
      <c r="I109" s="1"/>
      <c r="J109" s="1"/>
      <c r="K109" s="1"/>
      <c r="L109" s="1"/>
      <c r="M109" s="1"/>
      <c r="N109" s="1"/>
      <c r="O109" s="1"/>
      <c r="P109" s="1"/>
    </row>
    <row r="110">
      <c r="A110" s="1"/>
      <c r="B110" s="1" t="s">
        <v>930</v>
      </c>
      <c r="C110" s="75">
        <v>-4098</v>
      </c>
      <c r="D110" s="75">
        <v>-9045</v>
      </c>
      <c r="E110" s="75">
        <v>-12121</v>
      </c>
      <c r="F110" s="75">
        <v>-15425</v>
      </c>
      <c r="G110" s="75">
        <v>-5725</v>
      </c>
      <c r="H110" s="75">
        <v>-13672</v>
      </c>
      <c r="I110" s="1"/>
      <c r="J110" s="1"/>
      <c r="K110" s="1"/>
      <c r="L110" s="1"/>
      <c r="M110" s="1"/>
      <c r="N110" s="1"/>
      <c r="O110" s="1"/>
      <c r="P110" s="1"/>
    </row>
    <row r="111">
      <c r="A111" s="1"/>
      <c r="B111" s="1" t="s">
        <v>931</v>
      </c>
      <c r="C111" s="75">
        <v>-31</v>
      </c>
      <c r="D111" s="75">
        <v>-3979</v>
      </c>
      <c r="E111" s="75">
        <v>-5182</v>
      </c>
      <c r="F111" s="75">
        <v>-6657</v>
      </c>
      <c r="G111" s="75">
        <v>-3341</v>
      </c>
      <c r="H111" s="75">
        <v>-11066</v>
      </c>
      <c r="I111" s="1"/>
      <c r="J111" s="1"/>
      <c r="K111" s="1"/>
      <c r="L111" s="1"/>
      <c r="M111" s="1"/>
      <c r="N111" s="1"/>
      <c r="O111" s="1"/>
      <c r="P111" s="1"/>
    </row>
    <row r="112">
      <c r="A112" s="1"/>
      <c r="B112" s="1" t="s">
        <v>534</v>
      </c>
      <c r="C112" s="75">
        <v>-403</v>
      </c>
      <c r="D112" s="75">
        <v>-853</v>
      </c>
      <c r="E112" s="75">
        <v>-1592</v>
      </c>
      <c r="F112" s="75">
        <v>-2312</v>
      </c>
      <c r="G112" s="75">
        <v>-600</v>
      </c>
      <c r="H112" s="75">
        <v>-1128</v>
      </c>
      <c r="I112" s="1"/>
      <c r="J112" s="1"/>
      <c r="K112" s="1"/>
      <c r="L112" s="1"/>
      <c r="M112" s="1"/>
      <c r="N112" s="1"/>
      <c r="O112" s="1"/>
      <c r="P112" s="1"/>
    </row>
    <row r="113">
      <c r="A113" s="1"/>
      <c r="B113" s="1" t="s">
        <v>932</v>
      </c>
      <c r="C113" s="75">
        <v>-445</v>
      </c>
      <c r="D113" s="75">
        <v>-188</v>
      </c>
      <c r="E113" s="75">
        <v>-857</v>
      </c>
      <c r="F113" s="75">
        <v>448</v>
      </c>
      <c r="G113" s="75">
        <v>260</v>
      </c>
      <c r="H113" s="75">
        <v>501</v>
      </c>
      <c r="I113" s="1"/>
      <c r="J113" s="1"/>
      <c r="K113" s="1"/>
      <c r="L113" s="1"/>
      <c r="M113" s="1"/>
      <c r="N113" s="1"/>
      <c r="O113" s="1"/>
      <c r="P113" s="1"/>
    </row>
    <row r="114">
      <c r="A114" s="1"/>
      <c r="B114" s="1" t="s">
        <v>536</v>
      </c>
      <c r="C114" s="75">
        <v>-2393</v>
      </c>
      <c r="D114" s="75">
        <v>-9812</v>
      </c>
      <c r="E114" s="75">
        <v>-9985</v>
      </c>
      <c r="F114" s="75">
        <v>-14736</v>
      </c>
      <c r="G114" s="75">
        <v>-13773</v>
      </c>
      <c r="H114" s="75">
        <v>-20490</v>
      </c>
      <c r="I114" s="1"/>
      <c r="J114" s="1"/>
      <c r="K114" s="1"/>
      <c r="L114" s="1"/>
      <c r="M114" s="1"/>
      <c r="N114" s="1"/>
      <c r="O114" s="1"/>
      <c r="P114" s="1"/>
    </row>
    <row r="115">
      <c r="A115" s="1"/>
      <c r="B115" s="1" t="s">
        <v>538</v>
      </c>
      <c r="C115" s="76"/>
      <c r="D115" s="76"/>
      <c r="E115" s="76"/>
      <c r="F115" s="76"/>
      <c r="G115" s="75">
        <v>-80</v>
      </c>
      <c r="H115" s="75">
        <v>-80</v>
      </c>
      <c r="I115" s="1"/>
      <c r="J115" s="1"/>
      <c r="K115" s="1"/>
      <c r="L115" s="1"/>
      <c r="M115" s="1"/>
      <c r="N115" s="1"/>
      <c r="O115" s="1"/>
      <c r="P115" s="1"/>
    </row>
    <row r="116">
      <c r="A116" s="1"/>
      <c r="B116" s="1" t="s">
        <v>539</v>
      </c>
      <c r="C116" s="75">
        <v>-145</v>
      </c>
      <c r="D116" s="75">
        <v>-670</v>
      </c>
      <c r="E116" s="75">
        <v>-1497</v>
      </c>
      <c r="F116" s="75">
        <v>-2636</v>
      </c>
      <c r="G116" s="75">
        <v>-1640</v>
      </c>
      <c r="H116" s="75">
        <v>-3079</v>
      </c>
      <c r="I116" s="1"/>
      <c r="J116" s="1"/>
      <c r="K116" s="1"/>
      <c r="L116" s="1"/>
      <c r="M116" s="1"/>
      <c r="N116" s="1"/>
      <c r="O116" s="1"/>
      <c r="P116" s="1"/>
    </row>
    <row r="117">
      <c r="A117" s="1"/>
      <c r="B117" s="1" t="s">
        <v>933</v>
      </c>
      <c r="C117" s="75">
        <v>-980</v>
      </c>
      <c r="D117" s="75">
        <v>-12688</v>
      </c>
      <c r="E117" s="75">
        <v>-13508</v>
      </c>
      <c r="F117" s="75">
        <v>-15617</v>
      </c>
      <c r="G117" s="75">
        <v>-10586</v>
      </c>
      <c r="H117" s="75">
        <v>-25646</v>
      </c>
      <c r="I117" s="1"/>
      <c r="J117" s="1"/>
      <c r="K117" s="1"/>
      <c r="L117" s="1"/>
      <c r="M117" s="1"/>
      <c r="N117" s="1"/>
      <c r="O117" s="1"/>
      <c r="P117" s="1"/>
    </row>
    <row r="118">
      <c r="A118" s="1"/>
      <c r="B118" s="1" t="s">
        <v>934</v>
      </c>
      <c r="C118" s="75">
        <v>-272</v>
      </c>
      <c r="D118" s="75">
        <v>613</v>
      </c>
      <c r="E118" s="75">
        <v>-1435</v>
      </c>
      <c r="F118" s="75">
        <v>-895</v>
      </c>
      <c r="G118" s="75">
        <v>-2345</v>
      </c>
      <c r="H118" s="75">
        <v>-2282</v>
      </c>
      <c r="I118" s="1"/>
      <c r="J118" s="1"/>
      <c r="K118" s="1"/>
      <c r="L118" s="1"/>
      <c r="M118" s="1"/>
      <c r="N118" s="1"/>
      <c r="O118" s="1"/>
      <c r="P118" s="1"/>
    </row>
    <row r="119">
      <c r="A119" s="1"/>
      <c r="B119" s="1" t="s">
        <v>935</v>
      </c>
      <c r="C119" s="75">
        <v>-3551</v>
      </c>
      <c r="D119" s="75">
        <v>-654</v>
      </c>
      <c r="E119" s="75">
        <v>7445</v>
      </c>
      <c r="F119" s="75">
        <v>15021</v>
      </c>
      <c r="G119" s="75">
        <v>-3947</v>
      </c>
      <c r="H119" s="75">
        <v>-11862</v>
      </c>
      <c r="I119" s="1"/>
      <c r="J119" s="1"/>
      <c r="K119" s="1"/>
      <c r="L119" s="1"/>
      <c r="M119" s="1"/>
      <c r="N119" s="1"/>
      <c r="O119" s="1"/>
      <c r="P119" s="1"/>
    </row>
    <row r="120">
      <c r="A120" s="1"/>
      <c r="B120" s="1" t="s">
        <v>936</v>
      </c>
      <c r="C120" s="75">
        <v>-3</v>
      </c>
      <c r="D120" s="75">
        <v>-36</v>
      </c>
      <c r="E120" s="75">
        <v>96</v>
      </c>
      <c r="F120" s="75">
        <v>77</v>
      </c>
      <c r="G120" s="75">
        <v>-28</v>
      </c>
      <c r="H120" s="75">
        <v>-44</v>
      </c>
      <c r="I120" s="1"/>
      <c r="J120" s="1"/>
      <c r="K120" s="1"/>
      <c r="L120" s="1"/>
      <c r="M120" s="1"/>
      <c r="N120" s="1"/>
      <c r="O120" s="1"/>
      <c r="P120" s="1"/>
    </row>
    <row r="121">
      <c r="A121" s="1"/>
      <c r="B121" s="1" t="s">
        <v>937</v>
      </c>
      <c r="C121" s="76"/>
      <c r="D121" s="75">
        <v>0</v>
      </c>
      <c r="E121" s="76"/>
      <c r="F121" s="76"/>
      <c r="G121" s="76"/>
      <c r="H121" s="75">
        <v>4000</v>
      </c>
      <c r="I121" s="1"/>
      <c r="J121" s="1"/>
      <c r="K121" s="1"/>
      <c r="L121" s="1"/>
      <c r="M121" s="1"/>
      <c r="N121" s="1"/>
      <c r="O121" s="1"/>
      <c r="P121" s="1"/>
    </row>
    <row r="122">
      <c r="A122" s="1"/>
      <c r="B122" s="1" t="s">
        <v>547</v>
      </c>
      <c r="C122" s="75">
        <v>419</v>
      </c>
      <c r="D122" s="75">
        <v>149</v>
      </c>
      <c r="E122" s="75">
        <v>770</v>
      </c>
      <c r="F122" s="75">
        <v>-377</v>
      </c>
      <c r="G122" s="75">
        <v>290</v>
      </c>
      <c r="H122" s="75">
        <v>198</v>
      </c>
      <c r="I122" s="1"/>
      <c r="J122" s="1"/>
      <c r="K122" s="1"/>
      <c r="L122" s="1"/>
      <c r="M122" s="1"/>
      <c r="N122" s="1"/>
      <c r="O122" s="1"/>
      <c r="P122" s="1"/>
    </row>
    <row r="123">
      <c r="A123" s="1"/>
      <c r="B123" s="1" t="s">
        <v>548</v>
      </c>
      <c r="C123" s="75">
        <v>0</v>
      </c>
      <c r="D123" s="75">
        <v>3000</v>
      </c>
      <c r="E123" s="75">
        <v>4100</v>
      </c>
      <c r="F123" s="75">
        <v>4100</v>
      </c>
      <c r="G123" s="75">
        <v>10000</v>
      </c>
      <c r="H123" s="75">
        <v>28000</v>
      </c>
      <c r="I123" s="1"/>
      <c r="J123" s="1"/>
      <c r="K123" s="1"/>
      <c r="L123" s="1"/>
      <c r="M123" s="1"/>
      <c r="N123" s="1"/>
      <c r="O123" s="1"/>
      <c r="P123" s="1"/>
    </row>
    <row r="124">
      <c r="A124" s="1"/>
      <c r="B124" s="1" t="s">
        <v>550</v>
      </c>
      <c r="C124" s="75">
        <v>2742</v>
      </c>
      <c r="D124" s="75">
        <v>5237</v>
      </c>
      <c r="E124" s="75">
        <v>8030</v>
      </c>
      <c r="F124" s="75">
        <v>8030</v>
      </c>
      <c r="G124" s="75">
        <v>2564</v>
      </c>
      <c r="H124" s="75">
        <v>4211</v>
      </c>
      <c r="I124" s="1"/>
      <c r="J124" s="1"/>
      <c r="K124" s="1"/>
      <c r="L124" s="1"/>
      <c r="M124" s="1"/>
      <c r="N124" s="1"/>
      <c r="O124" s="1"/>
      <c r="P124" s="1"/>
    </row>
    <row r="125">
      <c r="A125" s="1"/>
      <c r="B125" s="1" t="s">
        <v>552</v>
      </c>
      <c r="C125" s="75">
        <v>0</v>
      </c>
      <c r="D125" s="75">
        <v>0</v>
      </c>
      <c r="E125" s="76"/>
      <c r="F125" s="76"/>
      <c r="G125" s="75">
        <v>1495</v>
      </c>
      <c r="H125" s="75">
        <v>1495</v>
      </c>
      <c r="I125" s="1"/>
      <c r="J125" s="1"/>
      <c r="K125" s="1"/>
      <c r="L125" s="1"/>
      <c r="M125" s="1"/>
      <c r="N125" s="1"/>
      <c r="O125" s="1"/>
      <c r="P125" s="1"/>
    </row>
    <row r="126">
      <c r="A126" s="1"/>
      <c r="B126" s="1" t="s">
        <v>554</v>
      </c>
      <c r="C126" s="76"/>
      <c r="D126" s="76"/>
      <c r="E126" s="75">
        <v>0</v>
      </c>
      <c r="F126" s="75">
        <v>0</v>
      </c>
      <c r="G126" s="76"/>
      <c r="H126" s="76"/>
      <c r="I126" s="1"/>
      <c r="J126" s="1"/>
      <c r="K126" s="1"/>
      <c r="L126" s="1"/>
      <c r="M126" s="1"/>
      <c r="N126" s="1"/>
      <c r="O126" s="1"/>
      <c r="P126" s="1"/>
    </row>
    <row r="127">
      <c r="A127" s="1"/>
      <c r="B127" s="1" t="s">
        <v>555</v>
      </c>
      <c r="C127" s="76"/>
      <c r="D127" s="76"/>
      <c r="E127" s="76"/>
      <c r="F127" s="75">
        <v>0</v>
      </c>
      <c r="G127" s="76"/>
      <c r="H127" s="76"/>
      <c r="I127" s="1"/>
      <c r="J127" s="1"/>
      <c r="K127" s="1"/>
      <c r="L127" s="1"/>
      <c r="M127" s="1"/>
      <c r="N127" s="1"/>
      <c r="O127" s="1"/>
      <c r="P127" s="1"/>
    </row>
    <row r="128">
      <c r="A128" s="1"/>
      <c r="B128" s="1" t="s">
        <v>556</v>
      </c>
      <c r="C128" s="75">
        <v>25</v>
      </c>
      <c r="D128" s="75">
        <v>34</v>
      </c>
      <c r="E128" s="75">
        <v>61</v>
      </c>
      <c r="F128" s="75">
        <v>70</v>
      </c>
      <c r="G128" s="75">
        <v>26</v>
      </c>
      <c r="H128" s="75">
        <v>34</v>
      </c>
      <c r="I128" s="1"/>
      <c r="J128" s="1"/>
      <c r="K128" s="1"/>
      <c r="L128" s="1"/>
      <c r="M128" s="1"/>
      <c r="N128" s="1"/>
      <c r="O128" s="1"/>
      <c r="P128" s="1"/>
    </row>
    <row r="129">
      <c r="A129" s="1"/>
      <c r="B129" s="1" t="s">
        <v>938</v>
      </c>
      <c r="C129" s="75">
        <v>-4000</v>
      </c>
      <c r="D129" s="75">
        <v>-7000</v>
      </c>
      <c r="E129" s="75">
        <v>-10000</v>
      </c>
      <c r="F129" s="75">
        <v>-13100</v>
      </c>
      <c r="G129" s="75">
        <v>-3000</v>
      </c>
      <c r="H129" s="75">
        <v>-6000</v>
      </c>
      <c r="I129" s="1"/>
      <c r="J129" s="1"/>
      <c r="K129" s="1"/>
      <c r="L129" s="1"/>
      <c r="M129" s="1"/>
      <c r="N129" s="1"/>
      <c r="O129" s="1"/>
      <c r="P129" s="1"/>
    </row>
    <row r="130">
      <c r="A130" s="1"/>
      <c r="B130" s="1" t="s">
        <v>939</v>
      </c>
      <c r="C130" s="75">
        <v>-750</v>
      </c>
      <c r="D130" s="75">
        <v>-2750</v>
      </c>
      <c r="E130" s="75">
        <v>-2750</v>
      </c>
      <c r="F130" s="75">
        <v>-2750</v>
      </c>
      <c r="G130" s="75">
        <v>-3000</v>
      </c>
      <c r="H130" s="75">
        <v>-4250</v>
      </c>
      <c r="I130" s="1"/>
      <c r="J130" s="1"/>
      <c r="K130" s="1"/>
      <c r="L130" s="1"/>
      <c r="M130" s="1"/>
      <c r="N130" s="1"/>
      <c r="O130" s="1"/>
      <c r="P130" s="1"/>
    </row>
    <row r="131">
      <c r="A131" s="1"/>
      <c r="B131" s="1" t="s">
        <v>940</v>
      </c>
      <c r="C131" s="76"/>
      <c r="D131" s="75">
        <v>-700</v>
      </c>
      <c r="E131" s="75">
        <v>-700</v>
      </c>
      <c r="F131" s="75">
        <v>-1200</v>
      </c>
      <c r="G131" s="76"/>
      <c r="H131" s="75">
        <v>-71</v>
      </c>
      <c r="I131" s="1"/>
      <c r="J131" s="1"/>
      <c r="K131" s="1"/>
      <c r="L131" s="1"/>
      <c r="M131" s="1"/>
      <c r="N131" s="1"/>
      <c r="O131" s="1"/>
      <c r="P131" s="1"/>
    </row>
    <row r="132">
      <c r="A132" s="1"/>
      <c r="B132" s="1" t="s">
        <v>941</v>
      </c>
      <c r="C132" s="76"/>
      <c r="D132" s="76"/>
      <c r="E132" s="75">
        <v>0</v>
      </c>
      <c r="F132" s="75">
        <v>0</v>
      </c>
      <c r="G132" s="76"/>
      <c r="H132" s="76"/>
      <c r="I132" s="1"/>
      <c r="J132" s="1"/>
      <c r="K132" s="1"/>
      <c r="L132" s="1"/>
      <c r="M132" s="1"/>
      <c r="N132" s="1"/>
      <c r="O132" s="1"/>
      <c r="P132" s="1"/>
    </row>
    <row r="133">
      <c r="A133" s="1"/>
      <c r="B133" s="1" t="s">
        <v>561</v>
      </c>
      <c r="C133" s="76"/>
      <c r="D133" s="76"/>
      <c r="E133" s="76"/>
      <c r="F133" s="75">
        <v>0</v>
      </c>
      <c r="G133" s="76"/>
      <c r="H133" s="76"/>
      <c r="I133" s="1"/>
      <c r="J133" s="1"/>
      <c r="K133" s="1"/>
      <c r="L133" s="1"/>
      <c r="M133" s="1"/>
      <c r="N133" s="1"/>
      <c r="O133" s="1"/>
      <c r="P133" s="1"/>
    </row>
    <row r="134">
      <c r="A134" s="1"/>
      <c r="B134" s="1" t="s">
        <v>562</v>
      </c>
      <c r="C134" s="75">
        <v>-262</v>
      </c>
      <c r="D134" s="75">
        <v>-598</v>
      </c>
      <c r="E134" s="75">
        <v>-932</v>
      </c>
      <c r="F134" s="75">
        <v>-1338</v>
      </c>
      <c r="G134" s="75">
        <v>-796</v>
      </c>
      <c r="H134" s="75">
        <v>-1418</v>
      </c>
      <c r="I134" s="1"/>
      <c r="J134" s="1"/>
      <c r="K134" s="1"/>
      <c r="L134" s="1"/>
      <c r="M134" s="1"/>
      <c r="N134" s="1"/>
      <c r="O134" s="1"/>
      <c r="P134" s="1"/>
    </row>
    <row r="135">
      <c r="A135" s="1"/>
      <c r="B135" s="1" t="s">
        <v>563</v>
      </c>
      <c r="C135" s="75">
        <v>-71</v>
      </c>
      <c r="D135" s="75">
        <v>-154</v>
      </c>
      <c r="E135" s="75">
        <v>-225</v>
      </c>
      <c r="F135" s="75">
        <v>-308</v>
      </c>
      <c r="G135" s="75">
        <v>-73</v>
      </c>
      <c r="H135" s="75">
        <v>-158</v>
      </c>
      <c r="I135" s="1"/>
      <c r="J135" s="1"/>
      <c r="K135" s="1"/>
      <c r="L135" s="1"/>
      <c r="M135" s="1"/>
      <c r="N135" s="1"/>
      <c r="O135" s="1"/>
      <c r="P135" s="1"/>
    </row>
    <row r="136">
      <c r="A136" s="1"/>
      <c r="B136" s="1" t="s">
        <v>564</v>
      </c>
      <c r="C136" s="75">
        <v>-639</v>
      </c>
      <c r="D136" s="75">
        <v>-1281</v>
      </c>
      <c r="E136" s="75">
        <v>-1959</v>
      </c>
      <c r="F136" s="75">
        <v>-2635</v>
      </c>
      <c r="G136" s="75">
        <v>-696</v>
      </c>
      <c r="H136" s="75">
        <v>-1387</v>
      </c>
      <c r="I136" s="1"/>
      <c r="J136" s="1"/>
      <c r="K136" s="1"/>
      <c r="L136" s="1"/>
      <c r="M136" s="1"/>
      <c r="N136" s="1"/>
      <c r="O136" s="1"/>
      <c r="P136" s="1"/>
    </row>
    <row r="137">
      <c r="A137" s="1"/>
      <c r="B137" s="1" t="s">
        <v>565</v>
      </c>
      <c r="C137" s="75">
        <v>0</v>
      </c>
      <c r="D137" s="75">
        <v>0</v>
      </c>
      <c r="E137" s="76"/>
      <c r="F137" s="76"/>
      <c r="G137" s="75">
        <v>154</v>
      </c>
      <c r="H137" s="75">
        <v>137</v>
      </c>
      <c r="I137" s="1"/>
      <c r="J137" s="1"/>
      <c r="K137" s="1"/>
      <c r="L137" s="1"/>
      <c r="M137" s="1"/>
      <c r="N137" s="1"/>
      <c r="O137" s="1"/>
      <c r="P137" s="1"/>
    </row>
    <row r="138">
      <c r="A138" s="1"/>
      <c r="B138" s="1" t="s">
        <v>942</v>
      </c>
      <c r="C138" s="75">
        <v>-6362</v>
      </c>
      <c r="D138" s="75">
        <v>-4140</v>
      </c>
      <c r="E138" s="75">
        <v>2501</v>
      </c>
      <c r="F138" s="75">
        <v>4695</v>
      </c>
      <c r="G138" s="75">
        <v>644</v>
      </c>
      <c r="H138" s="75">
        <v>10603</v>
      </c>
      <c r="I138" s="1"/>
      <c r="J138" s="1"/>
      <c r="K138" s="1"/>
      <c r="L138" s="1"/>
      <c r="M138" s="1"/>
      <c r="N138" s="1"/>
      <c r="O138" s="1"/>
      <c r="P138" s="1"/>
    </row>
    <row r="139">
      <c r="A139" s="1"/>
      <c r="B139" s="1" t="s">
        <v>943</v>
      </c>
      <c r="C139" s="75">
        <v>46251</v>
      </c>
      <c r="D139" s="75">
        <v>46251</v>
      </c>
      <c r="E139" s="75">
        <v>46251</v>
      </c>
      <c r="F139" s="75">
        <v>46251</v>
      </c>
      <c r="G139" s="75">
        <v>39713</v>
      </c>
      <c r="H139" s="75">
        <v>39713</v>
      </c>
      <c r="I139" s="1"/>
      <c r="J139" s="1"/>
      <c r="K139" s="1"/>
      <c r="L139" s="1"/>
      <c r="M139" s="1"/>
      <c r="N139" s="1"/>
      <c r="O139" s="1"/>
      <c r="P139" s="1"/>
    </row>
    <row r="140">
      <c r="A140" s="1"/>
      <c r="B140" s="1" t="s">
        <v>944</v>
      </c>
      <c r="C140" s="75">
        <v>38400</v>
      </c>
      <c r="D140" s="75">
        <v>30394</v>
      </c>
      <c r="E140" s="75">
        <v>38871</v>
      </c>
      <c r="F140" s="75">
        <v>39713</v>
      </c>
      <c r="G140" s="75">
        <v>31699</v>
      </c>
      <c r="H140" s="75">
        <v>28745</v>
      </c>
      <c r="I140" s="1"/>
      <c r="J140" s="1"/>
      <c r="K140" s="1"/>
      <c r="L140" s="1"/>
      <c r="M140" s="1"/>
      <c r="N140" s="1"/>
      <c r="O140" s="1"/>
      <c r="P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>
      <c r="A142" s="1"/>
      <c r="B142" s="32" t="s">
        <v>945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>
      <c r="A143" s="1"/>
      <c r="B143" s="3" t="s">
        <v>915</v>
      </c>
      <c r="C143" s="63" t="s">
        <v>917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>
      <c r="A144" s="1"/>
      <c r="B144" s="1" t="s">
        <v>946</v>
      </c>
      <c r="C144" s="75">
        <v>5883</v>
      </c>
      <c r="D144" s="76"/>
      <c r="E144" s="76"/>
      <c r="F144" s="76"/>
      <c r="G144" s="76"/>
      <c r="H144" s="76"/>
      <c r="I144" s="1"/>
      <c r="J144" s="1"/>
      <c r="K144" s="1"/>
      <c r="L144" s="1"/>
      <c r="M144" s="1"/>
      <c r="N144" s="1"/>
      <c r="O144" s="1"/>
      <c r="P144" s="1"/>
    </row>
    <row r="145">
      <c r="A145" s="1"/>
      <c r="B145" s="1" t="s">
        <v>947</v>
      </c>
      <c r="C145" s="75">
        <v>1488</v>
      </c>
      <c r="D145" s="76"/>
      <c r="E145" s="76"/>
      <c r="F145" s="76"/>
      <c r="G145" s="76"/>
      <c r="H145" s="76"/>
      <c r="I145" s="1"/>
      <c r="J145" s="1"/>
      <c r="K145" s="1"/>
      <c r="L145" s="1"/>
      <c r="M145" s="1"/>
      <c r="N145" s="1"/>
      <c r="O145" s="1"/>
      <c r="P145" s="1"/>
    </row>
    <row r="146">
      <c r="A146" s="1"/>
      <c r="B146" s="1" t="s">
        <v>948</v>
      </c>
      <c r="C146" s="75">
        <v>251</v>
      </c>
      <c r="D146" s="76"/>
      <c r="E146" s="76"/>
      <c r="F146" s="76"/>
      <c r="G146" s="76"/>
      <c r="H146" s="76"/>
      <c r="I146" s="1"/>
      <c r="J146" s="1"/>
      <c r="K146" s="1"/>
      <c r="L146" s="1"/>
      <c r="M146" s="1"/>
      <c r="N146" s="1"/>
      <c r="O146" s="1"/>
      <c r="P146" s="1"/>
    </row>
    <row r="147">
      <c r="A147" s="1"/>
      <c r="B147" s="1" t="s">
        <v>949</v>
      </c>
      <c r="C147" s="75">
        <v>1077</v>
      </c>
      <c r="D147" s="76"/>
      <c r="E147" s="76"/>
      <c r="F147" s="76"/>
      <c r="G147" s="76"/>
      <c r="H147" s="76"/>
      <c r="I147" s="1"/>
      <c r="J147" s="1"/>
      <c r="K147" s="1"/>
      <c r="L147" s="1"/>
      <c r="M147" s="1"/>
      <c r="N147" s="1"/>
      <c r="O147" s="1"/>
      <c r="P147" s="1"/>
    </row>
    <row r="148">
      <c r="A148" s="1"/>
      <c r="B148" s="1" t="s">
        <v>950</v>
      </c>
      <c r="C148" s="75">
        <v>1945</v>
      </c>
      <c r="D148" s="76"/>
      <c r="E148" s="76"/>
      <c r="F148" s="76"/>
      <c r="G148" s="76"/>
      <c r="H148" s="76"/>
      <c r="I148" s="1"/>
      <c r="J148" s="1"/>
      <c r="K148" s="1"/>
      <c r="L148" s="1"/>
      <c r="M148" s="1"/>
      <c r="N148" s="1"/>
      <c r="O148" s="1"/>
      <c r="P148" s="1"/>
    </row>
    <row r="149">
      <c r="A149" s="1"/>
      <c r="B149" s="1" t="s">
        <v>951</v>
      </c>
      <c r="C149" s="75">
        <v>173</v>
      </c>
      <c r="D149" s="76"/>
      <c r="E149" s="76"/>
      <c r="F149" s="76"/>
      <c r="G149" s="76"/>
      <c r="H149" s="76"/>
      <c r="I149" s="1"/>
      <c r="J149" s="1"/>
      <c r="K149" s="1"/>
      <c r="L149" s="1"/>
      <c r="M149" s="1"/>
      <c r="N149" s="1"/>
      <c r="O149" s="1"/>
      <c r="P149" s="1"/>
    </row>
    <row r="150">
      <c r="A150" s="1"/>
      <c r="B150" s="1" t="s">
        <v>952</v>
      </c>
      <c r="C150" s="75">
        <v>597</v>
      </c>
      <c r="D150" s="76"/>
      <c r="E150" s="76"/>
      <c r="F150" s="76"/>
      <c r="G150" s="76"/>
      <c r="H150" s="76"/>
      <c r="I150" s="1"/>
      <c r="J150" s="1"/>
      <c r="K150" s="1"/>
      <c r="L150" s="1"/>
      <c r="M150" s="1"/>
      <c r="N150" s="1"/>
      <c r="O150" s="1"/>
      <c r="P150" s="1"/>
    </row>
    <row r="151">
      <c r="A151" s="1"/>
      <c r="B151" s="1" t="s">
        <v>953</v>
      </c>
      <c r="C151" s="75">
        <v>775</v>
      </c>
      <c r="D151" s="76"/>
      <c r="E151" s="76"/>
      <c r="F151" s="76"/>
      <c r="G151" s="76"/>
      <c r="H151" s="76"/>
      <c r="I151" s="1"/>
      <c r="J151" s="1"/>
      <c r="K151" s="1"/>
      <c r="L151" s="1"/>
      <c r="M151" s="1"/>
      <c r="N151" s="1"/>
      <c r="O151" s="1"/>
      <c r="P151" s="1"/>
    </row>
    <row r="152">
      <c r="A152" s="1"/>
      <c r="B152" s="1" t="s">
        <v>954</v>
      </c>
      <c r="C152" s="75">
        <v>19</v>
      </c>
      <c r="D152" s="76"/>
      <c r="E152" s="76"/>
      <c r="F152" s="76"/>
      <c r="G152" s="76"/>
      <c r="H152" s="76"/>
      <c r="I152" s="1"/>
      <c r="J152" s="1"/>
      <c r="K152" s="1"/>
      <c r="L152" s="1"/>
      <c r="M152" s="1"/>
      <c r="N152" s="1"/>
      <c r="O152" s="1"/>
      <c r="P152" s="1"/>
    </row>
    <row r="153">
      <c r="A153" s="1"/>
      <c r="B153" s="1" t="s">
        <v>955</v>
      </c>
      <c r="C153" s="75">
        <v>302</v>
      </c>
      <c r="D153" s="76"/>
      <c r="E153" s="76"/>
      <c r="F153" s="76"/>
      <c r="G153" s="76"/>
      <c r="H153" s="76"/>
      <c r="I153" s="1"/>
      <c r="J153" s="1"/>
      <c r="K153" s="1"/>
      <c r="L153" s="1"/>
      <c r="M153" s="1"/>
      <c r="N153" s="1"/>
      <c r="O153" s="1"/>
      <c r="P153" s="1"/>
    </row>
    <row r="154">
      <c r="A154" s="1"/>
      <c r="B154" s="1" t="s">
        <v>956</v>
      </c>
      <c r="C154" s="75">
        <v>624</v>
      </c>
      <c r="D154" s="76"/>
      <c r="E154" s="76"/>
      <c r="F154" s="76"/>
      <c r="G154" s="76"/>
      <c r="H154" s="76"/>
      <c r="I154" s="1"/>
      <c r="J154" s="1"/>
      <c r="K154" s="1"/>
      <c r="L154" s="1"/>
      <c r="M154" s="1"/>
      <c r="N154" s="1"/>
      <c r="O154" s="1"/>
      <c r="P154" s="1"/>
    </row>
    <row r="155">
      <c r="A155" s="1"/>
      <c r="B155" s="1" t="s">
        <v>957</v>
      </c>
      <c r="C155" s="75">
        <v>374</v>
      </c>
      <c r="D155" s="76"/>
      <c r="E155" s="76"/>
      <c r="F155" s="76"/>
      <c r="G155" s="76"/>
      <c r="H155" s="76"/>
      <c r="I155" s="1"/>
      <c r="J155" s="1"/>
      <c r="K155" s="1"/>
      <c r="L155" s="1"/>
      <c r="M155" s="1"/>
      <c r="N155" s="1"/>
      <c r="O155" s="1"/>
      <c r="P155" s="1"/>
    </row>
    <row r="156">
      <c r="A156" s="1"/>
      <c r="B156" s="1" t="s">
        <v>958</v>
      </c>
      <c r="C156" s="75">
        <v>126</v>
      </c>
      <c r="D156" s="76"/>
      <c r="E156" s="76"/>
      <c r="F156" s="76"/>
      <c r="G156" s="76"/>
      <c r="H156" s="76"/>
      <c r="I156" s="1"/>
      <c r="J156" s="1"/>
      <c r="K156" s="1"/>
      <c r="L156" s="1"/>
      <c r="M156" s="1"/>
      <c r="N156" s="1"/>
      <c r="O156" s="1"/>
      <c r="P156" s="1"/>
    </row>
    <row r="157">
      <c r="A157" s="1"/>
      <c r="B157" s="1" t="s">
        <v>959</v>
      </c>
      <c r="C157" s="75">
        <v>0</v>
      </c>
      <c r="D157" s="76"/>
      <c r="E157" s="76"/>
      <c r="F157" s="76"/>
      <c r="G157" s="76"/>
      <c r="H157" s="76"/>
      <c r="I157" s="1"/>
      <c r="J157" s="1"/>
      <c r="K157" s="1"/>
      <c r="L157" s="1"/>
      <c r="M157" s="1"/>
      <c r="N157" s="1"/>
      <c r="O157" s="1"/>
      <c r="P157" s="1"/>
    </row>
    <row r="158">
      <c r="A158" s="1"/>
      <c r="B158" s="1" t="s">
        <v>960</v>
      </c>
      <c r="C158" s="75">
        <v>131</v>
      </c>
      <c r="D158" s="76"/>
      <c r="E158" s="76"/>
      <c r="F158" s="76"/>
      <c r="G158" s="76"/>
      <c r="H158" s="76"/>
      <c r="I158" s="1"/>
      <c r="J158" s="1"/>
      <c r="K158" s="1"/>
      <c r="L158" s="1"/>
      <c r="M158" s="1"/>
      <c r="N158" s="1"/>
      <c r="O158" s="1"/>
      <c r="P158" s="1"/>
    </row>
    <row r="159">
      <c r="A159" s="1"/>
      <c r="B159" s="1" t="s">
        <v>961</v>
      </c>
      <c r="C159" s="75">
        <v>-2</v>
      </c>
      <c r="D159" s="76"/>
      <c r="E159" s="76"/>
      <c r="F159" s="76"/>
      <c r="G159" s="76"/>
      <c r="H159" s="76"/>
      <c r="I159" s="1"/>
      <c r="J159" s="1"/>
      <c r="K159" s="1"/>
      <c r="L159" s="1"/>
      <c r="M159" s="1"/>
      <c r="N159" s="1"/>
      <c r="O159" s="1"/>
      <c r="P159" s="1"/>
    </row>
    <row r="160">
      <c r="A160" s="1"/>
      <c r="B160" s="1" t="s">
        <v>962</v>
      </c>
      <c r="C160" s="75">
        <v>2.7</v>
      </c>
      <c r="D160" s="76"/>
      <c r="E160" s="76"/>
      <c r="F160" s="76"/>
      <c r="G160" s="76"/>
      <c r="H160" s="76"/>
      <c r="I160" s="1"/>
      <c r="J160" s="1"/>
      <c r="K160" s="1"/>
      <c r="L160" s="1"/>
      <c r="M160" s="1"/>
      <c r="N160" s="1"/>
      <c r="O160" s="1"/>
      <c r="P160" s="1"/>
    </row>
    <row r="161">
      <c r="A161" s="1"/>
      <c r="B161" s="1" t="s">
        <v>963</v>
      </c>
      <c r="C161" s="75">
        <v>264</v>
      </c>
      <c r="D161" s="76"/>
      <c r="E161" s="76"/>
      <c r="F161" s="76"/>
      <c r="G161" s="76"/>
      <c r="H161" s="76"/>
      <c r="I161" s="1"/>
      <c r="J161" s="1"/>
      <c r="K161" s="1"/>
      <c r="L161" s="1"/>
      <c r="M161" s="1"/>
      <c r="N161" s="1"/>
      <c r="O161" s="1"/>
      <c r="P161" s="1"/>
    </row>
    <row r="162">
      <c r="A162" s="1"/>
      <c r="B162" s="1" t="s">
        <v>964</v>
      </c>
      <c r="C162" s="75">
        <v>3582</v>
      </c>
      <c r="D162" s="76"/>
      <c r="E162" s="76"/>
      <c r="F162" s="76"/>
      <c r="G162" s="76"/>
      <c r="H162" s="76"/>
      <c r="I162" s="1"/>
      <c r="J162" s="1"/>
      <c r="K162" s="1"/>
      <c r="L162" s="1"/>
      <c r="M162" s="1"/>
      <c r="N162" s="1"/>
      <c r="O162" s="1"/>
      <c r="P162" s="1"/>
    </row>
    <row r="163">
      <c r="A163" s="1"/>
      <c r="B163" s="1" t="s">
        <v>965</v>
      </c>
      <c r="C163" s="75">
        <v>2000</v>
      </c>
      <c r="D163" s="76"/>
      <c r="E163" s="76"/>
      <c r="F163" s="76"/>
      <c r="G163" s="76"/>
      <c r="H163" s="76"/>
      <c r="I163" s="1"/>
      <c r="J163" s="1"/>
      <c r="K163" s="1"/>
      <c r="L163" s="1"/>
      <c r="M163" s="1"/>
      <c r="N163" s="1"/>
      <c r="O163" s="1"/>
      <c r="P163" s="1"/>
    </row>
    <row r="164">
      <c r="A164" s="1"/>
      <c r="B164" s="1" t="s">
        <v>966</v>
      </c>
      <c r="C164" s="75">
        <v>233</v>
      </c>
      <c r="D164" s="76"/>
      <c r="E164" s="76"/>
      <c r="F164" s="76"/>
      <c r="G164" s="76"/>
      <c r="H164" s="76"/>
      <c r="I164" s="1"/>
      <c r="J164" s="1"/>
      <c r="K164" s="1"/>
      <c r="L164" s="1"/>
      <c r="M164" s="1"/>
      <c r="N164" s="1"/>
      <c r="O164" s="1"/>
      <c r="P164" s="1"/>
    </row>
    <row r="165">
      <c r="A165" s="1"/>
      <c r="B165" s="1" t="s">
        <v>967</v>
      </c>
      <c r="C165" s="75">
        <v>746</v>
      </c>
      <c r="D165" s="76"/>
      <c r="E165" s="76"/>
      <c r="F165" s="76"/>
      <c r="G165" s="76"/>
      <c r="H165" s="76"/>
      <c r="I165" s="1"/>
      <c r="J165" s="1"/>
      <c r="K165" s="1"/>
      <c r="L165" s="1"/>
      <c r="M165" s="1"/>
      <c r="N165" s="1"/>
      <c r="O165" s="1"/>
      <c r="P165" s="1"/>
    </row>
    <row r="166">
      <c r="A166" s="1"/>
      <c r="B166" s="1" t="s">
        <v>968</v>
      </c>
      <c r="C166" s="75">
        <v>764</v>
      </c>
      <c r="D166" s="76"/>
      <c r="E166" s="76"/>
      <c r="F166" s="76"/>
      <c r="G166" s="76"/>
      <c r="H166" s="76"/>
      <c r="I166" s="1"/>
      <c r="J166" s="1"/>
      <c r="K166" s="1"/>
      <c r="L166" s="1"/>
      <c r="M166" s="1"/>
      <c r="N166" s="1"/>
      <c r="O166" s="1"/>
      <c r="P166" s="1"/>
    </row>
    <row r="167">
      <c r="A167" s="1"/>
      <c r="B167" s="1" t="s">
        <v>969</v>
      </c>
      <c r="C167" s="75">
        <v>100</v>
      </c>
      <c r="D167" s="76"/>
      <c r="E167" s="76"/>
      <c r="F167" s="76"/>
      <c r="G167" s="76"/>
      <c r="H167" s="76"/>
      <c r="I167" s="1"/>
      <c r="J167" s="1"/>
      <c r="K167" s="1"/>
      <c r="L167" s="1"/>
      <c r="M167" s="1"/>
      <c r="N167" s="1"/>
      <c r="O167" s="1"/>
      <c r="P167" s="1"/>
    </row>
    <row r="168">
      <c r="A168" s="1"/>
      <c r="B168" s="1" t="s">
        <v>970</v>
      </c>
      <c r="C168" s="75">
        <v>296</v>
      </c>
      <c r="D168" s="76"/>
      <c r="E168" s="76"/>
      <c r="F168" s="76"/>
      <c r="G168" s="76"/>
      <c r="H168" s="76"/>
      <c r="I168" s="1"/>
      <c r="J168" s="1"/>
      <c r="K168" s="1"/>
      <c r="L168" s="1"/>
      <c r="M168" s="1"/>
      <c r="N168" s="1"/>
      <c r="O168" s="1"/>
      <c r="P168" s="1"/>
    </row>
    <row r="169">
      <c r="A169" s="1"/>
      <c r="B169" s="1" t="s">
        <v>971</v>
      </c>
      <c r="C169" s="75">
        <v>783</v>
      </c>
      <c r="D169" s="76"/>
      <c r="E169" s="76"/>
      <c r="F169" s="76"/>
      <c r="G169" s="76"/>
      <c r="H169" s="76"/>
      <c r="I169" s="1"/>
      <c r="J169" s="1"/>
      <c r="K169" s="1"/>
      <c r="L169" s="1"/>
      <c r="M169" s="1"/>
      <c r="N169" s="1"/>
      <c r="O169" s="1"/>
      <c r="P169" s="1"/>
    </row>
    <row r="170">
      <c r="A170" s="1"/>
      <c r="B170" s="1" t="s">
        <v>972</v>
      </c>
      <c r="C170" s="75">
        <v>9</v>
      </c>
      <c r="D170" s="76"/>
      <c r="E170" s="76"/>
      <c r="F170" s="76"/>
      <c r="G170" s="76"/>
      <c r="H170" s="76"/>
      <c r="I170" s="1"/>
      <c r="J170" s="1"/>
      <c r="K170" s="1"/>
      <c r="L170" s="1"/>
      <c r="M170" s="1"/>
      <c r="N170" s="1"/>
      <c r="O170" s="1"/>
      <c r="P170" s="1"/>
    </row>
    <row r="171">
      <c r="A171" s="1"/>
      <c r="B171" s="1" t="s">
        <v>973</v>
      </c>
      <c r="C171" s="75">
        <v>2130</v>
      </c>
      <c r="D171" s="76"/>
      <c r="E171" s="76"/>
      <c r="F171" s="76"/>
      <c r="G171" s="76"/>
      <c r="H171" s="76"/>
      <c r="I171" s="1"/>
      <c r="J171" s="1"/>
      <c r="K171" s="1"/>
      <c r="L171" s="1"/>
      <c r="M171" s="1"/>
      <c r="N171" s="1"/>
      <c r="O171" s="1"/>
      <c r="P171" s="1"/>
    </row>
    <row r="172">
      <c r="A172" s="1"/>
      <c r="B172" s="1" t="s">
        <v>974</v>
      </c>
      <c r="C172" s="75">
        <v>50</v>
      </c>
      <c r="D172" s="76"/>
      <c r="E172" s="76"/>
      <c r="F172" s="76"/>
      <c r="G172" s="76"/>
      <c r="H172" s="76"/>
      <c r="I172" s="1"/>
      <c r="J172" s="1"/>
      <c r="K172" s="1"/>
      <c r="L172" s="1"/>
      <c r="M172" s="1"/>
      <c r="N172" s="1"/>
      <c r="O172" s="1"/>
      <c r="P172" s="1"/>
    </row>
    <row r="173">
      <c r="A173" s="1"/>
      <c r="B173" s="1" t="s">
        <v>975</v>
      </c>
      <c r="C173" s="75">
        <v>238</v>
      </c>
      <c r="D173" s="76"/>
      <c r="E173" s="76"/>
      <c r="F173" s="76"/>
      <c r="G173" s="76"/>
      <c r="H173" s="76"/>
      <c r="I173" s="1"/>
      <c r="J173" s="1"/>
      <c r="K173" s="1"/>
      <c r="L173" s="1"/>
      <c r="M173" s="1"/>
      <c r="N173" s="1"/>
      <c r="O173" s="1"/>
      <c r="P173" s="1"/>
    </row>
    <row r="174">
      <c r="A174" s="1"/>
      <c r="B174" s="1" t="s">
        <v>976</v>
      </c>
      <c r="C174" s="75">
        <v>75</v>
      </c>
      <c r="D174" s="76"/>
      <c r="E174" s="76"/>
      <c r="F174" s="76"/>
      <c r="G174" s="76"/>
      <c r="H174" s="76"/>
      <c r="I174" s="1"/>
      <c r="J174" s="1"/>
      <c r="K174" s="1"/>
      <c r="L174" s="1"/>
      <c r="M174" s="1"/>
      <c r="N174" s="1"/>
      <c r="O174" s="1"/>
      <c r="P174" s="1"/>
    </row>
    <row r="175">
      <c r="A175" s="1"/>
      <c r="B175" s="1" t="s">
        <v>977</v>
      </c>
      <c r="C175" s="75">
        <v>147</v>
      </c>
      <c r="D175" s="76"/>
      <c r="E175" s="76"/>
      <c r="F175" s="76"/>
      <c r="G175" s="76"/>
      <c r="H175" s="76"/>
      <c r="I175" s="1"/>
      <c r="J175" s="1"/>
      <c r="K175" s="1"/>
      <c r="L175" s="1"/>
      <c r="M175" s="1"/>
      <c r="N175" s="1"/>
      <c r="O175" s="1"/>
      <c r="P175" s="1"/>
    </row>
    <row r="176">
      <c r="A176" s="1"/>
      <c r="B176" s="1" t="s">
        <v>978</v>
      </c>
      <c r="C176" s="75">
        <v>362</v>
      </c>
      <c r="D176" s="76"/>
      <c r="E176" s="76"/>
      <c r="F176" s="76"/>
      <c r="G176" s="76"/>
      <c r="H176" s="76"/>
      <c r="I176" s="1"/>
      <c r="J176" s="1"/>
      <c r="K176" s="1"/>
      <c r="L176" s="1"/>
      <c r="M176" s="1"/>
      <c r="N176" s="1"/>
      <c r="O176" s="1"/>
      <c r="P176" s="1"/>
    </row>
    <row r="177">
      <c r="A177" s="1"/>
      <c r="B177" s="1" t="s">
        <v>979</v>
      </c>
      <c r="C177" s="75">
        <v>487</v>
      </c>
      <c r="D177" s="76"/>
      <c r="E177" s="76"/>
      <c r="F177" s="76"/>
      <c r="G177" s="76"/>
      <c r="H177" s="76"/>
      <c r="I177" s="1"/>
      <c r="J177" s="1"/>
      <c r="K177" s="1"/>
      <c r="L177" s="1"/>
      <c r="M177" s="1"/>
      <c r="N177" s="1"/>
      <c r="O177" s="1"/>
      <c r="P177" s="1"/>
    </row>
    <row r="178">
      <c r="A178" s="1"/>
      <c r="B178" s="1" t="s">
        <v>980</v>
      </c>
      <c r="C178" s="75">
        <v>-12</v>
      </c>
      <c r="D178" s="76"/>
      <c r="E178" s="76"/>
      <c r="F178" s="76"/>
      <c r="G178" s="76"/>
      <c r="H178" s="76"/>
      <c r="I178" s="1"/>
      <c r="J178" s="1"/>
      <c r="K178" s="1"/>
      <c r="L178" s="1"/>
      <c r="M178" s="1"/>
      <c r="N178" s="1"/>
      <c r="O178" s="1"/>
      <c r="P178" s="1"/>
    </row>
    <row r="179">
      <c r="A179" s="1"/>
      <c r="B179" s="1" t="s">
        <v>981</v>
      </c>
      <c r="C179" s="75">
        <v>236</v>
      </c>
      <c r="D179" s="76"/>
      <c r="E179" s="76"/>
      <c r="F179" s="76"/>
      <c r="G179" s="76"/>
      <c r="H179" s="76"/>
      <c r="I179" s="1"/>
      <c r="J179" s="1"/>
      <c r="K179" s="1"/>
      <c r="L179" s="1"/>
      <c r="M179" s="1"/>
      <c r="N179" s="1"/>
      <c r="O179" s="1"/>
      <c r="P179" s="1"/>
    </row>
    <row r="180">
      <c r="A180" s="1"/>
      <c r="B180" s="1" t="s">
        <v>982</v>
      </c>
      <c r="C180" s="75">
        <v>235</v>
      </c>
      <c r="D180" s="76"/>
      <c r="E180" s="76"/>
      <c r="F180" s="76"/>
      <c r="G180" s="76"/>
      <c r="H180" s="76"/>
      <c r="I180" s="1"/>
      <c r="J180" s="1"/>
      <c r="K180" s="1"/>
      <c r="L180" s="1"/>
      <c r="M180" s="1"/>
      <c r="N180" s="1"/>
      <c r="O180" s="1"/>
      <c r="P180" s="1"/>
    </row>
    <row r="181">
      <c r="A181" s="1"/>
      <c r="B181" s="1" t="s">
        <v>983</v>
      </c>
      <c r="C181" s="75">
        <v>18</v>
      </c>
      <c r="D181" s="76"/>
      <c r="E181" s="76"/>
      <c r="F181" s="76"/>
      <c r="G181" s="76"/>
      <c r="H181" s="76"/>
      <c r="I181" s="1"/>
      <c r="J181" s="1"/>
      <c r="K181" s="1"/>
      <c r="L181" s="1"/>
      <c r="M181" s="1"/>
      <c r="N181" s="1"/>
      <c r="O181" s="1"/>
      <c r="P181" s="1"/>
    </row>
    <row r="182">
      <c r="A182" s="1"/>
      <c r="B182" s="1" t="s">
        <v>984</v>
      </c>
      <c r="C182" s="75">
        <v>58</v>
      </c>
      <c r="D182" s="76"/>
      <c r="E182" s="76"/>
      <c r="F182" s="76"/>
      <c r="G182" s="76"/>
      <c r="H182" s="76"/>
      <c r="I182" s="1"/>
      <c r="J182" s="1"/>
      <c r="K182" s="1"/>
      <c r="L182" s="1"/>
      <c r="M182" s="1"/>
      <c r="N182" s="1"/>
      <c r="O182" s="1"/>
      <c r="P182" s="1"/>
    </row>
    <row r="183">
      <c r="A183" s="1"/>
      <c r="B183" s="1" t="s">
        <v>985</v>
      </c>
      <c r="C183" s="75">
        <v>74</v>
      </c>
      <c r="D183" s="76"/>
      <c r="E183" s="76"/>
      <c r="F183" s="76"/>
      <c r="G183" s="76"/>
      <c r="H183" s="76"/>
      <c r="I183" s="1"/>
      <c r="J183" s="1"/>
      <c r="K183" s="1"/>
      <c r="L183" s="1"/>
      <c r="M183" s="1"/>
      <c r="N183" s="1"/>
      <c r="O183" s="1"/>
      <c r="P183" s="1"/>
    </row>
    <row r="184">
      <c r="A184" s="1"/>
      <c r="B184" s="1" t="s">
        <v>986</v>
      </c>
      <c r="C184" s="75">
        <v>-1</v>
      </c>
      <c r="D184" s="76"/>
      <c r="E184" s="76"/>
      <c r="F184" s="76"/>
      <c r="G184" s="76"/>
      <c r="H184" s="76"/>
      <c r="I184" s="1"/>
      <c r="J184" s="1"/>
      <c r="K184" s="1"/>
      <c r="L184" s="1"/>
      <c r="M184" s="1"/>
      <c r="N184" s="1"/>
      <c r="O184" s="1"/>
      <c r="P184" s="1"/>
    </row>
    <row r="185">
      <c r="A185" s="1"/>
      <c r="B185" s="1" t="s">
        <v>987</v>
      </c>
      <c r="C185" s="75">
        <v>-2689</v>
      </c>
      <c r="D185" s="76"/>
      <c r="E185" s="76"/>
      <c r="F185" s="76"/>
      <c r="G185" s="76"/>
      <c r="H185" s="76"/>
      <c r="I185" s="1"/>
      <c r="J185" s="1"/>
      <c r="K185" s="1"/>
      <c r="L185" s="1"/>
      <c r="M185" s="1"/>
      <c r="N185" s="1"/>
      <c r="O185" s="1"/>
      <c r="P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>
      <c r="A187" s="1"/>
      <c r="B187" s="32" t="s">
        <v>988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>
      <c r="A188" s="1"/>
      <c r="B188" s="3" t="s">
        <v>989</v>
      </c>
      <c r="C188" s="120" t="s">
        <v>990</v>
      </c>
      <c r="D188" s="44"/>
      <c r="E188" s="44"/>
      <c r="F188" s="44"/>
      <c r="G188" s="44"/>
      <c r="H188" s="120" t="s">
        <v>991</v>
      </c>
      <c r="I188" s="1"/>
      <c r="J188" s="1"/>
      <c r="K188" s="1"/>
      <c r="L188" s="1"/>
      <c r="M188" s="1"/>
      <c r="N188" s="1"/>
      <c r="O188" s="1"/>
      <c r="P188" s="1"/>
    </row>
    <row r="189">
      <c r="A189" s="1"/>
      <c r="B189" s="1" t="s">
        <v>803</v>
      </c>
      <c r="C189" s="77" t="s">
        <v>992</v>
      </c>
      <c r="D189" s="1"/>
      <c r="E189" s="1"/>
      <c r="F189" s="1"/>
      <c r="G189" s="1"/>
      <c r="H189" s="83" t="s">
        <v>993</v>
      </c>
      <c r="I189" s="1"/>
      <c r="J189" s="1"/>
      <c r="K189" s="1"/>
      <c r="L189" s="1"/>
      <c r="M189" s="1"/>
      <c r="N189" s="1"/>
      <c r="O189" s="1"/>
      <c r="P189" s="1"/>
    </row>
    <row r="190">
      <c r="A190" s="1"/>
      <c r="B190" s="1" t="s">
        <v>800</v>
      </c>
      <c r="C190" s="77" t="s">
        <v>994</v>
      </c>
      <c r="D190" s="1"/>
      <c r="E190" s="1"/>
      <c r="F190" s="1"/>
      <c r="G190" s="1"/>
      <c r="H190" s="83" t="s">
        <v>995</v>
      </c>
      <c r="I190" s="1"/>
      <c r="J190" s="1"/>
      <c r="K190" s="1"/>
      <c r="L190" s="1"/>
      <c r="M190" s="1"/>
      <c r="N190" s="1"/>
      <c r="O190" s="1"/>
      <c r="P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</sheetData>
</worksheet>
</file>