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orporate Bank" sheetId="3" r:id="rId4"/>
    <sheet name="Segment - Consumer Bank" sheetId="4" r:id="rId5"/>
    <sheet name="Segment - Wealth Management" sheetId="5" r:id="rId6"/>
    <sheet name="Income Statement" sheetId="6" r:id="rId7"/>
    <sheet name="Balance Sheet" sheetId="7" r:id="rId8"/>
    <sheet name="Cash Flow Statement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35" authorId="0">
      <text>
        <t>NII +2.0% Q/Q per guidance (built on Revenue summary average balance sheet); fees ~flat with capital markets ~$88M; adjusted expenses ~flat; provision ~$100M (NCO 43 bp, modest $8M release) vs ~$112M implied by consensus EBIT less EBT; ETR 21%; diluted shares ~854.5M. Model EPS ~$0.667 vs $0.66 consensus.</t>
      </text>
    </comment>
    <comment ref="D21" authorId="0">
      <text>
        <t>Consensus at the information cutoff: S&amp;P Capital IQ snapshot captured 11-Oct-2026 (RF_consensus.json, S1). Frozen scoring baseline.</t>
      </text>
    </comment>
    <comment ref="G21" authorId="0">
      <text>
        <t>Regions does not guide revenue, net income or EPS. Revenue guidance midpoint is derived on the Guidance tab from the NII (+2% Q/Q) and FY26 adjusted fee guides.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H34" authorId="0">
      <text>
        <t>All NII is allocated to the three segments (Other = 0 in every disclosed period); 3Q26E Other NII is the small residual of consolidated NII less segment NII.</t>
      </text>
    </comment>
    <comment ref="B37" authorId="0">
      <text>
        <t>Historical: no acquisitions closed Jul-2024 to Jun-2026 (issuer acquisition history, S13 p.28). 3Q26E: Frazer Lanier (closed 1-Jul-2026, Corporate Bank capital markets) contribution not disclosed -&gt; unavailable where it applies.</t>
      </text>
    </comment>
    <comment ref="B38" authorId="0">
      <text>
        <t>Regions has no foreign operations; all revenue is USD (10-K, S8). FX impact is structurally nil, not missing evidence.</t>
      </text>
    </comment>
    <comment ref="H63" authorId="0">
      <text>
        <t>Assumption: no securities repositioning announced for 3Q26 (none disclosed through the 11-Oct-2026 cutoff); any loss would be excluded from adjusted EPS.</t>
      </text>
    </comment>
    <comment ref="H70" authorId="0">
      <text>
        <t>Assumption: S&amp;P 500 +2.0% in 3Q26 (S18) vs strong 2Q26 rally; offset sits in salaries &amp; benefits.</t>
      </text>
    </comment>
    <comment ref="H77" authorId="0">
      <text>
        <t>Assumption: Other-segment reconciling income in the -20 to -37 range over the last 5 quarters.</t>
      </text>
    </comment>
    <comment ref="C126" authorId="0">
      <text>
        <t>Average daily balances, S3 p.10-12 / S10 p.10-12.</t>
      </text>
    </comment>
    <comment ref="C136" authorId="0">
      <text>
        <t>Average daily balances, S3 p.10-12 / S10 p.10-12.</t>
      </text>
    </comment>
    <comment ref="C143" authorId="0">
      <text>
        <t>Yield/rate derived as interest x (365 / days) / average balance from rounded $M figures; differs slightly from the issuer's reported yields, which use whole dollars and product-specific accrual conventions (S3 p.10-12).</t>
      </text>
    </comment>
    <comment ref="C146" authorId="0">
      <text>
        <t>Average daily balances, S3 p.10-12 / S10 p.10-12.</t>
      </text>
    </comment>
    <comment ref="C156" authorId="0">
      <text>
        <t>Average daily balances, S3 p.10-12 / S10 p.10-12.</t>
      </text>
    </comment>
    <comment ref="C166" authorId="0">
      <text>
        <t>Average daily balances, S3 p.10-12 / S10 p.10-12.</t>
      </text>
    </comment>
    <comment ref="C176" authorId="0">
      <text>
        <t>Average daily balances, S3 p.10-12 / S10 p.10-12.</t>
      </text>
    </comment>
    <comment ref="C186" authorId="0">
      <text>
        <t>Average daily balances, S3 p.10-12 / S10 p.10-12.</t>
      </text>
    </comment>
    <comment ref="C196" authorId="0">
      <text>
        <t>Average daily balances, S3 p.10-12 / S10 p.10-12.</t>
      </text>
    </comment>
    <comment ref="C215" authorId="0">
      <text>
        <t>Average daily balances, S3 p.10-12 / S10 p.10-12.</t>
      </text>
    </comment>
    <comment ref="C225" authorId="0">
      <text>
        <t>Average home-equity balances split by product from the average loan tables (S3 p.5, S10 p.5); interest and yield are disclosed only for combined home equity.</t>
      </text>
    </comment>
    <comment ref="C242" authorId="0">
      <text>
        <t>Average daily balances, S3 p.10-12 / S10 p.10-12.</t>
      </text>
    </comment>
    <comment ref="C252" authorId="0">
      <text>
        <t>Average daily balances, S3 p.10-12 / S10 p.10-12.</t>
      </text>
    </comment>
    <comment ref="C280" authorId="0">
      <text>
        <t>Average daily balances, S3 p.10-12 / S10 p.10-12.</t>
      </text>
    </comment>
    <comment ref="C290" authorId="0">
      <text>
        <t>Average daily balances, S3 p.10-12 / S10 p.10-12.</t>
      </text>
    </comment>
    <comment ref="C310" authorId="0">
      <text>
        <t>Average daily balances, S3 p.10-12 / S10 p.10-12.</t>
      </text>
    </comment>
    <comment ref="C317" authorId="0">
      <text>
        <t>Yield/rate derived as interest x (365 / days) / average balance from rounded $M figures; differs slightly from the issuer's reported yields, which use whole dollars and product-specific accrual conventions (S3 p.10-12).</t>
      </text>
    </comment>
    <comment ref="C320" authorId="0">
      <text>
        <t>Average daily balances, S3 p.10-12 / S10 p.10-12.</t>
      </text>
    </comment>
    <comment ref="C330" authorId="0">
      <text>
        <t>Average daily balances, S3 p.10-12 / S10 p.10-12.</t>
      </text>
    </comment>
    <comment ref="C340" authorId="0">
      <text>
        <t>Average daily balances, S3 p.10-12 / S10 p.10-12.</t>
      </text>
    </comment>
    <comment ref="C359" authorId="0">
      <text>
        <t>Average daily balances, S3 p.10-12 / S10 p.10-12.</t>
      </text>
    </comment>
    <comment ref="C369" authorId="0">
      <text>
        <t>Average daily balances, S3 p.10-12 / S10 p.10-12.</t>
      </text>
    </comment>
    <comment ref="C379" authorId="0">
      <text>
        <t>Average daily balances, S3 p.10-12 / S10 p.10-12.</t>
      </text>
    </comment>
    <comment ref="H414" authorId="0">
      <text>
        <t>Assumption: in line with 2Q26 ($14M).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9" authorId="0">
      <text>
        <t>Segment average assets, S6/S7/S9 segment note. 4Q25 derived day-weighted: (FY25 avg x 365 - 9M25 avg x 273) / 92 (approximation; 4Q25 segment average not separately disclosed).</t>
      </text>
    </comment>
    <comment ref="C13" authorId="0">
      <text>
        <t>Average deposits by segment, financial supplements S3 p.7 / S10 p.7.</t>
      </text>
    </comment>
    <comment ref="E16" authorId="0">
      <text>
        <t>FY25 opening (12/31/24) segment deposits not in fetched sources -&gt; n.a.</t>
      </text>
    </comment>
    <comment ref="C18" authorId="0">
      <text>
        <t>End-of-period deposits by segment, S3 p.6.</t>
      </text>
    </comment>
    <comment ref="H21" authorId="0">
      <text>
        <t>Assumption: management expects total deposits roughly flat in 3Q26 on seasonal trends (Sept-2026 conference, S14).</t>
      </text>
    </comment>
    <comment ref="C26" authorId="0">
      <text>
        <t>S6/S7/S9 segment note (Note 11 / Note 22); 4Q25 = FY25 (10-K, S8) less 9M25 (3Q25 10-Q, S9)</t>
      </text>
    </comment>
    <comment ref="B29" authorId="0">
      <text>
        <t>Historical: no acquisitions closed Jul-2024 to Jun-2026 (issuer acquisition history, S13 p.28). 3Q26E: Frazer Lanier (closed 1-Jul-2026, Corporate Bank capital markets) contribution not disclosed -&gt; unavailable where it applies.</t>
      </text>
    </comment>
    <comment ref="B30" authorId="0">
      <text>
        <t>Regions has no foreign operations; all revenue is USD (10-K, S8). FX impact is structurally nil, not missing evidence.</t>
      </text>
    </comment>
    <comment ref="H32" authorId="0">
      <text>
        <t>Driver: segment NII = average assets x NII margin on assets (funds-transfer-priced). 3Q26E margin = 2Q26 + bp assumption, set so the three segments sum to the consolidated NII built on Revenue summary; Other NII is the residual.</t>
      </text>
    </comment>
    <comment ref="C34" authorId="0">
      <text>
        <t>S6/S7/S9 segment note (Note 11 / Note 22); 4Q25 = FY25 (10-K, S8) less 9M25 (3Q25 10-Q, S9)</t>
      </text>
    </comment>
    <comment ref="C43" authorId="0">
      <text>
        <t>S6/S7/S9 segment note (Note 11 / Note 22); 4Q25 = FY25 (10-K, S8) less 9M25 (3Q25 10-Q, S9)</t>
      </text>
    </comment>
    <comment ref="C52" authorId="0">
      <text>
        <t>S6/S7/S9 segment note (Note 11 / Note 22); 4Q25 = FY25 (10-K, S8) less 9M25 (3Q25 10-Q, S9)</t>
      </text>
    </comment>
    <comment ref="C59" authorId="0">
      <text>
        <t>S6/S7/S9 segment note (Note 11 / Note 22); 4Q25 = FY25 (10-K, S8) less 9M25 (3Q25 10-Q, S9)</t>
      </text>
    </comment>
    <comment ref="C68" authorId="0">
      <text>
        <t>S6/S7/S9 segment note (Note 11 / Note 22); 4Q25 = FY25 (10-K, S8) less 9M25 (3Q25 10-Q, S9)</t>
      </text>
    </comment>
    <comment ref="F116" authorId="0">
      <text>
        <t>From 1Q26 segment provision = segment net charge-offs; provision above/below NCOs is reported in Other (10-Q Note 11). 3Q25/4Q25/FY25 use the prior expected-loss allocation, so segment provision is not like-for-like.</t>
      </text>
    </comment>
    <comment ref="H119" authorId="0">
      <text>
        <t>Assumption: close to 2Q26 NCO-based run-rate (consolidated NCO guide 40-50 bp FY26).</t>
      </text>
    </comment>
    <comment ref="H125" authorId="0">
      <text>
        <t>Segments are taxed at ~25% nominal; tax-credit benefits sit in Other (10-Q Note 11).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9" authorId="0">
      <text>
        <t>Segment average assets, S6/S7/S9 segment note. 4Q25 derived day-weighted: (FY25 avg x 365 - 9M25 avg x 273) / 92 (approximation; 4Q25 segment average not separately disclosed).</t>
      </text>
    </comment>
    <comment ref="C13" authorId="0">
      <text>
        <t>Average deposits by segment, financial supplements S3 p.7 / S10 p.7.</t>
      </text>
    </comment>
    <comment ref="E16" authorId="0">
      <text>
        <t>FY25 opening (12/31/24) segment deposits not in fetched sources -&gt; n.a.</t>
      </text>
    </comment>
    <comment ref="C18" authorId="0">
      <text>
        <t>End-of-period deposits by segment, S3 p.6.</t>
      </text>
    </comment>
    <comment ref="H21" authorId="0">
      <text>
        <t>Assumption: management expects total deposits roughly flat in 3Q26 on seasonal trends (Sept-2026 conference, S14).</t>
      </text>
    </comment>
    <comment ref="C26" authorId="0">
      <text>
        <t>S6/S7/S9 segment note (Note 11 / Note 22); 4Q25 = FY25 (10-K, S8) less 9M25 (3Q25 10-Q, S9)</t>
      </text>
    </comment>
    <comment ref="B29" authorId="0">
      <text>
        <t>Historical: no acquisitions closed Jul-2024 to Jun-2026 (issuer acquisition history, S13 p.28). 3Q26E: Frazer Lanier (closed 1-Jul-2026, Corporate Bank capital markets) contribution not disclosed -&gt; unavailable where it applies.</t>
      </text>
    </comment>
    <comment ref="B30" authorId="0">
      <text>
        <t>Regions has no foreign operations; all revenue is USD (10-K, S8). FX impact is structurally nil, not missing evidence.</t>
      </text>
    </comment>
    <comment ref="H32" authorId="0">
      <text>
        <t>Driver: segment NII = average assets x NII margin on assets (funds-transfer-priced). 3Q26E margin = 2Q26 + bp assumption, set so the three segments sum to the consolidated NII built on Revenue summary; Other NII is the residual.</t>
      </text>
    </comment>
    <comment ref="C34" authorId="0">
      <text>
        <t>S6/S7/S9 segment note (Note 11 / Note 22); 4Q25 = FY25 (10-K, S8) less 9M25 (3Q25 10-Q, S9)</t>
      </text>
    </comment>
    <comment ref="C43" authorId="0">
      <text>
        <t>S6/S7/S9 segment note (Note 11 / Note 22); 4Q25 = FY25 (10-K, S8) less 9M25 (3Q25 10-Q, S9)</t>
      </text>
    </comment>
    <comment ref="C52" authorId="0">
      <text>
        <t>S6/S7/S9 segment note (Note 11 / Note 22); 4Q25 = FY25 (10-K, S8) less 9M25 (3Q25 10-Q, S9)</t>
      </text>
    </comment>
    <comment ref="H59" authorId="0">
      <text>
        <t>Assumption: agency/secondary production -5% Q/Q as the 10-yr Treasury rose 87 bp in 3Q26 (S17), partly offset by the seasonal purchase market.</t>
      </text>
    </comment>
    <comment ref="H79" authorId="0">
      <text>
        <t>Assumption: held at 2Q26 level; with the hedge below, net MSR valuation impact ~-$4M as in 2Q26 (higher rates raise MSR value but are largely hedged).</t>
      </text>
    </comment>
    <comment ref="H85" authorId="0">
      <text>
        <t>Assumption: in line with 2Q26 (slower prepayments at higher rates).</t>
      </text>
    </comment>
    <comment ref="C88" authorId="0">
      <text>
        <t>Mortgage income is reported entirely in the Consumer Bank segment (segment note); components from the financial supplements (S3 p.15, S10 p.15).</t>
      </text>
    </comment>
    <comment ref="C95" authorId="0">
      <text>
        <t>S6/S7/S9 segment note (Note 11 / Note 22); 4Q25 = FY25 (10-K, S8) less 9M25 (3Q25 10-Q, S9)</t>
      </text>
    </comment>
    <comment ref="F143" authorId="0">
      <text>
        <t>From 1Q26 segment provision = segment net charge-offs; provision above/below NCOs is reported in Other (10-Q Note 11). 3Q25/4Q25/FY25 use the prior expected-loss allocation, so segment provision is not like-for-like.</t>
      </text>
    </comment>
    <comment ref="H146" authorId="0">
      <text>
        <t>Assumption: close to 2Q26 NCO-based run-rate (consolidated NCO guide 40-50 bp FY26).</t>
      </text>
    </comment>
    <comment ref="H152" authorId="0">
      <text>
        <t>Segments are taxed at ~25% nominal; tax-credit benefits sit in Other (10-Q Note 11).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Segment average assets, S6/S7/S9 segment note. 4Q25 derived day-weighted: (FY25 avg x 365 - 9M25 avg x 273) / 92 (approximation; 4Q25 segment average not separately disclosed).</t>
      </text>
    </comment>
    <comment ref="C13" authorId="0">
      <text>
        <t>Average deposits by segment, financial supplements S3 p.7 / S10 p.7.</t>
      </text>
    </comment>
    <comment ref="E16" authorId="0">
      <text>
        <t>FY25 opening (12/31/24) segment deposits not in fetched sources -&gt; n.a.</t>
      </text>
    </comment>
    <comment ref="C18" authorId="0">
      <text>
        <t>End-of-period deposits by segment, S3 p.6.</t>
      </text>
    </comment>
    <comment ref="H21" authorId="0">
      <text>
        <t>Assumption: management expects total deposits roughly flat in 3Q26 on seasonal trends (Sept-2026 conference, S14).</t>
      </text>
    </comment>
    <comment ref="C35" authorId="0">
      <text>
        <t>S6/S7/S9 segment note (Note 11 / Note 22); 4Q25 = FY25 (10-K, S8) less 9M25 (3Q25 10-Q, S9)</t>
      </text>
    </comment>
    <comment ref="B38" authorId="0">
      <text>
        <t>Historical: no acquisitions closed Jul-2024 to Jun-2026 (issuer acquisition history, S13 p.28). 3Q26E: Frazer Lanier (closed 1-Jul-2026, Corporate Bank capital markets) contribution not disclosed -&gt; unavailable where it applies.</t>
      </text>
    </comment>
    <comment ref="B39" authorId="0">
      <text>
        <t>Regions has no foreign operations; all revenue is USD (10-K, S8). FX impact is structurally nil, not missing evidence.</t>
      </text>
    </comment>
    <comment ref="H41" authorId="0">
      <text>
        <t>Driver: segment NII = average assets x NII margin on assets (funds-transfer-priced). 3Q26E margin = 2Q26 + bp assumption, set so the three segments sum to the consolidated NII built on Revenue summary; Other NII is the residual.</t>
      </text>
    </comment>
    <comment ref="C43" authorId="0">
      <text>
        <t>S6/S7/S9 segment note (Note 11 / Note 22); 4Q25 = FY25 (10-K, S8) less 9M25 (3Q25 10-Q, S9)</t>
      </text>
    </comment>
    <comment ref="C52" authorId="0">
      <text>
        <t>S6/S7/S9 segment note (Note 11 / Note 22); 4Q25 = FY25 (10-K, S8) less 9M25 (3Q25 10-Q, S9)</t>
      </text>
    </comment>
    <comment ref="C59" authorId="0">
      <text>
        <t>S6/S7/S9 segment note (Note 11 / Note 22); 4Q25 = FY25 (10-K, S8) less 9M25 (3Q25 10-Q, S9)</t>
      </text>
    </comment>
    <comment ref="C66" authorId="0">
      <text>
        <t>S6/S7/S9 segment note (Note 11 / Note 22); 4Q25 = FY25 (10-K, S8) less 9M25 (3Q25 10-Q, S9)</t>
      </text>
    </comment>
    <comment ref="C73" authorId="0">
      <text>
        <t>S6/S7/S9 segment note (Note 11 / Note 22); 4Q25 = FY25 (10-K, S8) less 9M25 (3Q25 10-Q, S9)</t>
      </text>
    </comment>
    <comment ref="C80" authorId="0">
      <text>
        <t>S6/S7/S9 segment note (Note 11 / Note 22); 4Q25 = FY25 (10-K, S8) less 9M25 (3Q25 10-Q, S9)</t>
      </text>
    </comment>
    <comment ref="F128" authorId="0">
      <text>
        <t>From 1Q26 segment provision = segment net charge-offs; provision above/below NCOs is reported in Other (10-Q Note 11). 3Q25/4Q25/FY25 use the prior expected-loss allocation, so segment provision is not like-for-like.</t>
      </text>
    </comment>
    <comment ref="H131" authorId="0">
      <text>
        <t>Assumption: close to 2Q26 NCO-based run-rate (consolidated NCO guide 40-50 bp FY26).</t>
      </text>
    </comment>
    <comment ref="H137" authorId="0">
      <text>
        <t>Segments are taxed at ~25% nominal; tax-credit benefits sit in Other (10-Q Note 11).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9" authorId="0">
      <text>
        <t>GAAP loan interest = FTE loan interest (Revenue summary) less the taxable-equivalent adjustment, which relates to tax-exempt loans; ties to reported S3 p.8.</t>
      </text>
    </comment>
    <comment ref="B12" authorId="0">
      <text>
        <t>Historical: no acquisitions closed Jul-2024 to Jun-2026 (issuer acquisition history, S13 p.28). 3Q26E: Frazer Lanier (closed 1-Jul-2026, Corporate Bank capital markets) contribution not disclosed -&gt; unavailable where it applies.</t>
      </text>
    </comment>
    <comment ref="B13" authorId="0">
      <text>
        <t>Regions has no foreign operations; all revenue is USD (10-K, S8). FX impact is structurally nil, not missing evidence.</t>
      </text>
    </comment>
    <comment ref="C68" authorId="0">
      <text>
        <t>Net charge-offs, S3 p.21 / S10 p.21.</t>
      </text>
    </comment>
    <comment ref="H71" authorId="0">
      <text>
        <t>Assumption: 43 bp, inside the reiterated FY26 NCO guide of 40-50 bp (S5, S13, S14); 1H26 ran 48 bp and 2Q26 42 bp with criticized loans and NPLs falling.</t>
      </text>
    </comment>
    <comment ref="H73" authorId="0">
      <text>
        <t>Assumption: smaller release than the -27 to -39 of the last four quarters - continued specific-reserve resolution and improving credit, partly offset by ~1% loan growth and a weaker 3Q26 macro backdrop (Sept rate hike, 10-yr +87 bp, oil shock: S16-S18).</t>
      </text>
    </comment>
    <comment ref="C148" authorId="0">
      <text>
        <t>Capital markets income split disclosed in the supplement (S3 p.14, S10 p.14): valuation adjustments on customer derivatives and capital markets income excluding them. 3Q26E: no valuation adjustment assumed.</t>
      </text>
    </comment>
    <comment ref="H157" authorId="0">
      <text>
        <t>Model fees ~$664M vs ~$684M/quarter implied for 2H26 by the LOW end of the FY26 adjusted-fee guide (Guidance tab): we assume capital markets stays below its $90-105M range (as in the last three quarters) and benefit-asset MVA falls (offset in salaries). This implies FY26 fees modestly below the guide low end unless 4Q26 accelerates.</t>
      </text>
    </comment>
    <comment ref="F163" authorId="0">
      <text>
        <t>Company-defined adjusted non-interest income adds back only the securities losses it adjusts (1Q26 -$3M loss was not adjusted). Ties to S3 p.17: 684 / 640 / 2,585 / 625 / 670.</t>
      </text>
    </comment>
    <comment ref="H185" authorId="0">
      <text>
        <t>Assumption: underlying salaries +1.5% Q/Q (extra day, Frazer Lanier staff, merit run-rate) while the 2Q26 +$24M market-value adjustment on supplemental 401(k) liabilities falls to ~$4M (offsets non-interest income).</t>
      </text>
    </comment>
    <comment ref="H213" authorId="0">
      <text>
        <t>Assumption: 2Q26 benefited from an unsecured-debt adjustment (S13 p.33); 3Q26 reverts toward the $19-20M run-rate.</t>
      </text>
    </comment>
    <comment ref="H221" authorId="0">
      <text>
        <t>Assumption: reverts toward the 1Q26-3Q25 range ($10-18M).</t>
      </text>
    </comment>
    <comment ref="H225" authorId="0">
      <text>
        <t>Assumption: no branch consolidation charges announced for 3Q26 (excluded from adjusted results when incurred).</t>
      </text>
    </comment>
    <comment ref="H229" authorId="0">
      <text>
        <t>Assumption: includes Frazer Lanier intangible amortization/integration; 3Q25-4Q25 ran $103-108M.</t>
      </text>
    </comment>
    <comment ref="H250" authorId="0">
      <text>
        <t>Assumption: midpoint of FY26 ETR guide 20.5-21.5% (S11, S13); 1H26 21.2%, 3Q25 19.7%.</t>
      </text>
    </comment>
    <comment ref="H254" authorId="0">
      <text>
        <t>Assumption: $21M as in 3Q25 and 2Q26 (preferred stock unchanged at $1,369M).</t>
      </text>
    </comment>
    <comment ref="H296" authorId="0">
      <text>
        <t>Regions computes the tax impact of adjusted items at a 25% nominal rate unless noted; preferred redemption expense is non-taxable (S3 p.19 footnote 2).</t>
      </text>
    </comment>
    <comment ref="H303" authorId="0">
      <text>
        <t>CapIQ normalized EPS equals Regions' adjusted diluted EPS in all six history quarters (0.54, 0.60, 0.63, 0.57, 0.62, 0.68). 4Q25: a $26M discrete tax item was not adjusted by the company (S10 release).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H18" authorId="0">
      <text>
        <t>Forecast simplification: all 3Q26E provision is booked to the allowance for loan losses (the unfunded-commitment reserve in other liabilities is held flat).</t>
      </text>
    </comment>
    <comment ref="H26" authorId="0">
      <text>
        <t>Held flat; Frazer Lanier (closed 1-Jul-2026, terms undisclosed) goodwill/intangibles not modeled.</t>
      </text>
    </comment>
    <comment ref="H33" authorId="0">
      <text>
        <t>3Q26E total deposits = sum of segment closing deposits (segment tabs + Other on Revenue summary).</t>
      </text>
    </comment>
    <comment ref="H46" authorId="0">
      <text>
        <t>Regions records common share repurchases against additional paid-in capital (treasury stock unchanged since 2024).</t>
      </text>
    </comment>
    <comment ref="H49" authorId="0">
      <text>
        <t>AOCI held flat in 3Q26E: the 10-yr Treasury rose ~87 bp in 3Q26 (S17), implying an AOCI loss on AFS securities that is not modeled (no EPS impact).</t>
      </text>
    </comment>
    <comment ref="D55" authorId="0">
      <text>
        <t>12/31/2025 balances as recast in the 2Q26 supplement (S3); the 4Q25 supplement showed other assets and other liabilities each $739M higher (presentation change).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9" authorId="0">
      <text>
        <t>Linked to the Income Statement (single source); the filed YTD cash-flow figure is kept on Inputs section E and tied in the check row below.</t>
      </text>
    </comment>
    <comment ref="H11" authorId="0">
      <text>
        <t>Assumption: ~$25M/quarter (1H26 $47M); matched by premises/other-asset purchases so premises stay flat.</t>
      </text>
    </comment>
    <comment ref="H31" authorId="0">
      <text>
        <t>3Q26E: -(change in EOP loans + net charge-offs); NCOs remove loans without cash.</t>
      </text>
    </comment>
    <comment ref="H41" authorId="0">
      <text>
        <t>Simplification: 3Q26E uses the $0.30 dividend declared 15-Jul-2026 (payable 1-Oct-2026) for both retained earnings and cash.</t>
      </text>
    </comment>
    <comment ref="C59" authorId="0">
      <text>
        <t>Regions does not report a capital-expenditure line or a free-cash-flow metric; "net purchases of other assets" is shown as the closest disclosed investing line. Issuer-defined FCF: not applicable.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H12" authorId="0">
      <text>
        <t>Assumption: 4.0M, within the 3-5M range of the last four quarters.</t>
      </text>
    </comment>
    <comment ref="F21" authorId="0">
      <text>
        <t>10-Q Note 6: ~14M shares repurchased by 31-Mar-2026 and ~16M by 30-Jun-2026 under the 2026-27 $3.0B plan (S6, S7). 3Q25/4Q25 share counts not disclosed per quarter in fetched sources (n.a.).</t>
      </text>
    </comment>
    <comment ref="H22" authorId="0">
      <text>
        <t>Assumption: ~0.3M net issuance under equity plans.</t>
      </text>
    </comment>
    <comment ref="H29" authorId="0">
      <text>
        <t>Assumption: $150M. Buybacks slowed to $59M in 2Q26; management targets CET1 incl. AOCI near 9.5% and generates 45-50 bp/quarter of capital (S5), but the 3Q26 long-rate spike (AOCI) argues for a moderate pace.</t>
      </text>
    </comment>
    <comment ref="H32" authorId="0">
      <text>
        <t>Assumption: ~$28 average 3Q26 price (CapIQ last close $27.03; 52-week range $22.70-$32.47).</t>
      </text>
    </comment>
    <comment ref="H36" authorId="0">
      <text>
        <t>Board raised the quarterly dividend 13% to $0.30 on 15-Jul-2026, payable 1-Oct-2026 (S6 MD&amp;A, S5).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H35" authorId="0">
      <text>
        <t>Management said fees are trending toward the LOW end of the FY guide (17-Jul, S5), so the low-end figure is the more relevant anchor.</t>
      </text>
    </comment>
    <comment ref="B38" authorId="0">
      <text>
        <t>Quarterly NII growth guides (2Q26 ~2% -&gt; +2.3%; 4Q25 grew 2% at the upper end of the expected range) were met or beaten; the 1Q26 NIM (~3.70% -&gt; 3.67%) and the 1Q26/2Q26 capital-markets guides ($90-105M -&gt; $84M) were missed. No evidence of systematically conservative guidance on fees or margin; NII guidance has been reliable.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C105" authorId="0">
      <text>
        <t>AD HOC NEWS 8-Oct-2026 citing MarketBeat: $22.8B at $26.70 close on 7-Oct-2026. CompaniesMarketCap (S22): $23.02B Oct-2026. CapIQ market_cap_usd_m is blank.</t>
      </text>
    </comment>
    <comment ref="C119" authorId="0">
      <text>
        <t>Down: model EPS ~$0.667 sits only just above the $0.665 rounding threshold for a strict beat (model-only P ~0.55); 3Q26 macro shock (Sept hike, 10-yr +87 bp, oil); fees tracking low end, capital markets missed range 3 quarters; Zacks ESP -0.54% and consensus cut 1.1% in 30 days. Up: NII +2% guide reaffirmed in Sept; credit improving; consensus provision (~$112M) above our NCO-based ~$100M.</t>
      </text>
    </comment>
    <comment ref="C29" authorId="0">
      <text>
        <t>Blank in source - preserved as blank (unavailable, not zero).</t>
      </text>
    </comment>
  </commentList>
</comments>
</file>

<file path=xl/sharedStrings.xml><?xml version="1.0" encoding="utf-8"?>
<sst xmlns="http://schemas.openxmlformats.org/spreadsheetml/2006/main" count="2363" uniqueCount="1036">
  <si>
    <t>Regions Financial Corporation (NYSE: RF)</t>
  </si>
  <si>
    <t>Cover</t>
  </si>
  <si>
    <t>$ millions, except per share</t>
  </si>
  <si>
    <t>Period</t>
  </si>
  <si>
    <t>3Q26E</t>
  </si>
  <si>
    <t>Notes</t>
  </si>
  <si>
    <t>Period end</t>
  </si>
  <si>
    <t>Days in period</t>
  </si>
  <si>
    <t>Company Model — built by Shortcut</t>
  </si>
  <si>
    <t>Author: Shortcut (shortcut.ai). Forecast of 3Q26 results from pre-release evidence only.</t>
  </si>
  <si>
    <t>Company</t>
  </si>
  <si>
    <t>Regions Financial Corporation</t>
  </si>
  <si>
    <t>Ticker</t>
  </si>
  <si>
    <t>RF</t>
  </si>
  <si>
    <t>Exchange</t>
  </si>
  <si>
    <t>New York Stock Exchange (NYSE: RF)</t>
  </si>
  <si>
    <t>Fiscal year end</t>
  </si>
  <si>
    <t>December 31 (fiscal quarter = calendar quarter)</t>
  </si>
  <si>
    <t>Forecast period</t>
  </si>
  <si>
    <t>3Q26 / FQ3 2026: quarter ended 30-Sep-2026 (supplied label 2026-09-30 is the actual quarter end)</t>
  </si>
  <si>
    <t>Currency</t>
  </si>
  <si>
    <t>USD; $ millions except per share</t>
  </si>
  <si>
    <t>EPS basis</t>
  </si>
  <si>
    <t>Adjusted (non-GAAP) diluted EPS = CapIQ normalized diluted EPS; GAAP diluted EPS shown separately</t>
  </si>
  <si>
    <t>Information cutoff</t>
  </si>
  <si>
    <t>2026-10-11 22:24 UTC</t>
  </si>
  <si>
    <t>Expected report date</t>
  </si>
  <si>
    <t>16-Oct-2026, pre-market (confirmed by issuer 16-Sep-2026, S15)</t>
  </si>
  <si>
    <t>3Q26E headline</t>
  </si>
  <si>
    <t>Estimate</t>
  </si>
  <si>
    <t>Consensus</t>
  </si>
  <si>
    <t>Variance</t>
  </si>
  <si>
    <t>Variance %</t>
  </si>
  <si>
    <t>Derived guide-implied mid</t>
  </si>
  <si>
    <t>Est. vs derived mid</t>
  </si>
  <si>
    <t>Consensus source</t>
  </si>
  <si>
    <t>Total revenue, FTE ($M)</t>
  </si>
  <si>
    <t>CapIQ mean, 6 est.</t>
  </si>
  <si>
    <t>Net income to common, adjusted ($M)</t>
  </si>
  <si>
    <t>CapIQ NI excl. exceptional</t>
  </si>
  <si>
    <t>Adj. diluted EPS (consensus)</t>
  </si>
  <si>
    <t>CapIQ normalized mean, 16 est.</t>
  </si>
  <si>
    <t>Net income to common, GAAP ($M)</t>
  </si>
  <si>
    <t>CapIQ NI GAAP</t>
  </si>
  <si>
    <t>GAAP diluted EPS</t>
  </si>
  <si>
    <t>CapIQ GAAP mean, 19 est.</t>
  </si>
  <si>
    <t>Check: Cover - statements</t>
  </si>
  <si>
    <t>Structural link check: C22:C26 are direct links, so this cannot fail; not counted in C28.</t>
  </si>
  <si>
    <t>Overall check result (TRUE = all genuine source ties and BS rollforward pass; FALSE or error = a failure)</t>
  </si>
  <si>
    <t>Excludes structural identities that cannot fail (not validation): Cover C27; Revenue summary H105/H440/H441 (3Q26E Other = residual plug); Segment - Wealth Management H30; Balance Sheet H37; Cash Flow Statement H53; Income Statement H267/H305. Portable form: |x| sums via SUMIF(&gt;0)-SUMIF(&lt;0); +0*SUM() propagates any error in a check cell; COUNT guard returns FALSE unless all 73 check cells are numeric.</t>
  </si>
  <si>
    <t>P(beat consensus EPS)</t>
  </si>
  <si>
    <t>Confidence</t>
  </si>
  <si>
    <t>Newer consensus seen before cutoff (memo only; scoring baseline stays the CapIQ snapshot above)</t>
  </si>
  <si>
    <t>Zacks EPS, 9-Oct-26 (S19)</t>
  </si>
  <si>
    <t>Zacks revenue ($M), 9-Oct-26 (S19)</t>
  </si>
  <si>
    <t>Key forecast drivers</t>
  </si>
  <si>
    <t>NII +2.0% Q/Q per guidance (built on Revenue summary average balance sheet); fees ~flat with capital markets ~$88M; adjusted expenses ~flat; provision ~$100M (NCO 43 bp, modest $8M release) vs ~$112M implied by consensus EBIT less EBT; ETR 21%; diluted shares ~854.5M. Model EPS ~$0.667 vs $0.66 consensus.</t>
  </si>
  <si>
    <t>Revenue summary</t>
  </si>
  <si>
    <t>3Q25A</t>
  </si>
  <si>
    <t>4Q25A</t>
  </si>
  <si>
    <t>FY25A</t>
  </si>
  <si>
    <t>1Q26A</t>
  </si>
  <si>
    <t>2Q26A</t>
  </si>
  <si>
    <t>Model driver: days per year (I6, used in all annualized yields/rates)</t>
  </si>
  <si>
    <t>Total revenue by reported segment (GAAP: net interest income + non-interest income)</t>
  </si>
  <si>
    <t>Corporate Bank revenue</t>
  </si>
  <si>
    <t>% Y/Y</t>
  </si>
  <si>
    <t>% Q/Q</t>
  </si>
  <si>
    <t>% of total revenue</t>
  </si>
  <si>
    <t>Δ Q/Q (bp)</t>
  </si>
  <si>
    <t>M&amp;A / scope impact</t>
  </si>
  <si>
    <t>FX impact on Y/Y</t>
  </si>
  <si>
    <t>Organic growth Y/Y</t>
  </si>
  <si>
    <t>Consumer Bank revenue</t>
  </si>
  <si>
    <t>Wealth Management revenue</t>
  </si>
  <si>
    <t>Other (non-reportable: treasury, securities portfolio, reconciling items)</t>
  </si>
  <si>
    <t>Other - NII</t>
  </si>
  <si>
    <t>S6-S9; 3Q26E = residual plug (consolidated less segments) - an assumption, not a check</t>
  </si>
  <si>
    <t>Δ Q/Q ($)</t>
  </si>
  <si>
    <t>Other - share of NII</t>
  </si>
  <si>
    <t>Other - service charges</t>
  </si>
  <si>
    <t>S6-S9</t>
  </si>
  <si>
    <t>E43 -100% = FY25 0 vs FY24 1 ($M, rounded inputs): near-zero rounding artifact, not meaningful</t>
  </si>
  <si>
    <t>E48 follows E43 (near-zero rounding artifact)</t>
  </si>
  <si>
    <t>Other - card and ATM fees</t>
  </si>
  <si>
    <t>S6-S9; 4Q25 (D) = FY25 - 9M25 YTD (Inputs I204); D49 -1 is a rounding offset of reported rounded figures</t>
  </si>
  <si>
    <t>Other - BOLI income</t>
  </si>
  <si>
    <t>Other - securities gains (losses)</t>
  </si>
  <si>
    <t>Other - benefit-asset MV adjustments</t>
  </si>
  <si>
    <t>Other - misc. income (loss)</t>
  </si>
  <si>
    <t>S6-S9; 4Q25 (D) = FY25 - 9M25 YTD; reported 9M25 -70 vs quarters' sum -69 = rounding offset (+/-1)</t>
  </si>
  <si>
    <t>Other - total non-int. income</t>
  </si>
  <si>
    <t>Other revenue</t>
  </si>
  <si>
    <t>Total revenue (GAAP)</t>
  </si>
  <si>
    <t>Check: segments - IS total revenue</t>
  </si>
  <si>
    <t>C:G = genuine source tie; H (3Q26E) = structural identity (Other is a residual), cannot fail</t>
  </si>
  <si>
    <t>Taxable-equivalent adjustment</t>
  </si>
  <si>
    <t>Total revenue, FTE (consensus)</t>
  </si>
  <si>
    <t>CapIQ revenue actual (Inputs history)</t>
  </si>
  <si>
    <t>Check: FTE revenue - CapIQ actual</t>
  </si>
  <si>
    <t>Adjusted total revenue, FTE</t>
  </si>
  <si>
    <t>Geography: effectively 100% U.S. (15-state South/Midwest/Texas footprint); no geographic revenue split disclosed (10-K, S8) - no Geo tab</t>
  </si>
  <si>
    <t>Net interest income drivers - consolidated average balance sheet (taxable-equivalent)</t>
  </si>
  <si>
    <t>Earning assets</t>
  </si>
  <si>
    <t>Fed funds sold &amp; reverse repos</t>
  </si>
  <si>
    <t>Average balance</t>
  </si>
  <si>
    <t>S3,S10</t>
  </si>
  <si>
    <t>-100% in rows 127/129 = 0 vs 1 ($M) rounded balances: near-zero rounding artifact, not meaningful</t>
  </si>
  <si>
    <t>Interest income (FTE)</t>
  </si>
  <si>
    <t>Yield (annualized)</t>
  </si>
  <si>
    <t>n.a. = zero balance; H130 = 0 only while H126 = 0 (a nonzero G126/H126 balance with n.a. yield would surface #VALUE!, not a silent zero)</t>
  </si>
  <si>
    <t>Debt securities</t>
  </si>
  <si>
    <t>Loans held for sale</t>
  </si>
  <si>
    <t>Assumption retained, unresolved (r5 audit F2, LHFS): 3Q26E avg = 2Q26 avg 512 x (1+5%) = 537.6, while Balance Sheet LHFS EOP is held flat at 591 (H13 = G13). At H153 yield: avg 512 -&gt; interest 8.49 -&gt; 8.09, pre-tax -$0.40M, EPS -$0.0004; avg 591 (flat EOP) -&gt; pre-tax +$0.84M, EPS +$0.0008. Not changed: average need not equal EOP; correction direction not determined.</t>
  </si>
  <si>
    <t>Commercial and industrial</t>
  </si>
  <si>
    <t>CRE mortgage - owner-occupied</t>
  </si>
  <si>
    <t>CRE construction - owner-occupied</t>
  </si>
  <si>
    <t>Investor real estate mortgage</t>
  </si>
  <si>
    <t>Investor real estate construction</t>
  </si>
  <si>
    <t>Total business loans</t>
  </si>
  <si>
    <t>Residential first mortgage</t>
  </si>
  <si>
    <t>Home equity</t>
  </si>
  <si>
    <t>HELOC avg balance</t>
  </si>
  <si>
    <t>S3 p.5</t>
  </si>
  <si>
    <t>Closed-end HE avg balance</t>
  </si>
  <si>
    <t>Average balance (total)</t>
  </si>
  <si>
    <t>Consumer credit card</t>
  </si>
  <si>
    <t>Other consumer</t>
  </si>
  <si>
    <t>Total consumer loans</t>
  </si>
  <si>
    <t>Total loans, net of unearned income</t>
  </si>
  <si>
    <t>Interest-bearing deposits in other banks</t>
  </si>
  <si>
    <t>Assumption retained, unresolved (r4 audit F2, IB deposits; F1 in round 3): avg IB deposits = 2Q26 avg x (1-5%) = 6,926 vs BS-implied (G10 6,749 + H10 6,155)/2 = 6,452. Using 6,452 at H287 yield, funding held constant: pre-tax NII -$4.6M, EPS -$0.0042 (0.6666 -&gt; 0.6624). Not changed: average need not equal EOP midpoint and H10 is a simplified derived path.</t>
  </si>
  <si>
    <t>Other earning assets</t>
  </si>
  <si>
    <t>Total earning assets</t>
  </si>
  <si>
    <t>Interest-bearing liabilities and deposits</t>
  </si>
  <si>
    <t>Savings</t>
  </si>
  <si>
    <t>Interest expense (FTE)</t>
  </si>
  <si>
    <t>Rate (annualized)</t>
  </si>
  <si>
    <t>Interest-bearing checking</t>
  </si>
  <si>
    <t>Money market</t>
  </si>
  <si>
    <t>Time deposits</t>
  </si>
  <si>
    <t>Total interest-bearing deposits</t>
  </si>
  <si>
    <t>Fed funds purchased &amp; repos</t>
  </si>
  <si>
    <t>Assumption retained, unresolved (r5 audit F3; r4 audit F2, fed funds purchased): 3Q26E avg = 2Q26 avg 1,096 x (1-40%) = 657.6 vs Balance Sheet G38 = H38 = 200 EOP. History shows averages do not track EOP (2Q26 avg 1,096 vs EOP 200; 1Q26 655 vs 1,200). If avg = 200 at H366 rate: interest 5.49 -&gt; 1.67, pre-tax +$3.8M, EPS +$0.0035 (0.6667 -&gt; 0.6702). Net with I283: ~-$0.0007.</t>
  </si>
  <si>
    <t>G364 +800% = 9 vs 1 ($M, rounded) near-zero base: not meaningful</t>
  </si>
  <si>
    <t>D366 15.3% = 2 interest on 52 avg balance ($M, rounded) annualized: near-zero base, not meaningful (3Q26E H366 builds from G366)</t>
  </si>
  <si>
    <t>D367 +1,526 bp / F367 -1,093 bp follow the D366 near-zero-base rate: not meaningful</t>
  </si>
  <si>
    <t>Other short-term borrowings</t>
  </si>
  <si>
    <t>Long-term borrowings</t>
  </si>
  <si>
    <t>Total interest-bearing liabilities</t>
  </si>
  <si>
    <t>Non-int.-bearing deposits (avg)</t>
  </si>
  <si>
    <t>Total deposits (avg)</t>
  </si>
  <si>
    <t>NIB share of avg deposits</t>
  </si>
  <si>
    <t>Total deposit cost (annualized)</t>
  </si>
  <si>
    <t>Net interest income, FTE</t>
  </si>
  <si>
    <t>Less: FTE adjustment</t>
  </si>
  <si>
    <t>S3</t>
  </si>
  <si>
    <t>Net interest income (GAAP)</t>
  </si>
  <si>
    <t>Net interest margin (FTE)</t>
  </si>
  <si>
    <t>NIM as reported (memo)</t>
  </si>
  <si>
    <t>Net interest spread</t>
  </si>
  <si>
    <t>Other segment - expenses, provision and tax (3Q26E = consolidated less reportable segments)</t>
  </si>
  <si>
    <t>Other - non-interest expense</t>
  </si>
  <si>
    <t>Other - provision vs NCOs</t>
  </si>
  <si>
    <t>S6-S9; 3Q26E = residual plug (consolidated less segments) - an assumption, not a check. Supporting line only (r6 audit F5): segment provisions are asset-rate driven (Corporate Bank H116 52.1 + Consumer Bank H143 51.6 + WM H128 0 = 103.7) and are not calibrated to the consolidated NCO-based provision (Income Statement H76 = H68 + H73 = 99.9), so H431 = -3.8 vs history -34 to -50. No EPS dependency (consolidated provision is driven by Income Statement H71/H73).</t>
  </si>
  <si>
    <t>Other - pre-tax income</t>
  </si>
  <si>
    <t>Other - income tax (benefit)</t>
  </si>
  <si>
    <t>Other - net income</t>
  </si>
  <si>
    <t>Check: segment NI - IS net income</t>
  </si>
  <si>
    <t>Check: segment exp. - IS expense</t>
  </si>
  <si>
    <t>Other - EOP deposits, opening</t>
  </si>
  <si>
    <t>Other - EOP deposits, closing</t>
  </si>
  <si>
    <t>Other - EOP deposit growth</t>
  </si>
  <si>
    <t>Basis note: segment columns 3Q25A/4Q25A/FY25A are on Regions' 2025 management-reporting basis (3Q25 10-Q S9; FY25 10-K S8; 4Q25 = FY25 - 9M25), while 1Q26A/2Q26A and their 1Q25/2Q25 comparatives (Inputs F:G, from 10-Qs S7/S6) are on the recast 2026 basis (e.g. Corporate Bank provision 1H25 = 65 + 56 = 121 in S6 vs 259 - 84 = 175 implied by S9). 1Q26/2Q26 Y/Y are same-basis; 3Q26E Y/Y vs 3Q25 and 1Q26 Q/Q vs 4Q25 on segment lines are mixed-basis and indicative only. Recast 3Q25/4Q25 segment figures are not available before the cutoff, so reported values are left unchanged (consolidated totals are unaffected).</t>
  </si>
  <si>
    <t>Segment - Corporate Bank</t>
  </si>
  <si>
    <t>Corporate Bank - balance sheet drivers</t>
  </si>
  <si>
    <t>Average assets</t>
  </si>
  <si>
    <t>S6,S7,S8,S9</t>
  </si>
  <si>
    <t>Average deposits</t>
  </si>
  <si>
    <t>S3,S10; 3Q26E = (opening + closing EOP)/2 proxy, history = daily average; segments not reconciled to consolidated avg deposits (Revenue summary H401)</t>
  </si>
  <si>
    <t>EOP deposits - opening</t>
  </si>
  <si>
    <t>EOP deposits - net change</t>
  </si>
  <si>
    <t>EOP deposits - closing</t>
  </si>
  <si>
    <t>EOP deposit growth (Q/Q)</t>
  </si>
  <si>
    <t>Corporate Bank - revenue build</t>
  </si>
  <si>
    <t>Share of consolidated NII</t>
  </si>
  <si>
    <t>Net interest income</t>
  </si>
  <si>
    <t>NII / avg assets (ann.)</t>
  </si>
  <si>
    <t>Service charges on deposits</t>
  </si>
  <si>
    <t>Fee rate on avg deposits</t>
  </si>
  <si>
    <t>Unresolved basis (r4 audit F1; F2 in round 3): G fee rate = G fee / G13 daily-average deposits, but H applies it to the H13 EOP-midpoint proxy (2Q26 proxy vs daily avg: 40,263 vs 40,106, +0.39%). Bias est. ~$0.3M pre-tax here; see Segment - Consumer Bank I38 for total EPS sensitivity. Retained.</t>
  </si>
  <si>
    <t>Card and ATM fees</t>
  </si>
  <si>
    <t>Capital markets income</t>
  </si>
  <si>
    <t>Commercial credit fees</t>
  </si>
  <si>
    <t>Fee rate on avg assets</t>
  </si>
  <si>
    <t>Other miscellaneous income</t>
  </si>
  <si>
    <t>Total non-interest income</t>
  </si>
  <si>
    <t>Total segment revenue</t>
  </si>
  <si>
    <t>% of consolidated revenue</t>
  </si>
  <si>
    <t>Corporate Bank - expenses and profit</t>
  </si>
  <si>
    <t>Salaries and employee benefits</t>
  </si>
  <si>
    <t>Equipment and software expense</t>
  </si>
  <si>
    <t>Net occupancy expense</t>
  </si>
  <si>
    <t>Other expenses (allocated)</t>
  </si>
  <si>
    <t>Total non-interest expense</t>
  </si>
  <si>
    <t>Efficiency ratio</t>
  </si>
  <si>
    <t>Pre-tax pre-provision income</t>
  </si>
  <si>
    <t>Provision for credit losses</t>
  </si>
  <si>
    <t>Provision / avg assets (ann.)</t>
  </si>
  <si>
    <t>Income before income taxes</t>
  </si>
  <si>
    <t>Income tax expense</t>
  </si>
  <si>
    <t>Segment tax rate</t>
  </si>
  <si>
    <t>Net income</t>
  </si>
  <si>
    <t>Basis note: segment columns 3Q25A/4Q25A/FY25A are on Regions' 2025 management-reporting basis (3Q25 10-Q S9; FY25 10-K S8; 4Q25 = FY25 - 9M25), while 1Q26A/2Q26A and their 1Q25/2Q25 comparatives (Inputs F:G, from 10-Qs S7/S6) are on the recast 2026 basis (e.g. Corporate Bank provision 1H25 = 65 + 56 = 121 in S6 vs 259 - 84 = 175 implied by S9). 1Q26/2Q26 Y/Y are same-basis; 3Q26E Y/Y vs 3Q25 and 1Q26 Q/Q vs 4Q25 on segment lines are mixed-basis and indicative only. Recast 3Q25/4Q25 segment figures are not available before the cutoff, so reported values are left unchanged (consolidated totals are unaffected). 3Q25 Q/Q (column C vs 2Q25 recast comparative, Inputs G) is also mixed-basis. FY25A (10-K, 2025 basis) ties to 2025-basis quarters, not to the recast 1Q25/2Q25 comparatives plus 3Q25/4Q25 shown (e.g. Corporate Bank provision 65 + 56 + 84 + 78 = 283 vs FY25 337; NII 1,876 vs 1,877).</t>
  </si>
  <si>
    <t>Segment - Consumer Bank</t>
  </si>
  <si>
    <t>Consumer Bank - balance sheet drivers</t>
  </si>
  <si>
    <t>Consumer Bank - revenue build</t>
  </si>
  <si>
    <t>Unresolved basis (r4 audit F1; F2 in round 3): G fee rate = G fee / G13 daily-average deposits, but H applies it to the H13 EOP-midpoint proxy (2Q26 proxy vs daily avg: 81,121.5 vs 80,624, +0.62%). Bias est. on service charges + card fees ~$1.3M; all segments ~$1.6M pre-tax, ~-$0.0015 EPS (0.6667 -&gt; ~0.6652). Retained: correction not uniquely determined.</t>
  </si>
  <si>
    <t>E53 +100% = FY25 2 vs FY24 1 ($M, rounded) near-zero base: not meaningful</t>
  </si>
  <si>
    <t>F55 -100% = 0 vs 1-2 ($M, rounded) near-zero base: not meaningful</t>
  </si>
  <si>
    <t>Agency/secondary production</t>
  </si>
  <si>
    <t>S3 p.15</t>
  </si>
  <si>
    <t>Portfolio production</t>
  </si>
  <si>
    <t>S3 p.15 (2Q26 portfolio 586 = agency 586 per source; 6M26 1,037/1,102 tie; FY25 1,885 each per S10)</t>
  </si>
  <si>
    <t>Total mortgage production</t>
  </si>
  <si>
    <t>Production and sales revenue</t>
  </si>
  <si>
    <t>Gain-on-sale margin</t>
  </si>
  <si>
    <t>Loan servicing revenue</t>
  </si>
  <si>
    <t>MSR fair value change</t>
  </si>
  <si>
    <t>H80 +400% = 3Q26E 5 vs 3Q25 1 ($M, rounded) near-zero base: not meaningful</t>
  </si>
  <si>
    <t>MSR hedge gain (loss)</t>
  </si>
  <si>
    <t>MSR payment decay</t>
  </si>
  <si>
    <t>Mortgage income</t>
  </si>
  <si>
    <t>Consumer Bank - expenses and profit</t>
  </si>
  <si>
    <t>Segment - Wealth Management</t>
  </si>
  <si>
    <t>Wealth Management - balance sheet drivers</t>
  </si>
  <si>
    <t>Avg deposits - Private Wealth</t>
  </si>
  <si>
    <t>Avg deposits - Institutional</t>
  </si>
  <si>
    <t>Private Wealth share of deposits</t>
  </si>
  <si>
    <t>Check: deposit split - total</t>
  </si>
  <si>
    <t>C:G = genuine source tie; H: H25 = H13 - H22, so H30 is structural</t>
  </si>
  <si>
    <t>Wealth Management - revenue build</t>
  </si>
  <si>
    <t>C46 -100% = 0 vs 1-2 ($M, rounded) near-zero base: not meaningful</t>
  </si>
  <si>
    <t>Unresolved basis (r4 audit F1; F2 in round 3): G fee rate = G fee / G13 daily-average deposits, but H applies it to the H13 EOP-midpoint proxy (2Q26 proxy vs daily avg: 7,608 vs 7,594, +0.18%). Bias est. &lt;$0.01M pre-tax; see Segment - Consumer Bank I38. Retained.</t>
  </si>
  <si>
    <t>S6-S9; 4Q25 (D) = FY25 - 9M25 YTD (Inputs I185); D52 +1 is a rounding offset (nets with Revenue summary D49 -1)</t>
  </si>
  <si>
    <t>Inv. management &amp; trust fees</t>
  </si>
  <si>
    <t>F67 -100% = 0 vs 1-2 ($M, rounded) near-zero base: not meaningful</t>
  </si>
  <si>
    <t>F72 follows F67 (near-zero base, not meaningful)</t>
  </si>
  <si>
    <t>Investment services fees</t>
  </si>
  <si>
    <t>D81 -100% = derived 4Q25 0 vs 4Q24 1 ($M, rounded): near-zero rounding artifact, not meaningful; G81 +100% = 2 vs 1 likewise</t>
  </si>
  <si>
    <t>D83 -100% = 0 vs 1-2 ($M, rounded) near-zero base: not meaningful; C83 and G83 +100% = 2 vs 1 likewise</t>
  </si>
  <si>
    <t>D86 follows D81 (near-zero base, not meaningful)</t>
  </si>
  <si>
    <t>Wealth Management - expenses and profit</t>
  </si>
  <si>
    <t>D109 -100% = derived 4Q25 0 vs 4Q24 1 ($M, rounded): near-zero rounding artifact, not meaningful</t>
  </si>
  <si>
    <t>C111 -100% = 0 vs 1-2 ($M, rounded) near-zero base: not meaningful</t>
  </si>
  <si>
    <t>H129 -100% = 3Q26E 0 vs 3Q25 2 ($M) small base: not meaningful</t>
  </si>
  <si>
    <t>Income Statement</t>
  </si>
  <si>
    <t>Interest income</t>
  </si>
  <si>
    <t>Loans, including fees</t>
  </si>
  <si>
    <t>S3: GAAP loans incl. fees 1,386/1,358/1,313/1,351 tie; GAAP debt securities = FTE (S3), so the full FTE adjustment sits in loans; 3Q26E applies the same split</t>
  </si>
  <si>
    <t>Total interest income</t>
  </si>
  <si>
    <t>Interest expense</t>
  </si>
  <si>
    <t>Deposits</t>
  </si>
  <si>
    <t>Short-term borrowings</t>
  </si>
  <si>
    <t>F44 +325% = 17 vs 4 and G44 +3,300% = 34 vs 1 ($M, rounded) near-zero bases: not meaningful; H44 +302% vs 3Q25 small base of 8 is likewise rounding-sensitive</t>
  </si>
  <si>
    <t>Total interest expense</t>
  </si>
  <si>
    <t>NII, taxable-equivalent</t>
  </si>
  <si>
    <t>Credit</t>
  </si>
  <si>
    <t>Net charge-offs</t>
  </si>
  <si>
    <t>NCOs / avg loans (ann.)</t>
  </si>
  <si>
    <t>Reserve build / (release)</t>
  </si>
  <si>
    <t>Δ Y/Y ($)</t>
  </si>
  <si>
    <t>Net interest income after provision</t>
  </si>
  <si>
    <t>Allowance for credit losses (EOP)</t>
  </si>
  <si>
    <t>ACL / loans</t>
  </si>
  <si>
    <t>Non-interest income (sum of segment lines)</t>
  </si>
  <si>
    <t>S3 p.14</t>
  </si>
  <si>
    <t>Wealth management income</t>
  </si>
  <si>
    <t>Bank-owned life insurance</t>
  </si>
  <si>
    <t>Benefit-asset MV adjustments</t>
  </si>
  <si>
    <t>Securities gains (losses), net</t>
  </si>
  <si>
    <t>Memo: cap. mkts valuation adj.</t>
  </si>
  <si>
    <t>Memo: cap. mkts excl. val. adj.</t>
  </si>
  <si>
    <t>Adjusted non-interest income</t>
  </si>
  <si>
    <t>Total revenue, FTE</t>
  </si>
  <si>
    <t>Non-interest expense</t>
  </si>
  <si>
    <t>S3 p.16</t>
  </si>
  <si>
    <t>Outside services</t>
  </si>
  <si>
    <t>Marketing</t>
  </si>
  <si>
    <t>Professional, legal &amp; regulatory</t>
  </si>
  <si>
    <t>Credit/checkcard expenses</t>
  </si>
  <si>
    <t>FDIC insurance assessments</t>
  </si>
  <si>
    <t>F216 +533% = 1Q26 19 vs derived 4Q25 3 ($M; FY25 - 9M25, rounded) small base: not meaningful</t>
  </si>
  <si>
    <t>Visa class B shares expense</t>
  </si>
  <si>
    <t>G220 +100% = 2 vs 1 ($M, rounded) near-zero base: not meaningful</t>
  </si>
  <si>
    <t>Operational losses</t>
  </si>
  <si>
    <t>Branch consolidation charges</t>
  </si>
  <si>
    <t>D226 -100% = 0 vs 1-2 ($M, rounded) near-zero base: not meaningful</t>
  </si>
  <si>
    <t>H228 -100% reflects the 3Q26E assumption of no branch consolidation charges (0 vs 2Q26 5), not a trend</t>
  </si>
  <si>
    <t>Other miscellaneous expenses</t>
  </si>
  <si>
    <t>Adjusted non-interest expense</t>
  </si>
  <si>
    <t>Profit</t>
  </si>
  <si>
    <t>Effective tax rate</t>
  </si>
  <si>
    <t>Preferred dividends and other</t>
  </si>
  <si>
    <t>S3 p.13</t>
  </si>
  <si>
    <t>Net income to common</t>
  </si>
  <si>
    <t>Shares and GAAP EPS</t>
  </si>
  <si>
    <t>Wtd. avg. basic shares (M)</t>
  </si>
  <si>
    <t>Wtd. avg. diluted shares (M)</t>
  </si>
  <si>
    <t>Basic EPS (GAAP)</t>
  </si>
  <si>
    <t>Diluted EPS (GAAP)</t>
  </si>
  <si>
    <t>Check: GAAP EPS - NI / shares</t>
  </si>
  <si>
    <t>Structural identity (restates H265 formula); cannot fail - not validation</t>
  </si>
  <si>
    <t>Diluted EPS as reported</t>
  </si>
  <si>
    <t>Check: EPS = NI / shares vs reported</t>
  </si>
  <si>
    <t>Growth and margins</t>
  </si>
  <si>
    <t>Efficiency ratio (FTE)</t>
  </si>
  <si>
    <t>Adjusted efficiency ratio</t>
  </si>
  <si>
    <t>Fee income ratio</t>
  </si>
  <si>
    <t>PPNR margin</t>
  </si>
  <si>
    <t>Pre-tax margin</t>
  </si>
  <si>
    <t>Net margin (NI to common)</t>
  </si>
  <si>
    <t>GAAP to adjusted (non-GAAP) bridge - consensus EPS basis</t>
  </si>
  <si>
    <t>Net income to common (GAAP)</t>
  </si>
  <si>
    <t>Add: securities (gains) losses</t>
  </si>
  <si>
    <t>S3 p.19</t>
  </si>
  <si>
    <t>Add: FDIC special assessment</t>
  </si>
  <si>
    <t>Add: severance charges</t>
  </si>
  <si>
    <t>Add: branch consolidation charges</t>
  </si>
  <si>
    <t>Add: professional/legal items</t>
  </si>
  <si>
    <t>Add: preferred redemption expense</t>
  </si>
  <si>
    <t>Total pre-tax adjustments</t>
  </si>
  <si>
    <t>Tax rate on adjustments</t>
  </si>
  <si>
    <t>Tax impact of adjustments (25%)</t>
  </si>
  <si>
    <t>Adjusted net income to common</t>
  </si>
  <si>
    <t>Adj. NI to common, reported</t>
  </si>
  <si>
    <t>Check: adj. NI - reported</t>
  </si>
  <si>
    <t>Normalized basis inferred, not documented (r6 audit F6): adjusted EPS rounds to CapIQ normalized actuals in 3Q25-2Q26 (row 307 = 0; 1Q25/2Q25 in Inputs), but CapIQ methodology is not in evidence. 3Q26E adjustments H289:H294 = 0, so adjusted = GAAP and the 25% adjustment tax rate (H296) has no effect. An unforeseen excluded pre-tax item of $1M would move GAAP EPS ~$0.0009 (21% ETR) but not normalized EPS if CapIQ excludes it as it did historically.</t>
  </si>
  <si>
    <t>Check: adj. EPS - adj. NI / shares</t>
  </si>
  <si>
    <t>Structural identity (restates H303 formula); cannot fail - not validation</t>
  </si>
  <si>
    <t>CapIQ normalized EPS actual</t>
  </si>
  <si>
    <t>Check: adj. EPS - CapIQ actual</t>
  </si>
  <si>
    <t>Consensus EPS (CapIQ, 16 est.)</t>
  </si>
  <si>
    <t>Estimate vs consensus ($/sh)</t>
  </si>
  <si>
    <t>Annual reconciliation: FY25 = 1Q25 + 2Q25 (Inputs) + 3Q25 + 4Q25</t>
  </si>
  <si>
    <t>Check: Net interest income FY25 - sum of quarters</t>
  </si>
  <si>
    <t>Check: Non-interest income FY25 - sum of quarters</t>
  </si>
  <si>
    <t>Check: Non-interest expense FY25 - sum of quarters</t>
  </si>
  <si>
    <t>Check: Provision FY25 - sum of quarters</t>
  </si>
  <si>
    <t>Check: Pre-tax income FY25 - sum of quarters</t>
  </si>
  <si>
    <t>Check: Income tax FY25 - sum of quarters</t>
  </si>
  <si>
    <t>Check: Net income FY25 - sum of quarters</t>
  </si>
  <si>
    <t>Check: NI to common FY25 - sum of quarters</t>
  </si>
  <si>
    <t>Balance Sheet</t>
  </si>
  <si>
    <t>Assets</t>
  </si>
  <si>
    <t>Cash and due from banks</t>
  </si>
  <si>
    <t>S3 p.3</t>
  </si>
  <si>
    <t>IB deposits in other banks</t>
  </si>
  <si>
    <t>Debt securities held to maturity</t>
  </si>
  <si>
    <t>Debt securities available for sale</t>
  </si>
  <si>
    <t>Loans, net of unearned income</t>
  </si>
  <si>
    <t>Allowance for loan losses</t>
  </si>
  <si>
    <t>Net loans</t>
  </si>
  <si>
    <t>Premises and equipment, net</t>
  </si>
  <si>
    <t>Interest receivable</t>
  </si>
  <si>
    <t>Goodwill</t>
  </si>
  <si>
    <t>Mortgage servicing rights</t>
  </si>
  <si>
    <t>Other intangible assets, net</t>
  </si>
  <si>
    <t>Other assets</t>
  </si>
  <si>
    <t>Total assets</t>
  </si>
  <si>
    <t>Liabilities</t>
  </si>
  <si>
    <t>Non-interest-bearing deposits</t>
  </si>
  <si>
    <t>NIB share of deposits</t>
  </si>
  <si>
    <t>Interest-bearing deposits</t>
  </si>
  <si>
    <t>Total deposits</t>
  </si>
  <si>
    <t>Check: segment deposits - total</t>
  </si>
  <si>
    <t>C:G = genuine source tie; H: H33 is the sum of segments + Other, so H37 is structural</t>
  </si>
  <si>
    <t>Other liabilities</t>
  </si>
  <si>
    <t>Total liabilities</t>
  </si>
  <si>
    <t>Equity</t>
  </si>
  <si>
    <t>Preferred stock</t>
  </si>
  <si>
    <t>Common stock</t>
  </si>
  <si>
    <t>Additional paid-in capital</t>
  </si>
  <si>
    <t>Retained earnings</t>
  </si>
  <si>
    <t>Treasury stock, at cost</t>
  </si>
  <si>
    <t>AOCI, net</t>
  </si>
  <si>
    <t>Total shareholders' equity</t>
  </si>
  <si>
    <t>Noncontrolling interest</t>
  </si>
  <si>
    <t>Total equity</t>
  </si>
  <si>
    <t>Total liabilities and equity</t>
  </si>
  <si>
    <t>Check: assets - liabilities - equity</t>
  </si>
  <si>
    <t>Total assets as reported</t>
  </si>
  <si>
    <t>Check: assets - reported assets</t>
  </si>
  <si>
    <t>Loans / deposits</t>
  </si>
  <si>
    <t>Cash Flow Statement</t>
  </si>
  <si>
    <t>Operating activities</t>
  </si>
  <si>
    <t>Depreciation &amp; amortization, net</t>
  </si>
  <si>
    <t>Securities (gains) losses, net</t>
  </si>
  <si>
    <t>Deferred tax expense (benefit)</t>
  </si>
  <si>
    <t>LHFS originations &amp; purchases</t>
  </si>
  <si>
    <t>Proceeds from LHFS sales</t>
  </si>
  <si>
    <t>3Q26E: H15 holds the net LHFS change, -(Balance Sheet H13 - G13) = 0 (LHFS held flat); gross originations (H14 = 0) and sales are not modeled separately. C:G are reported gross.</t>
  </si>
  <si>
    <t>(Gain) loss on sale of loans, net</t>
  </si>
  <si>
    <t>Change in other earning assets</t>
  </si>
  <si>
    <t>Change in int. receivable &amp; other</t>
  </si>
  <si>
    <t>Change in other liabilities</t>
  </si>
  <si>
    <t>Other operating</t>
  </si>
  <si>
    <t>Net cash from operations</t>
  </si>
  <si>
    <t>Investing activities</t>
  </si>
  <si>
    <t>HTM securities maturities</t>
  </si>
  <si>
    <t>AFS securities sales</t>
  </si>
  <si>
    <t>AFS securities maturities</t>
  </si>
  <si>
    <t>AFS securities purchases</t>
  </si>
  <si>
    <t>BOLI, net</t>
  </si>
  <si>
    <t>Proceeds from sales of loans</t>
  </si>
  <si>
    <t>Purchases of loans</t>
  </si>
  <si>
    <t>Net change in loans</t>
  </si>
  <si>
    <t>MSR purchases</t>
  </si>
  <si>
    <t>Net purchases of other assets</t>
  </si>
  <si>
    <t>Net cash from investing</t>
  </si>
  <si>
    <t>Financing activities</t>
  </si>
  <si>
    <t>Net change in deposits</t>
  </si>
  <si>
    <t>Net change in ST borrowings</t>
  </si>
  <si>
    <t>LT borrowings issued</t>
  </si>
  <si>
    <t>LT borrowings repaid</t>
  </si>
  <si>
    <t>Cash dividends on common stock</t>
  </si>
  <si>
    <t>Simplification: 3Q26E uses the declared $0.30 (Share Count H39) as cash paid; the $0.30 is payable 1-Oct-2026 (S6), so 3Q26 cash paid would reflect the 2Q26-declared $0.265 - timing not modeled (cash/BS only, no EPS effect)</t>
  </si>
  <si>
    <t>Cash dividends on preferred stock</t>
  </si>
  <si>
    <t>Preferred stock redemption</t>
  </si>
  <si>
    <t>Repurchases of common stock</t>
  </si>
  <si>
    <t>Taxes on net share settlement</t>
  </si>
  <si>
    <t>Other financing</t>
  </si>
  <si>
    <t>Net cash from financing</t>
  </si>
  <si>
    <t>Net change in cash</t>
  </si>
  <si>
    <t>Cash, beginning of period</t>
  </si>
  <si>
    <t>Cash, end of period</t>
  </si>
  <si>
    <t>BS cash (incl. IB deposits)</t>
  </si>
  <si>
    <t>Check: end cash - BS cash</t>
  </si>
  <si>
    <t>C:G = genuine tie; H: BS H10 cash is derived from CF H51, so H53 is structural (BS H54 is the genuine balance test)</t>
  </si>
  <si>
    <t>Check: CF links vs filed YTD</t>
  </si>
  <si>
    <t>Check: FY25 vs reported totals</t>
  </si>
  <si>
    <t>Issuer-defined cash-flow metrics</t>
  </si>
  <si>
    <t>Operating cash flow</t>
  </si>
  <si>
    <t>Simplified 3Q26E OCF: deferred tax, LHFS and other working-capital lines held at 0; low confidence</t>
  </si>
  <si>
    <t>Capex proxy (other asset purchases)</t>
  </si>
  <si>
    <t>Proxy only (3Q26E = -D&amp;A so premises stay flat); Regions reports no capex line - capital_expenditures tracked as not applicable</t>
  </si>
  <si>
    <t>Issuer-defined free cash flow</t>
  </si>
  <si>
    <t>n.a.</t>
  </si>
  <si>
    <t>Not applicable: Regions (bank) does not define or report free cash flow (S8)</t>
  </si>
  <si>
    <t>Share Count</t>
  </si>
  <si>
    <t>Weighted-average shares (millions)</t>
  </si>
  <si>
    <t>Wtd. avg. basic shares</t>
  </si>
  <si>
    <t>S3 p.8</t>
  </si>
  <si>
    <t>Δ Q/Q (M sh)</t>
  </si>
  <si>
    <t>Dilutive equity awards</t>
  </si>
  <si>
    <t>E13 +100% = 4 vs 2 (M sh; rounded diluted less basic) near-zero base: not meaningful; other row 13 % moves are similarly rounding-sensitive</t>
  </si>
  <si>
    <t>Wtd. avg. diluted shares</t>
  </si>
  <si>
    <t>Ending common shares outstanding (millions)</t>
  </si>
  <si>
    <t>Opening shares outstanding</t>
  </si>
  <si>
    <t>Less: shares repurchased</t>
  </si>
  <si>
    <t>Add: shares issued, net</t>
  </si>
  <si>
    <t>Closing shares outstanding</t>
  </si>
  <si>
    <t>Net change in shares outstanding</t>
  </si>
  <si>
    <t>Capital return</t>
  </si>
  <si>
    <t>Buybacks ($M)</t>
  </si>
  <si>
    <t>Avg repurchase price ($)</t>
  </si>
  <si>
    <t>Buyback timing factor</t>
  </si>
  <si>
    <t>Dividends declared per share (cents)</t>
  </si>
  <si>
    <t>Declared basis: $0.30 declared 15-Jul-2026, payable 1-Oct-2026 (S6 MD&amp;A; S4)</t>
  </si>
  <si>
    <t>Δ Q/Q (¢)</t>
  </si>
  <si>
    <t>Common dividends ($M) - mixed basis</t>
  </si>
  <si>
    <t>Mixed basis: C:G = cash paid (-Cash Flow Statement row 41); H = declared $0.30 x avg shares (retained earnings), also used as cash-paid proxy in Cash Flow Statement H41</t>
  </si>
  <si>
    <t>Dividend payout ratio</t>
  </si>
  <si>
    <t>H uses declared dividends; C:G use cash paid (not like-for-like)</t>
  </si>
  <si>
    <t>H compares declared (H40) vs paid (G40) basis</t>
  </si>
  <si>
    <t>Diluted shares for EPS (M)</t>
  </si>
  <si>
    <t>Guidance</t>
  </si>
  <si>
    <t>Forecast period: 3Q26E (quarter ended 30-Sep-26, 92 days); columns below are not periods</t>
  </si>
  <si>
    <t>Metric</t>
  </si>
  <si>
    <t>Date given</t>
  </si>
  <si>
    <t>Low</t>
  </si>
  <si>
    <t>High</t>
  </si>
  <si>
    <t>Midpoint</t>
  </si>
  <si>
    <t>Act./Est.</t>
  </si>
  <si>
    <t>Est./Act. vs guide</t>
  </si>
  <si>
    <t>Source</t>
  </si>
  <si>
    <t>Basis of H</t>
  </si>
  <si>
    <t>Tolerance (±)</t>
  </si>
  <si>
    <t>Favorable if</t>
  </si>
  <si>
    <t>NII growth vs FY25 (FY)</t>
  </si>
  <si>
    <t>FY26</t>
  </si>
  <si>
    <t>S11; reaffirmed S12, S5, S14</t>
  </si>
  <si>
    <t>FY26 actual not yet reported</t>
  </si>
  <si>
    <t>higher</t>
  </si>
  <si>
    <t>Adj. fee income growth (FY)</t>
  </si>
  <si>
    <t>S11; S5 (17-Jul)</t>
  </si>
  <si>
    <t>Adj. expense growth (FY)</t>
  </si>
  <si>
    <t>S11; S5</t>
  </si>
  <si>
    <t>lower</t>
  </si>
  <si>
    <t>NCOs / average loans</t>
  </si>
  <si>
    <t>S11; S13</t>
  </si>
  <si>
    <t>Avg loan growth "low single digits"</t>
  </si>
  <si>
    <t>Avg deposit growth "low single digits"</t>
  </si>
  <si>
    <t>Net interest margin "~3.70%"</t>
  </si>
  <si>
    <t>1Q26</t>
  </si>
  <si>
    <t>S11</t>
  </si>
  <si>
    <t>1Q26 actual (S3)</t>
  </si>
  <si>
    <t>Capital markets ($M) "near low end"</t>
  </si>
  <si>
    <t>NII growth Q/Q "~2%"</t>
  </si>
  <si>
    <t>2Q26</t>
  </si>
  <si>
    <t>S12</t>
  </si>
  <si>
    <t>2Q26 actual (S3)</t>
  </si>
  <si>
    <t>NII growth Q/Q "~2%" (reaffirmed)</t>
  </si>
  <si>
    <t>3Q26</t>
  </si>
  <si>
    <t>S5; S13; S14</t>
  </si>
  <si>
    <t>3Q26E model estimate</t>
  </si>
  <si>
    <t>NIM "stable to modestly higher"</t>
  </si>
  <si>
    <t>S5; S13</t>
  </si>
  <si>
    <t>Capital markets ($M) "toward low end"</t>
  </si>
  <si>
    <t>Ending deposits Q/Q "roughly flat"</t>
  </si>
  <si>
    <t>S14</t>
  </si>
  <si>
    <t>IB deposit cost "relatively flat"</t>
  </si>
  <si>
    <t>S14 (Shortcut derived basis)</t>
  </si>
  <si>
    <t>3Q26E model estimate; guide E:F = model-derived 2Q26 rate (Revenue summary G356), not an issuer figure</t>
  </si>
  <si>
    <t>CET1 incl. AOCI ~mid of range</t>
  </si>
  <si>
    <t>Near term</t>
  </si>
  <si>
    <t>S5; S13 (2Q26 actual 9.5%, S3)</t>
  </si>
  <si>
    <t>2Q26 actual (latest reported, S3); 3Q26 CET1 not modeled</t>
  </si>
  <si>
    <t>Status convention: tolerance in L applies only to approximate point guides ('~', 'roughly/relatively flat'): NII growth ±0.25 pp, NIM ±2 bp, ending deposits ±0.5%, IB deposit cost ±5 bp; explicit ranges use 0. Presentation only - no effect on the forecast.</t>
  </si>
  <si>
    <t>Guidance-implied 3Q26 revenue (FTE) - derived; Regions does not guide revenue or EPS</t>
  </si>
  <si>
    <t>FY25 adj. fee income base</t>
  </si>
  <si>
    <t>1H26 adj. fee income</t>
  </si>
  <si>
    <t>2H26 fee run-rate, low end</t>
  </si>
  <si>
    <t>2H26 fee run-rate, high end</t>
  </si>
  <si>
    <t>3Q26 NII at ~2% guide</t>
  </si>
  <si>
    <t>Implied revenue FTE - low</t>
  </si>
  <si>
    <t>Implied revenue FTE - high</t>
  </si>
  <si>
    <t>Implied revenue FTE - midpoint</t>
  </si>
  <si>
    <t>Guidance track record (last reported quarters)</t>
  </si>
  <si>
    <t>Quarterly NII growth guides (2Q26 ~2% -&gt; +2.3%; 4Q25 grew 2% at the upper end of the expected range) were met or beaten; the 1Q26 NIM (~3.70% -&gt; 3.67%) and the 1Q26/2Q26 capital-markets guides ($90-105M -&gt; $84M) were missed. No evidence of systematically conservative guidance on fees or margin; NII guidance has been reliable.</t>
  </si>
  <si>
    <t>Sources</t>
  </si>
  <si>
    <t>Document</t>
  </si>
  <si>
    <t>ID</t>
  </si>
  <si>
    <t>Published</t>
  </si>
  <si>
    <t>Publisher</t>
  </si>
  <si>
    <t>Feeds</t>
  </si>
  <si>
    <t>URL / file</t>
  </si>
  <si>
    <t>CapIQ consensus snapshot</t>
  </si>
  <si>
    <t>S1</t>
  </si>
  <si>
    <t>S&amp;P Capital IQ</t>
  </si>
  <si>
    <t>Cover consensus; Inputs A</t>
  </si>
  <si>
    <t>RF_consensus.json (attached)</t>
  </si>
  <si>
    <t>CapIQ six-quarter history</t>
  </si>
  <si>
    <t>S2</t>
  </si>
  <si>
    <t>Inputs B; prior; revenue/EPS ties</t>
  </si>
  <si>
    <t>RF_history.csv (attached)</t>
  </si>
  <si>
    <t>2Q26 financial supplement</t>
  </si>
  <si>
    <t>Regions / SEC</t>
  </si>
  <si>
    <t>IS, BS, ladder, deposits, bridge, NCOs</t>
  </si>
  <si>
    <t>https://www.sec.gov/Archives/edgar/data/1281761/000128176126000050/rf-2026630xexhibitx992.htm</t>
  </si>
  <si>
    <t>2Q26 earnings release (8-K Ex. 99.1)</t>
  </si>
  <si>
    <t>S4</t>
  </si>
  <si>
    <t>Headline 2Q26 results</t>
  </si>
  <si>
    <t>https://s202.q4cdn.com/476346942/files/doc_financials/2026/q2/2Q26-Press-Release_Website.pdf</t>
  </si>
  <si>
    <t>2Q26 earnings call transcript</t>
  </si>
  <si>
    <t>S5</t>
  </si>
  <si>
    <t>Regions (S&amp;P Global transcript)</t>
  </si>
  <si>
    <t>3Q26/FY26 guidance</t>
  </si>
  <si>
    <t>https://s202.q4cdn.com/476346942/files/doc_financials/2026/q2/2Q26-Transcript_Website.pdf</t>
  </si>
  <si>
    <t>Form 10-Q, quarter ended 30-Jun-2026</t>
  </si>
  <si>
    <t>S6</t>
  </si>
  <si>
    <t>Segments 2Q26/2Q25; CF 6M26/6M25; buybacks</t>
  </si>
  <si>
    <t>https://www.sec.gov/Archives/edgar/data/1281761/000128176126000055/rf-20260630.htm</t>
  </si>
  <si>
    <t>Form 10-Q, quarter ended 31-Mar-2026</t>
  </si>
  <si>
    <t>S7</t>
  </si>
  <si>
    <t>Segments 1Q26/1Q25; CF 3M26</t>
  </si>
  <si>
    <t>https://www.sec.gov/Archives/edgar/data/1281761/000128176126000037/rf-20260331.htm</t>
  </si>
  <si>
    <t>Form 10-K FY2025 (+ XBRL R pages)</t>
  </si>
  <si>
    <t>S8</t>
  </si>
  <si>
    <t>FY25 IS, CF, segments; FY24 comps</t>
  </si>
  <si>
    <t>https://www.sec.gov/Archives/edgar/data/1281761/000128176126000019/rf-20251231.htm</t>
  </si>
  <si>
    <t>Form 10-Q, quarter ended 30-Sep-2025</t>
  </si>
  <si>
    <t>S9</t>
  </si>
  <si>
    <t>Segments 3Q25/3Q24/9M; CF 9M25; IS 3Q24</t>
  </si>
  <si>
    <t>https://www.sec.gov/Archives/edgar/data/1281761/000128176125000080/rf-20250930.htm</t>
  </si>
  <si>
    <t>4Q25 financial supplement</t>
  </si>
  <si>
    <t>S10</t>
  </si>
  <si>
    <t>4Q24-2Q25 comps; FY25/FY24 detail</t>
  </si>
  <si>
    <t>https://www.sec.gov/Archives/edgar/data/1281761/000128176126000006/rf-20251231xexhibitx992.htm</t>
  </si>
  <si>
    <t>4Q25 earnings call transcript</t>
  </si>
  <si>
    <t>FY26 guidance (initial)</t>
  </si>
  <si>
    <t>https://s202.q4cdn.com/476346942/files/doc_financials/2025/q4/4Q25-Earnings-Transcript_For-Website.pdf</t>
  </si>
  <si>
    <t>1Q26 earnings call transcript</t>
  </si>
  <si>
    <t>2Q26 guidance</t>
  </si>
  <si>
    <t>https://s202.q4cdn.com/476346942/files/doc_financials/2026/q1/1Q26-Earnings-Transcript.pdf</t>
  </si>
  <si>
    <t>Investor materials Aug-Sep 2026</t>
  </si>
  <si>
    <t>S13</t>
  </si>
  <si>
    <t>3Q26/FY26 expectations p.72; acquisitions p.28</t>
  </si>
  <si>
    <t>https://www.sec.gov/Archives/edgar/data/1281761/000128176126000057/a3q26investormeetingmate.htm</t>
  </si>
  <si>
    <t>Sept-2026 conference remarks</t>
  </si>
  <si>
    <t>American Banking News</t>
  </si>
  <si>
    <t>Q3 NII/deposit/fee commentary</t>
  </si>
  <si>
    <t>https://www.americanbankingnews.com/2026/09/22/regions-financial-eyes-150-new-branches-as-deposit-strength-supports-growth.html</t>
  </si>
  <si>
    <t>3Q26 results date announcement</t>
  </si>
  <si>
    <t>S15</t>
  </si>
  <si>
    <t>Regions (Business Wire)</t>
  </si>
  <si>
    <t>Report date 16-Oct-2026; S&amp;P 500 member</t>
  </si>
  <si>
    <t>https://ir.regions.com/news-events/press-releases/news-details/2026/Regions-Financial-Corp--to-Announce-Third-Quarter-2026-Financial-Results-on-October-16/default.aspx</t>
  </si>
  <si>
    <t>FOMC: +25 bp to 3.75-4.00%</t>
  </si>
  <si>
    <t>S16</t>
  </si>
  <si>
    <t>Federal Reserve</t>
  </si>
  <si>
    <t>Rate backdrop; deposit/asset yields</t>
  </si>
  <si>
    <t>https://www.federalreserve.gov/newsevents/pressreleases/monetary20260916a.htm</t>
  </si>
  <si>
    <t>10-yr UST +87 bp to 5.29% (3Q26)</t>
  </si>
  <si>
    <t>S17</t>
  </si>
  <si>
    <t>Dow Jones / Morningstar</t>
  </si>
  <si>
    <t>AOCI, capital markets, mortgage</t>
  </si>
  <si>
    <t>https://www.morningstar.com/news/dow-jones/202609307288/10-year-treasury-yield-rises-to-5292-this-quarter-data-talk</t>
  </si>
  <si>
    <t>Q3 2026 market update</t>
  </si>
  <si>
    <t>S18</t>
  </si>
  <si>
    <t>NeQuit</t>
  </si>
  <si>
    <t>Wealth fees; benefit-asset MVA</t>
  </si>
  <si>
    <t>https://www.nequitco.com/news/quarterly-market-update---q3-2026</t>
  </si>
  <si>
    <t>RF Q3 earnings preview</t>
  </si>
  <si>
    <t>S19</t>
  </si>
  <si>
    <t>Zacks (Yahoo Finance)</t>
  </si>
  <si>
    <t>Newer consensus (memo); revisions</t>
  </si>
  <si>
    <t>https://finance.yahoo.com/markets/stocks/articles/regions-financial-rf-reports-next-130001777.html</t>
  </si>
  <si>
    <t>Analyst price-target revisions before Q3</t>
  </si>
  <si>
    <t>S20</t>
  </si>
  <si>
    <t>Benzinga</t>
  </si>
  <si>
    <t>Sentiment; consensus $0.66 / $2.0B</t>
  </si>
  <si>
    <t>https://www.benzinga.com/analyst-stock-ratings/price-target/26/10/62241787/regions-financial-earnings-are-imminent-these-most-accurate-analysts-revise-forecasts-ahead-of-earnings-call-3</t>
  </si>
  <si>
    <t>RF market cap $22.8B (7-Oct-26)</t>
  </si>
  <si>
    <t>S21</t>
  </si>
  <si>
    <t>AD HOC NEWS</t>
  </si>
  <si>
    <t>Market cap for size prior</t>
  </si>
  <si>
    <t>https://www.ad-hoc-news.de/boerse/news/nebenwerte/rf-stock-gets-a-lower-ubs-target-before-q3-results/70260252</t>
  </si>
  <si>
    <t>Market cap $23.02B (Oct-2026)</t>
  </si>
  <si>
    <t>S22</t>
  </si>
  <si>
    <t>CompaniesMarketCap</t>
  </si>
  <si>
    <t>Market cap cross-check</t>
  </si>
  <si>
    <t>https://companiesmarketcap.com/regions-financial/marketcap/</t>
  </si>
  <si>
    <t>Frazer Lanier acquisition closed</t>
  </si>
  <si>
    <t>S23</t>
  </si>
  <si>
    <t>M&amp;A scope flag (Corporate Bank)</t>
  </si>
  <si>
    <t>https://ir.regions.com/news-events/press-releases/news-details/2026/Regions-Financial-Corp--to-Acquire-The-Frazer-Lanier-Company-Expanding-Municipal-and-Corporate-Investment-Banking-Services/default.aspx</t>
  </si>
  <si>
    <t>$3.0B buyback authorization</t>
  </si>
  <si>
    <t>S24</t>
  </si>
  <si>
    <t>https://ir.regions.com/news-events/press-releases/news-details/2025/Regions-Financial-Corp--Announces-Common-Stock-Repurchase-Program/default.aspx</t>
  </si>
  <si>
    <t>Forecasting playbook v2</t>
  </si>
  <si>
    <t>S25</t>
  </si>
  <si>
    <t>Experiment (attached)</t>
  </si>
  <si>
    <t>Inputs C prior calibration</t>
  </si>
  <si>
    <t>forecasting-playbook.md (attached)</t>
  </si>
  <si>
    <t>Omitted tab - Geo: FY2025 10-K (S8) shows Regions operates only in the U.S. (15 states) and discloses no geographic revenue split; geography noted on Revenue summary instead.</t>
  </si>
  <si>
    <t>All sources are dated on or before 11-Oct-2026 (information cutoff 2026-10-11 22:24 UTC); no 3Q26 actual results were seen. Retrieved 12-Oct-2026 via web_fetch / web search.</t>
  </si>
  <si>
    <t>Retrieval limitation (documented, not a post-cutoff source): every source above was published on or before 11-Oct-2026, but web pages were fetched on 12-Oct-2026 (05:40-06:15 UTC per artifacts/prior-calibration.json), after the 2026-10-11 22:24 UTC cutoff. No archived pre-cutoff snapshots or capture timestamps exist; live pages (S14, S19-S22) could have been edited after publication. S14 is the only source for the 'roughly flat' deposit and IB-cost commentary (other items it supports are also in issuer sources S5/S13); S21/S22 feed the size bucket, which is Large under either value or the CapIQ price x shares cross-check. Unresolved; not judged material to EPS.</t>
  </si>
  <si>
    <t>Inputs (CapIQ snapshot, prior-period comparatives, YTD cash flows, calibration)</t>
  </si>
  <si>
    <t>3Q24A</t>
  </si>
  <si>
    <t>4Q24A</t>
  </si>
  <si>
    <t>FY24A</t>
  </si>
  <si>
    <t>1Q25A</t>
  </si>
  <si>
    <t>2Q25A</t>
  </si>
  <si>
    <t>9M24A</t>
  </si>
  <si>
    <t>9M25A</t>
  </si>
  <si>
    <t>Note: the rows 4-6 period header describes section D columns only (row 126 onward; repeated at row 127). Sections A (subheader row 9), B (row 96) and E (row 343) use their own column subheaders; section C (row 104) is a label/value list.</t>
  </si>
  <si>
    <t>A. S&amp;P Capital IQ consensus snapshot - RF_consensus.json top-level fields, then every summary_row field (captured 2026-10-11; frozen scoring baseline)</t>
  </si>
  <si>
    <t>Field</t>
  </si>
  <si>
    <t>Value</t>
  </si>
  <si>
    <t>Used in model (destination)</t>
  </si>
  <si>
    <t>source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</si>
  <si>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</si>
  <si>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</si>
  <si>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</si>
  <si>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</si>
  <si>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</si>
  <si>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</si>
  <si>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</si>
  <si>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</si>
  <si>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</si>
  <si>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</si>
  <si>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</si>
  <si>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</si>
  <si>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</si>
  <si>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</si>
  <si>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</si>
  <si>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</si>
  <si>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</si>
  <si>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</si>
  <si>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per-share in USD; revenue and income in USD millions</t>
  </si>
  <si>
    <t>company_name</t>
  </si>
  <si>
    <t>exchange_ticker</t>
  </si>
  <si>
    <t>NYSE:RF</t>
  </si>
  <si>
    <t>capiq_company_id</t>
  </si>
  <si>
    <t>sp500_member</t>
  </si>
  <si>
    <t>Y</t>
  </si>
  <si>
    <t>Inputs C (size prior)</t>
  </si>
  <si>
    <t>market_cap_usd_m</t>
  </si>
  <si>
    <t>fiscal_quarter</t>
  </si>
  <si>
    <t>quarter_end_date</t>
  </si>
  <si>
    <t>Cover (period end)</t>
  </si>
  <si>
    <t>expected_report_date</t>
  </si>
  <si>
    <t>Cover (report date)</t>
  </si>
  <si>
    <t>fiscal_year_end</t>
  </si>
  <si>
    <t>Dec-31</t>
  </si>
  <si>
    <t>analysts_covering</t>
  </si>
  <si>
    <t>eps_normalized_mean</t>
  </si>
  <si>
    <t>Cover!D (EPS consensus); Income Statement consensus row</t>
  </si>
  <si>
    <t>eps_normalized_median</t>
  </si>
  <si>
    <t>eps_normalized_high</t>
  </si>
  <si>
    <t>eps_normalized_low</t>
  </si>
  <si>
    <t>eps_normalized_std_dev</t>
  </si>
  <si>
    <t>eps_normalized_n_est</t>
  </si>
  <si>
    <t>Primary contributor count (16)</t>
  </si>
  <si>
    <t>eps_normalized_guidance</t>
  </si>
  <si>
    <t>eps_normalized_guidance_low</t>
  </si>
  <si>
    <t>eps_normalized_guidance_high</t>
  </si>
  <si>
    <t>eps_gaap_mean</t>
  </si>
  <si>
    <t>Cover!D (GAAP EPS consensus)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</si>
  <si>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</si>
  <si>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</si>
  <si>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</si>
  <si>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</si>
  <si>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</si>
  <si>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</si>
  <si>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</si>
  <si>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Cover!D (revenue consensus)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</si>
  <si>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</si>
  <si>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</si>
  <si>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</si>
  <si>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</si>
  <si>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</si>
  <si>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</si>
  <si>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</si>
  <si>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</si>
  <si>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</si>
  <si>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</si>
  <si>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</si>
  <si>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</si>
  <si>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</si>
  <si>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Cover!D (adjusted NI consensus)</t>
  </si>
  <si>
    <t>net_income_gaap_m</t>
  </si>
  <si>
    <t>Cover!D (GAAP NI consensus)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</si>
  <si>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</si>
  <si>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</si>
  <si>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</si>
  <si>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</si>
  <si>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</si>
  <si>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</si>
  <si>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</si>
  <si>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</si>
  <si>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</si>
  <si>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</si>
  <si>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</si>
  <si>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</si>
  <si>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</si>
  <si>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</si>
  <si>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</si>
  <si>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</si>
  <si>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</si>
  <si>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</si>
  <si>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</si>
  <si>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</si>
  <si>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</si>
  <si>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</si>
  <si>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</si>
  <si>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</si>
  <si>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Inputs C (market-cap cross-check)</t>
  </si>
  <si>
    <t>wk52_high_low</t>
  </si>
  <si>
    <t>32.47/22.70</t>
  </si>
  <si>
    <t>units</t>
  </si>
  <si>
    <t>estimates_captured_at</t>
  </si>
  <si>
    <t>notes</t>
  </si>
  <si>
    <t>A GAAP EPS "Guidance 0.30" value looked like a different line item and was excluded.</t>
  </si>
  <si>
    <t>B. CapIQ history - RF_history.csv (six quarters, raw)</t>
  </si>
  <si>
    <t>report_date</t>
  </si>
  <si>
    <t>nEPS cons</t>
  </si>
  <si>
    <t>nEPS act</t>
  </si>
  <si>
    <t>gEPS cons</t>
  </si>
  <si>
    <t>gEPS act</t>
  </si>
  <si>
    <t>Rev cons</t>
  </si>
  <si>
    <t>Rev act</t>
  </si>
  <si>
    <t>Strict beat</t>
  </si>
  <si>
    <t>Surprise $</t>
  </si>
  <si>
    <t>C. Size- and history-based starting probability (playbook v2) and final P(beat)</t>
  </si>
  <si>
    <t>Market cap ($B), 7-Oct-26 (S21)</t>
  </si>
  <si>
    <t>Cross-check: price x shares ($B)</t>
  </si>
  <si>
    <t>Size threshold - mid ($B)</t>
  </si>
  <si>
    <t>Size threshold - large ($B)</t>
  </si>
  <si>
    <t>Size bucket</t>
  </si>
  <si>
    <t>S&amp;P 500 member</t>
  </si>
  <si>
    <t>Cohort prior input - small</t>
  </si>
  <si>
    <t>Cohort prior input - mid</t>
  </si>
  <si>
    <t>Prior - large / S&amp;P 500</t>
  </si>
  <si>
    <t>Cohort prior</t>
  </si>
  <si>
    <t>Strict beats, six pairs (b)</t>
  </si>
  <si>
    <t>Valid pairs (n)</t>
  </si>
  <si>
    <t>Pseudo-observations (k)</t>
  </si>
  <si>
    <t>Verified vs preserved playbook v2 (S25): priors 0.60/0.70/0.78 (large OR S&amp;P 500, applied once), k = 8, size thresholds $2B/$10B. C119 -0.14 is judgmental (not re-derived). P(beat) only; no EPS link.</t>
  </si>
  <si>
    <t>Starting p = (k*prior+b)/(k+n)</t>
  </si>
  <si>
    <t>Quarter-specific adjustment</t>
  </si>
  <si>
    <t>Original rationale (from existing C119 note and artifacts/prior-calibration.json evidence_updates; judgmental, unchanged, not re-derived): Down: model EPS ~$0.667 sits only just above the $0.665 rounding threshold for a strict beat (model-only P ~0.55); 3Q26 macro shock (Sept hike, 10-yr +87 bp, oil); fees tracking low end, capital markets missed range 3 quarters; Zacks ESP -0.54% and consensus cut 1.1% in 30 days. Up: NII +2% guide reaffirmed in Sept; credit improving; consensus provision (~$112M) above our NCO-based ~$100M.</t>
  </si>
  <si>
    <t>Final P(beat consensus EPS)</t>
  </si>
  <si>
    <t>medium</t>
  </si>
  <si>
    <t>Mean surprise ($/sh, 6 qtrs)</t>
  </si>
  <si>
    <t>Median surprise ($/sh)</t>
  </si>
  <si>
    <t>3Q25 surprise ($/sh)</t>
  </si>
  <si>
    <t>D. Prior-period comparatives for Y/Y and Q/Q (columns: 3Q24A, 4Q24A, FY24A, 1Q25A, 2Q25A, 9M24A, 9M25A)</t>
  </si>
  <si>
    <t>Line (sheet: item)</t>
  </si>
  <si>
    <t>CB: average assets</t>
  </si>
  <si>
    <t>CB: average deposits</t>
  </si>
  <si>
    <t>CB: ending deposits</t>
  </si>
  <si>
    <t>CB: NII</t>
  </si>
  <si>
    <t>CB: Service charges on deposits</t>
  </si>
  <si>
    <t>CB: Card and ATM fees</t>
  </si>
  <si>
    <t>CB: Capital markets income</t>
  </si>
  <si>
    <t>CB: Commercial credit fees</t>
  </si>
  <si>
    <t>CB: Other miscellaneous income</t>
  </si>
  <si>
    <t>CB: total non-interest income</t>
  </si>
  <si>
    <t>CB: total revenue</t>
  </si>
  <si>
    <t>CB: Salaries and employee benefits</t>
  </si>
  <si>
    <t>CB: Equipment and software expense</t>
  </si>
  <si>
    <t>CB: Net occupancy expense</t>
  </si>
  <si>
    <t>CB: Other expenses (allocated)</t>
  </si>
  <si>
    <t>CB: total non-interest expense</t>
  </si>
  <si>
    <t>CB: PPNR</t>
  </si>
  <si>
    <t>CB: provision</t>
  </si>
  <si>
    <t>CB: pre-tax income</t>
  </si>
  <si>
    <t>CB: income tax</t>
  </si>
  <si>
    <t>CB: net income</t>
  </si>
  <si>
    <t>CnB: average assets</t>
  </si>
  <si>
    <t>CnB: average deposits</t>
  </si>
  <si>
    <t>CnB: ending deposits</t>
  </si>
  <si>
    <t>CnB: NII</t>
  </si>
  <si>
    <t>CnB: Service charges on deposits</t>
  </si>
  <si>
    <t>CnB: Card and ATM fees</t>
  </si>
  <si>
    <t>CnB: Capital markets income</t>
  </si>
  <si>
    <t>CnB: Agency mortgage production</t>
  </si>
  <si>
    <t>CnB: Portfolio mortgage production</t>
  </si>
  <si>
    <t>CnB: Total mortgage production</t>
  </si>
  <si>
    <t>CnB: Mortgage production and sales</t>
  </si>
  <si>
    <t>CnB: Mortgage loan servicing</t>
  </si>
  <si>
    <t>CnB: MSR fair value change</t>
  </si>
  <si>
    <t>CnB: MSR hedge gain (loss)</t>
  </si>
  <si>
    <t>CnB: MSR payment decay</t>
  </si>
  <si>
    <t>CnB: Mortgage income</t>
  </si>
  <si>
    <t>CnB: Other miscellaneous income</t>
  </si>
  <si>
    <t>CnB: total non-interest income</t>
  </si>
  <si>
    <t>CnB: total revenue</t>
  </si>
  <si>
    <t>CnB: Salaries and employee benefits</t>
  </si>
  <si>
    <t>CnB: Equipment and software expense</t>
  </si>
  <si>
    <t>CnB: Net occupancy expense</t>
  </si>
  <si>
    <t>CnB: Other expenses (allocated)</t>
  </si>
  <si>
    <t>CnB: total non-interest expense</t>
  </si>
  <si>
    <t>CnB: PPNR</t>
  </si>
  <si>
    <t>CnB: provision</t>
  </si>
  <si>
    <t>CnB: pre-tax income</t>
  </si>
  <si>
    <t>CnB: income tax</t>
  </si>
  <si>
    <t>CnB: net income</t>
  </si>
  <si>
    <t>WM: average assets</t>
  </si>
  <si>
    <t>WM: average deposits</t>
  </si>
  <si>
    <t>WM: ending deposits</t>
  </si>
  <si>
    <t>WM: Avg deposits Private Wealth</t>
  </si>
  <si>
    <t>WM: Avg dep. Institutional Services</t>
  </si>
  <si>
    <t>WM: NII</t>
  </si>
  <si>
    <t>WM: Service charges on deposits</t>
  </si>
  <si>
    <t>WM: Card and ATM fees</t>
  </si>
  <si>
    <t>WM: Inv. management &amp; trust fees</t>
  </si>
  <si>
    <t>WM: Capital markets income</t>
  </si>
  <si>
    <t>WM: Investment services fees</t>
  </si>
  <si>
    <t>WM: Other miscellaneous income</t>
  </si>
  <si>
    <t>WM: total non-interest income</t>
  </si>
  <si>
    <t>WM: total revenue</t>
  </si>
  <si>
    <t>WM: Salaries and employee benefits</t>
  </si>
  <si>
    <t>WM: Equipment and software expense</t>
  </si>
  <si>
    <t>WM: Net occupancy expense</t>
  </si>
  <si>
    <t>WM: Other expenses (allocated)</t>
  </si>
  <si>
    <t>WM: total non-interest expense</t>
  </si>
  <si>
    <t>WM: PPNR</t>
  </si>
  <si>
    <t>WM: provision</t>
  </si>
  <si>
    <t>WM: pre-tax income</t>
  </si>
  <si>
    <t>WM: income tax</t>
  </si>
  <si>
    <t>WM: net income</t>
  </si>
  <si>
    <t>Rev: Other - NII</t>
  </si>
  <si>
    <t>Rev: Other - service charges</t>
  </si>
  <si>
    <t>Rev: Other - card and ATM fees</t>
  </si>
  <si>
    <t>Rev: Other - BOLI income</t>
  </si>
  <si>
    <t>Rev: Other - sec. gains (losses)</t>
  </si>
  <si>
    <t>Rev: Other - benefit-asset MV adj.</t>
  </si>
  <si>
    <t>Rev: Other - misc. income (loss)</t>
  </si>
  <si>
    <t>Rev: Other total non-interest income</t>
  </si>
  <si>
    <t>Rev: Other revenue</t>
  </si>
  <si>
    <t>Rev: Total revenue (GAAP)</t>
  </si>
  <si>
    <t>Rev: Total revenue FTE</t>
  </si>
  <si>
    <t>Rev: Adjusted total revenue FTE</t>
  </si>
  <si>
    <t>Rev: FF sold/repos avg balance</t>
  </si>
  <si>
    <t>Rev: FF sold/repos int.</t>
  </si>
  <si>
    <t>Rev: Debt securities avg balance</t>
  </si>
  <si>
    <t>Rev: Debt securities interest</t>
  </si>
  <si>
    <t>Rev: Loans held for sale avg balance</t>
  </si>
  <si>
    <t>Rev: Loans held for sale interest</t>
  </si>
  <si>
    <t>Rev: Comm. and industrial avg balance</t>
  </si>
  <si>
    <t>Rev: Commercial and industrial int.</t>
  </si>
  <si>
    <t>Rev: CRE mortgage - OO avg balance</t>
  </si>
  <si>
    <t>Rev: CRE mortgage - OO int.</t>
  </si>
  <si>
    <t>Rev: CRE constr. - OO avg balance</t>
  </si>
  <si>
    <t>Rev: CRE constr. - OO int.</t>
  </si>
  <si>
    <t>Rev: IRE mortgage avg balance</t>
  </si>
  <si>
    <t>Rev: IRE mortgage int.</t>
  </si>
  <si>
    <t>Rev: IRE constr. avg balance</t>
  </si>
  <si>
    <t>Rev: IRE constr. int.</t>
  </si>
  <si>
    <t>Rev: Total business loans avg balance</t>
  </si>
  <si>
    <t>Rev: Total business loans interest</t>
  </si>
  <si>
    <t>Rev: Residential first mtg avg bal.</t>
  </si>
  <si>
    <t>Rev: Residential first mortgage int.</t>
  </si>
  <si>
    <t>Rev: HELOC avg balance</t>
  </si>
  <si>
    <t>Rev: Closed-end HE avg balance</t>
  </si>
  <si>
    <t>Rev: Home equity avg balance</t>
  </si>
  <si>
    <t>Rev: Home equity interest</t>
  </si>
  <si>
    <t>Rev: Consumer credit card avg balance</t>
  </si>
  <si>
    <t>Rev: Consumer credit card interest</t>
  </si>
  <si>
    <t>Rev: Other consumer avg balance</t>
  </si>
  <si>
    <t>Rev: Other consumer interest</t>
  </si>
  <si>
    <t>Rev: Total consumer loans avg balance</t>
  </si>
  <si>
    <t>Rev: Total consumer loans interest</t>
  </si>
  <si>
    <t>Rev: Total loans avg balance</t>
  </si>
  <si>
    <t>Rev: Total loans int.</t>
  </si>
  <si>
    <t>Rev: IB dep. other banks avg balance</t>
  </si>
  <si>
    <t>Rev: IB dep. other banks int.</t>
  </si>
  <si>
    <t>Rev: Other earning assets avg balance</t>
  </si>
  <si>
    <t>Rev: Other earning assets interest</t>
  </si>
  <si>
    <t>Rev: Total earning assets avg balance</t>
  </si>
  <si>
    <t>Rev: Total earning assets interest</t>
  </si>
  <si>
    <t>Rev: Savings avg balance</t>
  </si>
  <si>
    <t>Rev: Savings interest</t>
  </si>
  <si>
    <t>Rev: Int.-bearing checking avg bal.</t>
  </si>
  <si>
    <t>Rev: Interest-bearing checking int.</t>
  </si>
  <si>
    <t>Rev: Money market avg balance</t>
  </si>
  <si>
    <t>Rev: Money market interest</t>
  </si>
  <si>
    <t>Rev: Time deposits avg balance</t>
  </si>
  <si>
    <t>Rev: Time deposits interest</t>
  </si>
  <si>
    <t>Rev: Total int.-bearing dep. avg bal.</t>
  </si>
  <si>
    <t>Rev: Total int.-bearing deposits int.</t>
  </si>
  <si>
    <t>Rev: FF purch./repos avg balance</t>
  </si>
  <si>
    <t>Rev: Fed funds purchased &amp; repos int.</t>
  </si>
  <si>
    <t>Rev: Other short-term borr. avg bal.</t>
  </si>
  <si>
    <t>Rev: Other short-term borrowings int.</t>
  </si>
  <si>
    <t>Rev: Long-term borrowings avg balance</t>
  </si>
  <si>
    <t>Rev: Long-term borrowings interest</t>
  </si>
  <si>
    <t>Rev: Total IB liabs avg balance</t>
  </si>
  <si>
    <t>Rev: Total IB liabs int.</t>
  </si>
  <si>
    <t>Rev: NIB deposits avg</t>
  </si>
  <si>
    <t>Rev: Total deposits avg</t>
  </si>
  <si>
    <t>Rev: NII FTE</t>
  </si>
  <si>
    <t>Rev: FTE adjustment</t>
  </si>
  <si>
    <t>Rev: Other - non-interest expense</t>
  </si>
  <si>
    <t>Rev: Other - provision vs NCOs</t>
  </si>
  <si>
    <t>Rev: Other tax</t>
  </si>
  <si>
    <t>Rev: Other ending deposits</t>
  </si>
  <si>
    <t>IS: ii_loans</t>
  </si>
  <si>
    <t>IS: ii_sec</t>
  </si>
  <si>
    <t>IS: ii_lhfs</t>
  </si>
  <si>
    <t>IS: ii_oea</t>
  </si>
  <si>
    <t>IS: Total interest income</t>
  </si>
  <si>
    <t>IS: ie_dep</t>
  </si>
  <si>
    <t>IS: ie_stb</t>
  </si>
  <si>
    <t>IS: ie_ltb</t>
  </si>
  <si>
    <t>IS: Total interest expense</t>
  </si>
  <si>
    <t>IS: NII</t>
  </si>
  <si>
    <t>IS: NII FTE</t>
  </si>
  <si>
    <t>IS: Net charge-offs</t>
  </si>
  <si>
    <t>IS: Reserve build (release)</t>
  </si>
  <si>
    <t>IS: Provision</t>
  </si>
  <si>
    <t>IS: NII after provision</t>
  </si>
  <si>
    <t>IS: Service charges on deposits</t>
  </si>
  <si>
    <t>IS: Card and ATM fees</t>
  </si>
  <si>
    <t>IS: Wealth management income</t>
  </si>
  <si>
    <t>IS: Capital markets income</t>
  </si>
  <si>
    <t>IS: Mortgage income</t>
  </si>
  <si>
    <t>IS: Commercial credit fees</t>
  </si>
  <si>
    <t>IS: Bank-owned life insurance</t>
  </si>
  <si>
    <t>IS: Benefit-asset MV adjustments</t>
  </si>
  <si>
    <t>IS: Securities gains (losses), net</t>
  </si>
  <si>
    <t>IS: Other miscellaneous income</t>
  </si>
  <si>
    <t>IS: CM valuation adjustments</t>
  </si>
  <si>
    <t>IS: CM excl. valuation adjustments</t>
  </si>
  <si>
    <t>IS: Total non-interest income</t>
  </si>
  <si>
    <t>IS: Adjusted non-interest income</t>
  </si>
  <si>
    <t>IS: Total revenue</t>
  </si>
  <si>
    <t>IS: Total revenue FTE</t>
  </si>
  <si>
    <t>IS: Salaries and employee benefits</t>
  </si>
  <si>
    <t>IS: Equipment and software expense</t>
  </si>
  <si>
    <t>IS: Net occupancy expense</t>
  </si>
  <si>
    <t>IS: Outside services</t>
  </si>
  <si>
    <t>IS: Marketing</t>
  </si>
  <si>
    <t>IS: Professional, legal &amp; regulatory</t>
  </si>
  <si>
    <t>IS: Credit/checkcard expenses</t>
  </si>
  <si>
    <t>IS: FDIC insurance assessments</t>
  </si>
  <si>
    <t>IS: Visa class B shares expense</t>
  </si>
  <si>
    <t>IS: Operational losses</t>
  </si>
  <si>
    <t>IS: Branch consolidation charges</t>
  </si>
  <si>
    <t>IS: Other miscellaneous expenses</t>
  </si>
  <si>
    <t>IS: Total non-interest expense</t>
  </si>
  <si>
    <t>IS: Adjusted non-interest expense</t>
  </si>
  <si>
    <t>IS: PPNR</t>
  </si>
  <si>
    <t>IS: Pre-tax income</t>
  </si>
  <si>
    <t>IS: Income tax</t>
  </si>
  <si>
    <t>IS: Net income</t>
  </si>
  <si>
    <t>IS: Preferred dividends and other</t>
  </si>
  <si>
    <t>IS: NI to common</t>
  </si>
  <si>
    <t>IS: Diluted EPS (GAAP)</t>
  </si>
  <si>
    <t>IS: Adjusted sec. (gains) losses</t>
  </si>
  <si>
    <t>IS: Adjusted NI to common</t>
  </si>
  <si>
    <t>IS: Adjusted diluted EPS</t>
  </si>
  <si>
    <t>BS: EOP loans</t>
  </si>
  <si>
    <t>BS: EOP total deposits</t>
  </si>
  <si>
    <t>SC: Basic shares</t>
  </si>
  <si>
    <t>SC: Dilutive equity awards</t>
  </si>
  <si>
    <t>SC: Diluted shares</t>
  </si>
  <si>
    <t>SC: Ending shares</t>
  </si>
  <si>
    <t>SC: Buybacks ($M)</t>
  </si>
  <si>
    <t>SC: Dividends per share (cents)</t>
  </si>
  <si>
    <t>E. Cash flow statement, year-to-date as reported (columns: 6M25, 9M25, FY25, 3M26, 6M26)</t>
  </si>
  <si>
    <t>Line</t>
  </si>
  <si>
    <t>6M25</t>
  </si>
  <si>
    <t>9M25</t>
  </si>
  <si>
    <t>FY25</t>
  </si>
  <si>
    <t>3M26</t>
  </si>
  <si>
    <t>6M26</t>
  </si>
  <si>
    <t>Reported CFO (YTD)</t>
  </si>
  <si>
    <t>Reported CFI (YTD)</t>
  </si>
  <si>
    <t>Reported CFF (YTD)</t>
  </si>
  <si>
    <t>F. Opening cash and cash equivalents (cash and due from banks + interest-bearing deposits in other banks)</t>
  </si>
  <si>
    <t>Cash &amp; equivalents 30-Jun-25</t>
  </si>
  <si>
    <t>Cash &amp; equivalents 31-Dec-24</t>
  </si>
</sst>
</file>

<file path=xl/styles.xml><?xml version="1.0" encoding="utf-8"?>
<styleSheet xmlns="http://schemas.openxmlformats.org/spreadsheetml/2006/main">
  <numFmts count="12">
    <numFmt numFmtId="164" formatCode="#,##0.0_);(#,##0.0);–_)"/>
    <numFmt numFmtId="165" formatCode="General"/>
    <numFmt numFmtId="166" formatCode="0.0%_);(0.0%);–_)"/>
    <numFmt numFmtId="167" formatCode="d-mmm-yy"/>
    <numFmt numFmtId="168" formatCode="$0.00"/>
    <numFmt numFmtId="169" formatCode="@"/>
    <numFmt numFmtId="170" formatCode="0"/>
    <numFmt numFmtId="171" formatCode="#,##0_);(#,##0);–_)"/>
    <numFmt numFmtId="172" formatCode="0.00%_);(0.00%);–_)"/>
    <numFmt numFmtId="173" formatCode="yyyy-mm-dd"/>
    <numFmt numFmtId="174" formatCode="#,##0.00_);(#,##0.00);–_)"/>
    <numFmt numFmtId="175" formatCode="$0.000"/>
  </numFmts>
  <fonts count="42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4DC"/>
      </patternFill>
    </fill>
  </fills>
  <borders count="4">
    <border>
      <left/>
      <right/>
      <top/>
      <bottom/>
      <diagonal/>
    </border>
    <border>
      <top style="thin">
        <color rgb="FF808080"/>
      </top>
    </border>
    <border>
      <top style="thin">
        <color rgb="FF000000"/>
      </top>
    </border>
    <border>
      <bottom style="thin">
        <color rgb="FF808080"/>
      </bottom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Fill="1" applyAlignment="1" applyProtection="1">
      <alignment horizontal="left" vertical="bottom" indent="1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2" borderId="1" xfId="0" applyFont="1" applyFill="1" applyBorder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/>
      <protection locked="1" hidden="0"/>
    </xf>
    <xf numFmtId="166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indent="0"/>
      <protection locked="1" hidden="0"/>
    </xf>
    <xf numFmtId="165" fontId="3" fillId="0" borderId="0" xfId="0" applyNumberFormat="1" applyFont="1" applyFill="1" applyAlignment="1" applyProtection="1">
      <alignment horizontal="left" vertical="bottom"/>
      <protection locked="1" hidden="0"/>
    </xf>
    <xf numFmtId="165" fontId="3" fillId="0" borderId="3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8" fontId="3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170" fontId="1" fillId="2" borderId="3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left" vertical="bottom"/>
      <protection locked="1" hidden="0"/>
    </xf>
    <xf numFmtId="166" fontId="8" fillId="0" borderId="2" xfId="0" applyNumberFormat="1" applyFont="1" applyFill="1" applyBorder="1" applyAlignment="1" applyProtection="1">
      <alignment horizontal="right" vertical="bottom"/>
      <protection locked="1" hidden="0"/>
    </xf>
    <xf numFmtId="0" fontId="1" fillId="2" borderId="3" xfId="0" applyFont="1" applyFill="1" applyBorder="1" applyAlignment="1" applyProtection="1">
      <alignment horizontal="left" vertical="bottom"/>
      <protection locked="1" hidden="0"/>
    </xf>
    <xf numFmtId="165" fontId="3" fillId="0" borderId="2" xfId="0" applyNumberFormat="1" applyFont="1" applyFill="1" applyBorder="1" applyAlignment="1" applyProtection="1">
      <alignment horizontal="lef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8" fontId="6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6" fillId="0" borderId="2" xfId="0" applyNumberFormat="1" applyFont="1" applyFill="1" applyBorder="1" applyAlignment="1" applyProtection="1">
      <alignment horizontal="right" vertical="bottom"/>
      <protection locked="1" hidden="0"/>
    </xf>
    <xf numFmtId="0" fontId="3" fillId="2" borderId="1" xfId="0" applyFont="1" applyFill="1" applyBorder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 indent="0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 indent="1"/>
      <protection locked="1" hidden="0"/>
    </xf>
    <xf numFmtId="0" fontId="3" fillId="0" borderId="0" xfId="0" applyFont="1" applyFill="1" applyAlignment="1" applyProtection="1">
      <alignment horizontal="left" vertical="bottom" indent="0"/>
      <protection locked="1" hidden="0"/>
    </xf>
    <xf numFmtId="164" fontId="3" fillId="0" borderId="2" xfId="0" applyNumberFormat="1" applyFont="1" applyFill="1" applyBorder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left" vertical="bottom" indent="0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0" fontId="11" fillId="0" borderId="0" xfId="0" applyFont="1" applyFill="1" applyAlignment="1" applyProtection="1">
      <alignment horizontal="lef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6" fontId="9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 indent="2"/>
      <protection locked="1" hidden="0"/>
    </xf>
    <xf numFmtId="168" fontId="5" fillId="3" borderId="0" xfId="0" applyNumberFormat="1" applyFont="1" applyFill="1" applyAlignment="1" applyProtection="1">
      <alignment horizontal="right" vertical="bottom"/>
      <protection locked="1" hidden="0"/>
    </xf>
    <xf numFmtId="168" fontId="6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left" vertical="bottom" indent="2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4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6" fontId="12" fillId="0" borderId="0" xfId="0" applyNumberFormat="1" applyFont="1" applyFill="1" applyAlignment="1" applyProtection="1">
      <alignment horizontal="right" vertical="bottom"/>
      <protection locked="1" hidden="0"/>
    </xf>
    <xf numFmtId="167" fontId="12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left" vertical="bottom" indent="0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172" fontId="9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6" fontId="12" fillId="3" borderId="0" xfId="0" applyNumberFormat="1" applyFont="1" applyFill="1" applyAlignment="1" applyProtection="1">
      <alignment horizontal="right" vertical="bottom"/>
      <protection locked="1" hidden="0"/>
    </xf>
    <xf numFmtId="166" fontId="9" fillId="3" borderId="0" xfId="0" applyNumberFormat="1" applyFont="1" applyFill="1" applyAlignment="1" applyProtection="1">
      <alignment horizontal="righ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72" fontId="2" fillId="3" borderId="0" xfId="0" applyNumberFormat="1" applyFont="1" applyFill="1" applyAlignment="1" applyProtection="1">
      <alignment horizontal="right" vertical="bottom"/>
      <protection locked="1" hidden="0"/>
    </xf>
    <xf numFmtId="172" fontId="9" fillId="0" borderId="0" xfId="0" applyNumberFormat="1" applyFont="1" applyFill="1" applyAlignment="1" applyProtection="1">
      <alignment horizontal="right" vertical="bottom"/>
      <protection locked="1" hidden="0"/>
    </xf>
    <xf numFmtId="172" fontId="12" fillId="0" borderId="0" xfId="0" applyNumberFormat="1" applyFont="1" applyFill="1" applyAlignment="1" applyProtection="1">
      <alignment horizontal="right" vertical="bottom"/>
      <protection locked="1" hidden="0"/>
    </xf>
    <xf numFmtId="164" fontId="6" fillId="3" borderId="2" xfId="0" applyNumberFormat="1" applyFont="1" applyFill="1" applyBorder="1" applyAlignment="1" applyProtection="1">
      <alignment horizontal="right" vertical="bottom"/>
      <protection locked="1" hidden="0"/>
    </xf>
    <xf numFmtId="0" fontId="3" fillId="0" borderId="3" xfId="0" applyFont="1" applyFill="1" applyBorder="1" applyAlignment="1" applyProtection="1">
      <alignment horizontal="left" vertical="bottom"/>
      <protection locked="1" hidden="0"/>
    </xf>
    <xf numFmtId="172" fontId="12" fillId="3" borderId="0" xfId="0" applyNumberFormat="1" applyFont="1" applyFill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 indent="3"/>
      <protection locked="1" hidden="0"/>
    </xf>
    <xf numFmtId="165" fontId="2" fillId="3" borderId="0" xfId="0" applyNumberFormat="1" applyFont="1" applyFill="1" applyAlignment="1" applyProtection="1">
      <alignment horizontal="lef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4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64" fontId="9" fillId="3" borderId="0" xfId="0" applyNumberFormat="1" applyFont="1" applyFill="1" applyAlignment="1" applyProtection="1">
      <alignment horizontal="right" vertical="bottom"/>
      <protection locked="1" hidden="0"/>
    </xf>
    <xf numFmtId="168" fontId="7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1"/>
      <protection locked="1" hidden="0"/>
    </xf>
    <xf numFmtId="0" fontId="1" fillId="0" borderId="0" xfId="0" applyFont="1" applyFill="1" applyAlignment="1" applyProtection="1">
      <alignment horizontal="left" vertical="bottom" indent="3"/>
      <protection locked="1" hidden="0"/>
    </xf>
    <xf numFmtId="171" fontId="12" fillId="3" borderId="0" xfId="0" applyNumberFormat="1" applyFont="1" applyFill="1" applyAlignment="1" applyProtection="1">
      <alignment horizontal="right" vertical="bottom"/>
      <protection locked="1" hidden="0"/>
    </xf>
    <xf numFmtId="164" fontId="6" fillId="0" borderId="2" xfId="0" applyNumberFormat="1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4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8" fontId="3" fillId="3" borderId="2" xfId="0" applyNumberFormat="1" applyFont="1" applyFill="1" applyBorder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left" vertical="bottom" indent="0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right" vertical="bottom"/>
      <protection locked="1" hidden="0"/>
    </xf>
    <xf numFmtId="169" fontId="7" fillId="0" borderId="0" xfId="0" applyNumberFormat="1" applyFont="1" applyFill="1" applyAlignment="1" applyProtection="1">
      <alignment horizontal="left" vertical="bottom"/>
      <protection locked="1" hidden="0"/>
    </xf>
    <xf numFmtId="174" fontId="7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 indent="2"/>
      <protection locked="1" hidden="0"/>
    </xf>
    <xf numFmtId="165" fontId="1" fillId="3" borderId="0" xfId="0" applyNumberFormat="1" applyFont="1" applyFill="1" applyAlignment="1" applyProtection="1">
      <alignment horizontal="left" vertical="bottom"/>
      <protection locked="1" hidden="0"/>
    </xf>
    <xf numFmtId="165" fontId="14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right" vertical="bottom"/>
      <protection locked="1" hidden="0"/>
    </xf>
    <xf numFmtId="169" fontId="16" fillId="0" borderId="0" xfId="0" applyNumberFormat="1" applyFont="1" applyFill="1" applyAlignment="1" applyProtection="1">
      <alignment horizontal="left" vertical="bottom"/>
      <protection locked="1" hidden="0"/>
    </xf>
    <xf numFmtId="169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5" fillId="0" borderId="0" xfId="0" applyFont="1" applyFill="1" applyAlignment="1" applyProtection="1">
      <alignment horizontal="left" vertical="bottom"/>
      <protection locked="1" hidden="0"/>
    </xf>
    <xf numFmtId="0" fontId="15" fillId="0" borderId="0" xfId="0" applyFont="1" applyFill="1" applyAlignment="1" applyProtection="1">
      <alignment horizontal="right" vertical="bottom"/>
      <protection locked="1" hidden="0"/>
    </xf>
    <xf numFmtId="16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9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9" fillId="0" borderId="3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5" fontId="20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19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9" fontId="21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22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3" fillId="2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4" fillId="2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5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26" fillId="2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0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5" fontId="2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8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9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30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30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31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9" fontId="29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5" fontId="28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5" fontId="32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3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3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7" fontId="3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3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3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38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5" fontId="39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5" fontId="38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5" fontId="4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38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5" fontId="41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39" fillId="2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4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5" fontId="4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41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6" fontId="38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showGridLines="0" tabSelected="1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1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4</v>
      </c>
      <c r="D4" s="3"/>
      <c r="E4" s="3"/>
      <c r="F4" s="3"/>
      <c r="G4" s="3"/>
      <c r="H4" s="3"/>
      <c r="I4" s="116" t="s">
        <v>5</v>
      </c>
    </row>
    <row r="5">
      <c r="A5" s="7"/>
      <c r="B5" s="55" t="s">
        <v>6</v>
      </c>
      <c r="C5" s="6">
        <v>46295</v>
      </c>
      <c r="D5" s="6"/>
      <c r="E5" s="6"/>
      <c r="F5" s="6"/>
      <c r="G5" s="6"/>
      <c r="H5" s="6"/>
      <c r="I5" s="6"/>
    </row>
    <row r="6">
      <c r="A6" s="7"/>
      <c r="B6" s="21" t="s">
        <v>7</v>
      </c>
      <c r="C6" s="17">
        <v>92</v>
      </c>
      <c r="D6" s="17"/>
      <c r="E6" s="17"/>
      <c r="F6" s="17"/>
      <c r="G6" s="17"/>
      <c r="H6" s="17"/>
      <c r="I6" s="17"/>
    </row>
    <row r="7">
      <c r="A7" s="7"/>
      <c r="B7" s="7"/>
      <c r="C7" s="7"/>
      <c r="D7" s="7"/>
      <c r="E7" s="7"/>
      <c r="F7" s="7"/>
      <c r="G7" s="7"/>
      <c r="H7" s="7"/>
      <c r="I7" s="7"/>
    </row>
    <row r="8">
      <c r="A8" s="7"/>
      <c r="B8" s="36" t="s">
        <v>8</v>
      </c>
      <c r="C8" s="9"/>
      <c r="D8" s="9"/>
      <c r="E8" s="9"/>
      <c r="F8" s="9"/>
      <c r="G8" s="9"/>
      <c r="H8" s="9"/>
      <c r="I8" s="7"/>
    </row>
    <row r="9">
      <c r="A9" s="7"/>
      <c r="B9" s="28" t="s">
        <v>9</v>
      </c>
      <c r="C9" s="4"/>
      <c r="D9" s="4"/>
      <c r="E9" s="4"/>
      <c r="F9" s="4"/>
      <c r="G9" s="4"/>
      <c r="H9" s="4"/>
      <c r="I9" s="7"/>
    </row>
    <row r="10">
      <c r="A10" s="7"/>
      <c r="B10" s="7"/>
      <c r="C10" s="7"/>
      <c r="D10" s="7"/>
      <c r="E10" s="7"/>
      <c r="F10" s="7"/>
      <c r="G10" s="7"/>
      <c r="H10" s="7"/>
      <c r="I10" s="7"/>
    </row>
    <row r="11">
      <c r="A11" s="7"/>
      <c r="B11" s="8" t="s">
        <v>10</v>
      </c>
      <c r="C11" s="19" t="s">
        <v>11</v>
      </c>
      <c r="D11" s="11"/>
      <c r="E11" s="11"/>
      <c r="F11" s="11"/>
      <c r="G11" s="11"/>
      <c r="H11" s="11"/>
      <c r="I11" s="7"/>
    </row>
    <row r="12">
      <c r="A12" s="7"/>
      <c r="B12" s="8" t="s">
        <v>12</v>
      </c>
      <c r="C12" s="19" t="s">
        <v>13</v>
      </c>
      <c r="D12" s="11"/>
      <c r="E12" s="11"/>
      <c r="F12" s="11"/>
      <c r="G12" s="11"/>
      <c r="H12" s="11"/>
      <c r="I12" s="7"/>
    </row>
    <row r="13">
      <c r="A13" s="7"/>
      <c r="B13" s="8" t="s">
        <v>14</v>
      </c>
      <c r="C13" s="19" t="s">
        <v>15</v>
      </c>
      <c r="D13" s="11"/>
      <c r="E13" s="11"/>
      <c r="F13" s="11"/>
      <c r="G13" s="11"/>
      <c r="H13" s="11"/>
      <c r="I13" s="7"/>
    </row>
    <row r="14">
      <c r="A14" s="7"/>
      <c r="B14" s="8" t="s">
        <v>16</v>
      </c>
      <c r="C14" s="19" t="s">
        <v>17</v>
      </c>
      <c r="D14" s="11"/>
      <c r="E14" s="11"/>
      <c r="F14" s="11"/>
      <c r="G14" s="11"/>
      <c r="H14" s="11"/>
      <c r="I14" s="7"/>
    </row>
    <row r="15">
      <c r="A15" s="7"/>
      <c r="B15" s="8" t="s">
        <v>18</v>
      </c>
      <c r="C15" s="19" t="s">
        <v>19</v>
      </c>
      <c r="D15" s="11"/>
      <c r="E15" s="11"/>
      <c r="F15" s="11"/>
      <c r="G15" s="11"/>
      <c r="H15" s="11"/>
      <c r="I15" s="7"/>
    </row>
    <row r="16">
      <c r="A16" s="7"/>
      <c r="B16" s="8" t="s">
        <v>20</v>
      </c>
      <c r="C16" s="19" t="s">
        <v>21</v>
      </c>
      <c r="D16" s="11"/>
      <c r="E16" s="11"/>
      <c r="F16" s="11"/>
      <c r="G16" s="11"/>
      <c r="H16" s="11"/>
      <c r="I16" s="7"/>
    </row>
    <row r="17">
      <c r="A17" s="7"/>
      <c r="B17" s="8" t="s">
        <v>22</v>
      </c>
      <c r="C17" s="19" t="s">
        <v>23</v>
      </c>
      <c r="D17" s="11"/>
      <c r="E17" s="11"/>
      <c r="F17" s="11"/>
      <c r="G17" s="11"/>
      <c r="H17" s="11"/>
      <c r="I17" s="7"/>
    </row>
    <row r="18">
      <c r="A18" s="7"/>
      <c r="B18" s="8" t="s">
        <v>24</v>
      </c>
      <c r="C18" s="19" t="s">
        <v>25</v>
      </c>
      <c r="D18" s="11"/>
      <c r="E18" s="11"/>
      <c r="F18" s="11"/>
      <c r="G18" s="11"/>
      <c r="H18" s="11"/>
      <c r="I18" s="7"/>
    </row>
    <row r="19">
      <c r="A19" s="7"/>
      <c r="B19" s="8" t="s">
        <v>26</v>
      </c>
      <c r="C19" s="19" t="s">
        <v>27</v>
      </c>
      <c r="D19" s="11"/>
      <c r="E19" s="11"/>
      <c r="F19" s="11"/>
      <c r="G19" s="11"/>
      <c r="H19" s="11"/>
      <c r="I19" s="7"/>
    </row>
    <row r="20">
      <c r="A20" s="7"/>
      <c r="B20" s="7"/>
      <c r="C20" s="7"/>
      <c r="D20" s="7"/>
      <c r="E20" s="7"/>
      <c r="F20" s="7"/>
      <c r="G20" s="7"/>
      <c r="H20" s="7"/>
      <c r="I20" s="7"/>
    </row>
    <row r="21" ht="37.5">
      <c r="A21" s="7"/>
      <c r="B21" s="34" t="s">
        <v>28</v>
      </c>
      <c r="C21" s="10" t="s">
        <v>29</v>
      </c>
      <c r="D21" s="10" t="s">
        <v>30</v>
      </c>
      <c r="E21" s="10" t="s">
        <v>31</v>
      </c>
      <c r="F21" s="10" t="s">
        <v>32</v>
      </c>
      <c r="G21" s="110" t="s">
        <v>33</v>
      </c>
      <c r="H21" s="110" t="s">
        <v>34</v>
      </c>
      <c r="I21" s="65" t="s">
        <v>35</v>
      </c>
    </row>
    <row r="22">
      <c r="A22" s="7"/>
      <c r="B22" s="8" t="s">
        <v>36</v>
      </c>
      <c r="C22" s="32">
        <f>'Revenue summary'!H107</f>
        <v>1980.6320143557336</v>
      </c>
      <c r="D22" s="29">
        <f>Inputs!C51</f>
        <v>1997.09</v>
      </c>
      <c r="E22" s="12">
        <f>C22-D22</f>
        <v>-16.457985644266273</v>
      </c>
      <c r="F22" s="24">
        <f>C22/D22-1</f>
        <v>-0.008240983453057349</v>
      </c>
      <c r="G22" s="29">
        <f>Guidance!H35</f>
        <v>2013.24</v>
      </c>
      <c r="H22" s="12">
        <f>C22-G22</f>
        <v>-32.607985644266364</v>
      </c>
      <c r="I22" s="19" t="s">
        <v>37</v>
      </c>
    </row>
    <row r="23">
      <c r="A23" s="7"/>
      <c r="B23" s="8" t="s">
        <v>38</v>
      </c>
      <c r="C23" s="32">
        <f>'Income Statement'!H298</f>
        <v>569.6458941334022</v>
      </c>
      <c r="D23" s="29">
        <f>Inputs!C64</f>
        <v>561.88</v>
      </c>
      <c r="E23" s="12">
        <f>C23-D23</f>
        <v>7.765894133402185</v>
      </c>
      <c r="F23" s="24">
        <f>C23/D23-1</f>
        <v>0.013821268123802577</v>
      </c>
      <c r="G23" s="12" t="str">
        <f>"Not guided"</f>
        <v>Not guided</v>
      </c>
      <c r="H23" s="12" t="str">
        <f>"n.a."</f>
        <v>n.a.</v>
      </c>
      <c r="I23" s="19" t="s">
        <v>39</v>
      </c>
    </row>
    <row r="24">
      <c r="A24" s="7"/>
      <c r="B24" s="34" t="s">
        <v>40</v>
      </c>
      <c r="C24" s="124">
        <f>'Income Statement'!H303</f>
        <v>0.6666646479751585</v>
      </c>
      <c r="D24" s="123">
        <f>Inputs!C35</f>
        <v>0.66</v>
      </c>
      <c r="E24" s="121">
        <f>C24-D24</f>
        <v>0.006664647975158422</v>
      </c>
      <c r="F24" s="5">
        <f>C24/D24-1</f>
        <v>0.010097951477512801</v>
      </c>
      <c r="G24" s="13" t="str">
        <f>"Not guided"</f>
        <v>Not guided</v>
      </c>
      <c r="H24" s="13" t="str">
        <f>"n.a."</f>
        <v>n.a.</v>
      </c>
      <c r="I24" s="68" t="s">
        <v>41</v>
      </c>
    </row>
    <row r="25">
      <c r="A25" s="7"/>
      <c r="B25" s="8" t="s">
        <v>42</v>
      </c>
      <c r="C25" s="32">
        <f>'Income Statement'!H257</f>
        <v>569.6458941334022</v>
      </c>
      <c r="D25" s="29">
        <f>Inputs!C65</f>
        <v>563.23</v>
      </c>
      <c r="E25" s="12">
        <f>C25-D25</f>
        <v>6.415894133402162</v>
      </c>
      <c r="F25" s="24">
        <f>C25/D25-1</f>
        <v>0.011391250702913913</v>
      </c>
      <c r="G25" s="12" t="str">
        <f>"Not guided"</f>
        <v>Not guided</v>
      </c>
      <c r="H25" s="12" t="str">
        <f>"n.a."</f>
        <v>n.a.</v>
      </c>
      <c r="I25" s="19" t="s">
        <v>43</v>
      </c>
    </row>
    <row r="26">
      <c r="A26" s="7"/>
      <c r="B26" s="8" t="s">
        <v>44</v>
      </c>
      <c r="C26" s="120">
        <f>'Income Statement'!H265</f>
        <v>0.6666646479751585</v>
      </c>
      <c r="D26" s="126">
        <f>Inputs!C44</f>
        <v>0.66</v>
      </c>
      <c r="E26" s="125">
        <f>C26-D26</f>
        <v>0.006664647975158422</v>
      </c>
      <c r="F26" s="24">
        <f>C26/D26-1</f>
        <v>0.010097951477512801</v>
      </c>
      <c r="G26" s="23" t="str">
        <f>"Not guided"</f>
        <v>Not guided</v>
      </c>
      <c r="H26" s="23" t="str">
        <f>"n.a."</f>
        <v>n.a.</v>
      </c>
      <c r="I26" s="19" t="s">
        <v>45</v>
      </c>
    </row>
    <row r="27" ht="27">
      <c r="A27" s="7"/>
      <c r="B27" s="28" t="s">
        <v>46</v>
      </c>
      <c r="C27" s="30">
        <f>ABS(C22-'Revenue summary'!H107)+ABS(C23-'Income Statement'!H298)+ABS(C24-'Income Statement'!H303)+ABS(C25-'Income Statement'!H257)+ABS(C26-'Income Statement'!H265)</f>
        <v>0</v>
      </c>
      <c r="D27" s="2"/>
      <c r="E27" s="2"/>
      <c r="F27" s="2"/>
      <c r="G27" s="2"/>
      <c r="H27" s="2"/>
      <c r="I27" s="122" t="s">
        <v>47</v>
      </c>
    </row>
    <row r="28" ht="91.5">
      <c r="A28" s="7"/>
      <c r="B28" s="112" t="s">
        <v>48</v>
      </c>
      <c r="C28" s="111" t="b">
        <f>AND(COUNT('Revenue summary'!C105:G105,'Revenue summary'!C114:D114,'Revenue summary'!F114:G114,'Revenue summary'!C440:G440,'Revenue summary'!C441:G441,'Segment - Wealth Management'!C30:G30,'Income Statement'!C269:G269,'Income Statement'!C302:G302,'Income Statement'!C307:D307,'Income Statement'!F307:G307,'Income Statement'!E312:E319,'Balance Sheet'!C37:G37,'Balance Sheet'!C54:H54,'Balance Sheet'!C56:G56,'Cash Flow Statement'!C53:G53,'Cash Flow Statement'!C54:G54,'Cash Flow Statement'!E55)=73,(SUMIF('Revenue summary'!C105:G105,"&gt;0")-SUMIF('Revenue summary'!C105:G105,"&lt;0")+0*SUM('Revenue summary'!C105:G105))&lt;0.5,(SUMIF('Revenue summary'!C114:D114,"&gt;0")-SUMIF('Revenue summary'!C114:D114,"&lt;0")+0*SUM('Revenue summary'!C114:D114))+(SUMIF('Revenue summary'!F114:G114,"&gt;0")-SUMIF('Revenue summary'!F114:G114,"&lt;0")+0*SUM('Revenue summary'!F114:G114))&lt;0.5,(SUMIF('Revenue summary'!C440:G440,"&gt;0")-SUMIF('Revenue summary'!C440:G440,"&lt;0")+0*SUM('Revenue summary'!C440:G440))&lt;0.5,(SUMIF('Revenue summary'!C441:G441,"&gt;0")-SUMIF('Revenue summary'!C441:G441,"&lt;0")+0*SUM('Revenue summary'!C441:G441))&lt;0.5,(SUMIF('Segment - Wealth Management'!C30:G30,"&gt;0")-SUMIF('Segment - Wealth Management'!C30:G30,"&lt;0")+0*SUM('Segment - Wealth Management'!C30:G30))&lt;0.5,(SUMIF('Income Statement'!C269:G269,"&gt;0")-SUMIF('Income Statement'!C269:G269,"&lt;0")+0*SUM('Income Statement'!C269:G269))&lt;0.5,(SUMIF('Income Statement'!C302:G302,"&gt;0")-SUMIF('Income Statement'!C302:G302,"&lt;0")+0*SUM('Income Statement'!C302:G302))&lt;0.5,(SUMIF('Income Statement'!C307:D307,"&gt;0")-SUMIF('Income Statement'!C307:D307,"&lt;0")+0*SUM('Income Statement'!C307:D307))+(SUMIF('Income Statement'!F307:G307,"&gt;0")-SUMIF('Income Statement'!F307:G307,"&lt;0")+0*SUM('Income Statement'!F307:G307))&lt;0.5,(SUMIF('Income Statement'!E312:E319,"&gt;0")-SUMIF('Income Statement'!E312:E319,"&lt;0")+0*SUM('Income Statement'!E312:E319))&lt;0.5,(SUMIF('Balance Sheet'!C37:G37,"&gt;0")-SUMIF('Balance Sheet'!C37:G37,"&lt;0")+0*SUM('Balance Sheet'!C37:G37))&lt;0.5,(SUMIF('Balance Sheet'!C54:H54,"&gt;0")-SUMIF('Balance Sheet'!C54:H54,"&lt;0")+0*SUM('Balance Sheet'!C54:H54))&lt;0.5,(SUMIF('Balance Sheet'!C56:G56,"&gt;0")-SUMIF('Balance Sheet'!C56:G56,"&lt;0")+0*SUM('Balance Sheet'!C56:G56))&lt;0.5,(SUMIF('Cash Flow Statement'!C53:G53,"&gt;0")-SUMIF('Cash Flow Statement'!C53:G53,"&lt;0")+0*SUM('Cash Flow Statement'!C53:G53))&lt;0.5,(SUMIF('Cash Flow Statement'!C54:G54,"&gt;0")-SUMIF('Cash Flow Statement'!C54:G54,"&lt;0")+0*SUM('Cash Flow Statement'!C54:G54))&lt;0.5,ABS('Cash Flow Statement'!E55)&lt;0.5)</f>
        <v>1</v>
      </c>
      <c r="D28" s="22"/>
      <c r="E28" s="22"/>
      <c r="F28" s="22"/>
      <c r="G28" s="22"/>
      <c r="H28" s="22"/>
      <c r="I28" s="122" t="s">
        <v>49</v>
      </c>
    </row>
    <row r="29">
      <c r="A29" s="7"/>
      <c r="B29" s="54" t="s">
        <v>50</v>
      </c>
      <c r="C29" s="20">
        <f>Inputs!C120</f>
        <v>0.6628571428571428</v>
      </c>
      <c r="D29" s="5"/>
      <c r="E29" s="5"/>
      <c r="F29" s="5"/>
      <c r="G29" s="5"/>
      <c r="H29" s="5"/>
      <c r="I29" s="7"/>
    </row>
    <row r="30">
      <c r="A30" s="7"/>
      <c r="B30" s="34" t="s">
        <v>51</v>
      </c>
      <c r="C30" s="15" t="str">
        <f>Inputs!C121</f>
        <v>medium</v>
      </c>
      <c r="D30" s="9"/>
      <c r="E30" s="9"/>
      <c r="F30" s="9"/>
      <c r="G30" s="9"/>
      <c r="H30" s="9"/>
      <c r="I30" s="7"/>
    </row>
    <row r="31">
      <c r="A31" s="7"/>
      <c r="B31" s="7"/>
      <c r="C31" s="7"/>
      <c r="D31" s="7"/>
      <c r="E31" s="7"/>
      <c r="F31" s="7"/>
      <c r="G31" s="7"/>
      <c r="H31" s="7"/>
      <c r="I31" s="7"/>
    </row>
    <row r="32">
      <c r="A32" s="7"/>
      <c r="B32" s="34" t="s">
        <v>52</v>
      </c>
      <c r="C32" s="9"/>
      <c r="D32" s="9"/>
      <c r="E32" s="9"/>
      <c r="F32" s="9"/>
      <c r="G32" s="9"/>
      <c r="H32" s="9"/>
      <c r="I32" s="7"/>
    </row>
    <row r="33">
      <c r="A33" s="7"/>
      <c r="B33" s="1" t="s">
        <v>53</v>
      </c>
      <c r="C33" s="37">
        <v>0.67</v>
      </c>
      <c r="D33" s="23"/>
      <c r="E33" s="23"/>
      <c r="F33" s="23"/>
      <c r="G33" s="23"/>
      <c r="H33" s="23"/>
      <c r="I33" s="7"/>
    </row>
    <row r="34">
      <c r="A34" s="7"/>
      <c r="B34" s="1" t="s">
        <v>54</v>
      </c>
      <c r="C34" s="31">
        <v>1980</v>
      </c>
      <c r="D34" s="12"/>
      <c r="E34" s="12"/>
      <c r="F34" s="12"/>
      <c r="G34" s="12"/>
      <c r="H34" s="12"/>
      <c r="I34" s="7"/>
    </row>
    <row r="35" ht="45">
      <c r="A35" s="7"/>
      <c r="B35" s="137" t="s">
        <v>55</v>
      </c>
      <c r="C35" s="133" t="s">
        <v>56</v>
      </c>
      <c r="D35" s="4"/>
      <c r="E35" s="4"/>
      <c r="F35" s="4"/>
      <c r="G35" s="4"/>
      <c r="H35" s="4"/>
      <c r="I35" s="7"/>
    </row>
    <row r="36">
      <c r="A36" s="7"/>
      <c r="B36" s="7"/>
      <c r="C36" s="7"/>
      <c r="D36" s="7"/>
      <c r="E36" s="7"/>
      <c r="F36" s="7"/>
      <c r="G36" s="7"/>
      <c r="H36" s="7"/>
      <c r="I36" s="7"/>
    </row>
    <row r="37">
      <c r="A37" s="7"/>
      <c r="B37" s="7"/>
      <c r="C37" s="7"/>
      <c r="D37" s="7"/>
      <c r="E37" s="7"/>
      <c r="F37" s="7"/>
      <c r="G37" s="7"/>
      <c r="H37" s="7"/>
      <c r="I37" s="7"/>
    </row>
  </sheetData>
  <mergeCells count="1">
    <mergeCell ref="C35:I35"/>
  </mergeCell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8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57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 ht="28.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143" t="s">
        <v>63</v>
      </c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27">
        <v>365</v>
      </c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64</v>
      </c>
      <c r="C8" s="9"/>
      <c r="D8" s="9"/>
      <c r="E8" s="9"/>
      <c r="F8" s="9"/>
      <c r="G8" s="9"/>
      <c r="H8" s="43"/>
      <c r="I8" s="7"/>
    </row>
    <row r="9">
      <c r="A9" s="7"/>
      <c r="B9" s="34" t="s">
        <v>65</v>
      </c>
      <c r="C9" s="78">
        <f>'Segment - Corporate Bank'!C81</f>
        <v>739</v>
      </c>
      <c r="D9" s="78">
        <f>'Segment - Corporate Bank'!D81</f>
        <v>730</v>
      </c>
      <c r="E9" s="78">
        <f>'Segment - Corporate Bank'!E81</f>
        <v>2832</v>
      </c>
      <c r="F9" s="78">
        <f>'Segment - Corporate Bank'!F81</f>
        <v>704</v>
      </c>
      <c r="G9" s="78">
        <f>'Segment - Corporate Bank'!G81</f>
        <v>725</v>
      </c>
      <c r="H9" s="64">
        <f>'Segment - Corporate Bank'!H81</f>
        <v>742.924520572594</v>
      </c>
      <c r="I9" s="7"/>
    </row>
    <row r="10">
      <c r="A10" s="7"/>
      <c r="B10" s="44" t="s">
        <v>66</v>
      </c>
      <c r="C10" s="41">
        <f>'Segment - Corporate Bank'!C82</f>
        <v>0.05722460658082973</v>
      </c>
      <c r="D10" s="41">
        <f>'Segment - Corporate Bank'!D82</f>
        <v>0.03988603988603989</v>
      </c>
      <c r="E10" s="41">
        <f>'Segment - Corporate Bank'!E82</f>
        <v>0.04194260485651213</v>
      </c>
      <c r="F10" s="41">
        <f>'Segment - Corporate Bank'!F82</f>
        <v>0.06024096385542177</v>
      </c>
      <c r="G10" s="41">
        <f>'Segment - Corporate Bank'!G82</f>
        <v>0.03719599427753928</v>
      </c>
      <c r="H10" s="59">
        <f>'Segment - Corporate Bank'!H82</f>
        <v>0.00531058264221107</v>
      </c>
      <c r="I10" s="7"/>
    </row>
    <row r="11">
      <c r="A11" s="7"/>
      <c r="B11" s="44" t="s">
        <v>67</v>
      </c>
      <c r="C11" s="41">
        <f>'Segment - Corporate Bank'!C84</f>
        <v>0.05722460658082973</v>
      </c>
      <c r="D11" s="41">
        <f>'Segment - Corporate Bank'!D84</f>
        <v>-0.012178619756427644</v>
      </c>
      <c r="E11" s="24"/>
      <c r="F11" s="41">
        <f>'Segment - Corporate Bank'!F84</f>
        <v>-0.03561643835616435</v>
      </c>
      <c r="G11" s="41">
        <f>'Segment - Corporate Bank'!G84</f>
        <v>0.029829545454545414</v>
      </c>
      <c r="H11" s="59">
        <f>'Segment - Corporate Bank'!H84</f>
        <v>0.024723476651853815</v>
      </c>
      <c r="I11" s="7"/>
    </row>
    <row r="12">
      <c r="A12" s="7"/>
      <c r="B12" s="44" t="s">
        <v>68</v>
      </c>
      <c r="C12" s="24">
        <f>C9/C98</f>
        <v>0.38569937369519836</v>
      </c>
      <c r="D12" s="24">
        <f>D9/D98</f>
        <v>0.3800104112441437</v>
      </c>
      <c r="E12" s="24">
        <f>E9/E98</f>
        <v>0.37629550890247143</v>
      </c>
      <c r="F12" s="24">
        <f>F9/F98</f>
        <v>0.3758675920982381</v>
      </c>
      <c r="G12" s="24">
        <f>G9/G98</f>
        <v>0.3801782905086523</v>
      </c>
      <c r="H12" s="40">
        <f>H9/H98</f>
        <v>0.37776488694860144</v>
      </c>
      <c r="I12" s="7"/>
    </row>
    <row r="13">
      <c r="A13" s="7"/>
      <c r="B13" s="69" t="s">
        <v>69</v>
      </c>
      <c r="C13" s="38" t="str">
        <f>"n.a."</f>
        <v>n.a.</v>
      </c>
      <c r="D13" s="38">
        <f>IF(AND(ISNUMBER(D12),ISNUMBER(C12)),(D12-C12)*10000,"n.a.")</f>
        <v>-56.889624510546575</v>
      </c>
      <c r="E13" s="38"/>
      <c r="F13" s="38">
        <f>IF(AND(ISNUMBER(F12),ISNUMBER(D12)),(F12-D12)*10000,"n.a.")</f>
        <v>-41.42819145905585</v>
      </c>
      <c r="G13" s="38">
        <f>IF(AND(ISNUMBER(G12),ISNUMBER(F12)),(G12-F12)*10000,"n.a.")</f>
        <v>43.10698410414204</v>
      </c>
      <c r="H13" s="67">
        <f>IF(AND(ISNUMBER(H12),ISNUMBER(G12)),(H12-G12)*10000,"n.a.")</f>
        <v>-24.134035600508753</v>
      </c>
      <c r="I13" s="7"/>
    </row>
    <row r="14">
      <c r="A14" s="7"/>
      <c r="B14" s="44" t="s">
        <v>70</v>
      </c>
      <c r="C14" s="41">
        <f>'Segment - Corporate Bank'!C87</f>
        <v>0</v>
      </c>
      <c r="D14" s="41">
        <f>'Segment - Corporate Bank'!D87</f>
        <v>0</v>
      </c>
      <c r="E14" s="41">
        <f>'Segment - Corporate Bank'!E87</f>
        <v>0</v>
      </c>
      <c r="F14" s="41">
        <f>'Segment - Corporate Bank'!F87</f>
        <v>0</v>
      </c>
      <c r="G14" s="41">
        <f>'Segment - Corporate Bank'!G87</f>
        <v>0</v>
      </c>
      <c r="H14" s="59" t="str">
        <f>'Segment - Corporate Bank'!H87</f>
        <v>unavailable</v>
      </c>
      <c r="I14" s="7"/>
    </row>
    <row r="15">
      <c r="A15" s="7"/>
      <c r="B15" s="44" t="s">
        <v>71</v>
      </c>
      <c r="C15" s="41">
        <f>'Segment - Corporate Bank'!C88</f>
        <v>0</v>
      </c>
      <c r="D15" s="41">
        <f>'Segment - Corporate Bank'!D88</f>
        <v>0</v>
      </c>
      <c r="E15" s="41">
        <f>'Segment - Corporate Bank'!E88</f>
        <v>0</v>
      </c>
      <c r="F15" s="41">
        <f>'Segment - Corporate Bank'!F88</f>
        <v>0</v>
      </c>
      <c r="G15" s="41">
        <f>'Segment - Corporate Bank'!G88</f>
        <v>0</v>
      </c>
      <c r="H15" s="59">
        <f>'Segment - Corporate Bank'!H88</f>
        <v>0</v>
      </c>
      <c r="I15" s="7"/>
    </row>
    <row r="16">
      <c r="A16" s="7"/>
      <c r="B16" s="44" t="s">
        <v>72</v>
      </c>
      <c r="C16" s="41">
        <f>'Segment - Corporate Bank'!C89</f>
        <v>0.05722460658082973</v>
      </c>
      <c r="D16" s="41">
        <f>'Segment - Corporate Bank'!D89</f>
        <v>0.03988603988603989</v>
      </c>
      <c r="E16" s="41">
        <f>'Segment - Corporate Bank'!E89</f>
        <v>0.04194260485651213</v>
      </c>
      <c r="F16" s="41">
        <f>'Segment - Corporate Bank'!F89</f>
        <v>0.06024096385542177</v>
      </c>
      <c r="G16" s="41">
        <f>'Segment - Corporate Bank'!G89</f>
        <v>0.03719599427753928</v>
      </c>
      <c r="H16" s="59" t="str">
        <f>'Segment - Corporate Bank'!H89</f>
        <v>unavailable</v>
      </c>
      <c r="I16" s="7"/>
    </row>
    <row r="17">
      <c r="A17" s="7"/>
      <c r="B17" s="34" t="s">
        <v>73</v>
      </c>
      <c r="C17" s="78">
        <f>'Segment - Consumer Bank'!C108</f>
        <v>1006</v>
      </c>
      <c r="D17" s="78">
        <f>'Segment - Consumer Bank'!D108</f>
        <v>1015</v>
      </c>
      <c r="E17" s="78">
        <f>'Segment - Consumer Bank'!E108</f>
        <v>4006</v>
      </c>
      <c r="F17" s="78">
        <f>'Segment - Consumer Bank'!F108</f>
        <v>981</v>
      </c>
      <c r="G17" s="78">
        <f>'Segment - Consumer Bank'!G108</f>
        <v>1013</v>
      </c>
      <c r="H17" s="64">
        <f>'Segment - Consumer Bank'!H108</f>
        <v>1023.7600616881798</v>
      </c>
      <c r="I17" s="7"/>
    </row>
    <row r="18">
      <c r="A18" s="7"/>
      <c r="B18" s="44" t="s">
        <v>66</v>
      </c>
      <c r="C18" s="41">
        <f>'Segment - Consumer Bank'!C109</f>
        <v>0.024439918533604832</v>
      </c>
      <c r="D18" s="41">
        <f>'Segment - Consumer Bank'!D109</f>
        <v>0.0315040650406504</v>
      </c>
      <c r="E18" s="41">
        <f>'Segment - Consumer Bank'!E109</f>
        <v>0.034874709377421764</v>
      </c>
      <c r="F18" s="41">
        <f>'Segment - Consumer Bank'!F109</f>
        <v>0.01029866117404743</v>
      </c>
      <c r="G18" s="41">
        <f>'Segment - Consumer Bank'!G109</f>
        <v>-0.0009861932938856066</v>
      </c>
      <c r="H18" s="59">
        <f>'Segment - Consumer Bank'!H109</f>
        <v>0.017654136866978032</v>
      </c>
      <c r="I18" s="7"/>
    </row>
    <row r="19">
      <c r="A19" s="7"/>
      <c r="B19" s="44" t="s">
        <v>67</v>
      </c>
      <c r="C19" s="41">
        <f>'Segment - Consumer Bank'!C111</f>
        <v>-0.007889546351084853</v>
      </c>
      <c r="D19" s="41">
        <f>'Segment - Consumer Bank'!D111</f>
        <v>0.008946322067594492</v>
      </c>
      <c r="E19" s="24"/>
      <c r="F19" s="41">
        <f>'Segment - Consumer Bank'!F111</f>
        <v>-0.03349753694581281</v>
      </c>
      <c r="G19" s="41">
        <f>'Segment - Consumer Bank'!G111</f>
        <v>0.032619775739041845</v>
      </c>
      <c r="H19" s="59">
        <f>'Segment - Consumer Bank'!H111</f>
        <v>0.010621976000177558</v>
      </c>
      <c r="I19" s="7"/>
    </row>
    <row r="20">
      <c r="A20" s="7"/>
      <c r="B20" s="44" t="s">
        <v>68</v>
      </c>
      <c r="C20" s="24">
        <f>C17/C98</f>
        <v>0.5250521920668059</v>
      </c>
      <c r="D20" s="24">
        <f>D17/D98</f>
        <v>0.5283706402915148</v>
      </c>
      <c r="E20" s="24">
        <f>E17/E98</f>
        <v>0.5322880680308265</v>
      </c>
      <c r="F20" s="24">
        <f>F17/F98</f>
        <v>0.5237586759209824</v>
      </c>
      <c r="G20" s="24">
        <f>G17/G98</f>
        <v>0.5312008390141584</v>
      </c>
      <c r="H20" s="40">
        <f>H17/H98</f>
        <v>0.5205651358337937</v>
      </c>
      <c r="I20" s="7"/>
    </row>
    <row r="21">
      <c r="A21" s="7"/>
      <c r="B21" s="69" t="s">
        <v>69</v>
      </c>
      <c r="C21" s="38" t="str">
        <f>"n.a."</f>
        <v>n.a.</v>
      </c>
      <c r="D21" s="38">
        <f>IF(AND(ISNUMBER(D20),ISNUMBER(C20)),(D20-C20)*10000,"n.a.")</f>
        <v>33.18448224708948</v>
      </c>
      <c r="E21" s="38"/>
      <c r="F21" s="38">
        <f>IF(AND(ISNUMBER(F20),ISNUMBER(D20)),(F20-D20)*10000,"n.a.")</f>
        <v>-46.11964370532462</v>
      </c>
      <c r="G21" s="38">
        <f>IF(AND(ISNUMBER(G20),ISNUMBER(F20)),(G20-F20)*10000,"n.a.")</f>
        <v>74.42163093176023</v>
      </c>
      <c r="H21" s="67">
        <f>IF(AND(ISNUMBER(H20),ISNUMBER(G20)),(H20-G20)*10000,"n.a.")</f>
        <v>-106.35703180364663</v>
      </c>
      <c r="I21" s="7"/>
    </row>
    <row r="22">
      <c r="A22" s="7"/>
      <c r="B22" s="44" t="s">
        <v>70</v>
      </c>
      <c r="C22" s="41">
        <f>'Segment - Consumer Bank'!C114</f>
        <v>0</v>
      </c>
      <c r="D22" s="41">
        <f>'Segment - Consumer Bank'!D114</f>
        <v>0</v>
      </c>
      <c r="E22" s="41">
        <f>'Segment - Consumer Bank'!E114</f>
        <v>0</v>
      </c>
      <c r="F22" s="41">
        <f>'Segment - Consumer Bank'!F114</f>
        <v>0</v>
      </c>
      <c r="G22" s="41">
        <f>'Segment - Consumer Bank'!G114</f>
        <v>0</v>
      </c>
      <c r="H22" s="59">
        <f>'Segment - Consumer Bank'!H114</f>
        <v>0</v>
      </c>
      <c r="I22" s="7"/>
    </row>
    <row r="23">
      <c r="A23" s="7"/>
      <c r="B23" s="44" t="s">
        <v>71</v>
      </c>
      <c r="C23" s="41">
        <f>'Segment - Consumer Bank'!C115</f>
        <v>0</v>
      </c>
      <c r="D23" s="41">
        <f>'Segment - Consumer Bank'!D115</f>
        <v>0</v>
      </c>
      <c r="E23" s="41">
        <f>'Segment - Consumer Bank'!E115</f>
        <v>0</v>
      </c>
      <c r="F23" s="41">
        <f>'Segment - Consumer Bank'!F115</f>
        <v>0</v>
      </c>
      <c r="G23" s="41">
        <f>'Segment - Consumer Bank'!G115</f>
        <v>0</v>
      </c>
      <c r="H23" s="59">
        <f>'Segment - Consumer Bank'!H115</f>
        <v>0</v>
      </c>
      <c r="I23" s="7"/>
    </row>
    <row r="24">
      <c r="A24" s="7"/>
      <c r="B24" s="44" t="s">
        <v>72</v>
      </c>
      <c r="C24" s="41">
        <f>'Segment - Consumer Bank'!C116</f>
        <v>0.024439918533604832</v>
      </c>
      <c r="D24" s="41">
        <f>'Segment - Consumer Bank'!D116</f>
        <v>0.0315040650406504</v>
      </c>
      <c r="E24" s="41">
        <f>'Segment - Consumer Bank'!E116</f>
        <v>0.034874709377421764</v>
      </c>
      <c r="F24" s="41">
        <f>'Segment - Consumer Bank'!F116</f>
        <v>0.01029866117404743</v>
      </c>
      <c r="G24" s="41">
        <f>'Segment - Consumer Bank'!G116</f>
        <v>-0.0009861932938856066</v>
      </c>
      <c r="H24" s="59">
        <f>'Segment - Consumer Bank'!H116</f>
        <v>0.017654136866978032</v>
      </c>
      <c r="I24" s="7"/>
    </row>
    <row r="25">
      <c r="A25" s="7"/>
      <c r="B25" s="34" t="s">
        <v>74</v>
      </c>
      <c r="C25" s="78">
        <f>'Segment - Wealth Management'!C93</f>
        <v>185</v>
      </c>
      <c r="D25" s="78">
        <f>'Segment - Wealth Management'!D93</f>
        <v>192</v>
      </c>
      <c r="E25" s="78">
        <f>'Segment - Wealth Management'!E93</f>
        <v>729</v>
      </c>
      <c r="F25" s="78">
        <f>'Segment - Wealth Management'!F93</f>
        <v>188</v>
      </c>
      <c r="G25" s="78">
        <f>'Segment - Wealth Management'!G93</f>
        <v>199</v>
      </c>
      <c r="H25" s="64">
        <f>'Segment - Wealth Management'!H93</f>
        <v>200.9344978250614</v>
      </c>
      <c r="I25" s="7"/>
    </row>
    <row r="26">
      <c r="A26" s="7"/>
      <c r="B26" s="44" t="s">
        <v>66</v>
      </c>
      <c r="C26" s="41">
        <f>'Segment - Wealth Management'!C94</f>
        <v>0.08187134502923987</v>
      </c>
      <c r="D26" s="41">
        <f>'Segment - Wealth Management'!D94</f>
        <v>0.13609467455621305</v>
      </c>
      <c r="E26" s="41">
        <f>'Segment - Wealth Management'!E94</f>
        <v>0.09624060150375935</v>
      </c>
      <c r="F26" s="41">
        <f>'Segment - Wealth Management'!F94</f>
        <v>0.08045977011494254</v>
      </c>
      <c r="G26" s="41">
        <f>'Segment - Wealth Management'!G94</f>
        <v>0.1179775280898876</v>
      </c>
      <c r="H26" s="59">
        <f>'Segment - Wealth Management'!H94</f>
        <v>0.08613242067600768</v>
      </c>
      <c r="I26" s="7"/>
    </row>
    <row r="27">
      <c r="A27" s="7"/>
      <c r="B27" s="44" t="s">
        <v>67</v>
      </c>
      <c r="C27" s="41">
        <f>'Segment - Wealth Management'!C96</f>
        <v>0.0393258426966292</v>
      </c>
      <c r="D27" s="41">
        <f>'Segment - Wealth Management'!D96</f>
        <v>0.037837837837837895</v>
      </c>
      <c r="E27" s="24"/>
      <c r="F27" s="41">
        <f>'Segment - Wealth Management'!F96</f>
        <v>-0.02083333333333337</v>
      </c>
      <c r="G27" s="41">
        <f>'Segment - Wealth Management'!G96</f>
        <v>0.0585106382978724</v>
      </c>
      <c r="H27" s="59">
        <f>'Segment - Wealth Management'!H96</f>
        <v>0.009721094598298619</v>
      </c>
      <c r="I27" s="7"/>
    </row>
    <row r="28">
      <c r="A28" s="7"/>
      <c r="B28" s="44" t="s">
        <v>68</v>
      </c>
      <c r="C28" s="24">
        <f>C25/C98</f>
        <v>0.0965553235908142</v>
      </c>
      <c r="D28" s="24">
        <f>D25/D98</f>
        <v>0.09994794377928162</v>
      </c>
      <c r="E28" s="24">
        <f>E25/E98</f>
        <v>0.09686420409247941</v>
      </c>
      <c r="F28" s="24">
        <f>F25/F98</f>
        <v>0.1003737319807795</v>
      </c>
      <c r="G28" s="24">
        <f>G25/G98</f>
        <v>0.10435238594651285</v>
      </c>
      <c r="H28" s="40">
        <f>H25/H98</f>
        <v>0.10217188388997488</v>
      </c>
      <c r="I28" s="7"/>
    </row>
    <row r="29">
      <c r="A29" s="7"/>
      <c r="B29" s="69" t="s">
        <v>69</v>
      </c>
      <c r="C29" s="38" t="str">
        <f>"n.a."</f>
        <v>n.a.</v>
      </c>
      <c r="D29" s="38">
        <f>IF(AND(ISNUMBER(D28),ISNUMBER(C28)),(D28-C28)*10000,"n.a.")</f>
        <v>33.926201884674214</v>
      </c>
      <c r="E29" s="38"/>
      <c r="F29" s="38">
        <f>IF(AND(ISNUMBER(F28),ISNUMBER(D28)),(F28-D28)*10000,"n.a.")</f>
        <v>4.257882014978703</v>
      </c>
      <c r="G29" s="38">
        <f>IF(AND(ISNUMBER(G28),ISNUMBER(F28)),(G28-F28)*10000,"n.a.")</f>
        <v>39.78653965733353</v>
      </c>
      <c r="H29" s="67">
        <f>IF(AND(ISNUMBER(H28),ISNUMBER(G28)),(H28-G28)*10000,"n.a.")</f>
        <v>-21.805020565379696</v>
      </c>
      <c r="I29" s="7"/>
    </row>
    <row r="30">
      <c r="A30" s="7"/>
      <c r="B30" s="44" t="s">
        <v>70</v>
      </c>
      <c r="C30" s="41">
        <f>'Segment - Wealth Management'!C99</f>
        <v>0</v>
      </c>
      <c r="D30" s="41">
        <f>'Segment - Wealth Management'!D99</f>
        <v>0</v>
      </c>
      <c r="E30" s="41">
        <f>'Segment - Wealth Management'!E99</f>
        <v>0</v>
      </c>
      <c r="F30" s="41">
        <f>'Segment - Wealth Management'!F99</f>
        <v>0</v>
      </c>
      <c r="G30" s="41">
        <f>'Segment - Wealth Management'!G99</f>
        <v>0</v>
      </c>
      <c r="H30" s="59">
        <f>'Segment - Wealth Management'!H99</f>
        <v>0</v>
      </c>
      <c r="I30" s="7"/>
    </row>
    <row r="31">
      <c r="A31" s="7"/>
      <c r="B31" s="44" t="s">
        <v>71</v>
      </c>
      <c r="C31" s="41">
        <f>'Segment - Wealth Management'!C100</f>
        <v>0</v>
      </c>
      <c r="D31" s="41">
        <f>'Segment - Wealth Management'!D100</f>
        <v>0</v>
      </c>
      <c r="E31" s="41">
        <f>'Segment - Wealth Management'!E100</f>
        <v>0</v>
      </c>
      <c r="F31" s="41">
        <f>'Segment - Wealth Management'!F100</f>
        <v>0</v>
      </c>
      <c r="G31" s="41">
        <f>'Segment - Wealth Management'!G100</f>
        <v>0</v>
      </c>
      <c r="H31" s="59">
        <f>'Segment - Wealth Management'!H100</f>
        <v>0</v>
      </c>
      <c r="I31" s="7"/>
    </row>
    <row r="32">
      <c r="A32" s="7"/>
      <c r="B32" s="44" t="s">
        <v>72</v>
      </c>
      <c r="C32" s="41">
        <f>'Segment - Wealth Management'!C101</f>
        <v>0.08187134502923987</v>
      </c>
      <c r="D32" s="41">
        <f>'Segment - Wealth Management'!D101</f>
        <v>0.13609467455621305</v>
      </c>
      <c r="E32" s="41">
        <f>'Segment - Wealth Management'!E101</f>
        <v>0.09624060150375935</v>
      </c>
      <c r="F32" s="41">
        <f>'Segment - Wealth Management'!F101</f>
        <v>0.08045977011494254</v>
      </c>
      <c r="G32" s="41">
        <f>'Segment - Wealth Management'!G101</f>
        <v>0.1179775280898876</v>
      </c>
      <c r="H32" s="59">
        <f>'Segment - Wealth Management'!H101</f>
        <v>0.08613242067600768</v>
      </c>
      <c r="I32" s="7"/>
    </row>
    <row r="33">
      <c r="A33" s="7"/>
      <c r="B33" s="34" t="s">
        <v>75</v>
      </c>
      <c r="C33" s="9"/>
      <c r="D33" s="9"/>
      <c r="E33" s="9"/>
      <c r="F33" s="9"/>
      <c r="G33" s="9"/>
      <c r="H33" s="43"/>
      <c r="I33" s="7"/>
    </row>
    <row r="34" ht="28.5">
      <c r="A34" s="7"/>
      <c r="B34" s="1" t="s">
        <v>76</v>
      </c>
      <c r="C34" s="31">
        <v>0</v>
      </c>
      <c r="D34" s="29">
        <f>E34-Inputs!I202</f>
        <v>0</v>
      </c>
      <c r="E34" s="31">
        <v>0</v>
      </c>
      <c r="F34" s="31">
        <v>0</v>
      </c>
      <c r="G34" s="31">
        <v>0</v>
      </c>
      <c r="H34" s="32">
        <f>'Income Statement'!H52-'Segment - Corporate Bank'!H26-'Segment - Consumer Bank'!H26-'Segment - Wealth Management'!H35</f>
        <v>0.05293426989830863</v>
      </c>
      <c r="I34" s="142" t="s">
        <v>77</v>
      </c>
    </row>
    <row r="35">
      <c r="A35" s="7"/>
      <c r="B35" s="44" t="s">
        <v>66</v>
      </c>
      <c r="C35" s="41" t="str">
        <f>IF(ISNUMBER(Inputs!C202),IF(AND(Inputs!C202&gt;0,C34&gt;=0),C34/Inputs!C202-1,"n.m."),"n.a.")</f>
        <v>n.m.</v>
      </c>
      <c r="D35" s="41" t="str">
        <f>IF(ISNUMBER(Inputs!D202),IF(AND(Inputs!D202&gt;0,D34&gt;=0),D34/Inputs!D202-1,"n.m."),"n.a.")</f>
        <v>n.m.</v>
      </c>
      <c r="E35" s="41" t="str">
        <f>IF(ISNUMBER(Inputs!E202),IF(AND(Inputs!E202&gt;0,E34&gt;=0),E34/Inputs!E202-1,"n.m."),"n.a.")</f>
        <v>n.m.</v>
      </c>
      <c r="F35" s="41" t="str">
        <f>IF(ISNUMBER(Inputs!F202),IF(AND(Inputs!F202&gt;0,F34&gt;=0),F34/Inputs!F202-1,"n.m."),"n.a.")</f>
        <v>n.m.</v>
      </c>
      <c r="G35" s="41" t="str">
        <f>IF(ISNUMBER(Inputs!G202),IF(AND(Inputs!G202&gt;0,G34&gt;=0),G34/Inputs!G202-1,"n.m."),"n.a.")</f>
        <v>n.m.</v>
      </c>
      <c r="H35" s="40" t="str">
        <f>IF(ISNUMBER(C34),IF(AND(C34&gt;0,H34&gt;=0),H34/C34-1,"n.m."),"n.a.")</f>
        <v>n.m.</v>
      </c>
      <c r="I35" s="7"/>
    </row>
    <row r="36">
      <c r="A36" s="7"/>
      <c r="B36" s="48" t="s">
        <v>78</v>
      </c>
      <c r="C36" s="29">
        <f>IF(ISNUMBER(Inputs!G202),C34-Inputs!G202,"n.a.")</f>
        <v>0</v>
      </c>
      <c r="D36" s="12">
        <f>IF(ISNUMBER(C34),D34-C34,"n.a.")</f>
        <v>0</v>
      </c>
      <c r="E36" s="12"/>
      <c r="F36" s="12">
        <f>IF(ISNUMBER(D34),F34-D34,"n.a.")</f>
        <v>0</v>
      </c>
      <c r="G36" s="12">
        <f>IF(ISNUMBER(F34),G34-F34,"n.a.")</f>
        <v>0</v>
      </c>
      <c r="H36" s="42">
        <f>IF(ISNUMBER(G34),H34-G34,"n.a.")</f>
        <v>0.05293426989830863</v>
      </c>
      <c r="I36" s="7"/>
    </row>
    <row r="37">
      <c r="A37" s="7"/>
      <c r="B37" s="44" t="s">
        <v>70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8">
        <v>0</v>
      </c>
      <c r="I37" s="7"/>
    </row>
    <row r="38">
      <c r="A38" s="7"/>
      <c r="B38" s="44" t="s">
        <v>71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8">
        <v>0</v>
      </c>
      <c r="I38" s="7"/>
    </row>
    <row r="39">
      <c r="A39" s="7"/>
      <c r="B39" s="44" t="s">
        <v>72</v>
      </c>
      <c r="C39" s="24" t="str">
        <f>IF(AND(ISNUMBER(C35),ISNUMBER(C37),ISNUMBER(C38)),(1+C35)/((1+C37)*(1+C38))-1,"unavailable")</f>
        <v>unavailable</v>
      </c>
      <c r="D39" s="24" t="str">
        <f>IF(AND(ISNUMBER(D35),ISNUMBER(D37),ISNUMBER(D38)),(1+D35)/((1+D37)*(1+D38))-1,"unavailable")</f>
        <v>unavailable</v>
      </c>
      <c r="E39" s="24" t="str">
        <f>IF(AND(ISNUMBER(E35),ISNUMBER(E37),ISNUMBER(E38)),(1+E35)/((1+E37)*(1+E38))-1,"unavailable")</f>
        <v>unavailable</v>
      </c>
      <c r="F39" s="24" t="str">
        <f>IF(AND(ISNUMBER(F35),ISNUMBER(F37),ISNUMBER(F38)),(1+F35)/((1+F37)*(1+F38))-1,"unavailable")</f>
        <v>unavailable</v>
      </c>
      <c r="G39" s="24" t="str">
        <f>IF(AND(ISNUMBER(G35),ISNUMBER(G37),ISNUMBER(G38)),(1+G35)/((1+G37)*(1+G38))-1,"unavailable")</f>
        <v>unavailable</v>
      </c>
      <c r="H39" s="40" t="str">
        <f>IF(AND(ISNUMBER(H35),ISNUMBER(H37),ISNUMBER(H38)),(1+H35)/((1+H37)*(1+H38))-1,"unavailable")</f>
        <v>unavailable</v>
      </c>
      <c r="I39" s="7"/>
    </row>
    <row r="40">
      <c r="A40" s="7"/>
      <c r="B40" s="44" t="s">
        <v>79</v>
      </c>
      <c r="C40" s="41">
        <f>C34/'Income Statement'!C52</f>
        <v>0</v>
      </c>
      <c r="D40" s="41">
        <f>D34/'Income Statement'!D52</f>
        <v>0</v>
      </c>
      <c r="E40" s="41">
        <f>E34/'Income Statement'!E52</f>
        <v>0</v>
      </c>
      <c r="F40" s="41">
        <f>F34/'Income Statement'!F52</f>
        <v>0</v>
      </c>
      <c r="G40" s="41">
        <f>G34/'Income Statement'!G52</f>
        <v>0</v>
      </c>
      <c r="H40" s="59">
        <f>H34/'Income Statement'!H52</f>
        <v>0.00004064188557460385</v>
      </c>
      <c r="I40" s="7"/>
    </row>
    <row r="41">
      <c r="A41" s="7"/>
      <c r="B41" s="69" t="s">
        <v>69</v>
      </c>
      <c r="C41" s="38" t="str">
        <f>"n.a."</f>
        <v>n.a.</v>
      </c>
      <c r="D41" s="38">
        <f>IF(AND(ISNUMBER(D40),ISNUMBER(C40)),(D40-C40)*10000,"n.a.")</f>
        <v>0</v>
      </c>
      <c r="E41" s="38"/>
      <c r="F41" s="38">
        <f>IF(AND(ISNUMBER(F40),ISNUMBER(D40)),(F40-D40)*10000,"n.a.")</f>
        <v>0</v>
      </c>
      <c r="G41" s="38">
        <f>IF(AND(ISNUMBER(G40),ISNUMBER(F40)),(G40-F40)*10000,"n.a.")</f>
        <v>0</v>
      </c>
      <c r="H41" s="67">
        <f>IF(AND(ISNUMBER(H40),ISNUMBER(G40)),(H40-G40)*10000,"n.a.")</f>
        <v>0.4064188557460385</v>
      </c>
      <c r="I41" s="7"/>
    </row>
    <row r="42">
      <c r="A42" s="7"/>
      <c r="B42" s="1" t="s">
        <v>80</v>
      </c>
      <c r="C42" s="31">
        <v>0</v>
      </c>
      <c r="D42" s="29">
        <f>E42-Inputs!I203</f>
        <v>0</v>
      </c>
      <c r="E42" s="31">
        <v>0</v>
      </c>
      <c r="F42" s="31">
        <v>0</v>
      </c>
      <c r="G42" s="31">
        <v>0</v>
      </c>
      <c r="H42" s="71">
        <v>0</v>
      </c>
      <c r="I42" s="39" t="s">
        <v>81</v>
      </c>
    </row>
    <row r="43" ht="28.5">
      <c r="A43" s="7"/>
      <c r="B43" s="44" t="s">
        <v>66</v>
      </c>
      <c r="C43" s="41" t="str">
        <f>IF(ISNUMBER(Inputs!C203),IF(AND(Inputs!C203&gt;0,C42&gt;=0),C42/Inputs!C203-1,"n.m."),"n.a.")</f>
        <v>n.m.</v>
      </c>
      <c r="D43" s="41" t="str">
        <f>IF(ISNUMBER(Inputs!D203),IF(AND(Inputs!D203&gt;0,D42&gt;=0),D42/Inputs!D203-1,"n.m."),"n.a.")</f>
        <v>n.m.</v>
      </c>
      <c r="E43" s="41">
        <f>IF(ISNUMBER(Inputs!E203),IF(AND(Inputs!E203&gt;0,E42&gt;=0),E42/Inputs!E203-1,"n.m."),"n.a.")</f>
        <v>-1</v>
      </c>
      <c r="F43" s="41" t="str">
        <f>IF(ISNUMBER(Inputs!F203),IF(AND(Inputs!F203&gt;0,F42&gt;=0),F42/Inputs!F203-1,"n.m."),"n.a.")</f>
        <v>n.m.</v>
      </c>
      <c r="G43" s="41" t="str">
        <f>IF(ISNUMBER(Inputs!G203),IF(AND(Inputs!G203&gt;0,G42&gt;=0),G42/Inputs!G203-1,"n.m."),"n.a.")</f>
        <v>n.m.</v>
      </c>
      <c r="H43" s="40" t="str">
        <f>IF(ISNUMBER(C42),IF(AND(C42&gt;0,H42&gt;=0),H42/C42-1,"n.m."),"n.a.")</f>
        <v>n.m.</v>
      </c>
      <c r="I43" s="142" t="s">
        <v>82</v>
      </c>
    </row>
    <row r="44">
      <c r="A44" s="7"/>
      <c r="B44" s="48" t="s">
        <v>78</v>
      </c>
      <c r="C44" s="29">
        <f>IF(ISNUMBER(Inputs!G203),C42-Inputs!G203,"n.a.")</f>
        <v>0</v>
      </c>
      <c r="D44" s="12">
        <f>IF(ISNUMBER(C42),D42-C42,"n.a.")</f>
        <v>0</v>
      </c>
      <c r="E44" s="12"/>
      <c r="F44" s="12">
        <f>IF(ISNUMBER(D42),F42-D42,"n.a.")</f>
        <v>0</v>
      </c>
      <c r="G44" s="12">
        <f>IF(ISNUMBER(F42),G42-F42,"n.a.")</f>
        <v>0</v>
      </c>
      <c r="H44" s="42">
        <f>IF(ISNUMBER(G42),H42-G42,"n.a.")</f>
        <v>0</v>
      </c>
      <c r="I44" s="7"/>
    </row>
    <row r="45">
      <c r="A45" s="7"/>
      <c r="B45" s="44" t="s">
        <v>67</v>
      </c>
      <c r="C45" s="41" t="str">
        <f>IF(ISNUMBER(Inputs!G203),IF(AND(Inputs!G203&gt;0,C42&gt;=0),C42/Inputs!G203-1,"n.m."),"n.a.")</f>
        <v>n.m.</v>
      </c>
      <c r="D45" s="24" t="str">
        <f>IF(ISNUMBER(C42),IF(AND(C42&gt;0,D42&gt;=0),D42/C42-1,"n.m."),"n.a.")</f>
        <v>n.m.</v>
      </c>
      <c r="E45" s="24"/>
      <c r="F45" s="24" t="str">
        <f>IF(ISNUMBER(D42),IF(AND(D42&gt;0,F42&gt;=0),F42/D42-1,"n.m."),"n.a.")</f>
        <v>n.m.</v>
      </c>
      <c r="G45" s="24" t="str">
        <f>IF(ISNUMBER(F42),IF(AND(F42&gt;0,G42&gt;=0),G42/F42-1,"n.m."),"n.a.")</f>
        <v>n.m.</v>
      </c>
      <c r="H45" s="40" t="str">
        <f>IF(ISNUMBER(G42),IF(AND(G42&gt;0,H42&gt;=0),H42/G42-1,"n.m."),"n.a.")</f>
        <v>n.m.</v>
      </c>
      <c r="I45" s="7"/>
    </row>
    <row r="46">
      <c r="A46" s="7"/>
      <c r="B46" s="44" t="s">
        <v>70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8">
        <v>0</v>
      </c>
      <c r="I46" s="7"/>
    </row>
    <row r="47">
      <c r="A47" s="7"/>
      <c r="B47" s="44" t="s">
        <v>71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8">
        <v>0</v>
      </c>
      <c r="I47" s="7"/>
    </row>
    <row r="48">
      <c r="A48" s="7"/>
      <c r="B48" s="44" t="s">
        <v>72</v>
      </c>
      <c r="C48" s="24" t="str">
        <f>IF(AND(ISNUMBER(C43),ISNUMBER(C46),ISNUMBER(C47)),(1+C43)/((1+C46)*(1+C47))-1,"unavailable")</f>
        <v>unavailable</v>
      </c>
      <c r="D48" s="24" t="str">
        <f>IF(AND(ISNUMBER(D43),ISNUMBER(D46),ISNUMBER(D47)),(1+D43)/((1+D46)*(1+D47))-1,"unavailable")</f>
        <v>unavailable</v>
      </c>
      <c r="E48" s="24">
        <f>IF(AND(ISNUMBER(E43),ISNUMBER(E46),ISNUMBER(E47)),(1+E43)/((1+E46)*(1+E47))-1,"unavailable")</f>
        <v>-1</v>
      </c>
      <c r="F48" s="24" t="str">
        <f>IF(AND(ISNUMBER(F43),ISNUMBER(F46),ISNUMBER(F47)),(1+F43)/((1+F46)*(1+F47))-1,"unavailable")</f>
        <v>unavailable</v>
      </c>
      <c r="G48" s="24" t="str">
        <f>IF(AND(ISNUMBER(G43),ISNUMBER(G46),ISNUMBER(G47)),(1+G43)/((1+G46)*(1+G47))-1,"unavailable")</f>
        <v>unavailable</v>
      </c>
      <c r="H48" s="40" t="str">
        <f>IF(AND(ISNUMBER(H43),ISNUMBER(H46),ISNUMBER(H47)),(1+H43)/((1+H46)*(1+H47))-1,"unavailable")</f>
        <v>unavailable</v>
      </c>
      <c r="I48" s="114" t="s">
        <v>83</v>
      </c>
    </row>
    <row r="49" ht="28.5">
      <c r="A49" s="7"/>
      <c r="B49" s="1" t="s">
        <v>84</v>
      </c>
      <c r="C49" s="31">
        <v>0</v>
      </c>
      <c r="D49" s="29">
        <f>E49-Inputs!I204</f>
        <v>-1</v>
      </c>
      <c r="E49" s="31">
        <v>0</v>
      </c>
      <c r="F49" s="31">
        <v>0</v>
      </c>
      <c r="G49" s="31">
        <v>0</v>
      </c>
      <c r="H49" s="71">
        <v>0</v>
      </c>
      <c r="I49" s="142" t="s">
        <v>85</v>
      </c>
    </row>
    <row r="50">
      <c r="A50" s="7"/>
      <c r="B50" s="44" t="s">
        <v>66</v>
      </c>
      <c r="C50" s="41" t="str">
        <f>IF(ISNUMBER(Inputs!C204),IF(AND(Inputs!C204&gt;0,C49&gt;=0),C49/Inputs!C204-1,"n.m."),"n.a.")</f>
        <v>n.m.</v>
      </c>
      <c r="D50" s="41" t="str">
        <f>IF(ISNUMBER(Inputs!D204),IF(AND(Inputs!D204&gt;0,D49&gt;=0),D49/Inputs!D204-1,"n.m."),"n.a.")</f>
        <v>n.m.</v>
      </c>
      <c r="E50" s="41" t="str">
        <f>IF(ISNUMBER(Inputs!E204),IF(AND(Inputs!E204&gt;0,E49&gt;=0),E49/Inputs!E204-1,"n.m."),"n.a.")</f>
        <v>n.m.</v>
      </c>
      <c r="F50" s="41" t="str">
        <f>IF(ISNUMBER(Inputs!F204),IF(AND(Inputs!F204&gt;0,F49&gt;=0),F49/Inputs!F204-1,"n.m."),"n.a.")</f>
        <v>n.m.</v>
      </c>
      <c r="G50" s="41" t="str">
        <f>IF(ISNUMBER(Inputs!G204),IF(AND(Inputs!G204&gt;0,G49&gt;=0),G49/Inputs!G204-1,"n.m."),"n.a.")</f>
        <v>n.m.</v>
      </c>
      <c r="H50" s="40" t="str">
        <f>IF(ISNUMBER(C49),IF(AND(C49&gt;0,H49&gt;=0),H49/C49-1,"n.m."),"n.a.")</f>
        <v>n.m.</v>
      </c>
      <c r="I50" s="7"/>
    </row>
    <row r="51">
      <c r="A51" s="7"/>
      <c r="B51" s="48" t="s">
        <v>78</v>
      </c>
      <c r="C51" s="29">
        <f>IF(ISNUMBER(Inputs!G204),C49-Inputs!G204,"n.a.")</f>
        <v>0</v>
      </c>
      <c r="D51" s="12">
        <f>IF(ISNUMBER(C49),D49-C49,"n.a.")</f>
        <v>-1</v>
      </c>
      <c r="E51" s="12"/>
      <c r="F51" s="12">
        <f>IF(ISNUMBER(D49),F49-D49,"n.a.")</f>
        <v>1</v>
      </c>
      <c r="G51" s="12">
        <f>IF(ISNUMBER(F49),G49-F49,"n.a.")</f>
        <v>0</v>
      </c>
      <c r="H51" s="42">
        <f>IF(ISNUMBER(G49),H49-G49,"n.a.")</f>
        <v>0</v>
      </c>
      <c r="I51" s="7"/>
    </row>
    <row r="52">
      <c r="A52" s="7"/>
      <c r="B52" s="44" t="s">
        <v>67</v>
      </c>
      <c r="C52" s="41" t="str">
        <f>IF(ISNUMBER(Inputs!G204),IF(AND(Inputs!G204&gt;0,C49&gt;=0),C49/Inputs!G204-1,"n.m."),"n.a.")</f>
        <v>n.m.</v>
      </c>
      <c r="D52" s="24" t="str">
        <f>IF(ISNUMBER(C49),IF(AND(C49&gt;0,D49&gt;=0),D49/C49-1,"n.m."),"n.a.")</f>
        <v>n.m.</v>
      </c>
      <c r="E52" s="24"/>
      <c r="F52" s="24" t="str">
        <f>IF(ISNUMBER(D49),IF(AND(D49&gt;0,F49&gt;=0),F49/D49-1,"n.m."),"n.a.")</f>
        <v>n.m.</v>
      </c>
      <c r="G52" s="24" t="str">
        <f>IF(ISNUMBER(F49),IF(AND(F49&gt;0,G49&gt;=0),G49/F49-1,"n.m."),"n.a.")</f>
        <v>n.m.</v>
      </c>
      <c r="H52" s="40" t="str">
        <f>IF(ISNUMBER(G49),IF(AND(G49&gt;0,H49&gt;=0),H49/G49-1,"n.m."),"n.a.")</f>
        <v>n.m.</v>
      </c>
      <c r="I52" s="7"/>
    </row>
    <row r="53">
      <c r="A53" s="7"/>
      <c r="B53" s="44" t="s">
        <v>70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8">
        <v>0</v>
      </c>
      <c r="I53" s="7"/>
    </row>
    <row r="54">
      <c r="A54" s="7"/>
      <c r="B54" s="44" t="s">
        <v>71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8">
        <v>0</v>
      </c>
      <c r="I54" s="7"/>
    </row>
    <row r="55">
      <c r="A55" s="7"/>
      <c r="B55" s="44" t="s">
        <v>72</v>
      </c>
      <c r="C55" s="24" t="str">
        <f>IF(AND(ISNUMBER(C50),ISNUMBER(C53),ISNUMBER(C54)),(1+C50)/((1+C53)*(1+C54))-1,"unavailable")</f>
        <v>unavailable</v>
      </c>
      <c r="D55" s="24" t="str">
        <f>IF(AND(ISNUMBER(D50),ISNUMBER(D53),ISNUMBER(D54)),(1+D50)/((1+D53)*(1+D54))-1,"unavailable")</f>
        <v>unavailable</v>
      </c>
      <c r="E55" s="24" t="str">
        <f>IF(AND(ISNUMBER(E50),ISNUMBER(E53),ISNUMBER(E54)),(1+E50)/((1+E53)*(1+E54))-1,"unavailable")</f>
        <v>unavailable</v>
      </c>
      <c r="F55" s="24" t="str">
        <f>IF(AND(ISNUMBER(F50),ISNUMBER(F53),ISNUMBER(F54)),(1+F50)/((1+F53)*(1+F54))-1,"unavailable")</f>
        <v>unavailable</v>
      </c>
      <c r="G55" s="24" t="str">
        <f>IF(AND(ISNUMBER(G50),ISNUMBER(G53),ISNUMBER(G54)),(1+G50)/((1+G53)*(1+G54))-1,"unavailable")</f>
        <v>unavailable</v>
      </c>
      <c r="H55" s="40" t="str">
        <f>IF(AND(ISNUMBER(H50),ISNUMBER(H53),ISNUMBER(H54)),(1+H50)/((1+H53)*(1+H54))-1,"unavailable")</f>
        <v>unavailable</v>
      </c>
      <c r="I55" s="7"/>
    </row>
    <row r="56">
      <c r="A56" s="7"/>
      <c r="B56" s="1" t="s">
        <v>86</v>
      </c>
      <c r="C56" s="31">
        <v>25</v>
      </c>
      <c r="D56" s="29">
        <f>E56-Inputs!I205</f>
        <v>23</v>
      </c>
      <c r="E56" s="31">
        <v>95</v>
      </c>
      <c r="F56" s="31">
        <v>30</v>
      </c>
      <c r="G56" s="31">
        <v>24</v>
      </c>
      <c r="H56" s="42">
        <f>G56*(1+H59)</f>
        <v>24.96</v>
      </c>
      <c r="I56" s="39" t="s">
        <v>81</v>
      </c>
    </row>
    <row r="57">
      <c r="A57" s="7"/>
      <c r="B57" s="44" t="s">
        <v>66</v>
      </c>
      <c r="C57" s="41">
        <f>IF(ISNUMBER(Inputs!C205),IF(AND(Inputs!C205&gt;0,C56&gt;=0),C56/Inputs!C205-1,"n.m."),"n.a.")</f>
        <v>-0.1071428571428571</v>
      </c>
      <c r="D57" s="41">
        <f>IF(ISNUMBER(Inputs!D205),IF(AND(Inputs!D205&gt;0,D56&gt;=0),D56/Inputs!D205-1,"n.m."),"n.a.")</f>
        <v>0.09523809523809534</v>
      </c>
      <c r="E57" s="41">
        <f>IF(ISNUMBER(Inputs!E205),IF(AND(Inputs!E205&gt;0,E56&gt;=0),E56/Inputs!E205-1,"n.m."),"n.a.")</f>
        <v>-0.06862745098039214</v>
      </c>
      <c r="F57" s="41">
        <f>IF(ISNUMBER(Inputs!F205),IF(AND(Inputs!F205&gt;0,F56&gt;=0),F56/Inputs!F205-1,"n.m."),"n.a.")</f>
        <v>0.30434782608695654</v>
      </c>
      <c r="G57" s="41">
        <f>IF(ISNUMBER(Inputs!G205),IF(AND(Inputs!G205&gt;0,G56&gt;=0),G56/Inputs!G205-1,"n.m."),"n.a.")</f>
        <v>0</v>
      </c>
      <c r="H57" s="40">
        <f>IF(ISNUMBER(C56),IF(AND(C56&gt;0,H56&gt;=0),H56/C56-1,"n.m."),"n.a.")</f>
        <v>-0.0015999999999999348</v>
      </c>
      <c r="I57" s="7"/>
    </row>
    <row r="58">
      <c r="A58" s="7"/>
      <c r="B58" s="48" t="s">
        <v>78</v>
      </c>
      <c r="C58" s="29">
        <f>IF(ISNUMBER(Inputs!G205),C56-Inputs!G205,"n.a.")</f>
        <v>1</v>
      </c>
      <c r="D58" s="12">
        <f>IF(ISNUMBER(C56),D56-C56,"n.a.")</f>
        <v>-2</v>
      </c>
      <c r="E58" s="12"/>
      <c r="F58" s="12">
        <f>IF(ISNUMBER(D56),F56-D56,"n.a.")</f>
        <v>7</v>
      </c>
      <c r="G58" s="12">
        <f>IF(ISNUMBER(F56),G56-F56,"n.a.")</f>
        <v>-6</v>
      </c>
      <c r="H58" s="42">
        <f>IF(ISNUMBER(G56),H56-G56,"n.a.")</f>
        <v>0.9600000000000009</v>
      </c>
      <c r="I58" s="7"/>
    </row>
    <row r="59">
      <c r="A59" s="7"/>
      <c r="B59" s="44" t="s">
        <v>67</v>
      </c>
      <c r="C59" s="41">
        <f>IF(ISNUMBER(Inputs!G205),IF(AND(Inputs!G205&gt;0,C56&gt;=0),C56/Inputs!G205-1,"n.m."),"n.a.")</f>
        <v>0.04166666666666674</v>
      </c>
      <c r="D59" s="24">
        <f>IF(ISNUMBER(C56),IF(AND(C56&gt;0,D56&gt;=0),D56/C56-1,"n.m."),"n.a.")</f>
        <v>-0.07999999999999996</v>
      </c>
      <c r="E59" s="24"/>
      <c r="F59" s="24">
        <f>IF(ISNUMBER(D56),IF(AND(D56&gt;0,F56&gt;=0),F56/D56-1,"n.m."),"n.a.")</f>
        <v>0.30434782608695654</v>
      </c>
      <c r="G59" s="24">
        <f>IF(ISNUMBER(F56),IF(AND(F56&gt;0,G56&gt;=0),G56/F56-1,"n.m."),"n.a.")</f>
        <v>-0.19999999999999996</v>
      </c>
      <c r="H59" s="58">
        <v>0.04</v>
      </c>
      <c r="I59" s="7"/>
    </row>
    <row r="60">
      <c r="A60" s="7"/>
      <c r="B60" s="44" t="s">
        <v>70</v>
      </c>
      <c r="C60" s="52">
        <v>0</v>
      </c>
      <c r="D60" s="52">
        <v>0</v>
      </c>
      <c r="E60" s="52">
        <v>0</v>
      </c>
      <c r="F60" s="52">
        <v>0</v>
      </c>
      <c r="G60" s="52">
        <v>0</v>
      </c>
      <c r="H60" s="58">
        <v>0</v>
      </c>
      <c r="I60" s="7"/>
    </row>
    <row r="61">
      <c r="A61" s="7"/>
      <c r="B61" s="44" t="s">
        <v>71</v>
      </c>
      <c r="C61" s="52">
        <v>0</v>
      </c>
      <c r="D61" s="52">
        <v>0</v>
      </c>
      <c r="E61" s="52">
        <v>0</v>
      </c>
      <c r="F61" s="52">
        <v>0</v>
      </c>
      <c r="G61" s="52">
        <v>0</v>
      </c>
      <c r="H61" s="58">
        <v>0</v>
      </c>
      <c r="I61" s="7"/>
    </row>
    <row r="62">
      <c r="A62" s="7"/>
      <c r="B62" s="44" t="s">
        <v>72</v>
      </c>
      <c r="C62" s="24">
        <f>IF(AND(ISNUMBER(C57),ISNUMBER(C60),ISNUMBER(C61)),(1+C57)/((1+C60)*(1+C61))-1,"unavailable")</f>
        <v>-0.1071428571428571</v>
      </c>
      <c r="D62" s="24">
        <f>IF(AND(ISNUMBER(D57),ISNUMBER(D60),ISNUMBER(D61)),(1+D57)/((1+D60)*(1+D61))-1,"unavailable")</f>
        <v>0.09523809523809534</v>
      </c>
      <c r="E62" s="24">
        <f>IF(AND(ISNUMBER(E57),ISNUMBER(E60),ISNUMBER(E61)),(1+E57)/((1+E60)*(1+E61))-1,"unavailable")</f>
        <v>-0.06862745098039214</v>
      </c>
      <c r="F62" s="24">
        <f>IF(AND(ISNUMBER(F57),ISNUMBER(F60),ISNUMBER(F61)),(1+F57)/((1+F60)*(1+F61))-1,"unavailable")</f>
        <v>0.30434782608695654</v>
      </c>
      <c r="G62" s="24">
        <f>IF(AND(ISNUMBER(G57),ISNUMBER(G60),ISNUMBER(G61)),(1+G57)/((1+G60)*(1+G61))-1,"unavailable")</f>
        <v>0</v>
      </c>
      <c r="H62" s="40">
        <f>IF(AND(ISNUMBER(H57),ISNUMBER(H60),ISNUMBER(H61)),(1+H57)/((1+H60)*(1+H61))-1,"unavailable")</f>
        <v>-0.0015999999999999348</v>
      </c>
      <c r="I62" s="7"/>
    </row>
    <row r="63">
      <c r="A63" s="7"/>
      <c r="B63" s="1" t="s">
        <v>87</v>
      </c>
      <c r="C63" s="31">
        <v>-27</v>
      </c>
      <c r="D63" s="29">
        <f>E63-Inputs!I206</f>
        <v>0</v>
      </c>
      <c r="E63" s="31">
        <v>-53</v>
      </c>
      <c r="F63" s="31">
        <v>-3</v>
      </c>
      <c r="G63" s="31">
        <v>-41</v>
      </c>
      <c r="H63" s="71">
        <v>0</v>
      </c>
      <c r="I63" s="39" t="s">
        <v>81</v>
      </c>
    </row>
    <row r="64">
      <c r="A64" s="7"/>
      <c r="B64" s="44" t="s">
        <v>66</v>
      </c>
      <c r="C64" s="41" t="str">
        <f>IF(ISNUMBER(Inputs!C206),IF(AND(Inputs!C206&gt;0,C63&gt;=0),C63/Inputs!C206-1,"n.m."),"n.a.")</f>
        <v>n.m.</v>
      </c>
      <c r="D64" s="41" t="str">
        <f>IF(ISNUMBER(Inputs!D206),IF(AND(Inputs!D206&gt;0,D63&gt;=0),D63/Inputs!D206-1,"n.m."),"n.a.")</f>
        <v>n.m.</v>
      </c>
      <c r="E64" s="41" t="str">
        <f>IF(ISNUMBER(Inputs!E206),IF(AND(Inputs!E206&gt;0,E63&gt;=0),E63/Inputs!E206-1,"n.m."),"n.a.")</f>
        <v>n.m.</v>
      </c>
      <c r="F64" s="41" t="str">
        <f>IF(ISNUMBER(Inputs!F206),IF(AND(Inputs!F206&gt;0,F63&gt;=0),F63/Inputs!F206-1,"n.m."),"n.a.")</f>
        <v>n.m.</v>
      </c>
      <c r="G64" s="41" t="str">
        <f>IF(ISNUMBER(Inputs!G206),IF(AND(Inputs!G206&gt;0,G63&gt;=0),G63/Inputs!G206-1,"n.m."),"n.a.")</f>
        <v>n.m.</v>
      </c>
      <c r="H64" s="40" t="str">
        <f>IF(ISNUMBER(C63),IF(AND(C63&gt;0,H63&gt;=0),H63/C63-1,"n.m."),"n.a.")</f>
        <v>n.m.</v>
      </c>
      <c r="I64" s="7"/>
    </row>
    <row r="65">
      <c r="A65" s="7"/>
      <c r="B65" s="48" t="s">
        <v>78</v>
      </c>
      <c r="C65" s="29">
        <f>IF(ISNUMBER(Inputs!G206),C63-Inputs!G206,"n.a.")</f>
        <v>-26</v>
      </c>
      <c r="D65" s="12">
        <f>IF(ISNUMBER(C63),D63-C63,"n.a.")</f>
        <v>27</v>
      </c>
      <c r="E65" s="12"/>
      <c r="F65" s="12">
        <f>IF(ISNUMBER(D63),F63-D63,"n.a.")</f>
        <v>-3</v>
      </c>
      <c r="G65" s="12">
        <f>IF(ISNUMBER(F63),G63-F63,"n.a.")</f>
        <v>-38</v>
      </c>
      <c r="H65" s="42">
        <f>IF(ISNUMBER(G63),H63-G63,"n.a.")</f>
        <v>41</v>
      </c>
      <c r="I65" s="7"/>
    </row>
    <row r="66">
      <c r="A66" s="7"/>
      <c r="B66" s="44" t="s">
        <v>67</v>
      </c>
      <c r="C66" s="41" t="str">
        <f>IF(ISNUMBER(Inputs!G206),IF(AND(Inputs!G206&gt;0,C63&gt;=0),C63/Inputs!G206-1,"n.m."),"n.a.")</f>
        <v>n.m.</v>
      </c>
      <c r="D66" s="24" t="str">
        <f>IF(ISNUMBER(C63),IF(AND(C63&gt;0,D63&gt;=0),D63/C63-1,"n.m."),"n.a.")</f>
        <v>n.m.</v>
      </c>
      <c r="E66" s="24"/>
      <c r="F66" s="24" t="str">
        <f>IF(ISNUMBER(D63),IF(AND(D63&gt;0,F63&gt;=0),F63/D63-1,"n.m."),"n.a.")</f>
        <v>n.m.</v>
      </c>
      <c r="G66" s="24" t="str">
        <f>IF(ISNUMBER(F63),IF(AND(F63&gt;0,G63&gt;=0),G63/F63-1,"n.m."),"n.a.")</f>
        <v>n.m.</v>
      </c>
      <c r="H66" s="40" t="str">
        <f>IF(ISNUMBER(G63),IF(AND(G63&gt;0,H63&gt;=0),H63/G63-1,"n.m."),"n.a.")</f>
        <v>n.m.</v>
      </c>
      <c r="I66" s="7"/>
    </row>
    <row r="67">
      <c r="A67" s="7"/>
      <c r="B67" s="44" t="s">
        <v>70</v>
      </c>
      <c r="C67" s="52">
        <v>0</v>
      </c>
      <c r="D67" s="52">
        <v>0</v>
      </c>
      <c r="E67" s="52">
        <v>0</v>
      </c>
      <c r="F67" s="52">
        <v>0</v>
      </c>
      <c r="G67" s="52">
        <v>0</v>
      </c>
      <c r="H67" s="58">
        <v>0</v>
      </c>
      <c r="I67" s="7"/>
    </row>
    <row r="68">
      <c r="A68" s="7"/>
      <c r="B68" s="44" t="s">
        <v>71</v>
      </c>
      <c r="C68" s="52">
        <v>0</v>
      </c>
      <c r="D68" s="52">
        <v>0</v>
      </c>
      <c r="E68" s="52">
        <v>0</v>
      </c>
      <c r="F68" s="52">
        <v>0</v>
      </c>
      <c r="G68" s="52">
        <v>0</v>
      </c>
      <c r="H68" s="58">
        <v>0</v>
      </c>
      <c r="I68" s="7"/>
    </row>
    <row r="69">
      <c r="A69" s="7"/>
      <c r="B69" s="44" t="s">
        <v>72</v>
      </c>
      <c r="C69" s="24" t="str">
        <f>IF(AND(ISNUMBER(C64),ISNUMBER(C67),ISNUMBER(C68)),(1+C64)/((1+C67)*(1+C68))-1,"unavailable")</f>
        <v>unavailable</v>
      </c>
      <c r="D69" s="24" t="str">
        <f>IF(AND(ISNUMBER(D64),ISNUMBER(D67),ISNUMBER(D68)),(1+D64)/((1+D67)*(1+D68))-1,"unavailable")</f>
        <v>unavailable</v>
      </c>
      <c r="E69" s="24" t="str">
        <f>IF(AND(ISNUMBER(E64),ISNUMBER(E67),ISNUMBER(E68)),(1+E64)/((1+E67)*(1+E68))-1,"unavailable")</f>
        <v>unavailable</v>
      </c>
      <c r="F69" s="24" t="str">
        <f>IF(AND(ISNUMBER(F64),ISNUMBER(F67),ISNUMBER(F68)),(1+F64)/((1+F67)*(1+F68))-1,"unavailable")</f>
        <v>unavailable</v>
      </c>
      <c r="G69" s="24" t="str">
        <f>IF(AND(ISNUMBER(G64),ISNUMBER(G67),ISNUMBER(G68)),(1+G64)/((1+G67)*(1+G68))-1,"unavailable")</f>
        <v>unavailable</v>
      </c>
      <c r="H69" s="40" t="str">
        <f>IF(AND(ISNUMBER(H64),ISNUMBER(H67),ISNUMBER(H68)),(1+H64)/((1+H67)*(1+H68))-1,"unavailable")</f>
        <v>unavailable</v>
      </c>
      <c r="I69" s="7"/>
    </row>
    <row r="70">
      <c r="A70" s="7"/>
      <c r="B70" s="1" t="s">
        <v>88</v>
      </c>
      <c r="C70" s="31">
        <v>12</v>
      </c>
      <c r="D70" s="29">
        <f>E70-Inputs!I207</f>
        <v>-5</v>
      </c>
      <c r="E70" s="31">
        <v>20</v>
      </c>
      <c r="F70" s="31">
        <v>-5</v>
      </c>
      <c r="G70" s="31">
        <v>24</v>
      </c>
      <c r="H70" s="71">
        <v>4</v>
      </c>
      <c r="I70" s="39" t="s">
        <v>81</v>
      </c>
    </row>
    <row r="71">
      <c r="A71" s="7"/>
      <c r="B71" s="44" t="s">
        <v>66</v>
      </c>
      <c r="C71" s="41">
        <f>IF(ISNUMBER(Inputs!C207),IF(AND(Inputs!C207&gt;0,C70&gt;=0),C70/Inputs!C207-1,"n.m."),"n.a.")</f>
        <v>-0.07692307692307687</v>
      </c>
      <c r="D71" s="41" t="str">
        <f>IF(ISNUMBER(Inputs!D207),IF(AND(Inputs!D207&gt;0,D70&gt;=0),D70/Inputs!D207-1,"n.m."),"n.a.")</f>
        <v>n.m.</v>
      </c>
      <c r="E71" s="41">
        <f>IF(ISNUMBER(Inputs!E207),IF(AND(Inputs!E207&gt;0,E70&gt;=0),E70/Inputs!E207-1,"n.m."),"n.a.")</f>
        <v>-0.19999999999999996</v>
      </c>
      <c r="F71" s="41" t="str">
        <f>IF(ISNUMBER(Inputs!F207),IF(AND(Inputs!F207&gt;0,F70&gt;=0),F70/Inputs!F207-1,"n.m."),"n.a.")</f>
        <v>n.m.</v>
      </c>
      <c r="G71" s="41">
        <f>IF(ISNUMBER(Inputs!G207),IF(AND(Inputs!G207&gt;0,G70&gt;=0),G70/Inputs!G207-1,"n.m."),"n.a.")</f>
        <v>0.5</v>
      </c>
      <c r="H71" s="40">
        <f>IF(ISNUMBER(C70),IF(AND(C70&gt;0,H70&gt;=0),H70/C70-1,"n.m."),"n.a.")</f>
        <v>-0.6666666666666667</v>
      </c>
      <c r="I71" s="7"/>
    </row>
    <row r="72">
      <c r="A72" s="7"/>
      <c r="B72" s="48" t="s">
        <v>78</v>
      </c>
      <c r="C72" s="29">
        <f>IF(ISNUMBER(Inputs!G207),C70-Inputs!G207,"n.a.")</f>
        <v>-4</v>
      </c>
      <c r="D72" s="12">
        <f>IF(ISNUMBER(C70),D70-C70,"n.a.")</f>
        <v>-17</v>
      </c>
      <c r="E72" s="12"/>
      <c r="F72" s="12">
        <f>IF(ISNUMBER(D70),F70-D70,"n.a.")</f>
        <v>0</v>
      </c>
      <c r="G72" s="12">
        <f>IF(ISNUMBER(F70),G70-F70,"n.a.")</f>
        <v>29</v>
      </c>
      <c r="H72" s="42">
        <f>IF(ISNUMBER(G70),H70-G70,"n.a.")</f>
        <v>-20</v>
      </c>
      <c r="I72" s="7"/>
    </row>
    <row r="73">
      <c r="A73" s="7"/>
      <c r="B73" s="44" t="s">
        <v>67</v>
      </c>
      <c r="C73" s="41">
        <f>IF(ISNUMBER(Inputs!G207),IF(AND(Inputs!G207&gt;0,C70&gt;=0),C70/Inputs!G207-1,"n.m."),"n.a.")</f>
        <v>-0.25</v>
      </c>
      <c r="D73" s="24" t="str">
        <f>IF(ISNUMBER(C70),IF(AND(C70&gt;0,D70&gt;=0),D70/C70-1,"n.m."),"n.a.")</f>
        <v>n.m.</v>
      </c>
      <c r="E73" s="24"/>
      <c r="F73" s="24" t="str">
        <f>IF(ISNUMBER(D70),IF(AND(D70&gt;0,F70&gt;=0),F70/D70-1,"n.m."),"n.a.")</f>
        <v>n.m.</v>
      </c>
      <c r="G73" s="24" t="str">
        <f>IF(ISNUMBER(F70),IF(AND(F70&gt;0,G70&gt;=0),G70/F70-1,"n.m."),"n.a.")</f>
        <v>n.m.</v>
      </c>
      <c r="H73" s="40">
        <f>IF(ISNUMBER(G70),IF(AND(G70&gt;0,H70&gt;=0),H70/G70-1,"n.m."),"n.a.")</f>
        <v>-0.8333333333333334</v>
      </c>
      <c r="I73" s="7"/>
    </row>
    <row r="74">
      <c r="A74" s="7"/>
      <c r="B74" s="44" t="s">
        <v>70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8">
        <v>0</v>
      </c>
      <c r="I74" s="7"/>
    </row>
    <row r="75">
      <c r="A75" s="7"/>
      <c r="B75" s="44" t="s">
        <v>71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8">
        <v>0</v>
      </c>
      <c r="I75" s="7"/>
    </row>
    <row r="76">
      <c r="A76" s="7"/>
      <c r="B76" s="44" t="s">
        <v>72</v>
      </c>
      <c r="C76" s="24">
        <f>IF(AND(ISNUMBER(C71),ISNUMBER(C74),ISNUMBER(C75)),(1+C71)/((1+C74)*(1+C75))-1,"unavailable")</f>
        <v>-0.07692307692307687</v>
      </c>
      <c r="D76" s="24" t="str">
        <f>IF(AND(ISNUMBER(D71),ISNUMBER(D74),ISNUMBER(D75)),(1+D71)/((1+D74)*(1+D75))-1,"unavailable")</f>
        <v>unavailable</v>
      </c>
      <c r="E76" s="24">
        <f>IF(AND(ISNUMBER(E71),ISNUMBER(E74),ISNUMBER(E75)),(1+E71)/((1+E74)*(1+E75))-1,"unavailable")</f>
        <v>-0.19999999999999996</v>
      </c>
      <c r="F76" s="24" t="str">
        <f>IF(AND(ISNUMBER(F71),ISNUMBER(F74),ISNUMBER(F75)),(1+F71)/((1+F74)*(1+F75))-1,"unavailable")</f>
        <v>unavailable</v>
      </c>
      <c r="G76" s="24">
        <f>IF(AND(ISNUMBER(G71),ISNUMBER(G74),ISNUMBER(G75)),(1+G71)/((1+G74)*(1+G75))-1,"unavailable")</f>
        <v>0.5</v>
      </c>
      <c r="H76" s="40">
        <f>IF(AND(ISNUMBER(H71),ISNUMBER(H74),ISNUMBER(H75)),(1+H71)/((1+H74)*(1+H75))-1,"unavailable")</f>
        <v>-0.6666666666666667</v>
      </c>
      <c r="I76" s="7"/>
    </row>
    <row r="77" ht="28.5">
      <c r="A77" s="7"/>
      <c r="B77" s="1" t="s">
        <v>89</v>
      </c>
      <c r="C77" s="31">
        <v>-24</v>
      </c>
      <c r="D77" s="29">
        <f>E77-Inputs!I208</f>
        <v>-33</v>
      </c>
      <c r="E77" s="31">
        <v>-103</v>
      </c>
      <c r="F77" s="31">
        <v>-22</v>
      </c>
      <c r="G77" s="31">
        <v>-37</v>
      </c>
      <c r="H77" s="71">
        <v>-30</v>
      </c>
      <c r="I77" s="142" t="s">
        <v>90</v>
      </c>
    </row>
    <row r="78">
      <c r="A78" s="7"/>
      <c r="B78" s="44" t="s">
        <v>66</v>
      </c>
      <c r="C78" s="41" t="str">
        <f>IF(ISNUMBER(Inputs!C208),IF(AND(Inputs!C208&gt;0,C77&gt;=0),C77/Inputs!C208-1,"n.m."),"n.a.")</f>
        <v>n.m.</v>
      </c>
      <c r="D78" s="41" t="str">
        <f>IF(ISNUMBER(Inputs!D208),IF(AND(Inputs!D208&gt;0,D77&gt;=0),D77/Inputs!D208-1,"n.m."),"n.a.")</f>
        <v>n.m.</v>
      </c>
      <c r="E78" s="41" t="str">
        <f>IF(ISNUMBER(Inputs!E208),IF(AND(Inputs!E208&gt;0,E77&gt;=0),E77/Inputs!E208-1,"n.m."),"n.a.")</f>
        <v>n.m.</v>
      </c>
      <c r="F78" s="41" t="str">
        <f>IF(ISNUMBER(Inputs!F208),IF(AND(Inputs!F208&gt;0,F77&gt;=0),F77/Inputs!F208-1,"n.m."),"n.a.")</f>
        <v>n.m.</v>
      </c>
      <c r="G78" s="41" t="str">
        <f>IF(ISNUMBER(Inputs!G208),IF(AND(Inputs!G208&gt;0,G77&gt;=0),G77/Inputs!G208-1,"n.m."),"n.a.")</f>
        <v>n.m.</v>
      </c>
      <c r="H78" s="40" t="str">
        <f>IF(ISNUMBER(C77),IF(AND(C77&gt;0,H77&gt;=0),H77/C77-1,"n.m."),"n.a.")</f>
        <v>n.m.</v>
      </c>
      <c r="I78" s="7"/>
    </row>
    <row r="79">
      <c r="A79" s="7"/>
      <c r="B79" s="48" t="s">
        <v>78</v>
      </c>
      <c r="C79" s="29">
        <f>IF(ISNUMBER(Inputs!G208),C77-Inputs!G208,"n.a.")</f>
        <v>1</v>
      </c>
      <c r="D79" s="12">
        <f>IF(ISNUMBER(C77),D77-C77,"n.a.")</f>
        <v>-9</v>
      </c>
      <c r="E79" s="12"/>
      <c r="F79" s="12">
        <f>IF(ISNUMBER(D77),F77-D77,"n.a.")</f>
        <v>11</v>
      </c>
      <c r="G79" s="12">
        <f>IF(ISNUMBER(F77),G77-F77,"n.a.")</f>
        <v>-15</v>
      </c>
      <c r="H79" s="42">
        <f>IF(ISNUMBER(G77),H77-G77,"n.a.")</f>
        <v>7</v>
      </c>
      <c r="I79" s="7"/>
    </row>
    <row r="80">
      <c r="A80" s="7"/>
      <c r="B80" s="44" t="s">
        <v>67</v>
      </c>
      <c r="C80" s="41" t="str">
        <f>IF(ISNUMBER(Inputs!G208),IF(AND(Inputs!G208&gt;0,C77&gt;=0),C77/Inputs!G208-1,"n.m."),"n.a.")</f>
        <v>n.m.</v>
      </c>
      <c r="D80" s="24" t="str">
        <f>IF(ISNUMBER(C77),IF(AND(C77&gt;0,D77&gt;=0),D77/C77-1,"n.m."),"n.a.")</f>
        <v>n.m.</v>
      </c>
      <c r="E80" s="24"/>
      <c r="F80" s="24" t="str">
        <f>IF(ISNUMBER(D77),IF(AND(D77&gt;0,F77&gt;=0),F77/D77-1,"n.m."),"n.a.")</f>
        <v>n.m.</v>
      </c>
      <c r="G80" s="24" t="str">
        <f>IF(ISNUMBER(F77),IF(AND(F77&gt;0,G77&gt;=0),G77/F77-1,"n.m."),"n.a.")</f>
        <v>n.m.</v>
      </c>
      <c r="H80" s="40" t="str">
        <f>IF(ISNUMBER(G77),IF(AND(G77&gt;0,H77&gt;=0),H77/G77-1,"n.m."),"n.a.")</f>
        <v>n.m.</v>
      </c>
      <c r="I80" s="7"/>
    </row>
    <row r="81">
      <c r="A81" s="7"/>
      <c r="B81" s="44" t="s">
        <v>70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8">
        <v>0</v>
      </c>
      <c r="I81" s="7"/>
    </row>
    <row r="82">
      <c r="A82" s="7"/>
      <c r="B82" s="44" t="s">
        <v>71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8">
        <v>0</v>
      </c>
      <c r="I82" s="7"/>
    </row>
    <row r="83">
      <c r="A83" s="7"/>
      <c r="B83" s="44" t="s">
        <v>72</v>
      </c>
      <c r="C83" s="24" t="str">
        <f>IF(AND(ISNUMBER(C78),ISNUMBER(C81),ISNUMBER(C82)),(1+C78)/((1+C81)*(1+C82))-1,"unavailable")</f>
        <v>unavailable</v>
      </c>
      <c r="D83" s="24" t="str">
        <f>IF(AND(ISNUMBER(D78),ISNUMBER(D81),ISNUMBER(D82)),(1+D78)/((1+D81)*(1+D82))-1,"unavailable")</f>
        <v>unavailable</v>
      </c>
      <c r="E83" s="24" t="str">
        <f>IF(AND(ISNUMBER(E78),ISNUMBER(E81),ISNUMBER(E82)),(1+E78)/((1+E81)*(1+E82))-1,"unavailable")</f>
        <v>unavailable</v>
      </c>
      <c r="F83" s="24" t="str">
        <f>IF(AND(ISNUMBER(F78),ISNUMBER(F81),ISNUMBER(F82)),(1+F78)/((1+F81)*(1+F82))-1,"unavailable")</f>
        <v>unavailable</v>
      </c>
      <c r="G83" s="24" t="str">
        <f>IF(AND(ISNUMBER(G78),ISNUMBER(G81),ISNUMBER(G82)),(1+G78)/((1+G81)*(1+G82))-1,"unavailable")</f>
        <v>unavailable</v>
      </c>
      <c r="H83" s="40" t="str">
        <f>IF(AND(ISNUMBER(H78),ISNUMBER(H81),ISNUMBER(H82)),(1+H78)/((1+H81)*(1+H82))-1,"unavailable")</f>
        <v>unavailable</v>
      </c>
      <c r="I83" s="7"/>
    </row>
    <row r="84">
      <c r="A84" s="7"/>
      <c r="B84" s="33" t="s">
        <v>91</v>
      </c>
      <c r="C84" s="35">
        <f>C42+C49+C56+C63+C70+C77</f>
        <v>-14</v>
      </c>
      <c r="D84" s="35">
        <f>D42+D49+D56+D63+D70+D77</f>
        <v>-16</v>
      </c>
      <c r="E84" s="35">
        <f>E42+E49+E56+E63+E70+E77</f>
        <v>-41</v>
      </c>
      <c r="F84" s="35">
        <f>F42+F49+F56+F63+F70+F77</f>
        <v>0</v>
      </c>
      <c r="G84" s="35">
        <f>G42+G49+G56+G63+G70+G77</f>
        <v>-30</v>
      </c>
      <c r="H84" s="50">
        <f>H42+H49+H56+H63+H70+H77</f>
        <v>-1.0399999999999991</v>
      </c>
      <c r="I84" s="7"/>
    </row>
    <row r="85">
      <c r="A85" s="7"/>
      <c r="B85" s="44" t="s">
        <v>66</v>
      </c>
      <c r="C85" s="41" t="str">
        <f>IF(ISNUMBER(Inputs!C209),IF(AND(Inputs!C209&gt;0,C84&gt;=0),C84/Inputs!C209-1,"n.m."),"n.a.")</f>
        <v>n.m.</v>
      </c>
      <c r="D85" s="41" t="str">
        <f>IF(ISNUMBER(Inputs!D209),IF(AND(Inputs!D209&gt;0,D84&gt;=0),D84/Inputs!D209-1,"n.m."),"n.a.")</f>
        <v>n.m.</v>
      </c>
      <c r="E85" s="41" t="str">
        <f>IF(ISNUMBER(Inputs!E209),IF(AND(Inputs!E209&gt;0,E84&gt;=0),E84/Inputs!E209-1,"n.m."),"n.a.")</f>
        <v>n.m.</v>
      </c>
      <c r="F85" s="41" t="str">
        <f>IF(ISNUMBER(Inputs!F209),IF(AND(Inputs!F209&gt;0,F84&gt;=0),F84/Inputs!F209-1,"n.m."),"n.a.")</f>
        <v>n.m.</v>
      </c>
      <c r="G85" s="41" t="str">
        <f>IF(ISNUMBER(Inputs!G209),IF(AND(Inputs!G209&gt;0,G84&gt;=0),G84/Inputs!G209-1,"n.m."),"n.a.")</f>
        <v>n.m.</v>
      </c>
      <c r="H85" s="40" t="str">
        <f>IF(ISNUMBER(C84),IF(AND(C84&gt;0,H84&gt;=0),H84/C84-1,"n.m."),"n.a.")</f>
        <v>n.m.</v>
      </c>
      <c r="I85" s="7"/>
    </row>
    <row r="86">
      <c r="A86" s="7"/>
      <c r="B86" s="48" t="s">
        <v>78</v>
      </c>
      <c r="C86" s="29">
        <f>IF(ISNUMBER(Inputs!G209),C84-Inputs!G209,"n.a.")</f>
        <v>-28</v>
      </c>
      <c r="D86" s="12">
        <f>IF(ISNUMBER(C84),D84-C84,"n.a.")</f>
        <v>-2</v>
      </c>
      <c r="E86" s="12"/>
      <c r="F86" s="12">
        <f>IF(ISNUMBER(D84),F84-D84,"n.a.")</f>
        <v>16</v>
      </c>
      <c r="G86" s="12">
        <f>IF(ISNUMBER(F84),G84-F84,"n.a.")</f>
        <v>-30</v>
      </c>
      <c r="H86" s="42">
        <f>IF(ISNUMBER(G84),H84-G84,"n.a.")</f>
        <v>28.96</v>
      </c>
      <c r="I86" s="7"/>
    </row>
    <row r="87">
      <c r="A87" s="7"/>
      <c r="B87" s="44" t="s">
        <v>70</v>
      </c>
      <c r="C87" s="52">
        <v>0</v>
      </c>
      <c r="D87" s="52">
        <v>0</v>
      </c>
      <c r="E87" s="52">
        <v>0</v>
      </c>
      <c r="F87" s="52">
        <v>0</v>
      </c>
      <c r="G87" s="52">
        <v>0</v>
      </c>
      <c r="H87" s="58">
        <v>0</v>
      </c>
      <c r="I87" s="7"/>
    </row>
    <row r="88">
      <c r="A88" s="7"/>
      <c r="B88" s="44" t="s">
        <v>71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8">
        <v>0</v>
      </c>
      <c r="I88" s="7"/>
    </row>
    <row r="89">
      <c r="A89" s="7"/>
      <c r="B89" s="44" t="s">
        <v>72</v>
      </c>
      <c r="C89" s="24" t="str">
        <f>IF(AND(ISNUMBER(C85),ISNUMBER(C87),ISNUMBER(C88)),(1+C85)/((1+C87)*(1+C88))-1,"unavailable")</f>
        <v>unavailable</v>
      </c>
      <c r="D89" s="24" t="str">
        <f>IF(AND(ISNUMBER(D85),ISNUMBER(D87),ISNUMBER(D88)),(1+D85)/((1+D87)*(1+D88))-1,"unavailable")</f>
        <v>unavailable</v>
      </c>
      <c r="E89" s="24" t="str">
        <f>IF(AND(ISNUMBER(E85),ISNUMBER(E87),ISNUMBER(E88)),(1+E85)/((1+E87)*(1+E88))-1,"unavailable")</f>
        <v>unavailable</v>
      </c>
      <c r="F89" s="24" t="str">
        <f>IF(AND(ISNUMBER(F85),ISNUMBER(F87),ISNUMBER(F88)),(1+F85)/((1+F87)*(1+F88))-1,"unavailable")</f>
        <v>unavailable</v>
      </c>
      <c r="G89" s="24" t="str">
        <f>IF(AND(ISNUMBER(G85),ISNUMBER(G87),ISNUMBER(G88)),(1+G85)/((1+G87)*(1+G88))-1,"unavailable")</f>
        <v>unavailable</v>
      </c>
      <c r="H89" s="40" t="str">
        <f>IF(AND(ISNUMBER(H85),ISNUMBER(H87),ISNUMBER(H88)),(1+H85)/((1+H87)*(1+H88))-1,"unavailable")</f>
        <v>unavailable</v>
      </c>
      <c r="I89" s="7"/>
    </row>
    <row r="90">
      <c r="A90" s="7"/>
      <c r="B90" s="34" t="s">
        <v>92</v>
      </c>
      <c r="C90" s="35">
        <f>C34+C84</f>
        <v>-14</v>
      </c>
      <c r="D90" s="35">
        <f>D34+D84</f>
        <v>-16</v>
      </c>
      <c r="E90" s="35">
        <f>E34+E84</f>
        <v>-41</v>
      </c>
      <c r="F90" s="35">
        <f>F34+F84</f>
        <v>0</v>
      </c>
      <c r="G90" s="35">
        <f>G34+G84</f>
        <v>-30</v>
      </c>
      <c r="H90" s="50">
        <f>H34+H84</f>
        <v>-0.9870657301016905</v>
      </c>
      <c r="I90" s="7"/>
    </row>
    <row r="91">
      <c r="A91" s="7"/>
      <c r="B91" s="44" t="s">
        <v>66</v>
      </c>
      <c r="C91" s="41" t="str">
        <f>IF(ISNUMBER(Inputs!C210),IF(AND(Inputs!C210&gt;0,C90&gt;=0),C90/Inputs!C210-1,"n.m."),"n.a.")</f>
        <v>n.m.</v>
      </c>
      <c r="D91" s="41" t="str">
        <f>IF(ISNUMBER(Inputs!D210),IF(AND(Inputs!D210&gt;0,D90&gt;=0),D90/Inputs!D210-1,"n.m."),"n.a.")</f>
        <v>n.m.</v>
      </c>
      <c r="E91" s="41" t="str">
        <f>IF(ISNUMBER(Inputs!E210),IF(AND(Inputs!E210&gt;0,E90&gt;=0),E90/Inputs!E210-1,"n.m."),"n.a.")</f>
        <v>n.m.</v>
      </c>
      <c r="F91" s="41" t="str">
        <f>IF(ISNUMBER(Inputs!F210),IF(AND(Inputs!F210&gt;0,F90&gt;=0),F90/Inputs!F210-1,"n.m."),"n.a.")</f>
        <v>n.m.</v>
      </c>
      <c r="G91" s="41" t="str">
        <f>IF(ISNUMBER(Inputs!G210),IF(AND(Inputs!G210&gt;0,G90&gt;=0),G90/Inputs!G210-1,"n.m."),"n.a.")</f>
        <v>n.m.</v>
      </c>
      <c r="H91" s="40" t="str">
        <f>IF(ISNUMBER(C90),IF(AND(C90&gt;0,H90&gt;=0),H90/C90-1,"n.m."),"n.a.")</f>
        <v>n.m.</v>
      </c>
      <c r="I91" s="7"/>
    </row>
    <row r="92">
      <c r="A92" s="7"/>
      <c r="B92" s="44" t="s">
        <v>67</v>
      </c>
      <c r="C92" s="41" t="str">
        <f>IF(ISNUMBER(Inputs!G210),IF(AND(Inputs!G210&gt;0,C90&gt;=0),C90/Inputs!G210-1,"n.m."),"n.a.")</f>
        <v>n.m.</v>
      </c>
      <c r="D92" s="24" t="str">
        <f>IF(ISNUMBER(C90),IF(AND(C90&gt;0,D90&gt;=0),D90/C90-1,"n.m."),"n.a.")</f>
        <v>n.m.</v>
      </c>
      <c r="E92" s="24"/>
      <c r="F92" s="24" t="str">
        <f>IF(ISNUMBER(D90),IF(AND(D90&gt;0,F90&gt;=0),F90/D90-1,"n.m."),"n.a.")</f>
        <v>n.m.</v>
      </c>
      <c r="G92" s="24" t="str">
        <f>IF(ISNUMBER(F90),IF(AND(F90&gt;0,G90&gt;=0),G90/F90-1,"n.m."),"n.a.")</f>
        <v>n.m.</v>
      </c>
      <c r="H92" s="40" t="str">
        <f>IF(ISNUMBER(G90),IF(AND(G90&gt;0,H90&gt;=0),H90/G90-1,"n.m."),"n.a.")</f>
        <v>n.m.</v>
      </c>
      <c r="I92" s="7"/>
    </row>
    <row r="93">
      <c r="A93" s="7"/>
      <c r="B93" s="44" t="s">
        <v>68</v>
      </c>
      <c r="C93" s="24">
        <f>C90/C98</f>
        <v>-0.007306889352818371</v>
      </c>
      <c r="D93" s="24">
        <f>D90/D98</f>
        <v>-0.008328995314940135</v>
      </c>
      <c r="E93" s="24">
        <f>E90/E98</f>
        <v>-0.005447781025777305</v>
      </c>
      <c r="F93" s="24">
        <f>F90/F98</f>
        <v>0</v>
      </c>
      <c r="G93" s="24">
        <f>G90/G98</f>
        <v>-0.015731515469323543</v>
      </c>
      <c r="H93" s="40">
        <f>H90/H98</f>
        <v>-0.0005019066723700479</v>
      </c>
      <c r="I93" s="7"/>
    </row>
    <row r="94">
      <c r="A94" s="7"/>
      <c r="B94" s="69" t="s">
        <v>69</v>
      </c>
      <c r="C94" s="38" t="str">
        <f>"n.a."</f>
        <v>n.a.</v>
      </c>
      <c r="D94" s="38">
        <f>IF(AND(ISNUMBER(D93),ISNUMBER(C93)),(D93-C93)*10000,"n.a.")</f>
        <v>-10.22105962121764</v>
      </c>
      <c r="E94" s="38"/>
      <c r="F94" s="38">
        <f>IF(AND(ISNUMBER(F93),ISNUMBER(D93)),(F93-D93)*10000,"n.a.")</f>
        <v>83.28995314940136</v>
      </c>
      <c r="G94" s="38">
        <f>IF(AND(ISNUMBER(G93),ISNUMBER(F93)),(G93-F93)*10000,"n.a.")</f>
        <v>-157.31515469323543</v>
      </c>
      <c r="H94" s="67">
        <f>IF(AND(ISNUMBER(H93),ISNUMBER(G93)),(H93-G93)*10000,"n.a.")</f>
        <v>152.29608796953494</v>
      </c>
      <c r="I94" s="7"/>
    </row>
    <row r="95">
      <c r="A95" s="7"/>
      <c r="B95" s="44" t="s">
        <v>70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8">
        <v>0</v>
      </c>
      <c r="I95" s="7"/>
    </row>
    <row r="96">
      <c r="A96" s="7"/>
      <c r="B96" s="44" t="s">
        <v>71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8">
        <v>0</v>
      </c>
      <c r="I96" s="7"/>
    </row>
    <row r="97">
      <c r="A97" s="7"/>
      <c r="B97" s="44" t="s">
        <v>72</v>
      </c>
      <c r="C97" s="24" t="str">
        <f>IF(AND(ISNUMBER(C91),ISNUMBER(C95),ISNUMBER(C96)),(1+C91)/((1+C95)*(1+C96))-1,"unavailable")</f>
        <v>unavailable</v>
      </c>
      <c r="D97" s="24" t="str">
        <f>IF(AND(ISNUMBER(D91),ISNUMBER(D95),ISNUMBER(D96)),(1+D91)/((1+D95)*(1+D96))-1,"unavailable")</f>
        <v>unavailable</v>
      </c>
      <c r="E97" s="24" t="str">
        <f>IF(AND(ISNUMBER(E91),ISNUMBER(E95),ISNUMBER(E96)),(1+E91)/((1+E95)*(1+E96))-1,"unavailable")</f>
        <v>unavailable</v>
      </c>
      <c r="F97" s="24" t="str">
        <f>IF(AND(ISNUMBER(F91),ISNUMBER(F95),ISNUMBER(F96)),(1+F91)/((1+F95)*(1+F96))-1,"unavailable")</f>
        <v>unavailable</v>
      </c>
      <c r="G97" s="24" t="str">
        <f>IF(AND(ISNUMBER(G91),ISNUMBER(G95),ISNUMBER(G96)),(1+G91)/((1+G95)*(1+G96))-1,"unavailable")</f>
        <v>unavailable</v>
      </c>
      <c r="H97" s="40" t="str">
        <f>IF(AND(ISNUMBER(H91),ISNUMBER(H95),ISNUMBER(H96)),(1+H91)/((1+H95)*(1+H96))-1,"unavailable")</f>
        <v>unavailable</v>
      </c>
      <c r="I97" s="7"/>
    </row>
    <row r="98">
      <c r="A98" s="7"/>
      <c r="B98" s="34" t="s">
        <v>93</v>
      </c>
      <c r="C98" s="35">
        <f>C9+C17+C25+C90</f>
        <v>1916</v>
      </c>
      <c r="D98" s="35">
        <f>D9+D17+D25+D90</f>
        <v>1921</v>
      </c>
      <c r="E98" s="35">
        <f>E9+E17+E25+E90</f>
        <v>7526</v>
      </c>
      <c r="F98" s="35">
        <f>F9+F17+F25+F90</f>
        <v>1873</v>
      </c>
      <c r="G98" s="35">
        <f>G9+G17+G25+G90</f>
        <v>1907</v>
      </c>
      <c r="H98" s="50">
        <f>H9+H17+H25+H90</f>
        <v>1966.6320143557336</v>
      </c>
      <c r="I98" s="7"/>
    </row>
    <row r="99">
      <c r="A99" s="7"/>
      <c r="B99" s="44" t="s">
        <v>66</v>
      </c>
      <c r="C99" s="41">
        <f>IF(ISNUMBER(Inputs!C211),IF(AND(Inputs!C211&gt;0,C98&gt;=0),C98/Inputs!C211-1,"n.m."),"n.a.")</f>
        <v>0.07039106145251406</v>
      </c>
      <c r="D99" s="41">
        <f>IF(ISNUMBER(Inputs!D211),IF(AND(Inputs!D211&gt;0,D98&gt;=0),D98/Inputs!D211-1,"n.m."),"n.a.")</f>
        <v>0.058402203856749324</v>
      </c>
      <c r="E99" s="41">
        <f>IF(ISNUMBER(Inputs!E211),IF(AND(Inputs!E211&gt;0,E98&gt;=0),E98/Inputs!E211-1,"n.m."),"n.a.")</f>
        <v>0.062544119723281</v>
      </c>
      <c r="F99" s="41">
        <f>IF(ISNUMBER(Inputs!F211),IF(AND(Inputs!F211&gt;0,F98&gt;=0),F98/Inputs!F211-1,"n.m."),"n.a.")</f>
        <v>0.049887892376681675</v>
      </c>
      <c r="G99" s="41">
        <f>IF(ISNUMBER(Inputs!G211),IF(AND(Inputs!G211&gt;0,G98&gt;=0),G98/Inputs!G211-1,"n.m."),"n.a.")</f>
        <v>0.0010498687664042272</v>
      </c>
      <c r="H99" s="40">
        <f>IF(ISNUMBER(C98),IF(AND(C98&gt;0,H98&gt;=0),H98/C98-1,"n.m."),"n.a.")</f>
        <v>0.02642589475768986</v>
      </c>
      <c r="I99" s="7"/>
    </row>
    <row r="100">
      <c r="A100" s="7"/>
      <c r="B100" s="44" t="s">
        <v>67</v>
      </c>
      <c r="C100" s="41">
        <f>IF(ISNUMBER(Inputs!G211),IF(AND(Inputs!G211&gt;0,C98&gt;=0),C98/Inputs!G211-1,"n.m."),"n.a.")</f>
        <v>0.005774278215223028</v>
      </c>
      <c r="D100" s="24">
        <f>IF(ISNUMBER(C98),IF(AND(C98&gt;0,D98&gt;=0),D98/C98-1,"n.m."),"n.a.")</f>
        <v>0.0026096033402922547</v>
      </c>
      <c r="E100" s="24"/>
      <c r="F100" s="24">
        <f>IF(ISNUMBER(D98),IF(AND(D98&gt;0,F98&gt;=0),F98/D98-1,"n.m."),"n.a.")</f>
        <v>-0.024986985944820406</v>
      </c>
      <c r="G100" s="24">
        <f>IF(ISNUMBER(F98),IF(AND(F98&gt;0,G98&gt;=0),G98/F98-1,"n.m."),"n.a.")</f>
        <v>0.018152696209289942</v>
      </c>
      <c r="H100" s="40">
        <f>IF(ISNUMBER(G98),IF(AND(G98&gt;0,H98&gt;=0),H98/G98-1,"n.m."),"n.a.")</f>
        <v>0.03127006521013831</v>
      </c>
      <c r="I100" s="7"/>
    </row>
    <row r="101">
      <c r="A101" s="7"/>
      <c r="B101" s="48" t="s">
        <v>78</v>
      </c>
      <c r="C101" s="29">
        <f>IF(ISNUMBER(Inputs!G211),C98-Inputs!G211,"n.a.")</f>
        <v>11</v>
      </c>
      <c r="D101" s="12">
        <f>IF(ISNUMBER(C98),D98-C98,"n.a.")</f>
        <v>5</v>
      </c>
      <c r="E101" s="12"/>
      <c r="F101" s="12">
        <f>IF(ISNUMBER(D98),F98-D98,"n.a.")</f>
        <v>-48</v>
      </c>
      <c r="G101" s="12">
        <f>IF(ISNUMBER(F98),G98-F98,"n.a.")</f>
        <v>34</v>
      </c>
      <c r="H101" s="42">
        <f>IF(ISNUMBER(G98),H98-G98,"n.a.")</f>
        <v>59.632014355733645</v>
      </c>
      <c r="I101" s="7"/>
    </row>
    <row r="102">
      <c r="A102" s="7"/>
      <c r="B102" s="44" t="s">
        <v>70</v>
      </c>
      <c r="C102" s="52">
        <v>0</v>
      </c>
      <c r="D102" s="52">
        <v>0</v>
      </c>
      <c r="E102" s="52">
        <v>0</v>
      </c>
      <c r="F102" s="52">
        <v>0</v>
      </c>
      <c r="G102" s="52">
        <v>0</v>
      </c>
      <c r="H102" s="40" t="str">
        <f>"unavailable"</f>
        <v>unavailable</v>
      </c>
      <c r="I102" s="7"/>
    </row>
    <row r="103">
      <c r="A103" s="7"/>
      <c r="B103" s="44" t="s">
        <v>71</v>
      </c>
      <c r="C103" s="52">
        <v>0</v>
      </c>
      <c r="D103" s="52">
        <v>0</v>
      </c>
      <c r="E103" s="52">
        <v>0</v>
      </c>
      <c r="F103" s="52">
        <v>0</v>
      </c>
      <c r="G103" s="52">
        <v>0</v>
      </c>
      <c r="H103" s="58">
        <v>0</v>
      </c>
      <c r="I103" s="7"/>
    </row>
    <row r="104">
      <c r="A104" s="7"/>
      <c r="B104" s="44" t="s">
        <v>72</v>
      </c>
      <c r="C104" s="24">
        <f>IF(AND(ISNUMBER(C99),ISNUMBER(C102),ISNUMBER(C103)),(1+C99)/((1+C102)*(1+C103))-1,"unavailable")</f>
        <v>0.07039106145251406</v>
      </c>
      <c r="D104" s="24">
        <f>IF(AND(ISNUMBER(D99),ISNUMBER(D102),ISNUMBER(D103)),(1+D99)/((1+D102)*(1+D103))-1,"unavailable")</f>
        <v>0.058402203856749324</v>
      </c>
      <c r="E104" s="24">
        <f>IF(AND(ISNUMBER(E99),ISNUMBER(E102),ISNUMBER(E103)),(1+E99)/((1+E102)*(1+E103))-1,"unavailable")</f>
        <v>0.062544119723281</v>
      </c>
      <c r="F104" s="24">
        <f>IF(AND(ISNUMBER(F99),ISNUMBER(F102),ISNUMBER(F103)),(1+F99)/((1+F102)*(1+F103))-1,"unavailable")</f>
        <v>0.049887892376681675</v>
      </c>
      <c r="G104" s="24">
        <f>IF(AND(ISNUMBER(G99),ISNUMBER(G102),ISNUMBER(G103)),(1+G99)/((1+G102)*(1+G103))-1,"unavailable")</f>
        <v>0.0010498687664042272</v>
      </c>
      <c r="H104" s="40" t="str">
        <f>IF(AND(ISNUMBER(H99),ISNUMBER(H102),ISNUMBER(H103)),(1+H99)/((1+H102)*(1+H103))-1,"unavailable")</f>
        <v>unavailable</v>
      </c>
      <c r="I104" s="7"/>
    </row>
    <row r="105" ht="28.5">
      <c r="A105" s="7"/>
      <c r="B105" s="28" t="s">
        <v>94</v>
      </c>
      <c r="C105" s="30">
        <f>C98-'Income Statement'!C169</f>
        <v>0</v>
      </c>
      <c r="D105" s="30">
        <f>D98-'Income Statement'!D169</f>
        <v>0</v>
      </c>
      <c r="E105" s="30">
        <f>E98-'Income Statement'!E169</f>
        <v>0</v>
      </c>
      <c r="F105" s="30">
        <f>F98-'Income Statement'!F169</f>
        <v>0</v>
      </c>
      <c r="G105" s="30">
        <f>G98-'Income Statement'!G169</f>
        <v>0</v>
      </c>
      <c r="H105" s="73">
        <f>H98-'Income Statement'!H169</f>
        <v>0</v>
      </c>
      <c r="I105" s="138" t="s">
        <v>95</v>
      </c>
    </row>
    <row r="106">
      <c r="A106" s="7"/>
      <c r="B106" s="1" t="s">
        <v>96</v>
      </c>
      <c r="C106" s="12">
        <f>C414</f>
        <v>12</v>
      </c>
      <c r="D106" s="12">
        <f>D414</f>
        <v>13</v>
      </c>
      <c r="E106" s="12">
        <f>E414</f>
        <v>49</v>
      </c>
      <c r="F106" s="12">
        <f>F414</f>
        <v>13</v>
      </c>
      <c r="G106" s="12">
        <f>G414</f>
        <v>14</v>
      </c>
      <c r="H106" s="42">
        <f>H414</f>
        <v>14</v>
      </c>
      <c r="I106" s="7"/>
    </row>
    <row r="107">
      <c r="A107" s="7"/>
      <c r="B107" s="34" t="s">
        <v>97</v>
      </c>
      <c r="C107" s="35">
        <f>C98+C106</f>
        <v>1928</v>
      </c>
      <c r="D107" s="35">
        <f>D98+D106</f>
        <v>1934</v>
      </c>
      <c r="E107" s="35">
        <f>E98+E106</f>
        <v>7575</v>
      </c>
      <c r="F107" s="35">
        <f>F98+F106</f>
        <v>1886</v>
      </c>
      <c r="G107" s="35">
        <f>G98+G106</f>
        <v>1921</v>
      </c>
      <c r="H107" s="50">
        <f>H98+H106</f>
        <v>1980.6320143557336</v>
      </c>
      <c r="I107" s="7"/>
    </row>
    <row r="108">
      <c r="A108" s="7"/>
      <c r="B108" s="44" t="s">
        <v>66</v>
      </c>
      <c r="C108" s="41" t="str">
        <f>IF(ISNUMBER(Inputs!C212),IF(AND(Inputs!C212&gt;0,C107&gt;=0),C107/Inputs!C212-1,"n.m."),"n.a.")</f>
        <v>n.a.</v>
      </c>
      <c r="D108" s="41">
        <f>IF(ISNUMBER(Inputs!D212),IF(AND(Inputs!D212&gt;0,D107&gt;=0),D107/Inputs!D212-1,"n.m."),"n.a.")</f>
        <v>0.057986870897155374</v>
      </c>
      <c r="E108" s="41">
        <f>IF(ISNUMBER(Inputs!E212),IF(AND(Inputs!E212&gt;0,E107&gt;=0),E107/Inputs!E212-1,"n.m."),"n.a.")</f>
        <v>0.06196551240712189</v>
      </c>
      <c r="F108" s="41">
        <f>IF(ISNUMBER(Inputs!F212),IF(AND(Inputs!F212&gt;0,F107&gt;=0),F107/Inputs!F212-1,"n.m."),"n.a.")</f>
        <v>0.05011135857461024</v>
      </c>
      <c r="G108" s="41">
        <f>IF(ISNUMBER(Inputs!G212),IF(AND(Inputs!G212&gt;0,G107&gt;=0),G107/Inputs!G212-1,"n.m."),"n.a.")</f>
        <v>0.0020865936358893666</v>
      </c>
      <c r="H108" s="40">
        <f>IF(ISNUMBER(C107),IF(AND(C107&gt;0,H107&gt;=0),H107/C107-1,"n.m."),"n.a.")</f>
        <v>0.02729876263264197</v>
      </c>
      <c r="I108" s="7"/>
    </row>
    <row r="109">
      <c r="A109" s="7"/>
      <c r="B109" s="44" t="s">
        <v>67</v>
      </c>
      <c r="C109" s="41">
        <f>IF(ISNUMBER(Inputs!G212),IF(AND(Inputs!G212&gt;0,C107&gt;=0),C107/Inputs!G212-1,"n.m."),"n.a.")</f>
        <v>0.005738132498695814</v>
      </c>
      <c r="D109" s="24">
        <f>IF(ISNUMBER(C107),IF(AND(C107&gt;0,D107&gt;=0),D107/C107-1,"n.m."),"n.a.")</f>
        <v>0.003112033195020736</v>
      </c>
      <c r="E109" s="24"/>
      <c r="F109" s="24">
        <f>IF(ISNUMBER(D107),IF(AND(D107&gt;0,F107&gt;=0),F107/D107-1,"n.m."),"n.a.")</f>
        <v>-0.024819027921406445</v>
      </c>
      <c r="G109" s="24">
        <f>IF(ISNUMBER(F107),IF(AND(F107&gt;0,G107&gt;=0),G107/F107-1,"n.m."),"n.a.")</f>
        <v>0.01855779427359483</v>
      </c>
      <c r="H109" s="40">
        <f>IF(ISNUMBER(G107),IF(AND(G107&gt;0,H107&gt;=0),H107/G107-1,"n.m."),"n.a.")</f>
        <v>0.031042173011834207</v>
      </c>
      <c r="I109" s="7"/>
    </row>
    <row r="110">
      <c r="A110" s="7"/>
      <c r="B110" s="44" t="s">
        <v>70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40" t="str">
        <f>"unavailable"</f>
        <v>unavailable</v>
      </c>
      <c r="I110" s="7"/>
    </row>
    <row r="111">
      <c r="A111" s="7"/>
      <c r="B111" s="44" t="s">
        <v>71</v>
      </c>
      <c r="C111" s="52">
        <v>0</v>
      </c>
      <c r="D111" s="52">
        <v>0</v>
      </c>
      <c r="E111" s="52">
        <v>0</v>
      </c>
      <c r="F111" s="52">
        <v>0</v>
      </c>
      <c r="G111" s="52">
        <v>0</v>
      </c>
      <c r="H111" s="58">
        <v>0</v>
      </c>
      <c r="I111" s="7"/>
    </row>
    <row r="112">
      <c r="A112" s="7"/>
      <c r="B112" s="44" t="s">
        <v>72</v>
      </c>
      <c r="C112" s="24" t="str">
        <f>IF(AND(ISNUMBER(C108),ISNUMBER(C110),ISNUMBER(C111)),(1+C108)/((1+C110)*(1+C111))-1,"unavailable")</f>
        <v>unavailable</v>
      </c>
      <c r="D112" s="24">
        <f>IF(AND(ISNUMBER(D108),ISNUMBER(D110),ISNUMBER(D111)),(1+D108)/((1+D110)*(1+D111))-1,"unavailable")</f>
        <v>0.057986870897155374</v>
      </c>
      <c r="E112" s="24">
        <f>IF(AND(ISNUMBER(E108),ISNUMBER(E110),ISNUMBER(E111)),(1+E108)/((1+E110)*(1+E111))-1,"unavailable")</f>
        <v>0.06196551240712189</v>
      </c>
      <c r="F112" s="24">
        <f>IF(AND(ISNUMBER(F108),ISNUMBER(F110),ISNUMBER(F111)),(1+F108)/((1+F110)*(1+F111))-1,"unavailable")</f>
        <v>0.05011135857461024</v>
      </c>
      <c r="G112" s="24">
        <f>IF(AND(ISNUMBER(G108),ISNUMBER(G110),ISNUMBER(G111)),(1+G108)/((1+G110)*(1+G111))-1,"unavailable")</f>
        <v>0.0020865936358893666</v>
      </c>
      <c r="H112" s="40" t="str">
        <f>IF(AND(ISNUMBER(H108),ISNUMBER(H110),ISNUMBER(H111)),(1+H108)/((1+H110)*(1+H111))-1,"unavailable")</f>
        <v>unavailable</v>
      </c>
      <c r="I112" s="7"/>
    </row>
    <row r="113">
      <c r="A113" s="7"/>
      <c r="B113" s="1" t="s">
        <v>98</v>
      </c>
      <c r="C113" s="29">
        <f>Inputs!I99</f>
        <v>1928</v>
      </c>
      <c r="D113" s="29">
        <f>Inputs!I100</f>
        <v>1934</v>
      </c>
      <c r="E113" s="12"/>
      <c r="F113" s="29">
        <f>Inputs!I101</f>
        <v>1886</v>
      </c>
      <c r="G113" s="29">
        <f>Inputs!I102</f>
        <v>1921</v>
      </c>
      <c r="H113" s="42"/>
      <c r="I113" s="7"/>
    </row>
    <row r="114">
      <c r="A114" s="7"/>
      <c r="B114" s="28" t="s">
        <v>99</v>
      </c>
      <c r="C114" s="2">
        <f>C107-C113</f>
        <v>0</v>
      </c>
      <c r="D114" s="2">
        <f>D107-D113</f>
        <v>0</v>
      </c>
      <c r="E114" s="2"/>
      <c r="F114" s="2">
        <f>F107-F113</f>
        <v>0</v>
      </c>
      <c r="G114" s="2">
        <f>G107-G113</f>
        <v>0</v>
      </c>
      <c r="H114" s="51"/>
      <c r="I114" s="7"/>
    </row>
    <row r="115">
      <c r="A115" s="7"/>
      <c r="B115" s="1" t="s">
        <v>100</v>
      </c>
      <c r="C115" s="29">
        <f>C107+'Income Statement'!C289</f>
        <v>1953</v>
      </c>
      <c r="D115" s="29">
        <f>D107+'Income Statement'!D289</f>
        <v>1934</v>
      </c>
      <c r="E115" s="29">
        <f>E107+'Income Statement'!E289</f>
        <v>7625</v>
      </c>
      <c r="F115" s="29">
        <f>F107+'Income Statement'!F289</f>
        <v>1886</v>
      </c>
      <c r="G115" s="29">
        <f>G107+'Income Statement'!G289</f>
        <v>1961</v>
      </c>
      <c r="H115" s="32">
        <f>H107+'Income Statement'!H289</f>
        <v>1980.6320143557336</v>
      </c>
      <c r="I115" s="7"/>
    </row>
    <row r="116">
      <c r="A116" s="7"/>
      <c r="B116" s="44" t="s">
        <v>66</v>
      </c>
      <c r="C116" s="41" t="str">
        <f>IF(ISNUMBER(Inputs!C213),IF(AND(Inputs!C213&gt;0,C115&gt;=0),C115/Inputs!C213-1,"n.m."),"n.a.")</f>
        <v>n.a.</v>
      </c>
      <c r="D116" s="41">
        <f>IF(ISNUMBER(Inputs!D213),IF(AND(Inputs!D213&gt;0,D115&gt;=0),D115/Inputs!D213-1,"n.m."),"n.a.")</f>
        <v>0.04090419806243273</v>
      </c>
      <c r="E116" s="41">
        <f>IF(ISNUMBER(Inputs!E213),IF(AND(Inputs!E213&gt;0,E115&gt;=0),E115/Inputs!E213-1,"n.m."),"n.a.")</f>
        <v>0.03868682740771012</v>
      </c>
      <c r="F116" s="41">
        <f>IF(ISNUMBER(Inputs!F213),IF(AND(Inputs!F213&gt;0,F115&gt;=0),F115/Inputs!F213-1,"n.m."),"n.a.")</f>
        <v>0.03569467325645248</v>
      </c>
      <c r="G116" s="41">
        <f>IF(ISNUMBER(Inputs!G213),IF(AND(Inputs!G213&gt;0,G115&gt;=0),G115/Inputs!G213-1,"n.m."),"n.a.")</f>
        <v>0.022952529994783477</v>
      </c>
      <c r="H116" s="40">
        <f>IF(ISNUMBER(C115),IF(AND(C115&gt;0,H115&gt;=0),H115/C115-1,"n.m."),"n.a.")</f>
        <v>0.014148496853934267</v>
      </c>
      <c r="I116" s="7"/>
    </row>
    <row r="117">
      <c r="A117" s="7"/>
      <c r="B117" s="44" t="s">
        <v>67</v>
      </c>
      <c r="C117" s="41">
        <f>IF(ISNUMBER(Inputs!G213),IF(AND(Inputs!G213&gt;0,C115&gt;=0),C115/Inputs!G213-1,"n.m."),"n.a.")</f>
        <v>0.018779342723004744</v>
      </c>
      <c r="D117" s="24">
        <f>IF(ISNUMBER(C115),IF(AND(C115&gt;0,D115&gt;=0),D115/C115-1,"n.m."),"n.a.")</f>
        <v>-0.009728622631848483</v>
      </c>
      <c r="E117" s="24"/>
      <c r="F117" s="24">
        <f>IF(ISNUMBER(D115),IF(AND(D115&gt;0,F115&gt;=0),F115/D115-1,"n.m."),"n.a.")</f>
        <v>-0.024819027921406445</v>
      </c>
      <c r="G117" s="24">
        <f>IF(ISNUMBER(F115),IF(AND(F115&gt;0,G115&gt;=0),G115/F115-1,"n.m."),"n.a.")</f>
        <v>0.03976670201484622</v>
      </c>
      <c r="H117" s="40">
        <f>IF(ISNUMBER(G115),IF(AND(G115&gt;0,H115&gt;=0),H115/G115-1,"n.m."),"n.a.")</f>
        <v>0.010011226086554581</v>
      </c>
      <c r="I117" s="7"/>
    </row>
    <row r="118">
      <c r="A118" s="7"/>
      <c r="B118" s="44" t="s">
        <v>70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40" t="str">
        <f>"unavailable"</f>
        <v>unavailable</v>
      </c>
      <c r="I118" s="7"/>
    </row>
    <row r="119">
      <c r="A119" s="7"/>
      <c r="B119" s="44" t="s">
        <v>71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8">
        <v>0</v>
      </c>
      <c r="I119" s="7"/>
    </row>
    <row r="120">
      <c r="A120" s="7"/>
      <c r="B120" s="44" t="s">
        <v>72</v>
      </c>
      <c r="C120" s="24" t="str">
        <f>IF(AND(ISNUMBER(C116),ISNUMBER(C118),ISNUMBER(C119)),(1+C116)/((1+C118)*(1+C119))-1,"unavailable")</f>
        <v>unavailable</v>
      </c>
      <c r="D120" s="24">
        <f>IF(AND(ISNUMBER(D116),ISNUMBER(D118),ISNUMBER(D119)),(1+D116)/((1+D118)*(1+D119))-1,"unavailable")</f>
        <v>0.04090419806243273</v>
      </c>
      <c r="E120" s="24">
        <f>IF(AND(ISNUMBER(E116),ISNUMBER(E118),ISNUMBER(E119)),(1+E116)/((1+E118)*(1+E119))-1,"unavailable")</f>
        <v>0.03868682740771012</v>
      </c>
      <c r="F120" s="24">
        <f>IF(AND(ISNUMBER(F116),ISNUMBER(F118),ISNUMBER(F119)),(1+F116)/((1+F118)*(1+F119))-1,"unavailable")</f>
        <v>0.03569467325645248</v>
      </c>
      <c r="G120" s="24">
        <f>IF(AND(ISNUMBER(G116),ISNUMBER(G118),ISNUMBER(G119)),(1+G116)/((1+G118)*(1+G119))-1,"unavailable")</f>
        <v>0.022952529994783477</v>
      </c>
      <c r="H120" s="40" t="str">
        <f>IF(AND(ISNUMBER(H116),ISNUMBER(H118),ISNUMBER(H119)),(1+H116)/((1+H118)*(1+H119))-1,"unavailable")</f>
        <v>unavailable</v>
      </c>
      <c r="I120" s="7"/>
    </row>
    <row r="121">
      <c r="A121" s="7"/>
      <c r="B121" s="28" t="s">
        <v>101</v>
      </c>
      <c r="C121" s="4"/>
      <c r="D121" s="4"/>
      <c r="E121" s="4"/>
      <c r="F121" s="4"/>
      <c r="G121" s="4"/>
      <c r="H121" s="70"/>
      <c r="I121" s="7"/>
    </row>
    <row r="122">
      <c r="A122" s="7"/>
      <c r="B122" s="7"/>
      <c r="C122" s="7"/>
      <c r="D122" s="7"/>
      <c r="E122" s="7"/>
      <c r="F122" s="7"/>
      <c r="G122" s="7"/>
      <c r="H122" s="49"/>
      <c r="I122" s="7"/>
    </row>
    <row r="123">
      <c r="A123" s="7"/>
      <c r="B123" s="34" t="s">
        <v>102</v>
      </c>
      <c r="C123" s="9"/>
      <c r="D123" s="9"/>
      <c r="E123" s="9"/>
      <c r="F123" s="9"/>
      <c r="G123" s="9"/>
      <c r="H123" s="43"/>
      <c r="I123" s="7"/>
    </row>
    <row r="124">
      <c r="A124" s="7"/>
      <c r="B124" s="34" t="s">
        <v>103</v>
      </c>
      <c r="C124" s="9"/>
      <c r="D124" s="9"/>
      <c r="E124" s="9"/>
      <c r="F124" s="9"/>
      <c r="G124" s="9"/>
      <c r="H124" s="43"/>
      <c r="I124" s="7"/>
    </row>
    <row r="125">
      <c r="A125" s="7"/>
      <c r="B125" s="8" t="s">
        <v>104</v>
      </c>
      <c r="C125" s="11"/>
      <c r="D125" s="11"/>
      <c r="E125" s="11"/>
      <c r="F125" s="11"/>
      <c r="G125" s="11"/>
      <c r="H125" s="91"/>
      <c r="I125" s="7"/>
    </row>
    <row r="126">
      <c r="A126" s="7"/>
      <c r="B126" s="1" t="s">
        <v>105</v>
      </c>
      <c r="C126" s="31">
        <v>0</v>
      </c>
      <c r="D126" s="31">
        <v>0</v>
      </c>
      <c r="E126" s="31">
        <v>1</v>
      </c>
      <c r="F126" s="31">
        <v>0</v>
      </c>
      <c r="G126" s="31">
        <v>0</v>
      </c>
      <c r="H126" s="42">
        <f>G126*(1+H129)</f>
        <v>0</v>
      </c>
      <c r="I126" s="39" t="s">
        <v>106</v>
      </c>
    </row>
    <row r="127" ht="28.5">
      <c r="A127" s="7"/>
      <c r="B127" s="44" t="s">
        <v>66</v>
      </c>
      <c r="C127" s="41" t="str">
        <f>IF(ISNUMBER(Inputs!C214),IF(AND(Inputs!C214&gt;0,C126&gt;=0),C126/Inputs!C214-1,"n.m."),"n.a.")</f>
        <v>n.a.</v>
      </c>
      <c r="D127" s="41">
        <f>IF(ISNUMBER(Inputs!D214),IF(AND(Inputs!D214&gt;0,D126&gt;=0),D126/Inputs!D214-1,"n.m."),"n.a.")</f>
        <v>-1</v>
      </c>
      <c r="E127" s="41">
        <f>IF(ISNUMBER(Inputs!E214),IF(AND(Inputs!E214&gt;0,E126&gt;=0),E126/Inputs!E214-1,"n.m."),"n.a.")</f>
        <v>0</v>
      </c>
      <c r="F127" s="41">
        <f>IF(ISNUMBER(Inputs!F214),IF(AND(Inputs!F214&gt;0,F126&gt;=0),F126/Inputs!F214-1,"n.m."),"n.a.")</f>
        <v>-1</v>
      </c>
      <c r="G127" s="41">
        <f>IF(ISNUMBER(Inputs!G214),IF(AND(Inputs!G214&gt;0,G126&gt;=0),G126/Inputs!G214-1,"n.m."),"n.a.")</f>
        <v>-1</v>
      </c>
      <c r="H127" s="40" t="str">
        <f>IF(ISNUMBER(C126),IF(AND(C126&gt;0,H126&gt;=0),H126/C126-1,"n.m."),"n.a.")</f>
        <v>n.m.</v>
      </c>
      <c r="I127" s="142" t="s">
        <v>107</v>
      </c>
    </row>
    <row r="128">
      <c r="A128" s="7"/>
      <c r="B128" s="48" t="s">
        <v>78</v>
      </c>
      <c r="C128" s="29">
        <f>IF(ISNUMBER(Inputs!G214),C126-Inputs!G214,"n.a.")</f>
        <v>-1</v>
      </c>
      <c r="D128" s="12">
        <f>IF(ISNUMBER(C126),D126-C126,"n.a.")</f>
        <v>0</v>
      </c>
      <c r="E128" s="12"/>
      <c r="F128" s="12">
        <f>IF(ISNUMBER(D126),F126-D126,"n.a.")</f>
        <v>0</v>
      </c>
      <c r="G128" s="12">
        <f>IF(ISNUMBER(F126),G126-F126,"n.a.")</f>
        <v>0</v>
      </c>
      <c r="H128" s="42">
        <f>IF(ISNUMBER(G126),H126-G126,"n.a.")</f>
        <v>0</v>
      </c>
      <c r="I128" s="7"/>
    </row>
    <row r="129">
      <c r="A129" s="7"/>
      <c r="B129" s="44" t="s">
        <v>67</v>
      </c>
      <c r="C129" s="41">
        <f>IF(ISNUMBER(Inputs!G214),IF(AND(Inputs!G214&gt;0,C126&gt;=0),C126/Inputs!G214-1,"n.m."),"n.a.")</f>
        <v>-1</v>
      </c>
      <c r="D129" s="24" t="str">
        <f>IF(ISNUMBER(C126),IF(AND(C126&gt;0,D126&gt;=0),D126/C126-1,"n.m."),"n.a.")</f>
        <v>n.m.</v>
      </c>
      <c r="E129" s="24"/>
      <c r="F129" s="24" t="str">
        <f>IF(ISNUMBER(D126),IF(AND(D126&gt;0,F126&gt;=0),F126/D126-1,"n.m."),"n.a.")</f>
        <v>n.m.</v>
      </c>
      <c r="G129" s="24" t="str">
        <f>IF(ISNUMBER(F126),IF(AND(F126&gt;0,G126&gt;=0),G126/F126-1,"n.m."),"n.a.")</f>
        <v>n.m.</v>
      </c>
      <c r="H129" s="58">
        <v>0</v>
      </c>
      <c r="I129" s="7"/>
    </row>
    <row r="130">
      <c r="A130" s="7"/>
      <c r="B130" s="1" t="s">
        <v>108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42">
        <f>IF(H126=0,0,H126*H133*H$6/$I$6)</f>
        <v>0</v>
      </c>
      <c r="I130" s="39" t="s">
        <v>106</v>
      </c>
    </row>
    <row r="131">
      <c r="A131" s="7"/>
      <c r="B131" s="44" t="s">
        <v>66</v>
      </c>
      <c r="C131" s="41" t="str">
        <f>IF(ISNUMBER(Inputs!C215),IF(AND(Inputs!C215&gt;0,C130&gt;=0),C130/Inputs!C215-1,"n.m."),"n.a.")</f>
        <v>n.a.</v>
      </c>
      <c r="D131" s="41" t="str">
        <f>IF(ISNUMBER(Inputs!D215),IF(AND(Inputs!D215&gt;0,D130&gt;=0),D130/Inputs!D215-1,"n.m."),"n.a.")</f>
        <v>n.m.</v>
      </c>
      <c r="E131" s="41" t="str">
        <f>IF(ISNUMBER(Inputs!E215),IF(AND(Inputs!E215&gt;0,E130&gt;=0),E130/Inputs!E215-1,"n.m."),"n.a.")</f>
        <v>n.m.</v>
      </c>
      <c r="F131" s="41" t="str">
        <f>IF(ISNUMBER(Inputs!F215),IF(AND(Inputs!F215&gt;0,F130&gt;=0),F130/Inputs!F215-1,"n.m."),"n.a.")</f>
        <v>n.m.</v>
      </c>
      <c r="G131" s="41" t="str">
        <f>IF(ISNUMBER(Inputs!G215),IF(AND(Inputs!G215&gt;0,G130&gt;=0),G130/Inputs!G215-1,"n.m."),"n.a.")</f>
        <v>n.m.</v>
      </c>
      <c r="H131" s="40" t="str">
        <f>IF(ISNUMBER(C130),IF(AND(C130&gt;0,H130&gt;=0),H130/C130-1,"n.m."),"n.a.")</f>
        <v>n.m.</v>
      </c>
      <c r="I131" s="7"/>
    </row>
    <row r="132">
      <c r="A132" s="7"/>
      <c r="B132" s="48" t="s">
        <v>78</v>
      </c>
      <c r="C132" s="29">
        <f>IF(ISNUMBER(Inputs!G215),C130-Inputs!G215,"n.a.")</f>
        <v>0</v>
      </c>
      <c r="D132" s="12">
        <f>IF(ISNUMBER(C130),D130-C130,"n.a.")</f>
        <v>0</v>
      </c>
      <c r="E132" s="12"/>
      <c r="F132" s="12">
        <f>IF(ISNUMBER(D130),F130-D130,"n.a.")</f>
        <v>0</v>
      </c>
      <c r="G132" s="12">
        <f>IF(ISNUMBER(F130),G130-F130,"n.a.")</f>
        <v>0</v>
      </c>
      <c r="H132" s="42">
        <f>IF(ISNUMBER(G130),H130-G130,"n.a.")</f>
        <v>0</v>
      </c>
      <c r="I132" s="7"/>
    </row>
    <row r="133" ht="41.25">
      <c r="A133" s="7"/>
      <c r="B133" s="75" t="s">
        <v>109</v>
      </c>
      <c r="C133" s="60" t="str">
        <f>IF(C126=0,"n.a.",C130*$I$6/C$6/C126)</f>
        <v>n.a.</v>
      </c>
      <c r="D133" s="60" t="str">
        <f>IF(D126=0,"n.a.",D130*$I$6/D$6/D126)</f>
        <v>n.a.</v>
      </c>
      <c r="E133" s="60">
        <f>IF(E126=0,"n.a.",E130*$I$6/E$6/E126)</f>
        <v>0</v>
      </c>
      <c r="F133" s="60" t="str">
        <f>IF(F126=0,"n.a.",F130*$I$6/F$6/F126)</f>
        <v>n.a.</v>
      </c>
      <c r="G133" s="60" t="str">
        <f>IF(G126=0,"n.a.",G130*$I$6/G$6/G126)</f>
        <v>n.a.</v>
      </c>
      <c r="H133" s="61" t="str">
        <f>IF(ISNUMBER(G133),G133+H134/10000,"n.a.")</f>
        <v>n.a.</v>
      </c>
      <c r="I133" s="142" t="s">
        <v>110</v>
      </c>
    </row>
    <row r="134">
      <c r="A134" s="7"/>
      <c r="B134" s="44" t="s">
        <v>69</v>
      </c>
      <c r="C134" s="38" t="str">
        <f>"n.a."</f>
        <v>n.a.</v>
      </c>
      <c r="D134" s="38" t="str">
        <f>IF(AND(ISNUMBER(D133),ISNUMBER(C133)),(D133-C133)*10000,"n.a.")</f>
        <v>n.a.</v>
      </c>
      <c r="E134" s="38"/>
      <c r="F134" s="38" t="str">
        <f>IF(AND(ISNUMBER(F133),ISNUMBER(D133)),(F133-D133)*10000,"n.a.")</f>
        <v>n.a.</v>
      </c>
      <c r="G134" s="38" t="str">
        <f>IF(AND(ISNUMBER(G133),ISNUMBER(F133)),(G133-F133)*10000,"n.a.")</f>
        <v>n.a.</v>
      </c>
      <c r="H134" s="77">
        <v>0</v>
      </c>
      <c r="I134" s="7"/>
    </row>
    <row r="135">
      <c r="A135" s="7"/>
      <c r="B135" s="8" t="s">
        <v>111</v>
      </c>
      <c r="C135" s="11"/>
      <c r="D135" s="11"/>
      <c r="E135" s="11"/>
      <c r="F135" s="11"/>
      <c r="G135" s="11"/>
      <c r="H135" s="91"/>
      <c r="I135" s="7"/>
    </row>
    <row r="136">
      <c r="A136" s="7"/>
      <c r="B136" s="1" t="s">
        <v>105</v>
      </c>
      <c r="C136" s="31">
        <v>33223</v>
      </c>
      <c r="D136" s="31">
        <v>33464</v>
      </c>
      <c r="E136" s="31">
        <v>32966</v>
      </c>
      <c r="F136" s="31">
        <v>33530</v>
      </c>
      <c r="G136" s="31">
        <v>33286</v>
      </c>
      <c r="H136" s="42">
        <f>G136*(1+H139)</f>
        <v>33286</v>
      </c>
      <c r="I136" s="39" t="s">
        <v>106</v>
      </c>
    </row>
    <row r="137">
      <c r="A137" s="7"/>
      <c r="B137" s="44" t="s">
        <v>66</v>
      </c>
      <c r="C137" s="41" t="str">
        <f>IF(ISNUMBER(Inputs!C216),IF(AND(Inputs!C216&gt;0,C136&gt;=0),C136/Inputs!C216-1,"n.m."),"n.a.")</f>
        <v>n.a.</v>
      </c>
      <c r="D137" s="41">
        <f>IF(ISNUMBER(Inputs!D216),IF(AND(Inputs!D216&gt;0,D136&gt;=0),D136/Inputs!D216-1,"n.m."),"n.a.")</f>
        <v>0.02798513193868457</v>
      </c>
      <c r="E137" s="41">
        <f>IF(ISNUMBER(Inputs!E216),IF(AND(Inputs!E216&gt;0,E136&gt;=0),E136/Inputs!E216-1,"n.m."),"n.a.")</f>
        <v>0.030541748726124585</v>
      </c>
      <c r="F137" s="41">
        <f>IF(ISNUMBER(Inputs!F216),IF(AND(Inputs!F216&gt;0,F136&gt;=0),F136/Inputs!F216-1,"n.m."),"n.a.")</f>
        <v>0.038723667905824044</v>
      </c>
      <c r="G137" s="41">
        <f>IF(ISNUMBER(Inputs!G216),IF(AND(Inputs!G216&gt;0,G136&gt;=0),G136/Inputs!G216-1,"n.m."),"n.a.")</f>
        <v>0.012286357277537796</v>
      </c>
      <c r="H137" s="40">
        <f>IF(ISNUMBER(C136),IF(AND(C136&gt;0,H136&gt;=0),H136/C136-1,"n.m."),"n.a.")</f>
        <v>0.0018962766757968375</v>
      </c>
      <c r="I137" s="7"/>
    </row>
    <row r="138">
      <c r="A138" s="7"/>
      <c r="B138" s="48" t="s">
        <v>78</v>
      </c>
      <c r="C138" s="29">
        <f>IF(ISNUMBER(Inputs!G216),C136-Inputs!G216,"n.a.")</f>
        <v>341</v>
      </c>
      <c r="D138" s="12">
        <f>IF(ISNUMBER(C136),D136-C136,"n.a.")</f>
        <v>241</v>
      </c>
      <c r="E138" s="12"/>
      <c r="F138" s="12">
        <f>IF(ISNUMBER(D136),F136-D136,"n.a.")</f>
        <v>66</v>
      </c>
      <c r="G138" s="12">
        <f>IF(ISNUMBER(F136),G136-F136,"n.a.")</f>
        <v>-244</v>
      </c>
      <c r="H138" s="42">
        <f>IF(ISNUMBER(G136),H136-G136,"n.a.")</f>
        <v>0</v>
      </c>
      <c r="I138" s="7"/>
    </row>
    <row r="139">
      <c r="A139" s="7"/>
      <c r="B139" s="44" t="s">
        <v>67</v>
      </c>
      <c r="C139" s="41">
        <f>IF(ISNUMBER(Inputs!G216),IF(AND(Inputs!G216&gt;0,C136&gt;=0),C136/Inputs!G216-1,"n.m."),"n.a.")</f>
        <v>0.010370415424852508</v>
      </c>
      <c r="D139" s="24">
        <f>IF(ISNUMBER(C136),IF(AND(C136&gt;0,D136&gt;=0),D136/C136-1,"n.m."),"n.a.")</f>
        <v>0.007254010775667563</v>
      </c>
      <c r="E139" s="24"/>
      <c r="F139" s="24">
        <f>IF(ISNUMBER(D136),IF(AND(D136&gt;0,F136&gt;=0),F136/D136-1,"n.m."),"n.a.")</f>
        <v>0.0019722687066698885</v>
      </c>
      <c r="G139" s="24">
        <f>IF(ISNUMBER(F136),IF(AND(F136&gt;0,G136&gt;=0),G136/F136-1,"n.m."),"n.a.")</f>
        <v>-0.0072770653146435604</v>
      </c>
      <c r="H139" s="58">
        <v>0</v>
      </c>
      <c r="I139" s="7"/>
    </row>
    <row r="140">
      <c r="A140" s="7"/>
      <c r="B140" s="1" t="s">
        <v>108</v>
      </c>
      <c r="C140" s="31">
        <v>293</v>
      </c>
      <c r="D140" s="31">
        <v>300</v>
      </c>
      <c r="E140" s="31">
        <v>1145</v>
      </c>
      <c r="F140" s="31">
        <v>298</v>
      </c>
      <c r="G140" s="31">
        <v>305</v>
      </c>
      <c r="H140" s="42">
        <f>H136*H143*H$6/$I$6</f>
        <v>313.385585885895</v>
      </c>
      <c r="I140" s="39" t="s">
        <v>106</v>
      </c>
    </row>
    <row r="141">
      <c r="A141" s="7"/>
      <c r="B141" s="44" t="s">
        <v>66</v>
      </c>
      <c r="C141" s="41" t="str">
        <f>IF(ISNUMBER(Inputs!C217),IF(AND(Inputs!C217&gt;0,C140&gt;=0),C140/Inputs!C217-1,"n.m."),"n.a.")</f>
        <v>n.a.</v>
      </c>
      <c r="D141" s="41">
        <f>IF(ISNUMBER(Inputs!D217),IF(AND(Inputs!D217&gt;0,D140&gt;=0),D140/Inputs!D217-1,"n.m."),"n.a.")</f>
        <v>0.171875</v>
      </c>
      <c r="E141" s="41">
        <f>IF(ISNUMBER(Inputs!E217),IF(AND(Inputs!E217&gt;0,E140&gt;=0),E140/Inputs!E217-1,"n.m."),"n.a.")</f>
        <v>0.23783783783783785</v>
      </c>
      <c r="F141" s="41">
        <f>IF(ISNUMBER(Inputs!F217),IF(AND(Inputs!F217&gt;0,F140&gt;=0),F140/Inputs!F217-1,"n.m."),"n.a.")</f>
        <v>0.12030075187969924</v>
      </c>
      <c r="G141" s="41">
        <f>IF(ISNUMBER(Inputs!G217),IF(AND(Inputs!G217&gt;0,G140&gt;=0),G140/Inputs!G217-1,"n.m."),"n.a.")</f>
        <v>0.06643356643356646</v>
      </c>
      <c r="H141" s="40">
        <f>IF(ISNUMBER(C140),IF(AND(C140&gt;0,H140&gt;=0),H140/C140-1,"n.m."),"n.a.")</f>
        <v>0.0695753784501536</v>
      </c>
      <c r="I141" s="7"/>
    </row>
    <row r="142">
      <c r="A142" s="7"/>
      <c r="B142" s="48" t="s">
        <v>78</v>
      </c>
      <c r="C142" s="29">
        <f>IF(ISNUMBER(Inputs!G217),C140-Inputs!G217,"n.a.")</f>
        <v>7</v>
      </c>
      <c r="D142" s="12">
        <f>IF(ISNUMBER(C140),D140-C140,"n.a.")</f>
        <v>7</v>
      </c>
      <c r="E142" s="12"/>
      <c r="F142" s="12">
        <f>IF(ISNUMBER(D140),F140-D140,"n.a.")</f>
        <v>-2</v>
      </c>
      <c r="G142" s="12">
        <f>IF(ISNUMBER(F140),G140-F140,"n.a.")</f>
        <v>7</v>
      </c>
      <c r="H142" s="42">
        <f>IF(ISNUMBER(G140),H140-G140,"n.a.")</f>
        <v>8.385585885895011</v>
      </c>
      <c r="I142" s="7"/>
    </row>
    <row r="143">
      <c r="A143" s="7"/>
      <c r="B143" s="75" t="s">
        <v>109</v>
      </c>
      <c r="C143" s="60">
        <f>IF(C136=0,0,C140*$I$6/C$6/C136)</f>
        <v>0.03498918376347449</v>
      </c>
      <c r="D143" s="60">
        <f>IF(D136=0,0,D140*$I$6/D$6/D136)</f>
        <v>0.03556709871217869</v>
      </c>
      <c r="E143" s="60">
        <f>IF(E136=0,0,E140*$I$6/E$6/E136)</f>
        <v>0.0347327549596554</v>
      </c>
      <c r="F143" s="60">
        <f>IF(F136=0,0,F140*$I$6/F$6/F136)</f>
        <v>0.036044007025217886</v>
      </c>
      <c r="G143" s="60">
        <f>IF(G136=0,0,G140*$I$6/G$6/G136)</f>
        <v>0.03675273833899082</v>
      </c>
      <c r="H143" s="61">
        <f>G143+H144/10000</f>
        <v>0.037352738338990825</v>
      </c>
      <c r="I143" s="7"/>
    </row>
    <row r="144">
      <c r="A144" s="7"/>
      <c r="B144" s="44" t="s">
        <v>69</v>
      </c>
      <c r="C144" s="38" t="str">
        <f>"n.a."</f>
        <v>n.a.</v>
      </c>
      <c r="D144" s="38">
        <f>IF(AND(ISNUMBER(D143),ISNUMBER(C143)),(D143-C143)*10000,"n.a.")</f>
        <v>5.779149487041973</v>
      </c>
      <c r="E144" s="38"/>
      <c r="F144" s="38">
        <f>IF(AND(ISNUMBER(F143),ISNUMBER(D143)),(F143-D143)*10000,"n.a.")</f>
        <v>4.7690831303919685</v>
      </c>
      <c r="G144" s="38">
        <f>IF(AND(ISNUMBER(G143),ISNUMBER(F143)),(G143-F143)*10000,"n.a.")</f>
        <v>7.087313137729353</v>
      </c>
      <c r="H144" s="77">
        <v>6</v>
      </c>
      <c r="I144" s="7"/>
    </row>
    <row r="145">
      <c r="A145" s="7"/>
      <c r="B145" s="8" t="s">
        <v>112</v>
      </c>
      <c r="C145" s="11"/>
      <c r="D145" s="11"/>
      <c r="E145" s="11"/>
      <c r="F145" s="11"/>
      <c r="G145" s="11"/>
      <c r="H145" s="91"/>
      <c r="I145" s="7"/>
    </row>
    <row r="146">
      <c r="A146" s="7"/>
      <c r="B146" s="1" t="s">
        <v>105</v>
      </c>
      <c r="C146" s="31">
        <v>662</v>
      </c>
      <c r="D146" s="31">
        <v>642</v>
      </c>
      <c r="E146" s="31">
        <v>562</v>
      </c>
      <c r="F146" s="31">
        <v>579</v>
      </c>
      <c r="G146" s="31">
        <v>512</v>
      </c>
      <c r="H146" s="42">
        <f>G146*(1+H149)</f>
        <v>537.6</v>
      </c>
      <c r="I146" s="39" t="s">
        <v>106</v>
      </c>
    </row>
    <row r="147">
      <c r="A147" s="7"/>
      <c r="B147" s="44" t="s">
        <v>66</v>
      </c>
      <c r="C147" s="41" t="str">
        <f>IF(ISNUMBER(Inputs!C218),IF(AND(Inputs!C218&gt;0,C146&gt;=0),C146/Inputs!C218-1,"n.m."),"n.a.")</f>
        <v>n.a.</v>
      </c>
      <c r="D147" s="41">
        <f>IF(ISNUMBER(Inputs!D218),IF(AND(Inputs!D218&gt;0,D146&gt;=0),D146/Inputs!D218-1,"n.m."),"n.a.")</f>
        <v>-0.16187989556135773</v>
      </c>
      <c r="E147" s="41">
        <f>IF(ISNUMBER(Inputs!E218),IF(AND(Inputs!E218&gt;0,E146&gt;=0),E146/Inputs!E218-1,"n.m."),"n.a.")</f>
        <v>-0.07868852459016396</v>
      </c>
      <c r="F147" s="41">
        <f>IF(ISNUMBER(Inputs!F218),IF(AND(Inputs!F218&gt;0,F146&gt;=0),F146/Inputs!F218-1,"n.m."),"n.a.")</f>
        <v>0.3129251700680271</v>
      </c>
      <c r="G147" s="41">
        <f>IF(ISNUMBER(Inputs!G218),IF(AND(Inputs!G218&gt;0,G146&gt;=0),G146/Inputs!G218-1,"n.m."),"n.a.")</f>
        <v>0.02400000000000002</v>
      </c>
      <c r="H147" s="40">
        <f>IF(ISNUMBER(C146),IF(AND(C146&gt;0,H146&gt;=0),H146/C146-1,"n.m."),"n.a.")</f>
        <v>-0.18791540785498484</v>
      </c>
      <c r="I147" s="7"/>
    </row>
    <row r="148">
      <c r="A148" s="7"/>
      <c r="B148" s="48" t="s">
        <v>78</v>
      </c>
      <c r="C148" s="29">
        <f>IF(ISNUMBER(Inputs!G218),C146-Inputs!G218,"n.a.")</f>
        <v>162</v>
      </c>
      <c r="D148" s="12">
        <f>IF(ISNUMBER(C146),D146-C146,"n.a.")</f>
        <v>-20</v>
      </c>
      <c r="E148" s="12"/>
      <c r="F148" s="12">
        <f>IF(ISNUMBER(D146),F146-D146,"n.a.")</f>
        <v>-63</v>
      </c>
      <c r="G148" s="12">
        <f>IF(ISNUMBER(F146),G146-F146,"n.a.")</f>
        <v>-67</v>
      </c>
      <c r="H148" s="42">
        <f>IF(ISNUMBER(G146),H146-G146,"n.a.")</f>
        <v>25.600000000000023</v>
      </c>
      <c r="I148" s="7"/>
    </row>
    <row r="149" ht="79.5">
      <c r="A149" s="7"/>
      <c r="B149" s="44" t="s">
        <v>67</v>
      </c>
      <c r="C149" s="41">
        <f>IF(ISNUMBER(Inputs!G218),IF(AND(Inputs!G218&gt;0,C146&gt;=0),C146/Inputs!G218-1,"n.m."),"n.a.")</f>
        <v>0.32400000000000007</v>
      </c>
      <c r="D149" s="24">
        <f>IF(ISNUMBER(C146),IF(AND(C146&gt;0,D146&gt;=0),D146/C146-1,"n.m."),"n.a.")</f>
        <v>-0.030211480362537735</v>
      </c>
      <c r="E149" s="24"/>
      <c r="F149" s="24">
        <f>IF(ISNUMBER(D146),IF(AND(D146&gt;0,F146&gt;=0),F146/D146-1,"n.m."),"n.a.")</f>
        <v>-0.09813084112149528</v>
      </c>
      <c r="G149" s="24">
        <f>IF(ISNUMBER(F146),IF(AND(F146&gt;0,G146&gt;=0),G146/F146-1,"n.m."),"n.a.")</f>
        <v>-0.11571675302245255</v>
      </c>
      <c r="H149" s="58">
        <v>0.05</v>
      </c>
      <c r="I149" s="144" t="s">
        <v>113</v>
      </c>
    </row>
    <row r="150">
      <c r="A150" s="7"/>
      <c r="B150" s="1" t="s">
        <v>108</v>
      </c>
      <c r="C150" s="31">
        <v>9</v>
      </c>
      <c r="D150" s="31">
        <v>9</v>
      </c>
      <c r="E150" s="31">
        <v>35</v>
      </c>
      <c r="F150" s="31">
        <v>8</v>
      </c>
      <c r="G150" s="31">
        <v>8</v>
      </c>
      <c r="H150" s="42">
        <f>H146*H153*H$6/$I$6</f>
        <v>8.492307692307692</v>
      </c>
      <c r="I150" s="39" t="s">
        <v>106</v>
      </c>
    </row>
    <row r="151">
      <c r="A151" s="7"/>
      <c r="B151" s="44" t="s">
        <v>66</v>
      </c>
      <c r="C151" s="41" t="str">
        <f>IF(ISNUMBER(Inputs!C219),IF(AND(Inputs!C219&gt;0,C150&gt;=0),C150/Inputs!C219-1,"n.m."),"n.a.")</f>
        <v>n.a.</v>
      </c>
      <c r="D151" s="41">
        <f>IF(ISNUMBER(Inputs!D219),IF(AND(Inputs!D219&gt;0,D150&gt;=0),D150/Inputs!D219-1,"n.m."),"n.a.")</f>
        <v>-0.18181818181818177</v>
      </c>
      <c r="E151" s="41">
        <f>IF(ISNUMBER(Inputs!E219),IF(AND(Inputs!E219&gt;0,E150&gt;=0),E150/Inputs!E219-1,"n.m."),"n.a.")</f>
        <v>-0.10256410256410253</v>
      </c>
      <c r="F151" s="41">
        <f>IF(ISNUMBER(Inputs!F219),IF(AND(Inputs!F219&gt;0,F150&gt;=0),F150/Inputs!F219-1,"n.m."),"n.a.")</f>
        <v>0</v>
      </c>
      <c r="G151" s="41">
        <f>IF(ISNUMBER(Inputs!G219),IF(AND(Inputs!G219&gt;0,G150&gt;=0),G150/Inputs!G219-1,"n.m."),"n.a.")</f>
        <v>-0.11111111111111116</v>
      </c>
      <c r="H151" s="40">
        <f>IF(ISNUMBER(C150),IF(AND(C150&gt;0,H150&gt;=0),H150/C150-1,"n.m."),"n.a.")</f>
        <v>-0.05641025641025643</v>
      </c>
      <c r="I151" s="7"/>
    </row>
    <row r="152">
      <c r="A152" s="7"/>
      <c r="B152" s="48" t="s">
        <v>78</v>
      </c>
      <c r="C152" s="29">
        <f>IF(ISNUMBER(Inputs!G219),C150-Inputs!G219,"n.a.")</f>
        <v>0</v>
      </c>
      <c r="D152" s="12">
        <f>IF(ISNUMBER(C150),D150-C150,"n.a.")</f>
        <v>0</v>
      </c>
      <c r="E152" s="12"/>
      <c r="F152" s="12">
        <f>IF(ISNUMBER(D150),F150-D150,"n.a.")</f>
        <v>-1</v>
      </c>
      <c r="G152" s="12">
        <f>IF(ISNUMBER(F150),G150-F150,"n.a.")</f>
        <v>0</v>
      </c>
      <c r="H152" s="42">
        <f>IF(ISNUMBER(G150),H150-G150,"n.a.")</f>
        <v>0.49230769230769234</v>
      </c>
      <c r="I152" s="7"/>
    </row>
    <row r="153">
      <c r="A153" s="7"/>
      <c r="B153" s="75" t="s">
        <v>109</v>
      </c>
      <c r="C153" s="60">
        <f>IF(C146=0,0,C150*$I$6/C$6/C146)</f>
        <v>0.05393734401681335</v>
      </c>
      <c r="D153" s="60">
        <f>IF(D146=0,0,D150*$I$6/D$6/D146)</f>
        <v>0.05561763510767981</v>
      </c>
      <c r="E153" s="60">
        <f>IF(E146=0,0,E150*$I$6/E$6/E146)</f>
        <v>0.06227758007117438</v>
      </c>
      <c r="F153" s="60">
        <f>IF(F146=0,0,F150*$I$6/F$6/F146)</f>
        <v>0.05603530992132028</v>
      </c>
      <c r="G153" s="60">
        <f>IF(G146=0,0,G150*$I$6/G$6/G146)</f>
        <v>0.0626717032967033</v>
      </c>
      <c r="H153" s="61">
        <f>G153+H154/10000</f>
        <v>0.0626717032967033</v>
      </c>
      <c r="I153" s="7"/>
    </row>
    <row r="154">
      <c r="A154" s="7"/>
      <c r="B154" s="44" t="s">
        <v>69</v>
      </c>
      <c r="C154" s="38" t="str">
        <f>"n.a."</f>
        <v>n.a.</v>
      </c>
      <c r="D154" s="38">
        <f>IF(AND(ISNUMBER(D153),ISNUMBER(C153)),(D153-C153)*10000,"n.a.")</f>
        <v>16.802910908664607</v>
      </c>
      <c r="E154" s="38"/>
      <c r="F154" s="38">
        <f>IF(AND(ISNUMBER(F153),ISNUMBER(D153)),(F153-D153)*10000,"n.a.")</f>
        <v>4.1767481364047425</v>
      </c>
      <c r="G154" s="38">
        <f>IF(AND(ISNUMBER(G153),ISNUMBER(F153)),(G153-F153)*10000,"n.a.")</f>
        <v>66.36393375383014</v>
      </c>
      <c r="H154" s="77">
        <v>0</v>
      </c>
      <c r="I154" s="7"/>
    </row>
    <row r="155">
      <c r="A155" s="7"/>
      <c r="B155" s="1" t="s">
        <v>114</v>
      </c>
      <c r="C155" s="11"/>
      <c r="D155" s="11"/>
      <c r="E155" s="11"/>
      <c r="F155" s="11"/>
      <c r="G155" s="11"/>
      <c r="H155" s="91"/>
      <c r="I155" s="7"/>
    </row>
    <row r="156">
      <c r="A156" s="7"/>
      <c r="B156" s="48" t="s">
        <v>105</v>
      </c>
      <c r="C156" s="31">
        <v>49588</v>
      </c>
      <c r="D156" s="31">
        <v>48769</v>
      </c>
      <c r="E156" s="31">
        <v>49150</v>
      </c>
      <c r="F156" s="31">
        <v>49572</v>
      </c>
      <c r="G156" s="31">
        <v>51504</v>
      </c>
      <c r="H156" s="42">
        <f>G156*(1+H159)</f>
        <v>52328.064</v>
      </c>
      <c r="I156" s="39" t="s">
        <v>106</v>
      </c>
    </row>
    <row r="157">
      <c r="A157" s="7"/>
      <c r="B157" s="69" t="s">
        <v>66</v>
      </c>
      <c r="C157" s="41" t="str">
        <f>IF(ISNUMBER(Inputs!C220),IF(AND(Inputs!C220&gt;0,C156&gt;=0),C156/Inputs!C220-1,"n.m."),"n.a.")</f>
        <v>n.a.</v>
      </c>
      <c r="D157" s="41">
        <f>IF(ISNUMBER(Inputs!D220),IF(AND(Inputs!D220&gt;0,D156&gt;=0),D156/Inputs!D220-1,"n.m."),"n.a.")</f>
        <v>-0.011913203800879346</v>
      </c>
      <c r="E157" s="41">
        <f>IF(ISNUMBER(Inputs!E220),IF(AND(Inputs!E220&gt;0,E156&gt;=0),E156/Inputs!E220-1,"n.m."),"n.a.")</f>
        <v>-0.013725568888710571</v>
      </c>
      <c r="F157" s="41">
        <f>IF(ISNUMBER(Inputs!F220),IF(AND(Inputs!F220&gt;0,F156&gt;=0),F156/Inputs!F220-1,"n.m."),"n.a.")</f>
        <v>0.007376699384259</v>
      </c>
      <c r="G157" s="41">
        <f>IF(ISNUMBER(Inputs!G220),IF(AND(Inputs!G220&gt;0,G156&gt;=0),G156/Inputs!G220-1,"n.m."),"n.a.")</f>
        <v>0.05039463218648654</v>
      </c>
      <c r="H157" s="40">
        <f>IF(ISNUMBER(C156),IF(AND(C156&gt;0,H156&gt;=0),H156/C156-1,"n.m."),"n.a.")</f>
        <v>0.05525659433733976</v>
      </c>
      <c r="I157" s="7"/>
    </row>
    <row r="158">
      <c r="A158" s="7"/>
      <c r="B158" s="76" t="s">
        <v>78</v>
      </c>
      <c r="C158" s="29">
        <f>IF(ISNUMBER(Inputs!G220),C156-Inputs!G220,"n.a.")</f>
        <v>555</v>
      </c>
      <c r="D158" s="12">
        <f>IF(ISNUMBER(C156),D156-C156,"n.a.")</f>
        <v>-819</v>
      </c>
      <c r="E158" s="12"/>
      <c r="F158" s="12">
        <f>IF(ISNUMBER(D156),F156-D156,"n.a.")</f>
        <v>803</v>
      </c>
      <c r="G158" s="12">
        <f>IF(ISNUMBER(F156),G156-F156,"n.a.")</f>
        <v>1932</v>
      </c>
      <c r="H158" s="42">
        <f>IF(ISNUMBER(G156),H156-G156,"n.a.")</f>
        <v>824.0639999999985</v>
      </c>
      <c r="I158" s="7"/>
    </row>
    <row r="159">
      <c r="A159" s="7"/>
      <c r="B159" s="69" t="s">
        <v>67</v>
      </c>
      <c r="C159" s="41">
        <f>IF(ISNUMBER(Inputs!G220),IF(AND(Inputs!G220&gt;0,C156&gt;=0),C156/Inputs!G220-1,"n.m."),"n.a.")</f>
        <v>0.01131890767442334</v>
      </c>
      <c r="D159" s="24">
        <f>IF(ISNUMBER(C156),IF(AND(C156&gt;0,D156&gt;=0),D156/C156-1,"n.m."),"n.a.")</f>
        <v>-0.016516092603049093</v>
      </c>
      <c r="E159" s="24"/>
      <c r="F159" s="24">
        <f>IF(ISNUMBER(D156),IF(AND(D156&gt;0,F156&gt;=0),F156/D156-1,"n.m."),"n.a.")</f>
        <v>0.016465377596423858</v>
      </c>
      <c r="G159" s="24">
        <f>IF(ISNUMBER(F156),IF(AND(F156&gt;0,G156&gt;=0),G156/F156-1,"n.m."),"n.a.")</f>
        <v>0.038973614137012724</v>
      </c>
      <c r="H159" s="58">
        <v>0.016</v>
      </c>
      <c r="I159" s="7"/>
    </row>
    <row r="160">
      <c r="A160" s="7"/>
      <c r="B160" s="48" t="s">
        <v>108</v>
      </c>
      <c r="C160" s="31">
        <v>714</v>
      </c>
      <c r="D160" s="31">
        <v>688</v>
      </c>
      <c r="E160" s="31">
        <v>2797</v>
      </c>
      <c r="F160" s="31">
        <v>665</v>
      </c>
      <c r="G160" s="31">
        <v>697</v>
      </c>
      <c r="H160" s="42">
        <f>H156*H163*H$6/$I$6</f>
        <v>718.5717979937256</v>
      </c>
      <c r="I160" s="39" t="s">
        <v>106</v>
      </c>
    </row>
    <row r="161">
      <c r="A161" s="7"/>
      <c r="B161" s="69" t="s">
        <v>66</v>
      </c>
      <c r="C161" s="41" t="str">
        <f>IF(ISNUMBER(Inputs!C221),IF(AND(Inputs!C221&gt;0,C160&gt;=0),C160/Inputs!C221-1,"n.m."),"n.a.")</f>
        <v>n.a.</v>
      </c>
      <c r="D161" s="41">
        <f>IF(ISNUMBER(Inputs!D221),IF(AND(Inputs!D221&gt;0,D160&gt;=0),D160/Inputs!D221-1,"n.m."),"n.a.")</f>
        <v>-0.07774798927613946</v>
      </c>
      <c r="E161" s="41">
        <f>IF(ISNUMBER(Inputs!E221),IF(AND(Inputs!E221&gt;0,E160&gt;=0),E160/Inputs!E221-1,"n.m."),"n.a.")</f>
        <v>-0.07537190082644629</v>
      </c>
      <c r="F161" s="41">
        <f>IF(ISNUMBER(Inputs!F221),IF(AND(Inputs!F221&gt;0,F160&gt;=0),F160/Inputs!F221-1,"n.m."),"n.a.")</f>
        <v>-0.03202328966521106</v>
      </c>
      <c r="G161" s="41">
        <f>IF(ISNUMBER(Inputs!G221),IF(AND(Inputs!G221&gt;0,G160&gt;=0),G160/Inputs!G221-1,"n.m."),"n.a.")</f>
        <v>-0.015536723163841804</v>
      </c>
      <c r="H161" s="40">
        <f>IF(ISNUMBER(C160),IF(AND(C160&gt;0,H160&gt;=0),H160/C160-1,"n.m."),"n.a.")</f>
        <v>0.006403078422584807</v>
      </c>
      <c r="I161" s="7"/>
    </row>
    <row r="162">
      <c r="A162" s="7"/>
      <c r="B162" s="76" t="s">
        <v>78</v>
      </c>
      <c r="C162" s="29">
        <f>IF(ISNUMBER(Inputs!G221),C160-Inputs!G221,"n.a.")</f>
        <v>6</v>
      </c>
      <c r="D162" s="12">
        <f>IF(ISNUMBER(C160),D160-C160,"n.a.")</f>
        <v>-26</v>
      </c>
      <c r="E162" s="12"/>
      <c r="F162" s="12">
        <f>IF(ISNUMBER(D160),F160-D160,"n.a.")</f>
        <v>-23</v>
      </c>
      <c r="G162" s="12">
        <f>IF(ISNUMBER(F160),G160-F160,"n.a.")</f>
        <v>32</v>
      </c>
      <c r="H162" s="42">
        <f>IF(ISNUMBER(G160),H160-G160,"n.a.")</f>
        <v>21.571797993725568</v>
      </c>
      <c r="I162" s="7"/>
    </row>
    <row r="163">
      <c r="A163" s="7"/>
      <c r="B163" s="44" t="s">
        <v>109</v>
      </c>
      <c r="C163" s="60">
        <f>IF(C156=0,0,C160*$I$6/C$6/C156)</f>
        <v>0.05712505830653279</v>
      </c>
      <c r="D163" s="60">
        <f>IF(D156=0,0,D160*$I$6/D$6/D156)</f>
        <v>0.055969267719069585</v>
      </c>
      <c r="E163" s="60">
        <f>IF(E156=0,0,E160*$I$6/E$6/E156)</f>
        <v>0.056907426246185146</v>
      </c>
      <c r="F163" s="60">
        <f>IF(F156=0,0,F160*$I$6/F$6/F156)</f>
        <v>0.054404592198104666</v>
      </c>
      <c r="G163" s="60">
        <f>IF(G156=0,0,G160*$I$6/G$6/G156)</f>
        <v>0.05428043143560385</v>
      </c>
      <c r="H163" s="61">
        <f>G163+H164/10000</f>
        <v>0.05448043143560385</v>
      </c>
      <c r="I163" s="7"/>
    </row>
    <row r="164">
      <c r="A164" s="7"/>
      <c r="B164" s="69" t="s">
        <v>69</v>
      </c>
      <c r="C164" s="38" t="str">
        <f>"n.a."</f>
        <v>n.a.</v>
      </c>
      <c r="D164" s="38">
        <f>IF(AND(ISNUMBER(D163),ISNUMBER(C163)),(D163-C163)*10000,"n.a.")</f>
        <v>-11.557905874632068</v>
      </c>
      <c r="E164" s="38"/>
      <c r="F164" s="38">
        <f>IF(AND(ISNUMBER(F163),ISNUMBER(D163)),(F163-D163)*10000,"n.a.")</f>
        <v>-15.646755209649186</v>
      </c>
      <c r="G164" s="38">
        <f>IF(AND(ISNUMBER(G163),ISNUMBER(F163)),(G163-F163)*10000,"n.a.")</f>
        <v>-1.241607625008176</v>
      </c>
      <c r="H164" s="77">
        <v>2</v>
      </c>
      <c r="I164" s="7"/>
    </row>
    <row r="165">
      <c r="A165" s="7"/>
      <c r="B165" s="1" t="s">
        <v>115</v>
      </c>
      <c r="C165" s="11"/>
      <c r="D165" s="11"/>
      <c r="E165" s="11"/>
      <c r="F165" s="11"/>
      <c r="G165" s="11"/>
      <c r="H165" s="91"/>
      <c r="I165" s="7"/>
    </row>
    <row r="166">
      <c r="A166" s="7"/>
      <c r="B166" s="48" t="s">
        <v>105</v>
      </c>
      <c r="C166" s="31">
        <v>4860</v>
      </c>
      <c r="D166" s="31">
        <v>4866</v>
      </c>
      <c r="E166" s="31">
        <v>4872</v>
      </c>
      <c r="F166" s="31">
        <v>4887</v>
      </c>
      <c r="G166" s="31">
        <v>5089</v>
      </c>
      <c r="H166" s="42">
        <f>G166*(1+H169)</f>
        <v>5139.89</v>
      </c>
      <c r="I166" s="39" t="s">
        <v>106</v>
      </c>
    </row>
    <row r="167">
      <c r="A167" s="7"/>
      <c r="B167" s="69" t="s">
        <v>66</v>
      </c>
      <c r="C167" s="41" t="str">
        <f>IF(ISNUMBER(Inputs!C222),IF(AND(Inputs!C222&gt;0,C166&gt;=0),C166/Inputs!C222-1,"n.m."),"n.a.")</f>
        <v>n.a.</v>
      </c>
      <c r="D167" s="41">
        <f>IF(ISNUMBER(Inputs!D222),IF(AND(Inputs!D222&gt;0,D166&gt;=0),D166/Inputs!D222-1,"n.m."),"n.a.")</f>
        <v>-0.0006161429451633227</v>
      </c>
      <c r="E167" s="41">
        <f>IF(ISNUMBER(Inputs!E222),IF(AND(Inputs!E222&gt;0,E166&gt;=0),E166/Inputs!E222-1,"n.m."),"n.a.")</f>
        <v>0.007444168734491274</v>
      </c>
      <c r="F167" s="41">
        <f>IF(ISNUMBER(Inputs!F222),IF(AND(Inputs!F222&gt;0,F166&gt;=0),F166/Inputs!F222-1,"n.m."),"n.a.")</f>
        <v>0.004935225169648394</v>
      </c>
      <c r="G167" s="41">
        <f>IF(ISNUMBER(Inputs!G222),IF(AND(Inputs!G222&gt;0,G166&gt;=0),G166/Inputs!G222-1,"n.m."),"n.a.")</f>
        <v>0.03857142857142848</v>
      </c>
      <c r="H167" s="40">
        <f>IF(ISNUMBER(C166),IF(AND(C166&gt;0,H166&gt;=0),H166/C166-1,"n.m."),"n.a.")</f>
        <v>0.0575905349794239</v>
      </c>
      <c r="I167" s="7"/>
    </row>
    <row r="168">
      <c r="A168" s="7"/>
      <c r="B168" s="76" t="s">
        <v>78</v>
      </c>
      <c r="C168" s="29">
        <f>IF(ISNUMBER(Inputs!G222),C166-Inputs!G222,"n.a.")</f>
        <v>-40</v>
      </c>
      <c r="D168" s="12">
        <f>IF(ISNUMBER(C166),D166-C166,"n.a.")</f>
        <v>6</v>
      </c>
      <c r="E168" s="12"/>
      <c r="F168" s="12">
        <f>IF(ISNUMBER(D166),F166-D166,"n.a.")</f>
        <v>21</v>
      </c>
      <c r="G168" s="12">
        <f>IF(ISNUMBER(F166),G166-F166,"n.a.")</f>
        <v>202</v>
      </c>
      <c r="H168" s="42">
        <f>IF(ISNUMBER(G166),H166-G166,"n.a.")</f>
        <v>50.89000000000033</v>
      </c>
      <c r="I168" s="7"/>
    </row>
    <row r="169">
      <c r="A169" s="7"/>
      <c r="B169" s="69" t="s">
        <v>67</v>
      </c>
      <c r="C169" s="41">
        <f>IF(ISNUMBER(Inputs!G222),IF(AND(Inputs!G222&gt;0,C166&gt;=0),C166/Inputs!G222-1,"n.m."),"n.a.")</f>
        <v>-0.008163265306122436</v>
      </c>
      <c r="D169" s="24">
        <f>IF(ISNUMBER(C166),IF(AND(C166&gt;0,D166&gt;=0),D166/C166-1,"n.m."),"n.a.")</f>
        <v>0.0012345679012346622</v>
      </c>
      <c r="E169" s="24"/>
      <c r="F169" s="24">
        <f>IF(ISNUMBER(D166),IF(AND(D166&gt;0,F166&gt;=0),F166/D166-1,"n.m."),"n.a.")</f>
        <v>0.004315659679408057</v>
      </c>
      <c r="G169" s="24">
        <f>IF(ISNUMBER(F166),IF(AND(F166&gt;0,G166&gt;=0),G166/F166-1,"n.m."),"n.a.")</f>
        <v>0.04133415183138944</v>
      </c>
      <c r="H169" s="58">
        <v>0.01</v>
      </c>
      <c r="I169" s="7"/>
    </row>
    <row r="170">
      <c r="A170" s="7"/>
      <c r="B170" s="48" t="s">
        <v>108</v>
      </c>
      <c r="C170" s="31">
        <v>62</v>
      </c>
      <c r="D170" s="31">
        <v>65</v>
      </c>
      <c r="E170" s="31">
        <v>249</v>
      </c>
      <c r="F170" s="31">
        <v>63</v>
      </c>
      <c r="G170" s="31">
        <v>66</v>
      </c>
      <c r="H170" s="42">
        <f>H166*H173*H$6/$I$6</f>
        <v>67.39252747252748</v>
      </c>
      <c r="I170" s="39" t="s">
        <v>106</v>
      </c>
    </row>
    <row r="171">
      <c r="A171" s="7"/>
      <c r="B171" s="69" t="s">
        <v>66</v>
      </c>
      <c r="C171" s="41" t="str">
        <f>IF(ISNUMBER(Inputs!C223),IF(AND(Inputs!C223&gt;0,C170&gt;=0),C170/Inputs!C223-1,"n.m."),"n.a.")</f>
        <v>n.a.</v>
      </c>
      <c r="D171" s="41">
        <f>IF(ISNUMBER(Inputs!D223),IF(AND(Inputs!D223&gt;0,D170&gt;=0),D170/Inputs!D223-1,"n.m."),"n.a.")</f>
        <v>0.06557377049180335</v>
      </c>
      <c r="E171" s="41">
        <f>IF(ISNUMBER(Inputs!E223),IF(AND(Inputs!E223&gt;0,E170&gt;=0),E170/Inputs!E223-1,"n.m."),"n.a.")</f>
        <v>0.06866952789699576</v>
      </c>
      <c r="F171" s="41">
        <f>IF(ISNUMBER(Inputs!F223),IF(AND(Inputs!F223&gt;0,F170&gt;=0),F170/Inputs!F223-1,"n.m."),"n.a.")</f>
        <v>0.06779661016949157</v>
      </c>
      <c r="G171" s="41">
        <f>IF(ISNUMBER(Inputs!G223),IF(AND(Inputs!G223&gt;0,G170&gt;=0),G170/Inputs!G223-1,"n.m."),"n.a.")</f>
        <v>0.04761904761904767</v>
      </c>
      <c r="H171" s="40">
        <f>IF(ISNUMBER(C170),IF(AND(C170&gt;0,H170&gt;=0),H170/C170-1,"n.m."),"n.a.")</f>
        <v>0.08697624955689487</v>
      </c>
      <c r="I171" s="7"/>
    </row>
    <row r="172">
      <c r="A172" s="7"/>
      <c r="B172" s="76" t="s">
        <v>78</v>
      </c>
      <c r="C172" s="29">
        <f>IF(ISNUMBER(Inputs!G223),C170-Inputs!G223,"n.a.")</f>
        <v>-1</v>
      </c>
      <c r="D172" s="12">
        <f>IF(ISNUMBER(C170),D170-C170,"n.a.")</f>
        <v>3</v>
      </c>
      <c r="E172" s="12"/>
      <c r="F172" s="12">
        <f>IF(ISNUMBER(D170),F170-D170,"n.a.")</f>
        <v>-2</v>
      </c>
      <c r="G172" s="12">
        <f>IF(ISNUMBER(F170),G170-F170,"n.a.")</f>
        <v>3</v>
      </c>
      <c r="H172" s="42">
        <f>IF(ISNUMBER(G170),H170-G170,"n.a.")</f>
        <v>1.392527472527476</v>
      </c>
      <c r="I172" s="7"/>
    </row>
    <row r="173">
      <c r="A173" s="7"/>
      <c r="B173" s="44" t="s">
        <v>109</v>
      </c>
      <c r="C173" s="60">
        <f>IF(C166=0,0,C170*$I$6/C$6/C166)</f>
        <v>0.05061281087851136</v>
      </c>
      <c r="D173" s="60">
        <f>IF(D166=0,0,D170*$I$6/D$6/D166)</f>
        <v>0.052996390214264014</v>
      </c>
      <c r="E173" s="60">
        <f>IF(E166=0,0,E170*$I$6/E$6/E166)</f>
        <v>0.05110837438423645</v>
      </c>
      <c r="F173" s="60">
        <f>IF(F166=0,0,F170*$I$6/F$6/F166)</f>
        <v>0.05228156333128709</v>
      </c>
      <c r="G173" s="60">
        <f>IF(G166=0,0,G170*$I$6/G$6/G166)</f>
        <v>0.052019114703335576</v>
      </c>
      <c r="H173" s="61">
        <f>G173+H174/10000</f>
        <v>0.052019114703335576</v>
      </c>
      <c r="I173" s="7"/>
    </row>
    <row r="174">
      <c r="A174" s="7"/>
      <c r="B174" s="69" t="s">
        <v>69</v>
      </c>
      <c r="C174" s="38" t="str">
        <f>"n.a."</f>
        <v>n.a.</v>
      </c>
      <c r="D174" s="38">
        <f>IF(AND(ISNUMBER(D173),ISNUMBER(C173)),(D173-C173)*10000,"n.a.")</f>
        <v>23.835793357526516</v>
      </c>
      <c r="E174" s="38"/>
      <c r="F174" s="38">
        <f>IF(AND(ISNUMBER(F173),ISNUMBER(D173)),(F173-D173)*10000,"n.a.")</f>
        <v>-7.148268829769225</v>
      </c>
      <c r="G174" s="38">
        <f>IF(AND(ISNUMBER(G173),ISNUMBER(F173)),(G173-F173)*10000,"n.a.")</f>
        <v>-2.6244862795151565</v>
      </c>
      <c r="H174" s="77">
        <v>0</v>
      </c>
      <c r="I174" s="7"/>
    </row>
    <row r="175">
      <c r="A175" s="7"/>
      <c r="B175" s="1" t="s">
        <v>116</v>
      </c>
      <c r="C175" s="11"/>
      <c r="D175" s="11"/>
      <c r="E175" s="11"/>
      <c r="F175" s="11"/>
      <c r="G175" s="11"/>
      <c r="H175" s="91"/>
      <c r="I175" s="7"/>
    </row>
    <row r="176">
      <c r="A176" s="7"/>
      <c r="B176" s="48" t="s">
        <v>105</v>
      </c>
      <c r="C176" s="31">
        <v>274</v>
      </c>
      <c r="D176" s="31">
        <v>260</v>
      </c>
      <c r="E176" s="31">
        <v>280</v>
      </c>
      <c r="F176" s="31">
        <v>259</v>
      </c>
      <c r="G176" s="31">
        <v>253</v>
      </c>
      <c r="H176" s="42">
        <f>G176*(1+H179)</f>
        <v>253</v>
      </c>
      <c r="I176" s="39" t="s">
        <v>106</v>
      </c>
    </row>
    <row r="177">
      <c r="A177" s="7"/>
      <c r="B177" s="69" t="s">
        <v>66</v>
      </c>
      <c r="C177" s="41" t="str">
        <f>IF(ISNUMBER(Inputs!C224),IF(AND(Inputs!C224&gt;0,C176&gt;=0),C176/Inputs!C224-1,"n.m."),"n.a.")</f>
        <v>n.a.</v>
      </c>
      <c r="D177" s="41">
        <f>IF(ISNUMBER(Inputs!D224),IF(AND(Inputs!D224&gt;0,D176&gt;=0),D176/Inputs!D224-1,"n.m."),"n.a.")</f>
        <v>-0.2419825072886297</v>
      </c>
      <c r="E177" s="41">
        <f>IF(ISNUMBER(Inputs!E224),IF(AND(Inputs!E224&gt;0,E176&gt;=0),E176/Inputs!E224-1,"n.m."),"n.a.")</f>
        <v>-0.15662650602409633</v>
      </c>
      <c r="F177" s="41">
        <f>IF(ISNUMBER(Inputs!F224),IF(AND(Inputs!F224&gt;0,F176&gt;=0),F176/Inputs!F224-1,"n.m."),"n.a.")</f>
        <v>-0.18296529968454256</v>
      </c>
      <c r="G177" s="41">
        <f>IF(ISNUMBER(Inputs!G224),IF(AND(Inputs!G224&gt;0,G176&gt;=0),G176/Inputs!G224-1,"n.m."),"n.a.")</f>
        <v>-0.062962962962963</v>
      </c>
      <c r="H177" s="40">
        <f>IF(ISNUMBER(C176),IF(AND(C176&gt;0,H176&gt;=0),H176/C176-1,"n.m."),"n.a.")</f>
        <v>-0.07664233576642332</v>
      </c>
      <c r="I177" s="7"/>
    </row>
    <row r="178">
      <c r="A178" s="7"/>
      <c r="B178" s="76" t="s">
        <v>78</v>
      </c>
      <c r="C178" s="29">
        <f>IF(ISNUMBER(Inputs!G224),C176-Inputs!G224,"n.a.")</f>
        <v>4</v>
      </c>
      <c r="D178" s="12">
        <f>IF(ISNUMBER(C176),D176-C176,"n.a.")</f>
        <v>-14</v>
      </c>
      <c r="E178" s="12"/>
      <c r="F178" s="12">
        <f>IF(ISNUMBER(D176),F176-D176,"n.a.")</f>
        <v>-1</v>
      </c>
      <c r="G178" s="12">
        <f>IF(ISNUMBER(F176),G176-F176,"n.a.")</f>
        <v>-6</v>
      </c>
      <c r="H178" s="42">
        <f>IF(ISNUMBER(G176),H176-G176,"n.a.")</f>
        <v>0</v>
      </c>
      <c r="I178" s="7"/>
    </row>
    <row r="179">
      <c r="A179" s="7"/>
      <c r="B179" s="69" t="s">
        <v>67</v>
      </c>
      <c r="C179" s="41">
        <f>IF(ISNUMBER(Inputs!G224),IF(AND(Inputs!G224&gt;0,C176&gt;=0),C176/Inputs!G224-1,"n.m."),"n.a.")</f>
        <v>0.014814814814814836</v>
      </c>
      <c r="D179" s="24">
        <f>IF(ISNUMBER(C176),IF(AND(C176&gt;0,D176&gt;=0),D176/C176-1,"n.m."),"n.a.")</f>
        <v>-0.051094890510948954</v>
      </c>
      <c r="E179" s="24"/>
      <c r="F179" s="24">
        <f>IF(ISNUMBER(D176),IF(AND(D176&gt;0,F176&gt;=0),F176/D176-1,"n.m."),"n.a.")</f>
        <v>-0.0038461538461538325</v>
      </c>
      <c r="G179" s="24">
        <f>IF(ISNUMBER(F176),IF(AND(F176&gt;0,G176&gt;=0),G176/F176-1,"n.m."),"n.a.")</f>
        <v>-0.02316602316602312</v>
      </c>
      <c r="H179" s="58">
        <v>0</v>
      </c>
      <c r="I179" s="7"/>
    </row>
    <row r="180">
      <c r="A180" s="7"/>
      <c r="B180" s="48" t="s">
        <v>108</v>
      </c>
      <c r="C180" s="31">
        <v>4</v>
      </c>
      <c r="D180" s="31">
        <v>3</v>
      </c>
      <c r="E180" s="31">
        <v>16</v>
      </c>
      <c r="F180" s="31">
        <v>4</v>
      </c>
      <c r="G180" s="31">
        <v>3</v>
      </c>
      <c r="H180" s="42">
        <f>H176*H183*H$6/$I$6</f>
        <v>3.032967032967033</v>
      </c>
      <c r="I180" s="39" t="s">
        <v>106</v>
      </c>
    </row>
    <row r="181">
      <c r="A181" s="7"/>
      <c r="B181" s="69" t="s">
        <v>66</v>
      </c>
      <c r="C181" s="41" t="str">
        <f>IF(ISNUMBER(Inputs!C225),IF(AND(Inputs!C225&gt;0,C180&gt;=0),C180/Inputs!C225-1,"n.m."),"n.a.")</f>
        <v>n.a.</v>
      </c>
      <c r="D181" s="41">
        <f>IF(ISNUMBER(Inputs!D225),IF(AND(Inputs!D225&gt;0,D180&gt;=0),D180/Inputs!D225-1,"n.m."),"n.a.")</f>
        <v>-0.4</v>
      </c>
      <c r="E181" s="41">
        <f>IF(ISNUMBER(Inputs!E225),IF(AND(Inputs!E225&gt;0,E180&gt;=0),E180/Inputs!E225-1,"n.m."),"n.a.")</f>
        <v>-0.23809523809523814</v>
      </c>
      <c r="F181" s="41">
        <f>IF(ISNUMBER(Inputs!F225),IF(AND(Inputs!F225&gt;0,F180&gt;=0),F180/Inputs!F225-1,"n.m."),"n.a.")</f>
        <v>-0.19999999999999996</v>
      </c>
      <c r="G181" s="41">
        <f>IF(ISNUMBER(Inputs!G225),IF(AND(Inputs!G225&gt;0,G180&gt;=0),G180/Inputs!G225-1,"n.m."),"n.a.")</f>
        <v>-0.25</v>
      </c>
      <c r="H181" s="40">
        <f>IF(ISNUMBER(C180),IF(AND(C180&gt;0,H180&gt;=0),H180/C180-1,"n.m."),"n.a.")</f>
        <v>-0.2417582417582418</v>
      </c>
      <c r="I181" s="7"/>
    </row>
    <row r="182">
      <c r="A182" s="7"/>
      <c r="B182" s="76" t="s">
        <v>78</v>
      </c>
      <c r="C182" s="29">
        <f>IF(ISNUMBER(Inputs!G225),C180-Inputs!G225,"n.a.")</f>
        <v>0</v>
      </c>
      <c r="D182" s="12">
        <f>IF(ISNUMBER(C180),D180-C180,"n.a.")</f>
        <v>-1</v>
      </c>
      <c r="E182" s="12"/>
      <c r="F182" s="12">
        <f>IF(ISNUMBER(D180),F180-D180,"n.a.")</f>
        <v>1</v>
      </c>
      <c r="G182" s="12">
        <f>IF(ISNUMBER(F180),G180-F180,"n.a.")</f>
        <v>-1</v>
      </c>
      <c r="H182" s="42">
        <f>IF(ISNUMBER(G180),H180-G180,"n.a.")</f>
        <v>0.03296703296703285</v>
      </c>
      <c r="I182" s="7"/>
    </row>
    <row r="183">
      <c r="A183" s="7"/>
      <c r="B183" s="44" t="s">
        <v>109</v>
      </c>
      <c r="C183" s="60">
        <f>IF(C176=0,0,C180*$I$6/C$6/C176)</f>
        <v>0.057918121231355126</v>
      </c>
      <c r="D183" s="60">
        <f>IF(D176=0,0,D180*$I$6/D$6/D176)</f>
        <v>0.04577759197324415</v>
      </c>
      <c r="E183" s="60">
        <f>IF(E176=0,0,E180*$I$6/E$6/E176)</f>
        <v>0.05714285714285714</v>
      </c>
      <c r="F183" s="60">
        <f>IF(F176=0,0,F180*$I$6/F$6/F176)</f>
        <v>0.06263406263406263</v>
      </c>
      <c r="G183" s="60">
        <f>IF(G176=0,0,G180*$I$6/G$6/G176)</f>
        <v>0.047561134517656256</v>
      </c>
      <c r="H183" s="61">
        <f>G183+H184/10000</f>
        <v>0.047561134517656256</v>
      </c>
      <c r="I183" s="7"/>
    </row>
    <row r="184">
      <c r="A184" s="7"/>
      <c r="B184" s="69" t="s">
        <v>69</v>
      </c>
      <c r="C184" s="38" t="str">
        <f>"n.a."</f>
        <v>n.a.</v>
      </c>
      <c r="D184" s="38">
        <f>IF(AND(ISNUMBER(D183),ISNUMBER(C183)),(D183-C183)*10000,"n.a.")</f>
        <v>-121.40529258110975</v>
      </c>
      <c r="E184" s="38"/>
      <c r="F184" s="38">
        <f>IF(AND(ISNUMBER(F183),ISNUMBER(D183)),(F183-D183)*10000,"n.a.")</f>
        <v>168.56470660818474</v>
      </c>
      <c r="G184" s="38">
        <f>IF(AND(ISNUMBER(G183),ISNUMBER(F183)),(G183-F183)*10000,"n.a.")</f>
        <v>-150.7292811640637</v>
      </c>
      <c r="H184" s="77">
        <v>0</v>
      </c>
      <c r="I184" s="7"/>
    </row>
    <row r="185">
      <c r="A185" s="7"/>
      <c r="B185" s="1" t="s">
        <v>117</v>
      </c>
      <c r="C185" s="11"/>
      <c r="D185" s="11"/>
      <c r="E185" s="11"/>
      <c r="F185" s="11"/>
      <c r="G185" s="11"/>
      <c r="H185" s="91"/>
      <c r="I185" s="7"/>
    </row>
    <row r="186">
      <c r="A186" s="7"/>
      <c r="B186" s="48" t="s">
        <v>105</v>
      </c>
      <c r="C186" s="31">
        <v>7087</v>
      </c>
      <c r="D186" s="31">
        <v>7210</v>
      </c>
      <c r="E186" s="31">
        <v>6899</v>
      </c>
      <c r="F186" s="31">
        <v>7381</v>
      </c>
      <c r="G186" s="31">
        <v>7798</v>
      </c>
      <c r="H186" s="42">
        <f>G186*(1+H189)</f>
        <v>7953.96</v>
      </c>
      <c r="I186" s="39" t="s">
        <v>106</v>
      </c>
    </row>
    <row r="187">
      <c r="A187" s="7"/>
      <c r="B187" s="69" t="s">
        <v>66</v>
      </c>
      <c r="C187" s="41" t="str">
        <f>IF(ISNUMBER(Inputs!C226),IF(AND(Inputs!C226&gt;0,C186&gt;=0),C186/Inputs!C226-1,"n.m."),"n.a.")</f>
        <v>n.a.</v>
      </c>
      <c r="D187" s="41">
        <f>IF(ISNUMBER(Inputs!D226),IF(AND(Inputs!D226&gt;0,D186&gt;=0),D186/Inputs!D226-1,"n.m."),"n.a.")</f>
        <v>0.11076875674010167</v>
      </c>
      <c r="E187" s="41">
        <f>IF(ISNUMBER(Inputs!E226),IF(AND(Inputs!E226&gt;0,E186&gt;=0),E186/Inputs!E226-1,"n.m."),"n.a.")</f>
        <v>0.05521566228204344</v>
      </c>
      <c r="F187" s="41">
        <f>IF(ISNUMBER(Inputs!F226),IF(AND(Inputs!F226&gt;0,F186&gt;=0),F186/Inputs!F226-1,"n.m."),"n.a.")</f>
        <v>0.1383405305367058</v>
      </c>
      <c r="G187" s="41">
        <f>IF(ISNUMBER(Inputs!G226),IF(AND(Inputs!G226&gt;0,G186&gt;=0),G186/Inputs!G226-1,"n.m."),"n.a.")</f>
        <v>0.1459221160911095</v>
      </c>
      <c r="H187" s="40">
        <f>IF(ISNUMBER(C186),IF(AND(C186&gt;0,H186&gt;=0),H186/C186-1,"n.m."),"n.a.")</f>
        <v>0.12233102864399603</v>
      </c>
      <c r="I187" s="7"/>
    </row>
    <row r="188">
      <c r="A188" s="7"/>
      <c r="B188" s="76" t="s">
        <v>78</v>
      </c>
      <c r="C188" s="29">
        <f>IF(ISNUMBER(Inputs!G226),C186-Inputs!G226,"n.a.")</f>
        <v>282</v>
      </c>
      <c r="D188" s="12">
        <f>IF(ISNUMBER(C186),D186-C186,"n.a.")</f>
        <v>123</v>
      </c>
      <c r="E188" s="12"/>
      <c r="F188" s="12">
        <f>IF(ISNUMBER(D186),F186-D186,"n.a.")</f>
        <v>171</v>
      </c>
      <c r="G188" s="12">
        <f>IF(ISNUMBER(F186),G186-F186,"n.a.")</f>
        <v>417</v>
      </c>
      <c r="H188" s="42">
        <f>IF(ISNUMBER(G186),H186-G186,"n.a.")</f>
        <v>155.96000000000004</v>
      </c>
      <c r="I188" s="7"/>
    </row>
    <row r="189">
      <c r="A189" s="7"/>
      <c r="B189" s="69" t="s">
        <v>67</v>
      </c>
      <c r="C189" s="41">
        <f>IF(ISNUMBER(Inputs!G226),IF(AND(Inputs!G226&gt;0,C186&gt;=0),C186/Inputs!G226-1,"n.m."),"n.a.")</f>
        <v>0.04144011756061716</v>
      </c>
      <c r="D189" s="24">
        <f>IF(ISNUMBER(C186),IF(AND(C186&gt;0,D186&gt;=0),D186/C186-1,"n.m."),"n.a.")</f>
        <v>0.01735572174403832</v>
      </c>
      <c r="E189" s="24"/>
      <c r="F189" s="24">
        <f>IF(ISNUMBER(D186),IF(AND(D186&gt;0,F186&gt;=0),F186/D186-1,"n.m."),"n.a.")</f>
        <v>0.023717059639389637</v>
      </c>
      <c r="G189" s="24">
        <f>IF(ISNUMBER(F186),IF(AND(F186&gt;0,G186&gt;=0),G186/F186-1,"n.m."),"n.a.")</f>
        <v>0.05649640970058267</v>
      </c>
      <c r="H189" s="58">
        <v>0.02</v>
      </c>
      <c r="I189" s="7"/>
    </row>
    <row r="190">
      <c r="A190" s="7"/>
      <c r="B190" s="48" t="s">
        <v>108</v>
      </c>
      <c r="C190" s="31">
        <v>114</v>
      </c>
      <c r="D190" s="31">
        <v>116</v>
      </c>
      <c r="E190" s="31">
        <v>443</v>
      </c>
      <c r="F190" s="31">
        <v>106</v>
      </c>
      <c r="G190" s="31">
        <v>111</v>
      </c>
      <c r="H190" s="42">
        <f>H186*H193*H$6/$I$6</f>
        <v>113.86272569814842</v>
      </c>
      <c r="I190" s="39" t="s">
        <v>106</v>
      </c>
    </row>
    <row r="191">
      <c r="A191" s="7"/>
      <c r="B191" s="69" t="s">
        <v>66</v>
      </c>
      <c r="C191" s="41" t="str">
        <f>IF(ISNUMBER(Inputs!C227),IF(AND(Inputs!C227&gt;0,C190&gt;=0),C190/Inputs!C227-1,"n.m."),"n.a.")</f>
        <v>n.a.</v>
      </c>
      <c r="D191" s="41">
        <f>IF(ISNUMBER(Inputs!D227),IF(AND(Inputs!D227&gt;0,D190&gt;=0),D190/Inputs!D227-1,"n.m."),"n.a.")</f>
        <v>0.10476190476190483</v>
      </c>
      <c r="E191" s="41">
        <f>IF(ISNUMBER(Inputs!E227),IF(AND(Inputs!E227&gt;0,E190&gt;=0),E190/Inputs!E227-1,"n.m."),"n.a.")</f>
        <v>-0.036956521739130443</v>
      </c>
      <c r="F191" s="41">
        <f>IF(ISNUMBER(Inputs!F227),IF(AND(Inputs!F227&gt;0,F190&gt;=0),F190/Inputs!F227-1,"n.m."),"n.a.")</f>
        <v>0.06000000000000005</v>
      </c>
      <c r="G191" s="41">
        <f>IF(ISNUMBER(Inputs!G227),IF(AND(Inputs!G227&gt;0,G190&gt;=0),G190/Inputs!G227-1,"n.m."),"n.a.")</f>
        <v>-0.017699115044247815</v>
      </c>
      <c r="H191" s="40">
        <f>IF(ISNUMBER(C190),IF(AND(C190&gt;0,H190&gt;=0),H190/C190-1,"n.m."),"n.a.")</f>
        <v>-0.0012041605425576751</v>
      </c>
      <c r="I191" s="7"/>
    </row>
    <row r="192">
      <c r="A192" s="7"/>
      <c r="B192" s="76" t="s">
        <v>78</v>
      </c>
      <c r="C192" s="29">
        <f>IF(ISNUMBER(Inputs!G227),C190-Inputs!G227,"n.a.")</f>
        <v>1</v>
      </c>
      <c r="D192" s="12">
        <f>IF(ISNUMBER(C190),D190-C190,"n.a.")</f>
        <v>2</v>
      </c>
      <c r="E192" s="12"/>
      <c r="F192" s="12">
        <f>IF(ISNUMBER(D190),F190-D190,"n.a.")</f>
        <v>-10</v>
      </c>
      <c r="G192" s="12">
        <f>IF(ISNUMBER(F190),G190-F190,"n.a.")</f>
        <v>5</v>
      </c>
      <c r="H192" s="42">
        <f>IF(ISNUMBER(G190),H190-G190,"n.a.")</f>
        <v>2.8627256981484237</v>
      </c>
      <c r="I192" s="7"/>
    </row>
    <row r="193">
      <c r="A193" s="7"/>
      <c r="B193" s="44" t="s">
        <v>109</v>
      </c>
      <c r="C193" s="60">
        <f>IF(C186=0,0,C190*$I$6/C$6/C186)</f>
        <v>0.0638186268795897</v>
      </c>
      <c r="D193" s="60">
        <f>IF(D186=0,0,D190*$I$6/D$6/D186)</f>
        <v>0.06383042875233673</v>
      </c>
      <c r="E193" s="60">
        <f>IF(E186=0,0,E190*$I$6/E$6/E186)</f>
        <v>0.06421220466734309</v>
      </c>
      <c r="F193" s="60">
        <f>IF(F186=0,0,F190*$I$6/F$6/F186)</f>
        <v>0.058242634993752734</v>
      </c>
      <c r="G193" s="60">
        <f>IF(G186=0,0,G190*$I$6/G$6/G186)</f>
        <v>0.05709409851497566</v>
      </c>
      <c r="H193" s="61">
        <f>G193+H194/10000</f>
        <v>0.05679409851497566</v>
      </c>
      <c r="I193" s="7"/>
    </row>
    <row r="194">
      <c r="A194" s="7"/>
      <c r="B194" s="69" t="s">
        <v>69</v>
      </c>
      <c r="C194" s="38" t="str">
        <f>"n.a."</f>
        <v>n.a.</v>
      </c>
      <c r="D194" s="38">
        <f>IF(AND(ISNUMBER(D193),ISNUMBER(C193)),(D193-C193)*10000,"n.a.")</f>
        <v>0.11801872747033149</v>
      </c>
      <c r="E194" s="38"/>
      <c r="F194" s="38">
        <f>IF(AND(ISNUMBER(F193),ISNUMBER(D193)),(F193-D193)*10000,"n.a.")</f>
        <v>-55.87793758583995</v>
      </c>
      <c r="G194" s="38">
        <f>IF(AND(ISNUMBER(G193),ISNUMBER(F193)),(G193-F193)*10000,"n.a.")</f>
        <v>-11.485364787770722</v>
      </c>
      <c r="H194" s="77">
        <v>-3</v>
      </c>
      <c r="I194" s="7"/>
    </row>
    <row r="195">
      <c r="A195" s="7"/>
      <c r="B195" s="1" t="s">
        <v>118</v>
      </c>
      <c r="C195" s="11"/>
      <c r="D195" s="11"/>
      <c r="E195" s="11"/>
      <c r="F195" s="11"/>
      <c r="G195" s="11"/>
      <c r="H195" s="91"/>
      <c r="I195" s="7"/>
    </row>
    <row r="196">
      <c r="A196" s="7"/>
      <c r="B196" s="48" t="s">
        <v>105</v>
      </c>
      <c r="C196" s="31">
        <v>2051</v>
      </c>
      <c r="D196" s="31">
        <v>1906</v>
      </c>
      <c r="E196" s="31">
        <v>2106</v>
      </c>
      <c r="F196" s="31">
        <v>1946</v>
      </c>
      <c r="G196" s="31">
        <v>1991</v>
      </c>
      <c r="H196" s="42">
        <f>G196*(1+H199)</f>
        <v>2050.73</v>
      </c>
      <c r="I196" s="39" t="s">
        <v>106</v>
      </c>
    </row>
    <row r="197">
      <c r="A197" s="7"/>
      <c r="B197" s="69" t="s">
        <v>66</v>
      </c>
      <c r="C197" s="41" t="str">
        <f>IF(ISNUMBER(Inputs!C228),IF(AND(Inputs!C228&gt;0,C196&gt;=0),C196/Inputs!C228-1,"n.m."),"n.a.")</f>
        <v>n.a.</v>
      </c>
      <c r="D197" s="41">
        <f>IF(ISNUMBER(Inputs!D228),IF(AND(Inputs!D228&gt;0,D196&gt;=0),D196/Inputs!D228-1,"n.m."),"n.a.")</f>
        <v>-0.11963048498845263</v>
      </c>
      <c r="E197" s="41">
        <f>IF(ISNUMBER(Inputs!E228),IF(AND(Inputs!E228&gt;0,E196&gt;=0),E196/Inputs!E228-1,"n.m."),"n.a.")</f>
        <v>-0.056874160322436196</v>
      </c>
      <c r="F197" s="41">
        <f>IF(ISNUMBER(Inputs!F228),IF(AND(Inputs!F228&gt;0,F196&gt;=0),F196/Inputs!F228-1,"n.m."),"n.a.")</f>
        <v>-0.1415968239964711</v>
      </c>
      <c r="G197" s="41">
        <f>IF(ISNUMBER(Inputs!G228),IF(AND(Inputs!G228&gt;0,G196&gt;=0),G196/Inputs!G228-1,"n.m."),"n.a.")</f>
        <v>-0.09664246823956446</v>
      </c>
      <c r="H197" s="40">
        <f>IF(ISNUMBER(C196),IF(AND(C196&gt;0,H196&gt;=0),H196/C196-1,"n.m."),"n.a.")</f>
        <v>-0.00013164310092639298</v>
      </c>
      <c r="I197" s="7"/>
    </row>
    <row r="198">
      <c r="A198" s="7"/>
      <c r="B198" s="76" t="s">
        <v>78</v>
      </c>
      <c r="C198" s="29">
        <f>IF(ISNUMBER(Inputs!G228),C196-Inputs!G228,"n.a.")</f>
        <v>-153</v>
      </c>
      <c r="D198" s="12">
        <f>IF(ISNUMBER(C196),D196-C196,"n.a.")</f>
        <v>-145</v>
      </c>
      <c r="E198" s="12"/>
      <c r="F198" s="12">
        <f>IF(ISNUMBER(D196),F196-D196,"n.a.")</f>
        <v>40</v>
      </c>
      <c r="G198" s="12">
        <f>IF(ISNUMBER(F196),G196-F196,"n.a.")</f>
        <v>45</v>
      </c>
      <c r="H198" s="42">
        <f>IF(ISNUMBER(G196),H196-G196,"n.a.")</f>
        <v>59.73000000000002</v>
      </c>
      <c r="I198" s="7"/>
    </row>
    <row r="199">
      <c r="A199" s="7"/>
      <c r="B199" s="69" t="s">
        <v>67</v>
      </c>
      <c r="C199" s="41">
        <f>IF(ISNUMBER(Inputs!G228),IF(AND(Inputs!G228&gt;0,C196&gt;=0),C196/Inputs!G228-1,"n.m."),"n.a.")</f>
        <v>-0.06941923774954628</v>
      </c>
      <c r="D199" s="24">
        <f>IF(ISNUMBER(C196),IF(AND(C196&gt;0,D196&gt;=0),D196/C196-1,"n.m."),"n.a.")</f>
        <v>-0.07069722086786934</v>
      </c>
      <c r="E199" s="24"/>
      <c r="F199" s="24">
        <f>IF(ISNUMBER(D196),IF(AND(D196&gt;0,F196&gt;=0),F196/D196-1,"n.m."),"n.a.")</f>
        <v>0.02098635886673672</v>
      </c>
      <c r="G199" s="24">
        <f>IF(ISNUMBER(F196),IF(AND(F196&gt;0,G196&gt;=0),G196/F196-1,"n.m."),"n.a.")</f>
        <v>0.02312435765673171</v>
      </c>
      <c r="H199" s="58">
        <v>0.03</v>
      </c>
      <c r="I199" s="7"/>
    </row>
    <row r="200">
      <c r="A200" s="7"/>
      <c r="B200" s="48" t="s">
        <v>108</v>
      </c>
      <c r="C200" s="31">
        <v>37</v>
      </c>
      <c r="D200" s="31">
        <v>33</v>
      </c>
      <c r="E200" s="31">
        <v>150</v>
      </c>
      <c r="F200" s="31">
        <v>32</v>
      </c>
      <c r="G200" s="31">
        <v>32</v>
      </c>
      <c r="H200" s="42">
        <f>H196*H203*H$6/$I$6</f>
        <v>33.06374963781424</v>
      </c>
      <c r="I200" s="39" t="s">
        <v>106</v>
      </c>
    </row>
    <row r="201">
      <c r="A201" s="7"/>
      <c r="B201" s="69" t="s">
        <v>66</v>
      </c>
      <c r="C201" s="41" t="str">
        <f>IF(ISNUMBER(Inputs!C229),IF(AND(Inputs!C229&gt;0,C200&gt;=0),C200/Inputs!C229-1,"n.m."),"n.a.")</f>
        <v>n.a.</v>
      </c>
      <c r="D201" s="41">
        <f>IF(ISNUMBER(Inputs!D229),IF(AND(Inputs!D229&gt;0,D200&gt;=0),D200/Inputs!D229-1,"n.m."),"n.a.")</f>
        <v>-0.19512195121951215</v>
      </c>
      <c r="E201" s="41">
        <f>IF(ISNUMBER(Inputs!E229),IF(AND(Inputs!E229&gt;0,E200&gt;=0),E200/Inputs!E229-1,"n.m."),"n.a.")</f>
        <v>-0.1573033707865169</v>
      </c>
      <c r="F201" s="41">
        <f>IF(ISNUMBER(Inputs!F229),IF(AND(Inputs!F229&gt;0,F200&gt;=0),F200/Inputs!F229-1,"n.m."),"n.a.")</f>
        <v>-0.19999999999999996</v>
      </c>
      <c r="G201" s="41">
        <f>IF(ISNUMBER(Inputs!G229),IF(AND(Inputs!G229&gt;0,G200&gt;=0),G200/Inputs!G229-1,"n.m."),"n.a.")</f>
        <v>-0.19999999999999996</v>
      </c>
      <c r="H201" s="40">
        <f>IF(ISNUMBER(C200),IF(AND(C200&gt;0,H200&gt;=0),H200/C200-1,"n.m."),"n.a.")</f>
        <v>-0.10638514492393947</v>
      </c>
      <c r="I201" s="7"/>
    </row>
    <row r="202">
      <c r="A202" s="7"/>
      <c r="B202" s="76" t="s">
        <v>78</v>
      </c>
      <c r="C202" s="29">
        <f>IF(ISNUMBER(Inputs!G229),C200-Inputs!G229,"n.a.")</f>
        <v>-3</v>
      </c>
      <c r="D202" s="12">
        <f>IF(ISNUMBER(C200),D200-C200,"n.a.")</f>
        <v>-4</v>
      </c>
      <c r="E202" s="12"/>
      <c r="F202" s="12">
        <f>IF(ISNUMBER(D200),F200-D200,"n.a.")</f>
        <v>-1</v>
      </c>
      <c r="G202" s="12">
        <f>IF(ISNUMBER(F200),G200-F200,"n.a.")</f>
        <v>0</v>
      </c>
      <c r="H202" s="42">
        <f>IF(ISNUMBER(G200),H200-G200,"n.a.")</f>
        <v>1.0637496378142401</v>
      </c>
      <c r="I202" s="7"/>
    </row>
    <row r="203">
      <c r="A203" s="7"/>
      <c r="B203" s="44" t="s">
        <v>109</v>
      </c>
      <c r="C203" s="60">
        <f>IF(C196=0,0,C200*$I$6/C$6/C196)</f>
        <v>0.07157166175566532</v>
      </c>
      <c r="D203" s="60">
        <f>IF(D196=0,0,D200*$I$6/D$6/D196)</f>
        <v>0.06869040558419635</v>
      </c>
      <c r="E203" s="60">
        <f>IF(E196=0,0,E200*$I$6/E$6/E196)</f>
        <v>0.07122507122507123</v>
      </c>
      <c r="F203" s="60">
        <f>IF(F196=0,0,F200*$I$6/F$6/F196)</f>
        <v>0.0666895055384264</v>
      </c>
      <c r="G203" s="60">
        <f>IF(G196=0,0,G200*$I$6/G$6/G196)</f>
        <v>0.06446592081951198</v>
      </c>
      <c r="H203" s="61">
        <f>G203+H204/10000</f>
        <v>0.06396592081951198</v>
      </c>
      <c r="I203" s="7"/>
    </row>
    <row r="204">
      <c r="A204" s="7"/>
      <c r="B204" s="69" t="s">
        <v>69</v>
      </c>
      <c r="C204" s="38" t="str">
        <f>"n.a."</f>
        <v>n.a.</v>
      </c>
      <c r="D204" s="38">
        <f>IF(AND(ISNUMBER(D203),ISNUMBER(C203)),(D203-C203)*10000,"n.a.")</f>
        <v>-28.81256171468963</v>
      </c>
      <c r="E204" s="38"/>
      <c r="F204" s="38">
        <f>IF(AND(ISNUMBER(F203),ISNUMBER(D203)),(F203-D203)*10000,"n.a.")</f>
        <v>-20.00900045769957</v>
      </c>
      <c r="G204" s="38">
        <f>IF(AND(ISNUMBER(G203),ISNUMBER(F203)),(G203-F203)*10000,"n.a.")</f>
        <v>-22.23584718914415</v>
      </c>
      <c r="H204" s="77">
        <v>-5</v>
      </c>
      <c r="I204" s="7"/>
    </row>
    <row r="205">
      <c r="A205" s="7"/>
      <c r="B205" s="33" t="s">
        <v>119</v>
      </c>
      <c r="C205" s="9"/>
      <c r="D205" s="9"/>
      <c r="E205" s="9"/>
      <c r="F205" s="9"/>
      <c r="G205" s="9"/>
      <c r="H205" s="43"/>
      <c r="I205" s="7"/>
    </row>
    <row r="206">
      <c r="A206" s="7"/>
      <c r="B206" s="90" t="s">
        <v>105</v>
      </c>
      <c r="C206" s="35">
        <f>C156+C166+C176+C186+C196</f>
        <v>63860</v>
      </c>
      <c r="D206" s="35">
        <f>D156+D166+D176+D186+D196</f>
        <v>63011</v>
      </c>
      <c r="E206" s="35">
        <f>E156+E166+E176+E186+E196</f>
        <v>63307</v>
      </c>
      <c r="F206" s="35">
        <f>F156+F166+F176+F186+F196</f>
        <v>64045</v>
      </c>
      <c r="G206" s="35">
        <f>G156+G166+G176+G186+G196</f>
        <v>66635</v>
      </c>
      <c r="H206" s="50">
        <f>H156+H166+H176+H186+H196</f>
        <v>67725.644</v>
      </c>
      <c r="I206" s="7"/>
    </row>
    <row r="207">
      <c r="A207" s="7"/>
      <c r="B207" s="69" t="s">
        <v>66</v>
      </c>
      <c r="C207" s="41" t="str">
        <f>IF(ISNUMBER(Inputs!C230),IF(AND(Inputs!C230&gt;0,C206&gt;=0),C206/Inputs!C230-1,"n.m."),"n.a.")</f>
        <v>n.a.</v>
      </c>
      <c r="D207" s="41">
        <f>IF(ISNUMBER(Inputs!D230),IF(AND(Inputs!D230&gt;0,D206&gt;=0),D206/Inputs!D230-1,"n.m."),"n.a.")</f>
        <v>-0.003384737050217468</v>
      </c>
      <c r="E207" s="41">
        <f>IF(ISNUMBER(Inputs!E230),IF(AND(Inputs!E230&gt;0,E206&gt;=0),E206/Inputs!E230-1,"n.m."),"n.a.")</f>
        <v>-0.007307167610117182</v>
      </c>
      <c r="F207" s="41">
        <f>IF(ISNUMBER(Inputs!F230),IF(AND(Inputs!F230&gt;0,F206&gt;=0),F206/Inputs!F230-1,"n.m."),"n.a.")</f>
        <v>0.014333227747861832</v>
      </c>
      <c r="G207" s="41">
        <f>IF(ISNUMBER(Inputs!G230),IF(AND(Inputs!G230&gt;0,G206&gt;=0),G206/Inputs!G230-1,"n.m."),"n.a.")</f>
        <v>0.05415111054863009</v>
      </c>
      <c r="H207" s="40">
        <f>IF(ISNUMBER(C206),IF(AND(C206&gt;0,H206&gt;=0),H206/C206-1,"n.m."),"n.a.")</f>
        <v>0.060533103664265564</v>
      </c>
      <c r="I207" s="7"/>
    </row>
    <row r="208">
      <c r="A208" s="7"/>
      <c r="B208" s="76" t="s">
        <v>78</v>
      </c>
      <c r="C208" s="29">
        <f>IF(ISNUMBER(Inputs!G230),C206-Inputs!G230,"n.a.")</f>
        <v>648</v>
      </c>
      <c r="D208" s="12">
        <f>IF(ISNUMBER(C206),D206-C206,"n.a.")</f>
        <v>-849</v>
      </c>
      <c r="E208" s="12"/>
      <c r="F208" s="12">
        <f>IF(ISNUMBER(D206),F206-D206,"n.a.")</f>
        <v>1034</v>
      </c>
      <c r="G208" s="12">
        <f>IF(ISNUMBER(F206),G206-F206,"n.a.")</f>
        <v>2590</v>
      </c>
      <c r="H208" s="42">
        <f>IF(ISNUMBER(G206),H206-G206,"n.a.")</f>
        <v>1090.6440000000002</v>
      </c>
      <c r="I208" s="7"/>
    </row>
    <row r="209">
      <c r="A209" s="7"/>
      <c r="B209" s="90" t="s">
        <v>108</v>
      </c>
      <c r="C209" s="35">
        <f>C160+C170+C180+C190+C200</f>
        <v>931</v>
      </c>
      <c r="D209" s="35">
        <f>D160+D170+D180+D190+D200</f>
        <v>905</v>
      </c>
      <c r="E209" s="35">
        <f>E160+E170+E180+E190+E200</f>
        <v>3655</v>
      </c>
      <c r="F209" s="35">
        <f>F160+F170+F180+F190+F200</f>
        <v>870</v>
      </c>
      <c r="G209" s="35">
        <f>G160+G170+G180+G190+G200</f>
        <v>909</v>
      </c>
      <c r="H209" s="50">
        <f>H160+H170+H180+H190+H200</f>
        <v>935.9237678351827</v>
      </c>
      <c r="I209" s="7"/>
    </row>
    <row r="210">
      <c r="A210" s="7"/>
      <c r="B210" s="69" t="s">
        <v>66</v>
      </c>
      <c r="C210" s="41" t="str">
        <f>IF(ISNUMBER(Inputs!C231),IF(AND(Inputs!C231&gt;0,C209&gt;=0),C209/Inputs!C231-1,"n.m."),"n.a.")</f>
        <v>n.a.</v>
      </c>
      <c r="D210" s="41">
        <f>IF(ISNUMBER(Inputs!D231),IF(AND(Inputs!D231&gt;0,D209&gt;=0),D209/Inputs!D231-1,"n.m."),"n.a.")</f>
        <v>-0.055323590814196244</v>
      </c>
      <c r="E210" s="41">
        <f>IF(ISNUMBER(Inputs!E231),IF(AND(Inputs!E231&gt;0,E209&gt;=0),E209/Inputs!E231-1,"n.m."),"n.a.")</f>
        <v>-0.06688792443196323</v>
      </c>
      <c r="F210" s="41">
        <f>IF(ISNUMBER(Inputs!F231),IF(AND(Inputs!F231&gt;0,F209&gt;=0),F209/Inputs!F231-1,"n.m."),"n.a.")</f>
        <v>-0.023569023569023573</v>
      </c>
      <c r="G210" s="41">
        <f>IF(ISNUMBER(Inputs!G231),IF(AND(Inputs!G231&gt;0,G209&gt;=0),G209/Inputs!G231-1,"n.m."),"n.a.")</f>
        <v>-0.020474137931034475</v>
      </c>
      <c r="H210" s="40">
        <f>IF(ISNUMBER(C209),IF(AND(C209&gt;0,H209&gt;=0),H209/C209-1,"n.m."),"n.a.")</f>
        <v>0.0052886872558353115</v>
      </c>
      <c r="I210" s="7"/>
    </row>
    <row r="211">
      <c r="A211" s="7"/>
      <c r="B211" s="76" t="s">
        <v>78</v>
      </c>
      <c r="C211" s="29">
        <f>IF(ISNUMBER(Inputs!G231),C209-Inputs!G231,"n.a.")</f>
        <v>3</v>
      </c>
      <c r="D211" s="12">
        <f>IF(ISNUMBER(C209),D209-C209,"n.a.")</f>
        <v>-26</v>
      </c>
      <c r="E211" s="12"/>
      <c r="F211" s="12">
        <f>IF(ISNUMBER(D209),F209-D209,"n.a.")</f>
        <v>-35</v>
      </c>
      <c r="G211" s="12">
        <f>IF(ISNUMBER(F209),G209-F209,"n.a.")</f>
        <v>39</v>
      </c>
      <c r="H211" s="42">
        <f>IF(ISNUMBER(G209),H209-G209,"n.a.")</f>
        <v>26.92376783518273</v>
      </c>
      <c r="I211" s="7"/>
    </row>
    <row r="212">
      <c r="A212" s="7"/>
      <c r="B212" s="44" t="s">
        <v>109</v>
      </c>
      <c r="C212" s="60">
        <f>C209*$I$6/C$6/C206</f>
        <v>0.057839669657811246</v>
      </c>
      <c r="D212" s="60">
        <f>D209*$I$6/D$6/D206</f>
        <v>0.05698194173136091</v>
      </c>
      <c r="E212" s="60">
        <f>E209*$I$6/E$6/E206</f>
        <v>0.057734531726349375</v>
      </c>
      <c r="F212" s="60">
        <f>F209*$I$6/F$6/F206</f>
        <v>0.055091472141983504</v>
      </c>
      <c r="G212" s="60">
        <f>G209*$I$6/G$6/G206</f>
        <v>0.05471582518179652</v>
      </c>
      <c r="H212" s="61">
        <f>H209*$I$6/H$6/H206</f>
        <v>0.05482673325397626</v>
      </c>
      <c r="I212" s="7"/>
    </row>
    <row r="213">
      <c r="A213" s="7"/>
      <c r="B213" s="69" t="s">
        <v>69</v>
      </c>
      <c r="C213" s="38" t="str">
        <f>"n.a."</f>
        <v>n.a.</v>
      </c>
      <c r="D213" s="38">
        <f>IF(AND(ISNUMBER(D212),ISNUMBER(C212)),(D212-C212)*10000,"n.a.")</f>
        <v>-8.577279264503357</v>
      </c>
      <c r="E213" s="38"/>
      <c r="F213" s="38">
        <f>IF(AND(ISNUMBER(F212),ISNUMBER(D212)),(F212-D212)*10000,"n.a.")</f>
        <v>-18.90469589377407</v>
      </c>
      <c r="G213" s="38">
        <f>IF(AND(ISNUMBER(G212),ISNUMBER(F212)),(G212-F212)*10000,"n.a.")</f>
        <v>-3.756469601869858</v>
      </c>
      <c r="H213" s="67">
        <f>IF(AND(ISNUMBER(H212),ISNUMBER(G212)),(H212-G212)*10000,"n.a.")</f>
        <v>1.109080721797412</v>
      </c>
      <c r="I213" s="7"/>
    </row>
    <row r="214">
      <c r="A214" s="7"/>
      <c r="B214" s="1" t="s">
        <v>120</v>
      </c>
      <c r="C214" s="11"/>
      <c r="D214" s="11"/>
      <c r="E214" s="11"/>
      <c r="F214" s="11"/>
      <c r="G214" s="11"/>
      <c r="H214" s="91"/>
      <c r="I214" s="7"/>
    </row>
    <row r="215">
      <c r="A215" s="7"/>
      <c r="B215" s="48" t="s">
        <v>105</v>
      </c>
      <c r="C215" s="31">
        <v>19944</v>
      </c>
      <c r="D215" s="31">
        <v>19822</v>
      </c>
      <c r="E215" s="31">
        <v>19948</v>
      </c>
      <c r="F215" s="31">
        <v>19674</v>
      </c>
      <c r="G215" s="31">
        <v>19551</v>
      </c>
      <c r="H215" s="42">
        <f>G215*(1+H218)</f>
        <v>19433.694</v>
      </c>
      <c r="I215" s="39" t="s">
        <v>106</v>
      </c>
    </row>
    <row r="216">
      <c r="A216" s="7"/>
      <c r="B216" s="69" t="s">
        <v>66</v>
      </c>
      <c r="C216" s="41" t="str">
        <f>IF(ISNUMBER(Inputs!C232),IF(AND(Inputs!C232&gt;0,C215&gt;=0),C215/Inputs!C232-1,"n.m."),"n.a.")</f>
        <v>n.a.</v>
      </c>
      <c r="D216" s="41">
        <f>IF(ISNUMBER(Inputs!D232),IF(AND(Inputs!D232&gt;0,D215&gt;=0),D215/Inputs!D232-1,"n.m."),"n.a.")</f>
        <v>-0.014174168200129289</v>
      </c>
      <c r="E216" s="41">
        <f>IF(ISNUMBER(Inputs!E232),IF(AND(Inputs!E232&gt;0,E215&gt;=0),E215/Inputs!E232-1,"n.m."),"n.a.")</f>
        <v>-0.010417700168667499</v>
      </c>
      <c r="F216" s="41">
        <f>IF(ISNUMBER(Inputs!F232),IF(AND(Inputs!F232&gt;0,F215&gt;=0),F215/Inputs!F232-1,"n.m."),"n.a.")</f>
        <v>-0.018116484503668207</v>
      </c>
      <c r="G216" s="41">
        <f>IF(ISNUMBER(Inputs!G232),IF(AND(Inputs!G232&gt;0,G215&gt;=0),G215/Inputs!G232-1,"n.m."),"n.a.")</f>
        <v>-0.022058823529411797</v>
      </c>
      <c r="H216" s="40">
        <f>IF(ISNUMBER(C215),IF(AND(C215&gt;0,H215&gt;=0),H215/C215-1,"n.m."),"n.a.")</f>
        <v>-0.02558694344163659</v>
      </c>
      <c r="I216" s="7"/>
    </row>
    <row r="217">
      <c r="A217" s="7"/>
      <c r="B217" s="76" t="s">
        <v>78</v>
      </c>
      <c r="C217" s="29">
        <f>IF(ISNUMBER(Inputs!G232),C215-Inputs!G232,"n.a.")</f>
        <v>-48</v>
      </c>
      <c r="D217" s="12">
        <f>IF(ISNUMBER(C215),D215-C215,"n.a.")</f>
        <v>-122</v>
      </c>
      <c r="E217" s="12"/>
      <c r="F217" s="12">
        <f>IF(ISNUMBER(D215),F215-D215,"n.a.")</f>
        <v>-148</v>
      </c>
      <c r="G217" s="12">
        <f>IF(ISNUMBER(F215),G215-F215,"n.a.")</f>
        <v>-123</v>
      </c>
      <c r="H217" s="42">
        <f>IF(ISNUMBER(G215),H215-G215,"n.a.")</f>
        <v>-117.3060000000005</v>
      </c>
      <c r="I217" s="7"/>
    </row>
    <row r="218">
      <c r="A218" s="7"/>
      <c r="B218" s="69" t="s">
        <v>67</v>
      </c>
      <c r="C218" s="41">
        <f>IF(ISNUMBER(Inputs!G232),IF(AND(Inputs!G232&gt;0,C215&gt;=0),C215/Inputs!G232-1,"n.m."),"n.a.")</f>
        <v>-0.0024009603841537164</v>
      </c>
      <c r="D218" s="24">
        <f>IF(ISNUMBER(C215),IF(AND(C215&gt;0,D215&gt;=0),D215/C215-1,"n.m."),"n.a.")</f>
        <v>-0.0061171279582832305</v>
      </c>
      <c r="E218" s="24"/>
      <c r="F218" s="24">
        <f>IF(ISNUMBER(D215),IF(AND(D215&gt;0,F215&gt;=0),F215/D215-1,"n.m."),"n.a.")</f>
        <v>-0.007466451417616815</v>
      </c>
      <c r="G218" s="24">
        <f>IF(ISNUMBER(F215),IF(AND(F215&gt;0,G215&gt;=0),G215/F215-1,"n.m."),"n.a.")</f>
        <v>-0.006251906068923452</v>
      </c>
      <c r="H218" s="58">
        <v>-0.006</v>
      </c>
      <c r="I218" s="7"/>
    </row>
    <row r="219">
      <c r="A219" s="7"/>
      <c r="B219" s="48" t="s">
        <v>108</v>
      </c>
      <c r="C219" s="31">
        <v>202</v>
      </c>
      <c r="D219" s="31">
        <v>202</v>
      </c>
      <c r="E219" s="31">
        <v>802</v>
      </c>
      <c r="F219" s="31">
        <v>200</v>
      </c>
      <c r="G219" s="31">
        <v>201</v>
      </c>
      <c r="H219" s="42">
        <f>H215*H222*H$6/$I$6</f>
        <v>203.45904518592204</v>
      </c>
      <c r="I219" s="39" t="s">
        <v>106</v>
      </c>
    </row>
    <row r="220">
      <c r="A220" s="7"/>
      <c r="B220" s="69" t="s">
        <v>66</v>
      </c>
      <c r="C220" s="41" t="str">
        <f>IF(ISNUMBER(Inputs!C233),IF(AND(Inputs!C233&gt;0,C219&gt;=0),C219/Inputs!C233-1,"n.m."),"n.a.")</f>
        <v>n.a.</v>
      </c>
      <c r="D220" s="41">
        <f>IF(ISNUMBER(Inputs!D233),IF(AND(Inputs!D233&gt;0,D219&gt;=0),D219/Inputs!D233-1,"n.m."),"n.a.")</f>
        <v>0.015075376884422065</v>
      </c>
      <c r="E220" s="41">
        <f>IF(ISNUMBER(Inputs!E233),IF(AND(Inputs!E233&gt;0,E219&gt;=0),E219/Inputs!E233-1,"n.m."),"n.a.")</f>
        <v>0.03217503217503226</v>
      </c>
      <c r="F220" s="41">
        <f>IF(ISNUMBER(Inputs!F233),IF(AND(Inputs!F233&gt;0,F219&gt;=0),F219/Inputs!F233-1,"n.m."),"n.a.")</f>
        <v>0.010101010101010166</v>
      </c>
      <c r="G220" s="41">
        <f>IF(ISNUMBER(Inputs!G233),IF(AND(Inputs!G233&gt;0,G219&gt;=0),G219/Inputs!G233-1,"n.m."),"n.a.")</f>
        <v>0.004999999999999893</v>
      </c>
      <c r="H220" s="40">
        <f>IF(ISNUMBER(C219),IF(AND(C219&gt;0,H219&gt;=0),H219/C219-1,"n.m."),"n.a.")</f>
        <v>0.00722299596991105</v>
      </c>
      <c r="I220" s="7"/>
    </row>
    <row r="221">
      <c r="A221" s="7"/>
      <c r="B221" s="76" t="s">
        <v>78</v>
      </c>
      <c r="C221" s="29">
        <f>IF(ISNUMBER(Inputs!G233),C219-Inputs!G233,"n.a.")</f>
        <v>2</v>
      </c>
      <c r="D221" s="12">
        <f>IF(ISNUMBER(C219),D219-C219,"n.a.")</f>
        <v>0</v>
      </c>
      <c r="E221" s="12"/>
      <c r="F221" s="12">
        <f>IF(ISNUMBER(D219),F219-D219,"n.a.")</f>
        <v>-2</v>
      </c>
      <c r="G221" s="12">
        <f>IF(ISNUMBER(F219),G219-F219,"n.a.")</f>
        <v>1</v>
      </c>
      <c r="H221" s="42">
        <f>IF(ISNUMBER(G219),H219-G219,"n.a.")</f>
        <v>2.4590451859220366</v>
      </c>
      <c r="I221" s="7"/>
    </row>
    <row r="222">
      <c r="A222" s="7"/>
      <c r="B222" s="44" t="s">
        <v>109</v>
      </c>
      <c r="C222" s="60">
        <f>IF(C215=0,0,C219*$I$6/C$6/C215)</f>
        <v>0.04018316503601388</v>
      </c>
      <c r="D222" s="60">
        <f>IF(D215=0,0,D219*$I$6/D$6/D215)</f>
        <v>0.04043048347685707</v>
      </c>
      <c r="E222" s="60">
        <f>IF(E215=0,0,E219*$I$6/E$6/E215)</f>
        <v>0.04020453178263485</v>
      </c>
      <c r="F222" s="60">
        <f>IF(F215=0,0,F219*$I$6/F$6/F215)</f>
        <v>0.04122756486281951</v>
      </c>
      <c r="G222" s="60">
        <f>IF(G215=0,0,G219*$I$6/G$6/G215)</f>
        <v>0.041236192072466434</v>
      </c>
      <c r="H222" s="61">
        <f>G222+H223/10000</f>
        <v>0.041536192072466435</v>
      </c>
      <c r="I222" s="7"/>
    </row>
    <row r="223">
      <c r="A223" s="7"/>
      <c r="B223" s="69" t="s">
        <v>69</v>
      </c>
      <c r="C223" s="38" t="str">
        <f>"n.a."</f>
        <v>n.a.</v>
      </c>
      <c r="D223" s="38">
        <f>IF(AND(ISNUMBER(D222),ISNUMBER(C222)),(D222-C222)*10000,"n.a.")</f>
        <v>2.4731844084319166</v>
      </c>
      <c r="E223" s="38"/>
      <c r="F223" s="38">
        <f>IF(AND(ISNUMBER(F222),ISNUMBER(D222)),(F222-D222)*10000,"n.a.")</f>
        <v>7.970813859624407</v>
      </c>
      <c r="G223" s="38">
        <f>IF(AND(ISNUMBER(G222),ISNUMBER(F222)),(G222-F222)*10000,"n.a.")</f>
        <v>0.08627209646921985</v>
      </c>
      <c r="H223" s="77">
        <v>3</v>
      </c>
      <c r="I223" s="7"/>
    </row>
    <row r="224">
      <c r="A224" s="7"/>
      <c r="B224" s="1" t="s">
        <v>121</v>
      </c>
      <c r="C224" s="11"/>
      <c r="D224" s="11"/>
      <c r="E224" s="11"/>
      <c r="F224" s="11"/>
      <c r="G224" s="11"/>
      <c r="H224" s="91"/>
      <c r="I224" s="7"/>
    </row>
    <row r="225">
      <c r="A225" s="7"/>
      <c r="B225" s="48" t="s">
        <v>122</v>
      </c>
      <c r="C225" s="31">
        <v>3197</v>
      </c>
      <c r="D225" s="31">
        <v>3219</v>
      </c>
      <c r="E225" s="31">
        <v>3180</v>
      </c>
      <c r="F225" s="31">
        <v>3216</v>
      </c>
      <c r="G225" s="31">
        <v>3226</v>
      </c>
      <c r="H225" s="42">
        <f>G225*(1+H228)</f>
        <v>3235.6779999999994</v>
      </c>
      <c r="I225" s="39" t="s">
        <v>123</v>
      </c>
    </row>
    <row r="226">
      <c r="A226" s="7"/>
      <c r="B226" s="69" t="s">
        <v>66</v>
      </c>
      <c r="C226" s="41" t="str">
        <f>IF(ISNUMBER(Inputs!C234),IF(AND(Inputs!C234&gt;0,C225&gt;=0),C225/Inputs!C234-1,"n.m."),"n.a.")</f>
        <v>n.a.</v>
      </c>
      <c r="D226" s="41">
        <f>IF(ISNUMBER(Inputs!D234),IF(AND(Inputs!D234&gt;0,D225&gt;=0),D225/Inputs!D234-1,"n.m."),"n.a.")</f>
        <v>0.026794258373205704</v>
      </c>
      <c r="E226" s="41">
        <f>IF(ISNUMBER(Inputs!E234),IF(AND(Inputs!E234&gt;0,E225&gt;=0),E225/Inputs!E234-1,"n.m."),"n.a.")</f>
        <v>0.01048617731172552</v>
      </c>
      <c r="F226" s="41">
        <f>IF(ISNUMBER(Inputs!F234),IF(AND(Inputs!F234&gt;0,F225&gt;=0),F225/Inputs!F234-1,"n.m."),"n.a.")</f>
        <v>0.02583732057416266</v>
      </c>
      <c r="G226" s="41">
        <f>IF(ISNUMBER(Inputs!G234),IF(AND(Inputs!G234&gt;0,G225&gt;=0),G225/Inputs!G234-1,"n.m."),"n.a.")</f>
        <v>0.018308080808080884</v>
      </c>
      <c r="H226" s="40">
        <f>IF(ISNUMBER(C225),IF(AND(C225&gt;0,H225&gt;=0),H225/C225-1,"n.m."),"n.a.")</f>
        <v>0.012098217078510887</v>
      </c>
      <c r="I226" s="7"/>
    </row>
    <row r="227">
      <c r="A227" s="7"/>
      <c r="B227" s="76" t="s">
        <v>78</v>
      </c>
      <c r="C227" s="29">
        <f>IF(ISNUMBER(Inputs!G234),C225-Inputs!G234,"n.a.")</f>
        <v>29</v>
      </c>
      <c r="D227" s="12">
        <f>IF(ISNUMBER(C225),D225-C225,"n.a.")</f>
        <v>22</v>
      </c>
      <c r="E227" s="12"/>
      <c r="F227" s="12">
        <f>IF(ISNUMBER(D225),F225-D225,"n.a.")</f>
        <v>-3</v>
      </c>
      <c r="G227" s="12">
        <f>IF(ISNUMBER(F225),G225-F225,"n.a.")</f>
        <v>10</v>
      </c>
      <c r="H227" s="42">
        <f>IF(ISNUMBER(G225),H225-G225,"n.a.")</f>
        <v>9.677999999999429</v>
      </c>
      <c r="I227" s="7"/>
    </row>
    <row r="228">
      <c r="A228" s="7"/>
      <c r="B228" s="69" t="s">
        <v>67</v>
      </c>
      <c r="C228" s="41">
        <f>IF(ISNUMBER(Inputs!G234),IF(AND(Inputs!G234&gt;0,C225&gt;=0),C225/Inputs!G234-1,"n.m."),"n.a.")</f>
        <v>0.009154040404040442</v>
      </c>
      <c r="D228" s="24">
        <f>IF(ISNUMBER(C225),IF(AND(C225&gt;0,D225&gt;=0),D225/C225-1,"n.m."),"n.a.")</f>
        <v>0.006881451360650548</v>
      </c>
      <c r="E228" s="24"/>
      <c r="F228" s="24">
        <f>IF(ISNUMBER(D225),IF(AND(D225&gt;0,F225&gt;=0),F225/D225-1,"n.m."),"n.a.")</f>
        <v>-0.0009319664492077884</v>
      </c>
      <c r="G228" s="24">
        <f>IF(ISNUMBER(F225),IF(AND(F225&gt;0,G225&gt;=0),G225/F225-1,"n.m."),"n.a.")</f>
        <v>0.003109452736318463</v>
      </c>
      <c r="H228" s="58">
        <v>0.003</v>
      </c>
      <c r="I228" s="7"/>
    </row>
    <row r="229">
      <c r="A229" s="7"/>
      <c r="B229" s="48" t="s">
        <v>124</v>
      </c>
      <c r="C229" s="31">
        <v>2341</v>
      </c>
      <c r="D229" s="31">
        <v>2327</v>
      </c>
      <c r="E229" s="31">
        <v>2350</v>
      </c>
      <c r="F229" s="31">
        <v>2298</v>
      </c>
      <c r="G229" s="31">
        <v>2270</v>
      </c>
      <c r="H229" s="42">
        <f>G229*(1+H232)</f>
        <v>2242.7599999999998</v>
      </c>
      <c r="I229" s="39" t="s">
        <v>123</v>
      </c>
    </row>
    <row r="230">
      <c r="A230" s="7"/>
      <c r="B230" s="69" t="s">
        <v>66</v>
      </c>
      <c r="C230" s="41" t="str">
        <f>IF(ISNUMBER(Inputs!C235),IF(AND(Inputs!C235&gt;0,C229&gt;=0),C229/Inputs!C235-1,"n.m."),"n.a.")</f>
        <v>n.a.</v>
      </c>
      <c r="D230" s="41">
        <f>IF(ISNUMBER(Inputs!D235),IF(AND(Inputs!D235&gt;0,D229&gt;=0),D229/Inputs!D235-1,"n.m."),"n.a.")</f>
        <v>-0.02717391304347827</v>
      </c>
      <c r="E230" s="41">
        <f>IF(ISNUMBER(Inputs!E235),IF(AND(Inputs!E235&gt;0,E229&gt;=0),E229/Inputs!E235-1,"n.m."),"n.a.")</f>
        <v>-0.023680930619027873</v>
      </c>
      <c r="F230" s="41">
        <f>IF(ISNUMBER(Inputs!F235),IF(AND(Inputs!F235&gt;0,F229&gt;=0),F229/Inputs!F235-1,"n.m."),"n.a.")</f>
        <v>-0.03201347935973042</v>
      </c>
      <c r="G230" s="41">
        <f>IF(ISNUMBER(Inputs!G235),IF(AND(Inputs!G235&gt;0,G229&gt;=0),G229/Inputs!G235-1,"n.m."),"n.a.")</f>
        <v>-0.03691132795927021</v>
      </c>
      <c r="H230" s="40">
        <f>IF(ISNUMBER(C229),IF(AND(C229&gt;0,H229&gt;=0),H229/C229-1,"n.m."),"n.a.")</f>
        <v>-0.04196497223408813</v>
      </c>
      <c r="I230" s="7"/>
    </row>
    <row r="231">
      <c r="A231" s="7"/>
      <c r="B231" s="76" t="s">
        <v>78</v>
      </c>
      <c r="C231" s="29">
        <f>IF(ISNUMBER(Inputs!G235),C229-Inputs!G235,"n.a.")</f>
        <v>-16</v>
      </c>
      <c r="D231" s="12">
        <f>IF(ISNUMBER(C229),D229-C229,"n.a.")</f>
        <v>-14</v>
      </c>
      <c r="E231" s="12"/>
      <c r="F231" s="12">
        <f>IF(ISNUMBER(D229),F229-D229,"n.a.")</f>
        <v>-29</v>
      </c>
      <c r="G231" s="12">
        <f>IF(ISNUMBER(F229),G229-F229,"n.a.")</f>
        <v>-28</v>
      </c>
      <c r="H231" s="42">
        <f>IF(ISNUMBER(G229),H229-G229,"n.a.")</f>
        <v>-27.240000000000236</v>
      </c>
      <c r="I231" s="7"/>
    </row>
    <row r="232">
      <c r="A232" s="7"/>
      <c r="B232" s="69" t="s">
        <v>67</v>
      </c>
      <c r="C232" s="41">
        <f>IF(ISNUMBER(Inputs!G235),IF(AND(Inputs!G235&gt;0,C229&gt;=0),C229/Inputs!G235-1,"n.m."),"n.a.")</f>
        <v>-0.006788290199406077</v>
      </c>
      <c r="D232" s="24">
        <f>IF(ISNUMBER(C229),IF(AND(C229&gt;0,D229&gt;=0),D229/C229-1,"n.m."),"n.a.")</f>
        <v>-0.0059803502776590856</v>
      </c>
      <c r="E232" s="24"/>
      <c r="F232" s="24">
        <f>IF(ISNUMBER(D229),IF(AND(D229&gt;0,F229&gt;=0),F229/D229-1,"n.m."),"n.a.")</f>
        <v>-0.01246239793725823</v>
      </c>
      <c r="G232" s="24">
        <f>IF(ISNUMBER(F229),IF(AND(F229&gt;0,G229&gt;=0),G229/F229-1,"n.m."),"n.a.")</f>
        <v>-0.012184508268059169</v>
      </c>
      <c r="H232" s="58">
        <v>-0.012</v>
      </c>
      <c r="I232" s="7"/>
    </row>
    <row r="233">
      <c r="A233" s="7"/>
      <c r="B233" s="90" t="s">
        <v>125</v>
      </c>
      <c r="C233" s="35">
        <f>C225+C229</f>
        <v>5538</v>
      </c>
      <c r="D233" s="35">
        <f>D225+D229</f>
        <v>5546</v>
      </c>
      <c r="E233" s="35">
        <f>E225+E229</f>
        <v>5530</v>
      </c>
      <c r="F233" s="35">
        <f>F225+F229</f>
        <v>5514</v>
      </c>
      <c r="G233" s="35">
        <f>G225+G229</f>
        <v>5496</v>
      </c>
      <c r="H233" s="50">
        <f>H225+H229</f>
        <v>5478.437999999999</v>
      </c>
      <c r="I233" s="7"/>
    </row>
    <row r="234">
      <c r="A234" s="7"/>
      <c r="B234" s="69" t="s">
        <v>66</v>
      </c>
      <c r="C234" s="41" t="str">
        <f>IF(ISNUMBER(Inputs!C236),IF(AND(Inputs!C236&gt;0,C233&gt;=0),C233/Inputs!C236-1,"n.m."),"n.a.")</f>
        <v>n.a.</v>
      </c>
      <c r="D234" s="41">
        <f>IF(ISNUMBER(Inputs!D236),IF(AND(Inputs!D236&gt;0,D233&gt;=0),D233/Inputs!D236-1,"n.m."),"n.a.")</f>
        <v>0.0034376696218563207</v>
      </c>
      <c r="E234" s="41">
        <f>IF(ISNUMBER(Inputs!E236),IF(AND(Inputs!E236&gt;0,E233&gt;=0),E233/Inputs!E236-1,"n.m."),"n.a.")</f>
        <v>-0.004321209938782822</v>
      </c>
      <c r="F234" s="41">
        <f>IF(ISNUMBER(Inputs!F236),IF(AND(Inputs!F236&gt;0,F233&gt;=0),F233/Inputs!F236-1,"n.m."),"n.a.")</f>
        <v>0.0009076057360681844</v>
      </c>
      <c r="G234" s="41">
        <f>IF(ISNUMBER(Inputs!G236),IF(AND(Inputs!G236&gt;0,G233&gt;=0),G233/Inputs!G236-1,"n.m."),"n.a.")</f>
        <v>-0.005248868778280569</v>
      </c>
      <c r="H234" s="40">
        <f>IF(ISNUMBER(C233),IF(AND(C233&gt;0,H233&gt;=0),H233/C233-1,"n.m."),"n.a.")</f>
        <v>-0.010755146262188653</v>
      </c>
      <c r="I234" s="7"/>
    </row>
    <row r="235">
      <c r="A235" s="7"/>
      <c r="B235" s="76" t="s">
        <v>78</v>
      </c>
      <c r="C235" s="29">
        <f>IF(ISNUMBER(Inputs!G236),C233-Inputs!G236,"n.a.")</f>
        <v>13</v>
      </c>
      <c r="D235" s="12">
        <f>IF(ISNUMBER(C233),D233-C233,"n.a.")</f>
        <v>8</v>
      </c>
      <c r="E235" s="12"/>
      <c r="F235" s="12">
        <f>IF(ISNUMBER(D233),F233-D233,"n.a.")</f>
        <v>-32</v>
      </c>
      <c r="G235" s="12">
        <f>IF(ISNUMBER(F233),G233-F233,"n.a.")</f>
        <v>-18</v>
      </c>
      <c r="H235" s="42">
        <f>IF(ISNUMBER(G233),H233-G233,"n.a.")</f>
        <v>-17.562000000000808</v>
      </c>
      <c r="I235" s="7"/>
    </row>
    <row r="236">
      <c r="A236" s="7"/>
      <c r="B236" s="48" t="s">
        <v>108</v>
      </c>
      <c r="C236" s="31">
        <v>91</v>
      </c>
      <c r="D236" s="31">
        <v>91</v>
      </c>
      <c r="E236" s="31">
        <v>363</v>
      </c>
      <c r="F236" s="31">
        <v>89</v>
      </c>
      <c r="G236" s="31">
        <v>89</v>
      </c>
      <c r="H236" s="42">
        <f>H233*H239*H$6/$I$6</f>
        <v>89.69050487067516</v>
      </c>
      <c r="I236" s="39" t="s">
        <v>106</v>
      </c>
    </row>
    <row r="237">
      <c r="A237" s="7"/>
      <c r="B237" s="69" t="s">
        <v>66</v>
      </c>
      <c r="C237" s="41" t="str">
        <f>IF(ISNUMBER(Inputs!C237),IF(AND(Inputs!C237&gt;0,C236&gt;=0),C236/Inputs!C237-1,"n.m."),"n.a.")</f>
        <v>n.a.</v>
      </c>
      <c r="D237" s="41">
        <f>IF(ISNUMBER(Inputs!D237),IF(AND(Inputs!D237&gt;0,D236&gt;=0),D236/Inputs!D237-1,"n.m."),"n.a.")</f>
        <v>-0.03191489361702127</v>
      </c>
      <c r="E237" s="41">
        <f>IF(ISNUMBER(Inputs!E237),IF(AND(Inputs!E237&gt;0,E236&gt;=0),E236/Inputs!E237-1,"n.m."),"n.a.")</f>
        <v>-0.044736842105263186</v>
      </c>
      <c r="F237" s="41">
        <f>IF(ISNUMBER(Inputs!F237),IF(AND(Inputs!F237&gt;0,F236&gt;=0),F236/Inputs!F237-1,"n.m."),"n.a.")</f>
        <v>-0.02197802197802201</v>
      </c>
      <c r="G237" s="41">
        <f>IF(ISNUMBER(Inputs!G237),IF(AND(Inputs!G237&gt;0,G236&gt;=0),G236/Inputs!G237-1,"n.m."),"n.a.")</f>
        <v>-0.011111111111111072</v>
      </c>
      <c r="H237" s="40">
        <f>IF(ISNUMBER(C236),IF(AND(C236&gt;0,H236&gt;=0),H236/C236-1,"n.m."),"n.a.")</f>
        <v>-0.014390056366207049</v>
      </c>
      <c r="I237" s="7"/>
    </row>
    <row r="238">
      <c r="A238" s="7"/>
      <c r="B238" s="76" t="s">
        <v>78</v>
      </c>
      <c r="C238" s="29">
        <f>IF(ISNUMBER(Inputs!G237),C236-Inputs!G237,"n.a.")</f>
        <v>1</v>
      </c>
      <c r="D238" s="12">
        <f>IF(ISNUMBER(C236),D236-C236,"n.a.")</f>
        <v>0</v>
      </c>
      <c r="E238" s="12"/>
      <c r="F238" s="12">
        <f>IF(ISNUMBER(D236),F236-D236,"n.a.")</f>
        <v>-2</v>
      </c>
      <c r="G238" s="12">
        <f>IF(ISNUMBER(F236),G236-F236,"n.a.")</f>
        <v>0</v>
      </c>
      <c r="H238" s="42">
        <f>IF(ISNUMBER(G236),H236-G236,"n.a.")</f>
        <v>0.6905048706751558</v>
      </c>
      <c r="I238" s="7"/>
    </row>
    <row r="239">
      <c r="A239" s="7"/>
      <c r="B239" s="44" t="s">
        <v>109</v>
      </c>
      <c r="C239" s="60">
        <f>IF(C233=0,0,C236*$I$6/C$6/C233)</f>
        <v>0.0651918758930394</v>
      </c>
      <c r="D239" s="60">
        <f>IF(D233=0,0,D236*$I$6/D$6/D233)</f>
        <v>0.06509783784631305</v>
      </c>
      <c r="E239" s="60">
        <f>IF(E233=0,0,E236*$I$6/E$6/E233)</f>
        <v>0.06564195298372513</v>
      </c>
      <c r="F239" s="60">
        <f>IF(F233=0,0,F236*$I$6/F$6/F233)</f>
        <v>0.06545963809293516</v>
      </c>
      <c r="G239" s="60">
        <f>IF(G233=0,0,G236*$I$6/G$6/G233)</f>
        <v>0.0649523329654334</v>
      </c>
      <c r="H239" s="61">
        <f>G239+H240/10000</f>
        <v>0.0649523329654334</v>
      </c>
      <c r="I239" s="7"/>
    </row>
    <row r="240">
      <c r="A240" s="7"/>
      <c r="B240" s="69" t="s">
        <v>69</v>
      </c>
      <c r="C240" s="38" t="str">
        <f>"n.a."</f>
        <v>n.a.</v>
      </c>
      <c r="D240" s="38">
        <f>IF(AND(ISNUMBER(D239),ISNUMBER(C239)),(D239-C239)*10000,"n.a.")</f>
        <v>-0.9403804672634963</v>
      </c>
      <c r="E240" s="38"/>
      <c r="F240" s="38">
        <f>IF(AND(ISNUMBER(F239),ISNUMBER(D239)),(F239-D239)*10000,"n.a.")</f>
        <v>3.618002466221071</v>
      </c>
      <c r="G240" s="38">
        <f>IF(AND(ISNUMBER(G239),ISNUMBER(F239)),(G239-F239)*10000,"n.a.")</f>
        <v>-5.073051275017587</v>
      </c>
      <c r="H240" s="77">
        <v>0</v>
      </c>
      <c r="I240" s="7"/>
    </row>
    <row r="241">
      <c r="A241" s="7"/>
      <c r="B241" s="1" t="s">
        <v>126</v>
      </c>
      <c r="C241" s="11"/>
      <c r="D241" s="11"/>
      <c r="E241" s="11"/>
      <c r="F241" s="11"/>
      <c r="G241" s="11"/>
      <c r="H241" s="91"/>
      <c r="I241" s="7"/>
    </row>
    <row r="242">
      <c r="A242" s="7"/>
      <c r="B242" s="48" t="s">
        <v>105</v>
      </c>
      <c r="C242" s="31">
        <v>1420</v>
      </c>
      <c r="D242" s="31">
        <v>1458</v>
      </c>
      <c r="E242" s="31">
        <v>1417</v>
      </c>
      <c r="F242" s="31">
        <v>1473</v>
      </c>
      <c r="G242" s="31">
        <v>1474</v>
      </c>
      <c r="H242" s="42">
        <f>G242*(1+H245)</f>
        <v>1488.74</v>
      </c>
      <c r="I242" s="39" t="s">
        <v>106</v>
      </c>
    </row>
    <row r="243">
      <c r="A243" s="7"/>
      <c r="B243" s="69" t="s">
        <v>66</v>
      </c>
      <c r="C243" s="41" t="str">
        <f>IF(ISNUMBER(Inputs!C238),IF(AND(Inputs!C238&gt;0,C242&gt;=0),C242/Inputs!C238-1,"n.m."),"n.a.")</f>
        <v>n.a.</v>
      </c>
      <c r="D243" s="41">
        <f>IF(ISNUMBER(Inputs!D238),IF(AND(Inputs!D238&gt;0,D242&gt;=0),D242/Inputs!D238-1,"n.m."),"n.a.")</f>
        <v>0.0429184549356223</v>
      </c>
      <c r="E243" s="41">
        <f>IF(ISNUMBER(Inputs!E238),IF(AND(Inputs!E238&gt;0,E242&gt;=0),E242/Inputs!E238-1,"n.m."),"n.a.")</f>
        <v>0.048852701702442713</v>
      </c>
      <c r="F243" s="41">
        <f>IF(ISNUMBER(Inputs!F238),IF(AND(Inputs!F238&gt;0,F242&gt;=0),F242/Inputs!F238-1,"n.m."),"n.a.")</f>
        <v>0.05667144906743182</v>
      </c>
      <c r="G243" s="41">
        <f>IF(ISNUMBER(Inputs!G238),IF(AND(Inputs!G238&gt;0,G242&gt;=0),G242/Inputs!G238-1,"n.m."),"n.a.")</f>
        <v>0.055118110236220375</v>
      </c>
      <c r="H243" s="40">
        <f>IF(ISNUMBER(C242),IF(AND(C242&gt;0,H242&gt;=0),H242/C242-1,"n.m."),"n.a.")</f>
        <v>0.04840845070422528</v>
      </c>
      <c r="I243" s="7"/>
    </row>
    <row r="244">
      <c r="A244" s="7"/>
      <c r="B244" s="76" t="s">
        <v>78</v>
      </c>
      <c r="C244" s="29">
        <f>IF(ISNUMBER(Inputs!G238),C242-Inputs!G238,"n.a.")</f>
        <v>23</v>
      </c>
      <c r="D244" s="12">
        <f>IF(ISNUMBER(C242),D242-C242,"n.a.")</f>
        <v>38</v>
      </c>
      <c r="E244" s="12"/>
      <c r="F244" s="12">
        <f>IF(ISNUMBER(D242),F242-D242,"n.a.")</f>
        <v>15</v>
      </c>
      <c r="G244" s="12">
        <f>IF(ISNUMBER(F242),G242-F242,"n.a.")</f>
        <v>1</v>
      </c>
      <c r="H244" s="42">
        <f>IF(ISNUMBER(G242),H242-G242,"n.a.")</f>
        <v>14.740000000000009</v>
      </c>
      <c r="I244" s="7"/>
    </row>
    <row r="245">
      <c r="A245" s="7"/>
      <c r="B245" s="69" t="s">
        <v>67</v>
      </c>
      <c r="C245" s="41">
        <f>IF(ISNUMBER(Inputs!G238),IF(AND(Inputs!G238&gt;0,C242&gt;=0),C242/Inputs!G238-1,"n.m."),"n.a.")</f>
        <v>0.01646385110952031</v>
      </c>
      <c r="D245" s="24">
        <f>IF(ISNUMBER(C242),IF(AND(C242&gt;0,D242&gt;=0),D242/C242-1,"n.m."),"n.a.")</f>
        <v>0.026760563380281654</v>
      </c>
      <c r="E245" s="24"/>
      <c r="F245" s="24">
        <f>IF(ISNUMBER(D242),IF(AND(D242&gt;0,F242&gt;=0),F242/D242-1,"n.m."),"n.a.")</f>
        <v>0.010288065843621297</v>
      </c>
      <c r="G245" s="24">
        <f>IF(ISNUMBER(F242),IF(AND(F242&gt;0,G242&gt;=0),G242/F242-1,"n.m."),"n.a.")</f>
        <v>0.0006788866259335169</v>
      </c>
      <c r="H245" s="58">
        <v>0.01</v>
      </c>
      <c r="I245" s="7"/>
    </row>
    <row r="246">
      <c r="A246" s="7"/>
      <c r="B246" s="48" t="s">
        <v>108</v>
      </c>
      <c r="C246" s="31">
        <v>52</v>
      </c>
      <c r="D246" s="31">
        <v>51</v>
      </c>
      <c r="E246" s="31">
        <v>203</v>
      </c>
      <c r="F246" s="31">
        <v>51</v>
      </c>
      <c r="G246" s="31">
        <v>50</v>
      </c>
      <c r="H246" s="42">
        <f>H242*H249*H$6/$I$6</f>
        <v>50.67970100015053</v>
      </c>
      <c r="I246" s="39" t="s">
        <v>106</v>
      </c>
    </row>
    <row r="247">
      <c r="A247" s="7"/>
      <c r="B247" s="69" t="s">
        <v>66</v>
      </c>
      <c r="C247" s="41" t="str">
        <f>IF(ISNUMBER(Inputs!C239),IF(AND(Inputs!C239&gt;0,C246&gt;=0),C246/Inputs!C239-1,"n.m."),"n.a.")</f>
        <v>n.a.</v>
      </c>
      <c r="D247" s="41">
        <f>IF(ISNUMBER(Inputs!D239),IF(AND(Inputs!D239&gt;0,D246&gt;=0),D246/Inputs!D239-1,"n.m."),"n.a.")</f>
        <v>0.020000000000000018</v>
      </c>
      <c r="E247" s="41">
        <f>IF(ISNUMBER(Inputs!E239),IF(AND(Inputs!E239&gt;0,E246&gt;=0),E246/Inputs!E239-1,"n.m."),"n.a.")</f>
        <v>0.0201005025125629</v>
      </c>
      <c r="F247" s="41">
        <f>IF(ISNUMBER(Inputs!F239),IF(AND(Inputs!F239&gt;0,F246&gt;=0),F246/Inputs!F239-1,"n.m."),"n.a.")</f>
        <v>0.020000000000000018</v>
      </c>
      <c r="G247" s="41">
        <f>IF(ISNUMBER(Inputs!G239),IF(AND(Inputs!G239&gt;0,G246&gt;=0),G246/Inputs!G239-1,"n.m."),"n.a.")</f>
        <v>0</v>
      </c>
      <c r="H247" s="40">
        <f>IF(ISNUMBER(C246),IF(AND(C246&gt;0,H246&gt;=0),H246/C246-1,"n.m."),"n.a.")</f>
        <v>-0.02539036538172057</v>
      </c>
      <c r="I247" s="7"/>
    </row>
    <row r="248">
      <c r="A248" s="7"/>
      <c r="B248" s="76" t="s">
        <v>78</v>
      </c>
      <c r="C248" s="29">
        <f>IF(ISNUMBER(Inputs!G239),C246-Inputs!G239,"n.a.")</f>
        <v>2</v>
      </c>
      <c r="D248" s="12">
        <f>IF(ISNUMBER(C246),D246-C246,"n.a.")</f>
        <v>-1</v>
      </c>
      <c r="E248" s="12"/>
      <c r="F248" s="12">
        <f>IF(ISNUMBER(D246),F246-D246,"n.a.")</f>
        <v>0</v>
      </c>
      <c r="G248" s="12">
        <f>IF(ISNUMBER(F246),G246-F246,"n.a.")</f>
        <v>-1</v>
      </c>
      <c r="H248" s="42">
        <f>IF(ISNUMBER(G246),H246-G246,"n.a.")</f>
        <v>0.6797010001505299</v>
      </c>
      <c r="I248" s="7"/>
    </row>
    <row r="249">
      <c r="A249" s="7"/>
      <c r="B249" s="44" t="s">
        <v>109</v>
      </c>
      <c r="C249" s="60">
        <f>IF(C242=0,0,C246*$I$6/C$6/C242)</f>
        <v>0.14528475199020208</v>
      </c>
      <c r="D249" s="60">
        <f>IF(D242=0,0,D246*$I$6/D$6/D242)</f>
        <v>0.13877706208624083</v>
      </c>
      <c r="E249" s="60">
        <f>IF(E242=0,0,E246*$I$6/E$6/E242)</f>
        <v>0.1432604093154552</v>
      </c>
      <c r="F249" s="60">
        <f>IF(F242=0,0,F246*$I$6/F$6/F242)</f>
        <v>0.1404163837972392</v>
      </c>
      <c r="G249" s="60">
        <f>IF(G242=0,0,G246*$I$6/G$6/G242)</f>
        <v>0.1360579718788674</v>
      </c>
      <c r="H249" s="61">
        <f>G249+H250/10000</f>
        <v>0.1350579718788674</v>
      </c>
      <c r="I249" s="7"/>
    </row>
    <row r="250">
      <c r="A250" s="7"/>
      <c r="B250" s="69" t="s">
        <v>69</v>
      </c>
      <c r="C250" s="38" t="str">
        <f>"n.a."</f>
        <v>n.a.</v>
      </c>
      <c r="D250" s="38">
        <f>IF(AND(ISNUMBER(D249),ISNUMBER(C249)),(D249-C249)*10000,"n.a.")</f>
        <v>-65.0768990396125</v>
      </c>
      <c r="E250" s="38"/>
      <c r="F250" s="38">
        <f>IF(AND(ISNUMBER(F249),ISNUMBER(D249)),(F249-D249)*10000,"n.a.")</f>
        <v>16.393217109983706</v>
      </c>
      <c r="G250" s="38">
        <f>IF(AND(ISNUMBER(G249),ISNUMBER(F249)),(G249-F249)*10000,"n.a.")</f>
        <v>-43.584119183718016</v>
      </c>
      <c r="H250" s="77">
        <v>-10</v>
      </c>
      <c r="I250" s="7"/>
    </row>
    <row r="251">
      <c r="A251" s="7"/>
      <c r="B251" s="1" t="s">
        <v>127</v>
      </c>
      <c r="C251" s="11"/>
      <c r="D251" s="11"/>
      <c r="E251" s="11"/>
      <c r="F251" s="11"/>
      <c r="G251" s="11"/>
      <c r="H251" s="91"/>
      <c r="I251" s="7"/>
    </row>
    <row r="252">
      <c r="A252" s="7"/>
      <c r="B252" s="48" t="s">
        <v>105</v>
      </c>
      <c r="C252" s="31">
        <v>5885</v>
      </c>
      <c r="D252" s="31">
        <v>5814</v>
      </c>
      <c r="E252" s="31">
        <v>5922</v>
      </c>
      <c r="F252" s="31">
        <v>5717</v>
      </c>
      <c r="G252" s="31">
        <v>5566</v>
      </c>
      <c r="H252" s="42">
        <f>G252*(1+H255)</f>
        <v>5426.849999999999</v>
      </c>
      <c r="I252" s="39" t="s">
        <v>106</v>
      </c>
    </row>
    <row r="253">
      <c r="A253" s="7"/>
      <c r="B253" s="69" t="s">
        <v>66</v>
      </c>
      <c r="C253" s="41" t="str">
        <f>IF(ISNUMBER(Inputs!C240),IF(AND(Inputs!C240&gt;0,C252&gt;=0),C252/Inputs!C240-1,"n.m."),"n.a.")</f>
        <v>n.a.</v>
      </c>
      <c r="D253" s="41">
        <f>IF(ISNUMBER(Inputs!D240),IF(AND(Inputs!D240&gt;0,D252&gt;=0),D252/Inputs!D240-1,"n.m."),"n.a.")</f>
        <v>-0.0547878393757113</v>
      </c>
      <c r="E253" s="41">
        <f>IF(ISNUMBER(Inputs!E240),IF(AND(Inputs!E240&gt;0,E252&gt;=0),E252/Inputs!E240-1,"n.m."),"n.a.")</f>
        <v>-0.04483870967741932</v>
      </c>
      <c r="F253" s="41">
        <f>IF(ISNUMBER(Inputs!F240),IF(AND(Inputs!F240&gt;0,F252&gt;=0),F252/Inputs!F240-1,"n.m."),"n.a.")</f>
        <v>-0.053790135716650145</v>
      </c>
      <c r="G253" s="41">
        <f>IF(ISNUMBER(Inputs!G240),IF(AND(Inputs!G240&gt;0,G252&gt;=0),G252/Inputs!G240-1,"n.m."),"n.a.")</f>
        <v>-0.06469500924214422</v>
      </c>
      <c r="H253" s="40">
        <f>IF(ISNUMBER(C252),IF(AND(C252&gt;0,H252&gt;=0),H252/C252-1,"n.m."),"n.a.")</f>
        <v>-0.07785046728971967</v>
      </c>
      <c r="I253" s="7"/>
    </row>
    <row r="254">
      <c r="A254" s="7"/>
      <c r="B254" s="76" t="s">
        <v>78</v>
      </c>
      <c r="C254" s="29">
        <f>IF(ISNUMBER(Inputs!G240),C252-Inputs!G240,"n.a.")</f>
        <v>-66</v>
      </c>
      <c r="D254" s="12">
        <f>IF(ISNUMBER(C252),D252-C252,"n.a.")</f>
        <v>-71</v>
      </c>
      <c r="E254" s="12"/>
      <c r="F254" s="12">
        <f>IF(ISNUMBER(D252),F252-D252,"n.a.")</f>
        <v>-97</v>
      </c>
      <c r="G254" s="12">
        <f>IF(ISNUMBER(F252),G252-F252,"n.a.")</f>
        <v>-151</v>
      </c>
      <c r="H254" s="42">
        <f>IF(ISNUMBER(G252),H252-G252,"n.a.")</f>
        <v>-139.15000000000055</v>
      </c>
      <c r="I254" s="7"/>
    </row>
    <row r="255">
      <c r="A255" s="7"/>
      <c r="B255" s="69" t="s">
        <v>67</v>
      </c>
      <c r="C255" s="41">
        <f>IF(ISNUMBER(Inputs!G240),IF(AND(Inputs!G240&gt;0,C252&gt;=0),C252/Inputs!G240-1,"n.m."),"n.a.")</f>
        <v>-0.011090573012939031</v>
      </c>
      <c r="D255" s="24">
        <f>IF(ISNUMBER(C252),IF(AND(C252&gt;0,D252&gt;=0),D252/C252-1,"n.m."),"n.a.")</f>
        <v>-0.01206457094307567</v>
      </c>
      <c r="E255" s="24"/>
      <c r="F255" s="24">
        <f>IF(ISNUMBER(D252),IF(AND(D252&gt;0,F252&gt;=0),F252/D252-1,"n.m."),"n.a.")</f>
        <v>-0.016683866529067726</v>
      </c>
      <c r="G255" s="24">
        <f>IF(ISNUMBER(F252),IF(AND(F252&gt;0,G252&gt;=0),G252/F252-1,"n.m."),"n.a.")</f>
        <v>-0.026412454084309922</v>
      </c>
      <c r="H255" s="58">
        <v>-0.025</v>
      </c>
      <c r="I255" s="7"/>
    </row>
    <row r="256">
      <c r="A256" s="7"/>
      <c r="B256" s="48" t="s">
        <v>108</v>
      </c>
      <c r="C256" s="31">
        <v>122</v>
      </c>
      <c r="D256" s="31">
        <v>122</v>
      </c>
      <c r="E256" s="31">
        <v>489</v>
      </c>
      <c r="F256" s="31">
        <v>116</v>
      </c>
      <c r="G256" s="31">
        <v>116</v>
      </c>
      <c r="H256" s="42">
        <f>H252*H259*H$6/$I$6</f>
        <v>114.75321621135028</v>
      </c>
      <c r="I256" s="39" t="s">
        <v>106</v>
      </c>
    </row>
    <row r="257">
      <c r="A257" s="7"/>
      <c r="B257" s="69" t="s">
        <v>66</v>
      </c>
      <c r="C257" s="41" t="str">
        <f>IF(ISNUMBER(Inputs!C241),IF(AND(Inputs!C241&gt;0,C256&gt;=0),C256/Inputs!C241-1,"n.m."),"n.a.")</f>
        <v>n.a.</v>
      </c>
      <c r="D257" s="41">
        <f>IF(ISNUMBER(Inputs!D241),IF(AND(Inputs!D241&gt;0,D256&gt;=0),D256/Inputs!D241-1,"n.m."),"n.a.")</f>
        <v>-0.046875</v>
      </c>
      <c r="E257" s="41">
        <f>IF(ISNUMBER(Inputs!E241),IF(AND(Inputs!E241&gt;0,E256&gt;=0),E256/Inputs!E241-1,"n.m."),"n.a.")</f>
        <v>-0.03929273084479368</v>
      </c>
      <c r="F257" s="41">
        <f>IF(ISNUMBER(Inputs!F241),IF(AND(Inputs!F241&gt;0,F256&gt;=0),F256/Inputs!F241-1,"n.m."),"n.a.")</f>
        <v>-0.06451612903225812</v>
      </c>
      <c r="G257" s="41">
        <f>IF(ISNUMBER(Inputs!G241),IF(AND(Inputs!G241&gt;0,G256&gt;=0),G256/Inputs!G241-1,"n.m."),"n.a.")</f>
        <v>-0.04132231404958675</v>
      </c>
      <c r="H257" s="40">
        <f>IF(ISNUMBER(C256),IF(AND(C256&gt;0,H256&gt;=0),H256/C256-1,"n.m."),"n.a.")</f>
        <v>-0.05939986712007972</v>
      </c>
      <c r="I257" s="7"/>
    </row>
    <row r="258">
      <c r="A258" s="7"/>
      <c r="B258" s="76" t="s">
        <v>78</v>
      </c>
      <c r="C258" s="29">
        <f>IF(ISNUMBER(Inputs!G241),C256-Inputs!G241,"n.a.")</f>
        <v>1</v>
      </c>
      <c r="D258" s="12">
        <f>IF(ISNUMBER(C256),D256-C256,"n.a.")</f>
        <v>0</v>
      </c>
      <c r="E258" s="12"/>
      <c r="F258" s="12">
        <f>IF(ISNUMBER(D256),F256-D256,"n.a.")</f>
        <v>-6</v>
      </c>
      <c r="G258" s="12">
        <f>IF(ISNUMBER(F256),G256-F256,"n.a.")</f>
        <v>0</v>
      </c>
      <c r="H258" s="42">
        <f>IF(ISNUMBER(G256),H256-G256,"n.a.")</f>
        <v>-1.2467837886497222</v>
      </c>
      <c r="I258" s="7"/>
    </row>
    <row r="259">
      <c r="A259" s="7"/>
      <c r="B259" s="44" t="s">
        <v>109</v>
      </c>
      <c r="C259" s="60">
        <f>IF(C252=0,0,C256*$I$6/C$6/C252)</f>
        <v>0.08224668464408408</v>
      </c>
      <c r="D259" s="60">
        <f>IF(D252=0,0,D256*$I$6/D$6/D252)</f>
        <v>0.08325107312184982</v>
      </c>
      <c r="E259" s="60">
        <f>IF(E252=0,0,E256*$I$6/E$6/E252)</f>
        <v>0.08257345491388045</v>
      </c>
      <c r="F259" s="60">
        <f>IF(F252=0,0,F256*$I$6/F$6/F252)</f>
        <v>0.08228869064971917</v>
      </c>
      <c r="G259" s="60">
        <f>IF(G252=0,0,G256*$I$6/G$6/G252)</f>
        <v>0.0835922970310322</v>
      </c>
      <c r="H259" s="61">
        <f>G259+H260/10000</f>
        <v>0.0838922970310322</v>
      </c>
      <c r="I259" s="7"/>
    </row>
    <row r="260">
      <c r="A260" s="7"/>
      <c r="B260" s="69" t="s">
        <v>69</v>
      </c>
      <c r="C260" s="38" t="str">
        <f>"n.a."</f>
        <v>n.a.</v>
      </c>
      <c r="D260" s="38">
        <f>IF(AND(ISNUMBER(D259),ISNUMBER(C259)),(D259-C259)*10000,"n.a.")</f>
        <v>10.043884777657386</v>
      </c>
      <c r="E260" s="38"/>
      <c r="F260" s="38">
        <f>IF(AND(ISNUMBER(F259),ISNUMBER(D259)),(F259-D259)*10000,"n.a.")</f>
        <v>-9.623824721306518</v>
      </c>
      <c r="G260" s="38">
        <f>IF(AND(ISNUMBER(G259),ISNUMBER(F259)),(G259-F259)*10000,"n.a.")</f>
        <v>13.036063813130355</v>
      </c>
      <c r="H260" s="77">
        <v>3</v>
      </c>
      <c r="I260" s="7"/>
    </row>
    <row r="261">
      <c r="A261" s="7"/>
      <c r="B261" s="33" t="s">
        <v>128</v>
      </c>
      <c r="C261" s="9"/>
      <c r="D261" s="9"/>
      <c r="E261" s="9"/>
      <c r="F261" s="9"/>
      <c r="G261" s="9"/>
      <c r="H261" s="43"/>
      <c r="I261" s="7"/>
    </row>
    <row r="262">
      <c r="A262" s="7"/>
      <c r="B262" s="90" t="s">
        <v>105</v>
      </c>
      <c r="C262" s="35">
        <f>C215+C233+C242+C252</f>
        <v>32787</v>
      </c>
      <c r="D262" s="35">
        <f>D215+D233+D242+D252</f>
        <v>32640</v>
      </c>
      <c r="E262" s="35">
        <f>E215+E233+E242+E252</f>
        <v>32817</v>
      </c>
      <c r="F262" s="35">
        <f>F215+F233+F242+F252</f>
        <v>32378</v>
      </c>
      <c r="G262" s="35">
        <f>G215+G233+G242+G252</f>
        <v>32087</v>
      </c>
      <c r="H262" s="50">
        <f>H215+H233+H242+H252</f>
        <v>31827.721999999998</v>
      </c>
      <c r="I262" s="7"/>
    </row>
    <row r="263">
      <c r="A263" s="7"/>
      <c r="B263" s="69" t="s">
        <v>66</v>
      </c>
      <c r="C263" s="41" t="str">
        <f>IF(ISNUMBER(Inputs!C242),IF(AND(Inputs!C242&gt;0,C262&gt;=0),C262/Inputs!C242-1,"n.m."),"n.a.")</f>
        <v>n.a.</v>
      </c>
      <c r="D263" s="41">
        <f>IF(ISNUMBER(Inputs!D242),IF(AND(Inputs!D242&gt;0,D262&gt;=0),D262/Inputs!D242-1,"n.m."),"n.a.")</f>
        <v>-0.01636380074134347</v>
      </c>
      <c r="E263" s="41">
        <f>IF(ISNUMBER(Inputs!E242),IF(AND(Inputs!E242&gt;0,E262&gt;=0),E262/Inputs!E242-1,"n.m."),"n.a.")</f>
        <v>-0.013408291495054514</v>
      </c>
      <c r="F263" s="41">
        <f>IF(ISNUMBER(Inputs!F242),IF(AND(Inputs!F242&gt;0,F262&gt;=0),F262/Inputs!F242-1,"n.m."),"n.a.")</f>
        <v>-0.018313019222606308</v>
      </c>
      <c r="G263" s="41">
        <f>IF(ISNUMBER(Inputs!G242),IF(AND(Inputs!G242&gt;0,G262&gt;=0),G262/Inputs!G242-1,"n.m."),"n.a.")</f>
        <v>-0.023672600030427482</v>
      </c>
      <c r="H263" s="40">
        <f>IF(ISNUMBER(C262),IF(AND(C262&gt;0,H262&gt;=0),H262/C262-1,"n.m."),"n.a.")</f>
        <v>-0.029257876597431953</v>
      </c>
      <c r="I263" s="7"/>
    </row>
    <row r="264">
      <c r="A264" s="7"/>
      <c r="B264" s="76" t="s">
        <v>78</v>
      </c>
      <c r="C264" s="29">
        <f>IF(ISNUMBER(Inputs!G242),C262-Inputs!G242,"n.a.")</f>
        <v>-78</v>
      </c>
      <c r="D264" s="12">
        <f>IF(ISNUMBER(C262),D262-C262,"n.a.")</f>
        <v>-147</v>
      </c>
      <c r="E264" s="12"/>
      <c r="F264" s="12">
        <f>IF(ISNUMBER(D262),F262-D262,"n.a.")</f>
        <v>-262</v>
      </c>
      <c r="G264" s="12">
        <f>IF(ISNUMBER(F262),G262-F262,"n.a.")</f>
        <v>-291</v>
      </c>
      <c r="H264" s="42">
        <f>IF(ISNUMBER(G262),H262-G262,"n.a.")</f>
        <v>-259.27800000000207</v>
      </c>
      <c r="I264" s="7"/>
    </row>
    <row r="265">
      <c r="A265" s="7"/>
      <c r="B265" s="90" t="s">
        <v>108</v>
      </c>
      <c r="C265" s="35">
        <f>C219+C236+C246+C256</f>
        <v>467</v>
      </c>
      <c r="D265" s="35">
        <f>D219+D236+D246+D256</f>
        <v>466</v>
      </c>
      <c r="E265" s="35">
        <f>E219+E236+E246+E256</f>
        <v>1857</v>
      </c>
      <c r="F265" s="35">
        <f>F219+F236+F246+F256</f>
        <v>456</v>
      </c>
      <c r="G265" s="35">
        <f>G219+G236+G246+G256</f>
        <v>456</v>
      </c>
      <c r="H265" s="50">
        <f>H219+H236+H246+H256</f>
        <v>458.582467268098</v>
      </c>
      <c r="I265" s="7"/>
    </row>
    <row r="266">
      <c r="A266" s="7"/>
      <c r="B266" s="69" t="s">
        <v>66</v>
      </c>
      <c r="C266" s="41" t="str">
        <f>IF(ISNUMBER(Inputs!C243),IF(AND(Inputs!C243&gt;0,C265&gt;=0),C265/Inputs!C243-1,"n.m."),"n.a.")</f>
        <v>n.a.</v>
      </c>
      <c r="D266" s="41">
        <f>IF(ISNUMBER(Inputs!D243),IF(AND(Inputs!D243&gt;0,D265&gt;=0),D265/Inputs!D243-1,"n.m."),"n.a.")</f>
        <v>-0.010615711252653925</v>
      </c>
      <c r="E266" s="41">
        <f>IF(ISNUMBER(Inputs!E243),IF(AND(Inputs!E243&gt;0,E265&gt;=0),E265/Inputs!E243-1,"n.m."),"n.a.")</f>
        <v>-0.00428954423592498</v>
      </c>
      <c r="F266" s="41">
        <f>IF(ISNUMBER(Inputs!F243),IF(AND(Inputs!F243&gt;0,F265&gt;=0),F265/Inputs!F243-1,"n.m."),"n.a.")</f>
        <v>-0.015118790496760237</v>
      </c>
      <c r="G266" s="41">
        <f>IF(ISNUMBER(Inputs!G243),IF(AND(Inputs!G243&gt;0,G265&gt;=0),G265/Inputs!G243-1,"n.m."),"n.a.")</f>
        <v>-0.010845986984815648</v>
      </c>
      <c r="H266" s="40">
        <f>IF(ISNUMBER(C265),IF(AND(C265&gt;0,H265&gt;=0),H265/C265-1,"n.m."),"n.a.")</f>
        <v>-0.018024695357391818</v>
      </c>
      <c r="I266" s="7"/>
    </row>
    <row r="267">
      <c r="A267" s="7"/>
      <c r="B267" s="76" t="s">
        <v>78</v>
      </c>
      <c r="C267" s="29">
        <f>IF(ISNUMBER(Inputs!G243),C265-Inputs!G243,"n.a.")</f>
        <v>6</v>
      </c>
      <c r="D267" s="12">
        <f>IF(ISNUMBER(C265),D265-C265,"n.a.")</f>
        <v>-1</v>
      </c>
      <c r="E267" s="12"/>
      <c r="F267" s="12">
        <f>IF(ISNUMBER(D265),F265-D265,"n.a.")</f>
        <v>-10</v>
      </c>
      <c r="G267" s="12">
        <f>IF(ISNUMBER(F265),G265-F265,"n.a.")</f>
        <v>0</v>
      </c>
      <c r="H267" s="42">
        <f>IF(ISNUMBER(G265),H265-G265,"n.a.")</f>
        <v>2.5824672680980143</v>
      </c>
      <c r="I267" s="7"/>
    </row>
    <row r="268">
      <c r="A268" s="7"/>
      <c r="B268" s="44" t="s">
        <v>109</v>
      </c>
      <c r="C268" s="60">
        <f>C265*$I$6/C$6/C262</f>
        <v>0.05650934026078735</v>
      </c>
      <c r="D268" s="60">
        <f>D265*$I$6/D$6/D262</f>
        <v>0.05664229006820119</v>
      </c>
      <c r="E268" s="60">
        <f>E265*$I$6/E$6/E262</f>
        <v>0.0565865252765335</v>
      </c>
      <c r="F268" s="60">
        <f>F265*$I$6/F$6/F262</f>
        <v>0.05711697242983919</v>
      </c>
      <c r="G268" s="60">
        <f>G265*$I$6/G$6/G262</f>
        <v>0.057001620251534546</v>
      </c>
      <c r="H268" s="61">
        <f>H265*$I$6/H$6/H262</f>
        <v>0.05716325199038197</v>
      </c>
      <c r="I268" s="7"/>
    </row>
    <row r="269">
      <c r="A269" s="7"/>
      <c r="B269" s="69" t="s">
        <v>69</v>
      </c>
      <c r="C269" s="38" t="str">
        <f>"n.a."</f>
        <v>n.a.</v>
      </c>
      <c r="D269" s="38">
        <f>IF(AND(ISNUMBER(D268),ISNUMBER(C268)),(D268-C268)*10000,"n.a.")</f>
        <v>1.329498074138444</v>
      </c>
      <c r="E269" s="38"/>
      <c r="F269" s="38">
        <f>IF(AND(ISNUMBER(F268),ISNUMBER(D268)),(F268-D268)*10000,"n.a.")</f>
        <v>4.746823616379944</v>
      </c>
      <c r="G269" s="38">
        <f>IF(AND(ISNUMBER(G268),ISNUMBER(F268)),(G268-F268)*10000,"n.a.")</f>
        <v>-1.15352178304641</v>
      </c>
      <c r="H269" s="67">
        <f>IF(AND(ISNUMBER(H268),ISNUMBER(G268)),(H268-G268)*10000,"n.a.")</f>
        <v>1.616317388474231</v>
      </c>
      <c r="I269" s="7"/>
    </row>
    <row r="270">
      <c r="A270" s="7"/>
      <c r="B270" s="33" t="s">
        <v>129</v>
      </c>
      <c r="C270" s="9"/>
      <c r="D270" s="9"/>
      <c r="E270" s="9"/>
      <c r="F270" s="9"/>
      <c r="G270" s="9"/>
      <c r="H270" s="43"/>
      <c r="I270" s="7"/>
    </row>
    <row r="271">
      <c r="A271" s="7"/>
      <c r="B271" s="90" t="s">
        <v>105</v>
      </c>
      <c r="C271" s="35">
        <f>C156+C166+C176+C186+C196+C215+C233+C242+C252</f>
        <v>96647</v>
      </c>
      <c r="D271" s="35">
        <f>D156+D166+D176+D186+D196+D215+D233+D242+D252</f>
        <v>95651</v>
      </c>
      <c r="E271" s="35">
        <f>E156+E166+E176+E186+E196+E215+E233+E242+E252</f>
        <v>96124</v>
      </c>
      <c r="F271" s="35">
        <f>F156+F166+F176+F186+F196+F215+F233+F242+F252</f>
        <v>96423</v>
      </c>
      <c r="G271" s="35">
        <f>G156+G166+G176+G186+G196+G215+G233+G242+G252</f>
        <v>98722</v>
      </c>
      <c r="H271" s="50">
        <f>H156+H166+H176+H186+H196+H215+H233+H242+H252</f>
        <v>99553.36600000001</v>
      </c>
      <c r="I271" s="7"/>
    </row>
    <row r="272">
      <c r="A272" s="7"/>
      <c r="B272" s="69" t="s">
        <v>66</v>
      </c>
      <c r="C272" s="41" t="str">
        <f>IF(ISNUMBER(Inputs!C244),IF(AND(Inputs!C244&gt;0,C271&gt;=0),C271/Inputs!C244-1,"n.m."),"n.a.")</f>
        <v>n.a.</v>
      </c>
      <c r="D272" s="41">
        <f>IF(ISNUMBER(Inputs!D244),IF(AND(Inputs!D244&gt;0,D271&gt;=0),D271/Inputs!D244-1,"n.m."),"n.a.")</f>
        <v>-0.007852045473404679</v>
      </c>
      <c r="E272" s="41">
        <f>IF(ISNUMBER(Inputs!E244),IF(AND(Inputs!E244&gt;0,E271&gt;=0),E271/Inputs!E244-1,"n.m."),"n.a.")</f>
        <v>-0.009398573725215353</v>
      </c>
      <c r="F272" s="41">
        <f>IF(ISNUMBER(Inputs!F244),IF(AND(Inputs!F244&gt;0,F271&gt;=0),F271/Inputs!F244-1,"n.m."),"n.a.")</f>
        <v>0.0031314371319781653</v>
      </c>
      <c r="G272" s="41">
        <f>IF(ISNUMBER(Inputs!G244),IF(AND(Inputs!G244&gt;0,G271&gt;=0),G271/Inputs!G244-1,"n.m."),"n.a.")</f>
        <v>0.027530001977580376</v>
      </c>
      <c r="H272" s="40">
        <f>IF(ISNUMBER(C271),IF(AND(C271&gt;0,H271&gt;=0),H271/C271-1,"n.m."),"n.a.")</f>
        <v>0.030071973263526175</v>
      </c>
      <c r="I272" s="7"/>
    </row>
    <row r="273">
      <c r="A273" s="7"/>
      <c r="B273" s="76" t="s">
        <v>78</v>
      </c>
      <c r="C273" s="29">
        <f>IF(ISNUMBER(Inputs!G244),C271-Inputs!G244,"n.a.")</f>
        <v>570</v>
      </c>
      <c r="D273" s="12">
        <f>IF(ISNUMBER(C271),D271-C271,"n.a.")</f>
        <v>-996</v>
      </c>
      <c r="E273" s="12"/>
      <c r="F273" s="12">
        <f>IF(ISNUMBER(D271),F271-D271,"n.a.")</f>
        <v>772</v>
      </c>
      <c r="G273" s="12">
        <f>IF(ISNUMBER(F271),G271-F271,"n.a.")</f>
        <v>2299</v>
      </c>
      <c r="H273" s="42">
        <f>IF(ISNUMBER(G271),H271-G271,"n.a.")</f>
        <v>831.3660000000091</v>
      </c>
      <c r="I273" s="7"/>
    </row>
    <row r="274">
      <c r="A274" s="7"/>
      <c r="B274" s="90" t="s">
        <v>108</v>
      </c>
      <c r="C274" s="35">
        <f>C160+C170+C180+C190+C200+C219+C236+C246+C256</f>
        <v>1398</v>
      </c>
      <c r="D274" s="35">
        <f>D160+D170+D180+D190+D200+D219+D236+D246+D256</f>
        <v>1371</v>
      </c>
      <c r="E274" s="35">
        <f>E160+E170+E180+E190+E200+E219+E236+E246+E256</f>
        <v>5512</v>
      </c>
      <c r="F274" s="35">
        <f>F160+F170+F180+F190+F200+F219+F236+F246+F256</f>
        <v>1326</v>
      </c>
      <c r="G274" s="35">
        <f>G160+G170+G180+G190+G200+G219+G236+G246+G256</f>
        <v>1365</v>
      </c>
      <c r="H274" s="50">
        <f>H160+H170+H180+H190+H200+H219+H236+H246+H256</f>
        <v>1394.5062351032807</v>
      </c>
      <c r="I274" s="7"/>
    </row>
    <row r="275">
      <c r="A275" s="7"/>
      <c r="B275" s="69" t="s">
        <v>66</v>
      </c>
      <c r="C275" s="41" t="str">
        <f>IF(ISNUMBER(Inputs!C245),IF(AND(Inputs!C245&gt;0,C274&gt;=0),C274/Inputs!C245-1,"n.m."),"n.a.")</f>
        <v>n.a.</v>
      </c>
      <c r="D275" s="41">
        <f>IF(ISNUMBER(Inputs!D245),IF(AND(Inputs!D245&gt;0,D274&gt;=0),D274/Inputs!D245-1,"n.m."),"n.a.")</f>
        <v>-0.04058782365290414</v>
      </c>
      <c r="E275" s="41">
        <f>IF(ISNUMBER(Inputs!E245),IF(AND(Inputs!E245&gt;0,E274&gt;=0),E274/Inputs!E245-1,"n.m."),"n.a.")</f>
        <v>-0.04669664475959878</v>
      </c>
      <c r="F275" s="41">
        <f>IF(ISNUMBER(Inputs!F245),IF(AND(Inputs!F245&gt;0,F274&gt;=0),F274/Inputs!F245-1,"n.m."),"n.a.")</f>
        <v>-0.020679468242245203</v>
      </c>
      <c r="G275" s="41">
        <f>IF(ISNUMBER(Inputs!G245),IF(AND(Inputs!G245&gt;0,G274&gt;=0),G274/Inputs!G245-1,"n.m."),"n.a.")</f>
        <v>-0.017278617710583144</v>
      </c>
      <c r="H275" s="40">
        <f>IF(ISNUMBER(C274),IF(AND(C274&gt;0,H274&gt;=0),H274/C274-1,"n.m."),"n.a.")</f>
        <v>-0.0024991165212584487</v>
      </c>
      <c r="I275" s="7"/>
    </row>
    <row r="276">
      <c r="A276" s="7"/>
      <c r="B276" s="76" t="s">
        <v>78</v>
      </c>
      <c r="C276" s="29">
        <f>IF(ISNUMBER(Inputs!G245),C274-Inputs!G245,"n.a.")</f>
        <v>9</v>
      </c>
      <c r="D276" s="12">
        <f>IF(ISNUMBER(C274),D274-C274,"n.a.")</f>
        <v>-27</v>
      </c>
      <c r="E276" s="12"/>
      <c r="F276" s="12">
        <f>IF(ISNUMBER(D274),F274-D274,"n.a.")</f>
        <v>-45</v>
      </c>
      <c r="G276" s="12">
        <f>IF(ISNUMBER(F274),G274-F274,"n.a.")</f>
        <v>39</v>
      </c>
      <c r="H276" s="42">
        <f>IF(ISNUMBER(G274),H274-G274,"n.a.")</f>
        <v>29.506235103280687</v>
      </c>
      <c r="I276" s="7"/>
    </row>
    <row r="277">
      <c r="A277" s="7"/>
      <c r="B277" s="44" t="s">
        <v>109</v>
      </c>
      <c r="C277" s="60">
        <f>C274*$I$6/C$6/C271</f>
        <v>0.057388362220019876</v>
      </c>
      <c r="D277" s="60">
        <f>D274*$I$6/D$6/D271</f>
        <v>0.05686603881047631</v>
      </c>
      <c r="E277" s="60">
        <f>E274*$I$6/E$6/E271</f>
        <v>0.05734259914277392</v>
      </c>
      <c r="F277" s="60">
        <f>F274*$I$6/F$6/F271</f>
        <v>0.0557716174218461</v>
      </c>
      <c r="G277" s="60">
        <f>G274*$I$6/G$6/G271</f>
        <v>0.055458762991025305</v>
      </c>
      <c r="H277" s="61">
        <f>H274*$I$6/H$6/H271</f>
        <v>0.055573730284595106</v>
      </c>
      <c r="I277" s="7"/>
    </row>
    <row r="278">
      <c r="A278" s="7"/>
      <c r="B278" s="69" t="s">
        <v>69</v>
      </c>
      <c r="C278" s="38" t="str">
        <f>"n.a."</f>
        <v>n.a.</v>
      </c>
      <c r="D278" s="38">
        <f>IF(AND(ISNUMBER(D277),ISNUMBER(C277)),(D277-C277)*10000,"n.a.")</f>
        <v>-5.223234095435639</v>
      </c>
      <c r="E278" s="38"/>
      <c r="F278" s="38">
        <f>IF(AND(ISNUMBER(F277),ISNUMBER(D277)),(F277-D277)*10000,"n.a.")</f>
        <v>-10.944213886302096</v>
      </c>
      <c r="G278" s="38">
        <f>IF(AND(ISNUMBER(G277),ISNUMBER(F277)),(G277-F277)*10000,"n.a.")</f>
        <v>-3.12854430820797</v>
      </c>
      <c r="H278" s="67">
        <f>IF(AND(ISNUMBER(H277),ISNUMBER(G277)),(H277-G277)*10000,"n.a.")</f>
        <v>1.1496729356980095</v>
      </c>
      <c r="I278" s="7"/>
    </row>
    <row r="279">
      <c r="A279" s="7"/>
      <c r="B279" s="8" t="s">
        <v>130</v>
      </c>
      <c r="C279" s="11"/>
      <c r="D279" s="11"/>
      <c r="E279" s="11"/>
      <c r="F279" s="11"/>
      <c r="G279" s="11"/>
      <c r="H279" s="91"/>
      <c r="I279" s="7"/>
    </row>
    <row r="280">
      <c r="A280" s="7"/>
      <c r="B280" s="1" t="s">
        <v>105</v>
      </c>
      <c r="C280" s="31">
        <v>8316</v>
      </c>
      <c r="D280" s="31">
        <v>7596</v>
      </c>
      <c r="E280" s="31">
        <v>8294</v>
      </c>
      <c r="F280" s="31">
        <v>7415</v>
      </c>
      <c r="G280" s="31">
        <v>7291</v>
      </c>
      <c r="H280" s="42">
        <f>G280*(1+H283)</f>
        <v>6926.45</v>
      </c>
      <c r="I280" s="39" t="s">
        <v>106</v>
      </c>
    </row>
    <row r="281">
      <c r="A281" s="7"/>
      <c r="B281" s="44" t="s">
        <v>66</v>
      </c>
      <c r="C281" s="41" t="str">
        <f>IF(ISNUMBER(Inputs!C246),IF(AND(Inputs!C246&gt;0,C280&gt;=0),C280/Inputs!C246-1,"n.m."),"n.a.")</f>
        <v>n.a.</v>
      </c>
      <c r="D281" s="41">
        <f>IF(ISNUMBER(Inputs!D246),IF(AND(Inputs!D246&gt;0,D280&gt;=0),D280/Inputs!D246-1,"n.m."),"n.a.")</f>
        <v>-0.04788167460516424</v>
      </c>
      <c r="E281" s="41">
        <f>IF(ISNUMBER(Inputs!E246),IF(AND(Inputs!E246&gt;0,E280&gt;=0),E280/Inputs!E246-1,"n.m."),"n.a.")</f>
        <v>0.2963426070647077</v>
      </c>
      <c r="F281" s="41">
        <f>IF(ISNUMBER(Inputs!F246),IF(AND(Inputs!F246&gt;0,F280&gt;=0),F280/Inputs!F246-1,"n.m."),"n.a.")</f>
        <v>-0.13142790207332788</v>
      </c>
      <c r="G281" s="41">
        <f>IF(ISNUMBER(Inputs!G246),IF(AND(Inputs!G246&gt;0,G280&gt;=0),G280/Inputs!G246-1,"n.m."),"n.a.")</f>
        <v>-0.1655030330777154</v>
      </c>
      <c r="H281" s="40">
        <f>IF(ISNUMBER(C280),IF(AND(C280&gt;0,H280&gt;=0),H280/C280-1,"n.m."),"n.a.")</f>
        <v>-0.16709355459355457</v>
      </c>
      <c r="I281" s="7"/>
    </row>
    <row r="282">
      <c r="A282" s="7"/>
      <c r="B282" s="48" t="s">
        <v>78</v>
      </c>
      <c r="C282" s="29">
        <f>IF(ISNUMBER(Inputs!G246),C280-Inputs!G246,"n.a.")</f>
        <v>-421</v>
      </c>
      <c r="D282" s="12">
        <f>IF(ISNUMBER(C280),D280-C280,"n.a.")</f>
        <v>-720</v>
      </c>
      <c r="E282" s="12"/>
      <c r="F282" s="12">
        <f>IF(ISNUMBER(D280),F280-D280,"n.a.")</f>
        <v>-181</v>
      </c>
      <c r="G282" s="12">
        <f>IF(ISNUMBER(F280),G280-F280,"n.a.")</f>
        <v>-124</v>
      </c>
      <c r="H282" s="42">
        <f>IF(ISNUMBER(G280),H280-G280,"n.a.")</f>
        <v>-364.5500000000002</v>
      </c>
      <c r="I282" s="7"/>
    </row>
    <row r="283" ht="79.5">
      <c r="A283" s="7"/>
      <c r="B283" s="44" t="s">
        <v>67</v>
      </c>
      <c r="C283" s="41">
        <f>IF(ISNUMBER(Inputs!G246),IF(AND(Inputs!G246&gt;0,C280&gt;=0),C280/Inputs!G246-1,"n.m."),"n.a.")</f>
        <v>-0.048185876158864605</v>
      </c>
      <c r="D283" s="24">
        <f>IF(ISNUMBER(C280),IF(AND(C280&gt;0,D280&gt;=0),D280/C280-1,"n.m."),"n.a.")</f>
        <v>-0.08658008658008653</v>
      </c>
      <c r="E283" s="24"/>
      <c r="F283" s="24">
        <f>IF(ISNUMBER(D280),IF(AND(D280&gt;0,F280&gt;=0),F280/D280-1,"n.m."),"n.a.")</f>
        <v>-0.023828330700368605</v>
      </c>
      <c r="G283" s="24">
        <f>IF(ISNUMBER(F280),IF(AND(F280&gt;0,G280&gt;=0),G280/F280-1,"n.m."),"n.a.")</f>
        <v>-0.01672285906945381</v>
      </c>
      <c r="H283" s="58">
        <v>-0.05</v>
      </c>
      <c r="I283" s="142" t="s">
        <v>131</v>
      </c>
    </row>
    <row r="284">
      <c r="A284" s="7"/>
      <c r="B284" s="1" t="s">
        <v>108</v>
      </c>
      <c r="C284" s="31">
        <v>94</v>
      </c>
      <c r="D284" s="31">
        <v>79</v>
      </c>
      <c r="E284" s="31">
        <v>364</v>
      </c>
      <c r="F284" s="31">
        <v>69</v>
      </c>
      <c r="G284" s="31">
        <v>69</v>
      </c>
      <c r="H284" s="42">
        <f>H280*H287*H$6/$I$6</f>
        <v>66.79408314978173</v>
      </c>
      <c r="I284" s="39" t="s">
        <v>106</v>
      </c>
    </row>
    <row r="285">
      <c r="A285" s="7"/>
      <c r="B285" s="44" t="s">
        <v>66</v>
      </c>
      <c r="C285" s="41" t="str">
        <f>IF(ISNUMBER(Inputs!C247),IF(AND(Inputs!C247&gt;0,C284&gt;=0),C284/Inputs!C247-1,"n.m."),"n.a.")</f>
        <v>n.a.</v>
      </c>
      <c r="D285" s="41">
        <f>IF(ISNUMBER(Inputs!D247),IF(AND(Inputs!D247&gt;0,D284&gt;=0),D284/Inputs!D247-1,"n.m."),"n.a.")</f>
        <v>-0.19387755102040816</v>
      </c>
      <c r="E285" s="41">
        <f>IF(ISNUMBER(Inputs!E247),IF(AND(Inputs!E247&gt;0,E284&gt;=0),E284/Inputs!E247-1,"n.m."),"n.a.")</f>
        <v>0.058139534883721034</v>
      </c>
      <c r="F285" s="41">
        <f>IF(ISNUMBER(Inputs!F247),IF(AND(Inputs!F247&gt;0,F284&gt;=0),F284/Inputs!F247-1,"n.m."),"n.a.")</f>
        <v>-0.26595744680851063</v>
      </c>
      <c r="G285" s="41">
        <f>IF(ISNUMBER(Inputs!G247),IF(AND(Inputs!G247&gt;0,G284&gt;=0),G284/Inputs!G247-1,"n.m."),"n.a.")</f>
        <v>-0.28865979381443296</v>
      </c>
      <c r="H285" s="40">
        <f>IF(ISNUMBER(C284),IF(AND(C284&gt;0,H284&gt;=0),H284/C284-1,"n.m."),"n.a.")</f>
        <v>-0.28942464734274753</v>
      </c>
      <c r="I285" s="7"/>
    </row>
    <row r="286">
      <c r="A286" s="7"/>
      <c r="B286" s="48" t="s">
        <v>78</v>
      </c>
      <c r="C286" s="29">
        <f>IF(ISNUMBER(Inputs!G247),C284-Inputs!G247,"n.a.")</f>
        <v>-3</v>
      </c>
      <c r="D286" s="12">
        <f>IF(ISNUMBER(C284),D284-C284,"n.a.")</f>
        <v>-15</v>
      </c>
      <c r="E286" s="12"/>
      <c r="F286" s="12">
        <f>IF(ISNUMBER(D284),F284-D284,"n.a.")</f>
        <v>-10</v>
      </c>
      <c r="G286" s="12">
        <f>IF(ISNUMBER(F284),G284-F284,"n.a.")</f>
        <v>0</v>
      </c>
      <c r="H286" s="42">
        <f>IF(ISNUMBER(G284),H284-G284,"n.a.")</f>
        <v>-2.205916850218273</v>
      </c>
      <c r="I286" s="7"/>
    </row>
    <row r="287">
      <c r="A287" s="7"/>
      <c r="B287" s="75" t="s">
        <v>109</v>
      </c>
      <c r="C287" s="60">
        <f>IF(C280=0,0,C284*$I$6/C$6/C280)</f>
        <v>0.0448454524541481</v>
      </c>
      <c r="D287" s="60">
        <f>IF(D280=0,0,D284*$I$6/D$6/D280)</f>
        <v>0.041261705245323625</v>
      </c>
      <c r="E287" s="60">
        <f>IF(E280=0,0,E284*$I$6/E$6/E280)</f>
        <v>0.0438871473354232</v>
      </c>
      <c r="F287" s="60">
        <f>IF(F280=0,0,F284*$I$6/F$6/F280)</f>
        <v>0.037738817711845354</v>
      </c>
      <c r="G287" s="60">
        <f>IF(G280=0,0,G284*$I$6/G$6/G280)</f>
        <v>0.03795888653932818</v>
      </c>
      <c r="H287" s="61">
        <f>G287+H288/10000</f>
        <v>0.03825888653932818</v>
      </c>
      <c r="I287" s="7"/>
    </row>
    <row r="288">
      <c r="A288" s="7"/>
      <c r="B288" s="44" t="s">
        <v>69</v>
      </c>
      <c r="C288" s="38" t="str">
        <f>"n.a."</f>
        <v>n.a.</v>
      </c>
      <c r="D288" s="38">
        <f>IF(AND(ISNUMBER(D287),ISNUMBER(C287)),(D287-C287)*10000,"n.a.")</f>
        <v>-35.837472088244766</v>
      </c>
      <c r="E288" s="38"/>
      <c r="F288" s="38">
        <f>IF(AND(ISNUMBER(F287),ISNUMBER(D287)),(F287-D287)*10000,"n.a.")</f>
        <v>-35.22887533478271</v>
      </c>
      <c r="G288" s="38">
        <f>IF(AND(ISNUMBER(G287),ISNUMBER(F287)),(G287-F287)*10000,"n.a.")</f>
        <v>2.200688274828222</v>
      </c>
      <c r="H288" s="77">
        <v>3</v>
      </c>
      <c r="I288" s="7"/>
    </row>
    <row r="289">
      <c r="A289" s="7"/>
      <c r="B289" s="8" t="s">
        <v>132</v>
      </c>
      <c r="C289" s="11"/>
      <c r="D289" s="11"/>
      <c r="E289" s="11"/>
      <c r="F289" s="11"/>
      <c r="G289" s="11"/>
      <c r="H289" s="91"/>
      <c r="I289" s="7"/>
    </row>
    <row r="290">
      <c r="A290" s="7"/>
      <c r="B290" s="1" t="s">
        <v>105</v>
      </c>
      <c r="C290" s="31">
        <v>1519</v>
      </c>
      <c r="D290" s="31">
        <v>1456</v>
      </c>
      <c r="E290" s="31">
        <v>1481</v>
      </c>
      <c r="F290" s="31">
        <v>1481</v>
      </c>
      <c r="G290" s="31">
        <v>1526</v>
      </c>
      <c r="H290" s="42">
        <f>G290*(1+H293)</f>
        <v>1541.26</v>
      </c>
      <c r="I290" s="39" t="s">
        <v>106</v>
      </c>
    </row>
    <row r="291">
      <c r="A291" s="7"/>
      <c r="B291" s="44" t="s">
        <v>66</v>
      </c>
      <c r="C291" s="41" t="str">
        <f>IF(ISNUMBER(Inputs!C248),IF(AND(Inputs!C248&gt;0,C290&gt;=0),C290/Inputs!C248-1,"n.m."),"n.a.")</f>
        <v>n.a.</v>
      </c>
      <c r="D291" s="41">
        <f>IF(ISNUMBER(Inputs!D248),IF(AND(Inputs!D248&gt;0,D290&gt;=0),D290/Inputs!D248-1,"n.m."),"n.a.")</f>
        <v>-0.03576158940397356</v>
      </c>
      <c r="E291" s="41">
        <f>IF(ISNUMBER(Inputs!E248),IF(AND(Inputs!E248&gt;0,E290&gt;=0),E290/Inputs!E248-1,"n.m."),"n.a.")</f>
        <v>0.029902642559109793</v>
      </c>
      <c r="F291" s="41">
        <f>IF(ISNUMBER(Inputs!F248),IF(AND(Inputs!F248&gt;0,F290&gt;=0),F290/Inputs!F248-1,"n.m."),"n.a.")</f>
        <v>-0.0013486176668914274</v>
      </c>
      <c r="G291" s="41">
        <f>IF(ISNUMBER(Inputs!G248),IF(AND(Inputs!G248&gt;0,G290&gt;=0),G290/Inputs!G248-1,"n.m."),"n.a.")</f>
        <v>0.04092769440654842</v>
      </c>
      <c r="H291" s="40">
        <f>IF(ISNUMBER(C290),IF(AND(C290&gt;0,H290&gt;=0),H290/C290-1,"n.m."),"n.a.")</f>
        <v>0.014654377880184422</v>
      </c>
      <c r="I291" s="7"/>
    </row>
    <row r="292">
      <c r="A292" s="7"/>
      <c r="B292" s="48" t="s">
        <v>78</v>
      </c>
      <c r="C292" s="29">
        <f>IF(ISNUMBER(Inputs!G248),C290-Inputs!G248,"n.a.")</f>
        <v>53</v>
      </c>
      <c r="D292" s="12">
        <f>IF(ISNUMBER(C290),D290-C290,"n.a.")</f>
        <v>-63</v>
      </c>
      <c r="E292" s="12"/>
      <c r="F292" s="12">
        <f>IF(ISNUMBER(D290),F290-D290,"n.a.")</f>
        <v>25</v>
      </c>
      <c r="G292" s="12">
        <f>IF(ISNUMBER(F290),G290-F290,"n.a.")</f>
        <v>45</v>
      </c>
      <c r="H292" s="42">
        <f>IF(ISNUMBER(G290),H290-G290,"n.a.")</f>
        <v>15.259999999999991</v>
      </c>
      <c r="I292" s="7"/>
    </row>
    <row r="293">
      <c r="A293" s="7"/>
      <c r="B293" s="44" t="s">
        <v>67</v>
      </c>
      <c r="C293" s="41">
        <f>IF(ISNUMBER(Inputs!G248),IF(AND(Inputs!G248&gt;0,C290&gt;=0),C290/Inputs!G248-1,"n.m."),"n.a.")</f>
        <v>0.03615279672578442</v>
      </c>
      <c r="D293" s="24">
        <f>IF(ISNUMBER(C290),IF(AND(C290&gt;0,D290&gt;=0),D290/C290-1,"n.m."),"n.a.")</f>
        <v>-0.04147465437788023</v>
      </c>
      <c r="E293" s="24"/>
      <c r="F293" s="24">
        <f>IF(ISNUMBER(D290),IF(AND(D290&gt;0,F290&gt;=0),F290/D290-1,"n.m."),"n.a.")</f>
        <v>0.01717032967032961</v>
      </c>
      <c r="G293" s="24">
        <f>IF(ISNUMBER(F290),IF(AND(F290&gt;0,G290&gt;=0),G290/F290-1,"n.m."),"n.a.")</f>
        <v>0.030384875084402463</v>
      </c>
      <c r="H293" s="58">
        <v>0.01</v>
      </c>
      <c r="I293" s="7"/>
    </row>
    <row r="294">
      <c r="A294" s="7"/>
      <c r="B294" s="1" t="s">
        <v>108</v>
      </c>
      <c r="C294" s="31">
        <v>14</v>
      </c>
      <c r="D294" s="31">
        <v>22</v>
      </c>
      <c r="E294" s="31">
        <v>66</v>
      </c>
      <c r="F294" s="31">
        <v>14</v>
      </c>
      <c r="G294" s="31">
        <v>15</v>
      </c>
      <c r="H294" s="42">
        <f>H290*H297*H$6/$I$6</f>
        <v>15.316483516483515</v>
      </c>
      <c r="I294" s="39" t="s">
        <v>106</v>
      </c>
    </row>
    <row r="295">
      <c r="A295" s="7"/>
      <c r="B295" s="44" t="s">
        <v>66</v>
      </c>
      <c r="C295" s="41" t="str">
        <f>IF(ISNUMBER(Inputs!C249),IF(AND(Inputs!C249&gt;0,C294&gt;=0),C294/Inputs!C249-1,"n.m."),"n.a.")</f>
        <v>n.a.</v>
      </c>
      <c r="D295" s="41">
        <f>IF(ISNUMBER(Inputs!D249),IF(AND(Inputs!D249&gt;0,D294&gt;=0),D294/Inputs!D249-1,"n.m."),"n.a.")</f>
        <v>0.04761904761904767</v>
      </c>
      <c r="E295" s="41">
        <f>IF(ISNUMBER(Inputs!E249),IF(AND(Inputs!E249&gt;0,E294&gt;=0),E294/Inputs!E249-1,"n.m."),"n.a.")</f>
        <v>-0.02941176470588236</v>
      </c>
      <c r="F295" s="41">
        <f>IF(ISNUMBER(Inputs!F249),IF(AND(Inputs!F249&gt;0,F294&gt;=0),F294/Inputs!F249-1,"n.m."),"n.a.")</f>
        <v>-0.06666666666666665</v>
      </c>
      <c r="G295" s="41">
        <f>IF(ISNUMBER(Inputs!G249),IF(AND(Inputs!G249&gt;0,G294&gt;=0),G294/Inputs!G249-1,"n.m."),"n.a.")</f>
        <v>0</v>
      </c>
      <c r="H295" s="40">
        <f>IF(ISNUMBER(C294),IF(AND(C294&gt;0,H294&gt;=0),H294/C294-1,"n.m."),"n.a.")</f>
        <v>0.09403453689167973</v>
      </c>
      <c r="I295" s="7"/>
    </row>
    <row r="296">
      <c r="A296" s="7"/>
      <c r="B296" s="48" t="s">
        <v>78</v>
      </c>
      <c r="C296" s="29">
        <f>IF(ISNUMBER(Inputs!G249),C294-Inputs!G249,"n.a.")</f>
        <v>-1</v>
      </c>
      <c r="D296" s="12">
        <f>IF(ISNUMBER(C294),D294-C294,"n.a.")</f>
        <v>8</v>
      </c>
      <c r="E296" s="12"/>
      <c r="F296" s="12">
        <f>IF(ISNUMBER(D294),F294-D294,"n.a.")</f>
        <v>-8</v>
      </c>
      <c r="G296" s="12">
        <f>IF(ISNUMBER(F294),G294-F294,"n.a.")</f>
        <v>1</v>
      </c>
      <c r="H296" s="42">
        <f>IF(ISNUMBER(G294),H294-G294,"n.a.")</f>
        <v>0.31648351648351536</v>
      </c>
      <c r="I296" s="7"/>
    </row>
    <row r="297">
      <c r="A297" s="7"/>
      <c r="B297" s="75" t="s">
        <v>109</v>
      </c>
      <c r="C297" s="60">
        <f>IF(C290=0,0,C294*$I$6/C$6/C290)</f>
        <v>0.036565818473251854</v>
      </c>
      <c r="D297" s="60">
        <f>IF(D290=0,0,D294*$I$6/D$6/D290)</f>
        <v>0.05994684663162924</v>
      </c>
      <c r="E297" s="60">
        <f>IF(E290=0,0,E294*$I$6/E$6/E290)</f>
        <v>0.04456448345712356</v>
      </c>
      <c r="F297" s="60">
        <f>IF(F290=0,0,F294*$I$6/F$6/F290)</f>
        <v>0.03833745967439418</v>
      </c>
      <c r="G297" s="60">
        <f>IF(G290=0,0,G294*$I$6/G$6/G290)</f>
        <v>0.039426497486785825</v>
      </c>
      <c r="H297" s="61">
        <f>G297+H298/10000</f>
        <v>0.039426497486785825</v>
      </c>
      <c r="I297" s="7"/>
    </row>
    <row r="298">
      <c r="A298" s="7"/>
      <c r="B298" s="44" t="s">
        <v>69</v>
      </c>
      <c r="C298" s="38" t="str">
        <f>"n.a."</f>
        <v>n.a.</v>
      </c>
      <c r="D298" s="38">
        <f>IF(AND(ISNUMBER(D297),ISNUMBER(C297)),(D297-C297)*10000,"n.a.")</f>
        <v>233.81028158377384</v>
      </c>
      <c r="E298" s="38"/>
      <c r="F298" s="38">
        <f>IF(AND(ISNUMBER(F297),ISNUMBER(D297)),(F297-D297)*10000,"n.a.")</f>
        <v>-216.09386957235063</v>
      </c>
      <c r="G298" s="38">
        <f>IF(AND(ISNUMBER(G297),ISNUMBER(F297)),(G297-F297)*10000,"n.a.")</f>
        <v>10.89037812391648</v>
      </c>
      <c r="H298" s="77">
        <v>0</v>
      </c>
      <c r="I298" s="7"/>
    </row>
    <row r="299">
      <c r="A299" s="7"/>
      <c r="B299" s="34" t="s">
        <v>133</v>
      </c>
      <c r="C299" s="9"/>
      <c r="D299" s="9"/>
      <c r="E299" s="9"/>
      <c r="F299" s="9"/>
      <c r="G299" s="9"/>
      <c r="H299" s="43"/>
      <c r="I299" s="7"/>
    </row>
    <row r="300">
      <c r="A300" s="7"/>
      <c r="B300" s="33" t="s">
        <v>105</v>
      </c>
      <c r="C300" s="35">
        <f>C126+C136+C146+C156+C166+C176+C186+C196+C215+C233+C242+C252+C280+C290</f>
        <v>140367</v>
      </c>
      <c r="D300" s="35">
        <f>D126+D136+D146+D156+D166+D176+D186+D196+D215+D233+D242+D252+D280+D290</f>
        <v>138809</v>
      </c>
      <c r="E300" s="35">
        <f>E126+E136+E146+E156+E166+E176+E186+E196+E215+E233+E242+E252+E280+E290</f>
        <v>139428</v>
      </c>
      <c r="F300" s="35">
        <f>F126+F136+F146+F156+F166+F176+F186+F196+F215+F233+F242+F252+F280+F290</f>
        <v>139428</v>
      </c>
      <c r="G300" s="35">
        <f>G126+G136+G146+G156+G166+G176+G186+G196+G215+G233+G242+G252+G280+G290</f>
        <v>141337</v>
      </c>
      <c r="H300" s="50">
        <f>H126+H136+H146+H156+H166+H176+H186+H196+H215+H233+H242+H252+H280+H290</f>
        <v>141844.676</v>
      </c>
      <c r="I300" s="7"/>
    </row>
    <row r="301">
      <c r="A301" s="7"/>
      <c r="B301" s="44" t="s">
        <v>66</v>
      </c>
      <c r="C301" s="41" t="str">
        <f>IF(ISNUMBER(Inputs!C250),IF(AND(Inputs!C250&gt;0,C300&gt;=0),C300/Inputs!C250-1,"n.m."),"n.a.")</f>
        <v>n.a.</v>
      </c>
      <c r="D301" s="41">
        <f>IF(ISNUMBER(Inputs!D250),IF(AND(Inputs!D250&gt;0,D300&gt;=0),D300/Inputs!D250-1,"n.m."),"n.a.")</f>
        <v>-0.002923514538558769</v>
      </c>
      <c r="E301" s="41">
        <f>IF(ISNUMBER(Inputs!E250),IF(AND(Inputs!E250&gt;0,E300&gt;=0),E300/Inputs!E250-1,"n.m."),"n.a.")</f>
        <v>0.01422835195530725</v>
      </c>
      <c r="F301" s="41">
        <f>IF(ISNUMBER(Inputs!F250),IF(AND(Inputs!F250&gt;0,F300&gt;=0),F300/Inputs!F250-1,"n.m."),"n.a.")</f>
        <v>0.004061527825786282</v>
      </c>
      <c r="G301" s="41">
        <f>IF(ISNUMBER(Inputs!G250),IF(AND(Inputs!G250&gt;0,G300&gt;=0),G300/Inputs!G250-1,"n.m."),"n.a.")</f>
        <v>0.011985994859053495</v>
      </c>
      <c r="H301" s="40">
        <f>IF(ISNUMBER(C300),IF(AND(C300&gt;0,H300&gt;=0),H300/C300-1,"n.m."),"n.a.")</f>
        <v>0.010527232184202928</v>
      </c>
      <c r="I301" s="7"/>
    </row>
    <row r="302">
      <c r="A302" s="7"/>
      <c r="B302" s="48" t="s">
        <v>78</v>
      </c>
      <c r="C302" s="29">
        <f>IF(ISNUMBER(Inputs!G250),C300-Inputs!G250,"n.a.")</f>
        <v>704</v>
      </c>
      <c r="D302" s="12">
        <f>IF(ISNUMBER(C300),D300-C300,"n.a.")</f>
        <v>-1558</v>
      </c>
      <c r="E302" s="12"/>
      <c r="F302" s="12">
        <f>IF(ISNUMBER(D300),F300-D300,"n.a.")</f>
        <v>619</v>
      </c>
      <c r="G302" s="12">
        <f>IF(ISNUMBER(F300),G300-F300,"n.a.")</f>
        <v>1909</v>
      </c>
      <c r="H302" s="42">
        <f>IF(ISNUMBER(G300),H300-G300,"n.a.")</f>
        <v>507.67600000000675</v>
      </c>
      <c r="I302" s="7"/>
    </row>
    <row r="303">
      <c r="A303" s="7"/>
      <c r="B303" s="33" t="s">
        <v>108</v>
      </c>
      <c r="C303" s="35">
        <f>C130+C140+C150+C160+C170+C180+C190+C200+C219+C236+C246+C256+C284+C294</f>
        <v>1808</v>
      </c>
      <c r="D303" s="35">
        <f>D130+D140+D150+D160+D170+D180+D190+D200+D219+D236+D246+D256+D284+D294</f>
        <v>1781</v>
      </c>
      <c r="E303" s="35">
        <f>E130+E140+E150+E160+E170+E180+E190+E200+E219+E236+E246+E256+E284+E294</f>
        <v>7122</v>
      </c>
      <c r="F303" s="35">
        <f>F130+F140+F150+F160+F170+F180+F190+F200+F219+F236+F246+F256+F284+F294</f>
        <v>1715</v>
      </c>
      <c r="G303" s="35">
        <f>G130+G140+G150+G160+G170+G180+G190+G200+G219+G236+G246+G256+G284+G294</f>
        <v>1762</v>
      </c>
      <c r="H303" s="50">
        <f>H130+H140+H150+H160+H170+H180+H190+H200+H219+H236+H246+H256+H284+H294</f>
        <v>1798.4946953477486</v>
      </c>
      <c r="I303" s="7"/>
    </row>
    <row r="304">
      <c r="A304" s="7"/>
      <c r="B304" s="44" t="s">
        <v>66</v>
      </c>
      <c r="C304" s="41" t="str">
        <f>IF(ISNUMBER(Inputs!C251),IF(AND(Inputs!C251&gt;0,C303&gt;=0),C303/Inputs!C251-1,"n.m."),"n.a.")</f>
        <v>n.a.</v>
      </c>
      <c r="D304" s="41">
        <f>IF(ISNUMBER(Inputs!D251),IF(AND(Inputs!D251&gt;0,D303&gt;=0),D303/Inputs!D251-1,"n.m."),"n.a.")</f>
        <v>-0.018732782369145995</v>
      </c>
      <c r="E304" s="41">
        <f>IF(ISNUMBER(Inputs!E251),IF(AND(Inputs!E251&gt;0,E303&gt;=0),E303/Inputs!E251-1,"n.m."),"n.a.")</f>
        <v>-0.005029337803855838</v>
      </c>
      <c r="F304" s="41">
        <f>IF(ISNUMBER(Inputs!F251),IF(AND(Inputs!F251&gt;0,F303&gt;=0),F303/Inputs!F251-1,"n.m."),"n.a.")</f>
        <v>-0.012665515256188864</v>
      </c>
      <c r="G304" s="41">
        <f>IF(ISNUMBER(Inputs!G251),IF(AND(Inputs!G251&gt;0,G303&gt;=0),G303/Inputs!G251-1,"n.m."),"n.a.")</f>
        <v>-0.018930957683741645</v>
      </c>
      <c r="H304" s="40">
        <f>IF(ISNUMBER(C303),IF(AND(C303&gt;0,H303&gt;=0),H303/C303-1,"n.m."),"n.a.")</f>
        <v>-0.005257358767838172</v>
      </c>
      <c r="I304" s="7"/>
    </row>
    <row r="305">
      <c r="A305" s="7"/>
      <c r="B305" s="48" t="s">
        <v>78</v>
      </c>
      <c r="C305" s="29">
        <f>IF(ISNUMBER(Inputs!G251),C303-Inputs!G251,"n.a.")</f>
        <v>12</v>
      </c>
      <c r="D305" s="12">
        <f>IF(ISNUMBER(C303),D303-C303,"n.a.")</f>
        <v>-27</v>
      </c>
      <c r="E305" s="12"/>
      <c r="F305" s="12">
        <f>IF(ISNUMBER(D303),F303-D303,"n.a.")</f>
        <v>-66</v>
      </c>
      <c r="G305" s="12">
        <f>IF(ISNUMBER(F303),G303-F303,"n.a.")</f>
        <v>47</v>
      </c>
      <c r="H305" s="42">
        <f>IF(ISNUMBER(G303),H303-G303,"n.a.")</f>
        <v>36.494695347748575</v>
      </c>
      <c r="I305" s="7"/>
    </row>
    <row r="306">
      <c r="A306" s="7"/>
      <c r="B306" s="75" t="s">
        <v>109</v>
      </c>
      <c r="C306" s="60">
        <f>C303*$I$6/C$6/C300</f>
        <v>0.051102064432956965</v>
      </c>
      <c r="D306" s="60">
        <f>D303*$I$6/D$6/D300</f>
        <v>0.050903932115665976</v>
      </c>
      <c r="E306" s="60">
        <f>E303*$I$6/E$6/E300</f>
        <v>0.05108012737757122</v>
      </c>
      <c r="F306" s="60">
        <f>F303*$I$6/F$6/F300</f>
        <v>0.0498843688339342</v>
      </c>
      <c r="G306" s="60">
        <f>G303*$I$6/G$6/G300</f>
        <v>0.05000362705705256</v>
      </c>
      <c r="H306" s="61">
        <f>H303*$I$6/H$6/H300</f>
        <v>0.05030384231861018</v>
      </c>
      <c r="I306" s="7"/>
    </row>
    <row r="307">
      <c r="A307" s="7"/>
      <c r="B307" s="44" t="s">
        <v>69</v>
      </c>
      <c r="C307" s="38" t="str">
        <f>"n.a."</f>
        <v>n.a.</v>
      </c>
      <c r="D307" s="38">
        <f>IF(AND(ISNUMBER(D306),ISNUMBER(C306)),(D306-C306)*10000,"n.a.")</f>
        <v>-1.981323172909888</v>
      </c>
      <c r="E307" s="38"/>
      <c r="F307" s="38">
        <f>IF(AND(ISNUMBER(F306),ISNUMBER(D306)),(F306-D306)*10000,"n.a.")</f>
        <v>-10.19563281731778</v>
      </c>
      <c r="G307" s="38">
        <f>IF(AND(ISNUMBER(G306),ISNUMBER(F306)),(G306-F306)*10000,"n.a.")</f>
        <v>1.1925822311836116</v>
      </c>
      <c r="H307" s="67">
        <f>IF(AND(ISNUMBER(H306),ISNUMBER(G306)),(H306-G306)*10000,"n.a.")</f>
        <v>3.002152615576223</v>
      </c>
      <c r="I307" s="7"/>
    </row>
    <row r="308">
      <c r="A308" s="7"/>
      <c r="B308" s="34" t="s">
        <v>134</v>
      </c>
      <c r="C308" s="9"/>
      <c r="D308" s="9"/>
      <c r="E308" s="9"/>
      <c r="F308" s="9"/>
      <c r="G308" s="9"/>
      <c r="H308" s="43"/>
      <c r="I308" s="7"/>
    </row>
    <row r="309">
      <c r="A309" s="7"/>
      <c r="B309" s="1" t="s">
        <v>135</v>
      </c>
      <c r="C309" s="11"/>
      <c r="D309" s="11"/>
      <c r="E309" s="11"/>
      <c r="F309" s="11"/>
      <c r="G309" s="11"/>
      <c r="H309" s="91"/>
      <c r="I309" s="7"/>
    </row>
    <row r="310">
      <c r="A310" s="7"/>
      <c r="B310" s="48" t="s">
        <v>105</v>
      </c>
      <c r="C310" s="31">
        <v>12046</v>
      </c>
      <c r="D310" s="31">
        <v>11876</v>
      </c>
      <c r="E310" s="31">
        <v>12099</v>
      </c>
      <c r="F310" s="31">
        <v>12075</v>
      </c>
      <c r="G310" s="31">
        <v>12355</v>
      </c>
      <c r="H310" s="42">
        <f>G310*(1+H313)</f>
        <v>12293.225</v>
      </c>
      <c r="I310" s="39" t="s">
        <v>106</v>
      </c>
    </row>
    <row r="311">
      <c r="A311" s="7"/>
      <c r="B311" s="69" t="s">
        <v>66</v>
      </c>
      <c r="C311" s="41" t="str">
        <f>IF(ISNUMBER(Inputs!C252),IF(AND(Inputs!C252&gt;0,C310&gt;=0),C310/Inputs!C252-1,"n.m."),"n.a.")</f>
        <v>n.a.</v>
      </c>
      <c r="D311" s="41">
        <f>IF(ISNUMBER(Inputs!D252),IF(AND(Inputs!D252&gt;0,D310&gt;=0),D310/Inputs!D252-1,"n.m."),"n.a.")</f>
        <v>-0.011980033277870228</v>
      </c>
      <c r="E311" s="41">
        <f>IF(ISNUMBER(Inputs!E252),IF(AND(Inputs!E252&gt;0,E310&gt;=0),E310/Inputs!E252-1,"n.m."),"n.a.")</f>
        <v>-0.01889393447940313</v>
      </c>
      <c r="F311" s="41">
        <f>IF(ISNUMBER(Inputs!F252),IF(AND(Inputs!F252&gt;0,F310&gt;=0),F310/Inputs!F252-1,"n.m."),"n.a.")</f>
        <v>-0.00837644740083765</v>
      </c>
      <c r="G311" s="41">
        <f>IF(ISNUMBER(Inputs!G252),IF(AND(Inputs!G252&gt;0,G310&gt;=0),G310/Inputs!G252-1,"n.m."),"n.a.")</f>
        <v>0.004471544715447084</v>
      </c>
      <c r="H311" s="40">
        <f>IF(ISNUMBER(C310),IF(AND(C310&gt;0,H310&gt;=0),H310/C310-1,"n.m."),"n.a.")</f>
        <v>0.020523410260667507</v>
      </c>
      <c r="I311" s="7"/>
    </row>
    <row r="312">
      <c r="A312" s="7"/>
      <c r="B312" s="76" t="s">
        <v>78</v>
      </c>
      <c r="C312" s="29">
        <f>IF(ISNUMBER(Inputs!G252),C310-Inputs!G252,"n.a.")</f>
        <v>-254</v>
      </c>
      <c r="D312" s="12">
        <f>IF(ISNUMBER(C310),D310-C310,"n.a.")</f>
        <v>-170</v>
      </c>
      <c r="E312" s="12"/>
      <c r="F312" s="12">
        <f>IF(ISNUMBER(D310),F310-D310,"n.a.")</f>
        <v>199</v>
      </c>
      <c r="G312" s="12">
        <f>IF(ISNUMBER(F310),G310-F310,"n.a.")</f>
        <v>280</v>
      </c>
      <c r="H312" s="42">
        <f>IF(ISNUMBER(G310),H310-G310,"n.a.")</f>
        <v>-61.774999999999636</v>
      </c>
      <c r="I312" s="7"/>
    </row>
    <row r="313">
      <c r="A313" s="7"/>
      <c r="B313" s="69" t="s">
        <v>67</v>
      </c>
      <c r="C313" s="41">
        <f>IF(ISNUMBER(Inputs!G252),IF(AND(Inputs!G252&gt;0,C310&gt;=0),C310/Inputs!G252-1,"n.m."),"n.a.")</f>
        <v>-0.020650406504065022</v>
      </c>
      <c r="D313" s="24">
        <f>IF(ISNUMBER(C310),IF(AND(C310&gt;0,D310&gt;=0),D310/C310-1,"n.m."),"n.a.")</f>
        <v>-0.014112568487464672</v>
      </c>
      <c r="E313" s="24"/>
      <c r="F313" s="24">
        <f>IF(ISNUMBER(D310),IF(AND(D310&gt;0,F310&gt;=0),F310/D310-1,"n.m."),"n.a.")</f>
        <v>0.016756483664533528</v>
      </c>
      <c r="G313" s="24">
        <f>IF(ISNUMBER(F310),IF(AND(F310&gt;0,G310&gt;=0),G310/F310-1,"n.m."),"n.a.")</f>
        <v>0.023188405797101463</v>
      </c>
      <c r="H313" s="58">
        <v>-0.005</v>
      </c>
      <c r="I313" s="7"/>
    </row>
    <row r="314">
      <c r="A314" s="7"/>
      <c r="B314" s="48" t="s">
        <v>136</v>
      </c>
      <c r="C314" s="31">
        <v>4</v>
      </c>
      <c r="D314" s="31">
        <v>3</v>
      </c>
      <c r="E314" s="31">
        <v>15</v>
      </c>
      <c r="F314" s="31">
        <v>4</v>
      </c>
      <c r="G314" s="31">
        <v>4</v>
      </c>
      <c r="H314" s="42">
        <f>H310*H317*H$6/$I$6</f>
        <v>4.0237362637362635</v>
      </c>
      <c r="I314" s="39" t="s">
        <v>106</v>
      </c>
    </row>
    <row r="315">
      <c r="A315" s="7"/>
      <c r="B315" s="69" t="s">
        <v>66</v>
      </c>
      <c r="C315" s="41" t="str">
        <f>IF(ISNUMBER(Inputs!C253),IF(AND(Inputs!C253&gt;0,C314&gt;=0),C314/Inputs!C253-1,"n.m."),"n.a.")</f>
        <v>n.a.</v>
      </c>
      <c r="D315" s="41">
        <f>IF(ISNUMBER(Inputs!D253),IF(AND(Inputs!D253&gt;0,D314&gt;=0),D314/Inputs!D253-1,"n.m."),"n.a.")</f>
        <v>0</v>
      </c>
      <c r="E315" s="41">
        <f>IF(ISNUMBER(Inputs!E253),IF(AND(Inputs!E253&gt;0,E314&gt;=0),E314/Inputs!E253-1,"n.m."),"n.a.")</f>
        <v>0</v>
      </c>
      <c r="F315" s="41">
        <f>IF(ISNUMBER(Inputs!F253),IF(AND(Inputs!F253&gt;0,F314&gt;=0),F314/Inputs!F253-1,"n.m."),"n.a.")</f>
        <v>0</v>
      </c>
      <c r="G315" s="41">
        <f>IF(ISNUMBER(Inputs!G253),IF(AND(Inputs!G253&gt;0,G314&gt;=0),G314/Inputs!G253-1,"n.m."),"n.a.")</f>
        <v>0</v>
      </c>
      <c r="H315" s="40">
        <f>IF(ISNUMBER(C314),IF(AND(C314&gt;0,H314&gt;=0),H314/C314-1,"n.m."),"n.a.")</f>
        <v>0.005934065934065869</v>
      </c>
      <c r="I315" s="7"/>
    </row>
    <row r="316">
      <c r="A316" s="7"/>
      <c r="B316" s="76" t="s">
        <v>78</v>
      </c>
      <c r="C316" s="29">
        <f>IF(ISNUMBER(Inputs!G253),C314-Inputs!G253,"n.a.")</f>
        <v>0</v>
      </c>
      <c r="D316" s="12">
        <f>IF(ISNUMBER(C314),D314-C314,"n.a.")</f>
        <v>-1</v>
      </c>
      <c r="E316" s="12"/>
      <c r="F316" s="12">
        <f>IF(ISNUMBER(D314),F314-D314,"n.a.")</f>
        <v>1</v>
      </c>
      <c r="G316" s="12">
        <f>IF(ISNUMBER(F314),G314-F314,"n.a.")</f>
        <v>0</v>
      </c>
      <c r="H316" s="42">
        <f>IF(ISNUMBER(G314),H314-G314,"n.a.")</f>
        <v>0.023736263736263474</v>
      </c>
      <c r="I316" s="7"/>
    </row>
    <row r="317">
      <c r="A317" s="7"/>
      <c r="B317" s="44" t="s">
        <v>137</v>
      </c>
      <c r="C317" s="60">
        <f>IF(C310=0,0,C314*$I$6/C$6/C310)</f>
        <v>0.001317413682333663</v>
      </c>
      <c r="D317" s="60">
        <f>IF(D310=0,0,D314*$I$6/D$6/D310)</f>
        <v>0.0010022039333987436</v>
      </c>
      <c r="E317" s="60">
        <f>IF(E310=0,0,E314*$I$6/E$6/E310)</f>
        <v>0.001239771881973717</v>
      </c>
      <c r="F317" s="60">
        <f>IF(F310=0,0,F314*$I$6/F$6/F310)</f>
        <v>0.0013434552564987347</v>
      </c>
      <c r="G317" s="60">
        <f>IF(G310=0,0,G314*$I$6/G$6/G310)</f>
        <v>0.0012985800116516425</v>
      </c>
      <c r="H317" s="61">
        <f>G317+H318/10000</f>
        <v>0.0012985800116516425</v>
      </c>
      <c r="I317" s="7"/>
    </row>
    <row r="318">
      <c r="A318" s="7"/>
      <c r="B318" s="69" t="s">
        <v>69</v>
      </c>
      <c r="C318" s="38" t="str">
        <f>"n.a."</f>
        <v>n.a.</v>
      </c>
      <c r="D318" s="38">
        <f>IF(AND(ISNUMBER(D317),ISNUMBER(C317)),(D317-C317)*10000,"n.a.")</f>
        <v>-3.152097489349194</v>
      </c>
      <c r="E318" s="38"/>
      <c r="F318" s="38">
        <f>IF(AND(ISNUMBER(F317),ISNUMBER(D317)),(F317-D317)*10000,"n.a.")</f>
        <v>3.412513230999911</v>
      </c>
      <c r="G318" s="38">
        <f>IF(AND(ISNUMBER(G317),ISNUMBER(F317)),(G317-F317)*10000,"n.a.")</f>
        <v>-0.4487524484709225</v>
      </c>
      <c r="H318" s="77">
        <v>0</v>
      </c>
      <c r="I318" s="7"/>
    </row>
    <row r="319">
      <c r="A319" s="7"/>
      <c r="B319" s="1" t="s">
        <v>138</v>
      </c>
      <c r="C319" s="11"/>
      <c r="D319" s="11"/>
      <c r="E319" s="11"/>
      <c r="F319" s="11"/>
      <c r="G319" s="11"/>
      <c r="H319" s="91"/>
      <c r="I319" s="7"/>
    </row>
    <row r="320">
      <c r="A320" s="7"/>
      <c r="B320" s="48" t="s">
        <v>105</v>
      </c>
      <c r="C320" s="31">
        <v>24274</v>
      </c>
      <c r="D320" s="31">
        <v>24528</v>
      </c>
      <c r="E320" s="31">
        <v>24672</v>
      </c>
      <c r="F320" s="31">
        <v>25245</v>
      </c>
      <c r="G320" s="31">
        <v>25121</v>
      </c>
      <c r="H320" s="42">
        <f>G320*(1+H323)</f>
        <v>24995.395</v>
      </c>
      <c r="I320" s="39" t="s">
        <v>106</v>
      </c>
    </row>
    <row r="321">
      <c r="A321" s="7"/>
      <c r="B321" s="69" t="s">
        <v>66</v>
      </c>
      <c r="C321" s="41" t="str">
        <f>IF(ISNUMBER(Inputs!C254),IF(AND(Inputs!C254&gt;0,C320&gt;=0),C320/Inputs!C254-1,"n.m."),"n.a.")</f>
        <v>n.a.</v>
      </c>
      <c r="D321" s="41">
        <f>IF(ISNUMBER(Inputs!D254),IF(AND(Inputs!D254&gt;0,D320&gt;=0),D320/Inputs!D254-1,"n.m."),"n.a.")</f>
        <v>0.01945137157107224</v>
      </c>
      <c r="E321" s="41">
        <f>IF(ISNUMBER(Inputs!E254),IF(AND(Inputs!E254&gt;0,E320&gt;=0),E320/Inputs!E254-1,"n.m."),"n.a.")</f>
        <v>0.024159402241594075</v>
      </c>
      <c r="F321" s="41">
        <f>IF(ISNUMBER(Inputs!F254),IF(AND(Inputs!F254&gt;0,F320&gt;=0),F320/Inputs!F254-1,"n.m."),"n.a.")</f>
        <v>0.008468821156073947</v>
      </c>
      <c r="G321" s="41">
        <f>IF(ISNUMBER(Inputs!G254),IF(AND(Inputs!G254&gt;0,G320&gt;=0),G320/Inputs!G254-1,"n.m."),"n.a.")</f>
        <v>0.010295596219585867</v>
      </c>
      <c r="H321" s="40">
        <f>IF(ISNUMBER(C320),IF(AND(C320&gt;0,H320&gt;=0),H320/C320-1,"n.m."),"n.a.")</f>
        <v>0.029718834967454866</v>
      </c>
      <c r="I321" s="7"/>
    </row>
    <row r="322">
      <c r="A322" s="7"/>
      <c r="B322" s="76" t="s">
        <v>78</v>
      </c>
      <c r="C322" s="29">
        <f>IF(ISNUMBER(Inputs!G254),C320-Inputs!G254,"n.a.")</f>
        <v>-591</v>
      </c>
      <c r="D322" s="12">
        <f>IF(ISNUMBER(C320),D320-C320,"n.a.")</f>
        <v>254</v>
      </c>
      <c r="E322" s="12"/>
      <c r="F322" s="12">
        <f>IF(ISNUMBER(D320),F320-D320,"n.a.")</f>
        <v>717</v>
      </c>
      <c r="G322" s="12">
        <f>IF(ISNUMBER(F320),G320-F320,"n.a.")</f>
        <v>-124</v>
      </c>
      <c r="H322" s="42">
        <f>IF(ISNUMBER(G320),H320-G320,"n.a.")</f>
        <v>-125.60499999999956</v>
      </c>
      <c r="I322" s="7"/>
    </row>
    <row r="323">
      <c r="A323" s="7"/>
      <c r="B323" s="69" t="s">
        <v>67</v>
      </c>
      <c r="C323" s="41">
        <f>IF(ISNUMBER(Inputs!G254),IF(AND(Inputs!G254&gt;0,C320&gt;=0),C320/Inputs!G254-1,"n.m."),"n.a.")</f>
        <v>-0.023768349085059315</v>
      </c>
      <c r="D323" s="24">
        <f>IF(ISNUMBER(C320),IF(AND(C320&gt;0,D320&gt;=0),D320/C320-1,"n.m."),"n.a.")</f>
        <v>0.010463870808272269</v>
      </c>
      <c r="E323" s="24"/>
      <c r="F323" s="24">
        <f>IF(ISNUMBER(D320),IF(AND(D320&gt;0,F320&gt;=0),F320/D320-1,"n.m."),"n.a.")</f>
        <v>0.02923189823874761</v>
      </c>
      <c r="G323" s="24">
        <f>IF(ISNUMBER(F320),IF(AND(F320&gt;0,G320&gt;=0),G320/F320-1,"n.m."),"n.a.")</f>
        <v>-0.004911863735393096</v>
      </c>
      <c r="H323" s="58">
        <v>-0.005</v>
      </c>
      <c r="I323" s="7"/>
    </row>
    <row r="324">
      <c r="A324" s="7"/>
      <c r="B324" s="48" t="s">
        <v>136</v>
      </c>
      <c r="C324" s="31">
        <v>86</v>
      </c>
      <c r="D324" s="31">
        <v>78</v>
      </c>
      <c r="E324" s="31">
        <v>341</v>
      </c>
      <c r="F324" s="31">
        <v>71</v>
      </c>
      <c r="G324" s="31">
        <v>74</v>
      </c>
      <c r="H324" s="42">
        <f>H320*H327*H$6/$I$6</f>
        <v>74.43912087912088</v>
      </c>
      <c r="I324" s="39" t="s">
        <v>106</v>
      </c>
    </row>
    <row r="325">
      <c r="A325" s="7"/>
      <c r="B325" s="69" t="s">
        <v>66</v>
      </c>
      <c r="C325" s="41" t="str">
        <f>IF(ISNUMBER(Inputs!C255),IF(AND(Inputs!C255&gt;0,C324&gt;=0),C324/Inputs!C255-1,"n.m."),"n.a.")</f>
        <v>n.a.</v>
      </c>
      <c r="D325" s="41">
        <f>IF(ISNUMBER(Inputs!D255),IF(AND(Inputs!D255&gt;0,D324&gt;=0),D324/Inputs!D255-1,"n.m."),"n.a.")</f>
        <v>-0.15217391304347827</v>
      </c>
      <c r="E325" s="41">
        <f>IF(ISNUMBER(Inputs!E255),IF(AND(Inputs!E255&gt;0,E324&gt;=0),E324/Inputs!E255-1,"n.m."),"n.a.")</f>
        <v>-0.13670886075949362</v>
      </c>
      <c r="F325" s="41">
        <f>IF(ISNUMBER(Inputs!F255),IF(AND(Inputs!F255&gt;0,F324&gt;=0),F324/Inputs!F255-1,"n.m."),"n.a.")</f>
        <v>-0.202247191011236</v>
      </c>
      <c r="G325" s="41">
        <f>IF(ISNUMBER(Inputs!G255),IF(AND(Inputs!G255&gt;0,G324&gt;=0),G324/Inputs!G255-1,"n.m."),"n.a.")</f>
        <v>-0.15909090909090906</v>
      </c>
      <c r="H325" s="40">
        <f>IF(ISNUMBER(C324),IF(AND(C324&gt;0,H324&gt;=0),H324/C324-1,"n.m."),"n.a.")</f>
        <v>-0.13442882698696657</v>
      </c>
      <c r="I325" s="7"/>
    </row>
    <row r="326">
      <c r="A326" s="7"/>
      <c r="B326" s="76" t="s">
        <v>78</v>
      </c>
      <c r="C326" s="29">
        <f>IF(ISNUMBER(Inputs!G255),C324-Inputs!G255,"n.a.")</f>
        <v>-2</v>
      </c>
      <c r="D326" s="12">
        <f>IF(ISNUMBER(C324),D324-C324,"n.a.")</f>
        <v>-8</v>
      </c>
      <c r="E326" s="12"/>
      <c r="F326" s="12">
        <f>IF(ISNUMBER(D324),F324-D324,"n.a.")</f>
        <v>-7</v>
      </c>
      <c r="G326" s="12">
        <f>IF(ISNUMBER(F324),G324-F324,"n.a.")</f>
        <v>3</v>
      </c>
      <c r="H326" s="42">
        <f>IF(ISNUMBER(G324),H324-G324,"n.a.")</f>
        <v>0.43912087912087827</v>
      </c>
      <c r="I326" s="7"/>
    </row>
    <row r="327">
      <c r="A327" s="7"/>
      <c r="B327" s="44" t="s">
        <v>137</v>
      </c>
      <c r="C327" s="60">
        <f>IF(C320=0,0,C324*$I$6/C$6/C320)</f>
        <v>0.014056012695637846</v>
      </c>
      <c r="D327" s="60">
        <f>IF(D320=0,0,D324*$I$6/D$6/D320)</f>
        <v>0.012616459627329192</v>
      </c>
      <c r="E327" s="60">
        <f>IF(E320=0,0,E324*$I$6/E$6/E320)</f>
        <v>0.013821335927367055</v>
      </c>
      <c r="F327" s="60">
        <f>IF(F320=0,0,F324*$I$6/F$6/F320)</f>
        <v>0.011405998987698335</v>
      </c>
      <c r="G327" s="60">
        <f>IF(G320=0,0,G324*$I$6/G$6/G320)</f>
        <v>0.011815341221017746</v>
      </c>
      <c r="H327" s="61">
        <f>G327+H328/10000</f>
        <v>0.011815341221017746</v>
      </c>
      <c r="I327" s="7"/>
    </row>
    <row r="328">
      <c r="A328" s="7"/>
      <c r="B328" s="69" t="s">
        <v>69</v>
      </c>
      <c r="C328" s="38" t="str">
        <f>"n.a."</f>
        <v>n.a.</v>
      </c>
      <c r="D328" s="38">
        <f>IF(AND(ISNUMBER(D327),ISNUMBER(C327)),(D327-C327)*10000,"n.a.")</f>
        <v>-14.395530683086536</v>
      </c>
      <c r="E328" s="38"/>
      <c r="F328" s="38">
        <f>IF(AND(ISNUMBER(F327),ISNUMBER(D327)),(F327-D327)*10000,"n.a.")</f>
        <v>-12.10460639630857</v>
      </c>
      <c r="G328" s="38">
        <f>IF(AND(ISNUMBER(G327),ISNUMBER(F327)),(G327-F327)*10000,"n.a.")</f>
        <v>4.093422333194107</v>
      </c>
      <c r="H328" s="77">
        <v>0</v>
      </c>
      <c r="I328" s="7"/>
    </row>
    <row r="329">
      <c r="A329" s="7"/>
      <c r="B329" s="1" t="s">
        <v>139</v>
      </c>
      <c r="C329" s="11"/>
      <c r="D329" s="11"/>
      <c r="E329" s="11"/>
      <c r="F329" s="11"/>
      <c r="G329" s="11"/>
      <c r="H329" s="91"/>
      <c r="I329" s="7"/>
    </row>
    <row r="330">
      <c r="A330" s="7"/>
      <c r="B330" s="48" t="s">
        <v>105</v>
      </c>
      <c r="C330" s="31">
        <v>38593</v>
      </c>
      <c r="D330" s="31">
        <v>39591</v>
      </c>
      <c r="E330" s="31">
        <v>37813</v>
      </c>
      <c r="F330" s="31">
        <v>40366</v>
      </c>
      <c r="G330" s="31">
        <v>40382</v>
      </c>
      <c r="H330" s="42">
        <f>G330*(1+H333)</f>
        <v>40583.909999999996</v>
      </c>
      <c r="I330" s="39" t="s">
        <v>106</v>
      </c>
    </row>
    <row r="331">
      <c r="A331" s="7"/>
      <c r="B331" s="69" t="s">
        <v>66</v>
      </c>
      <c r="C331" s="41" t="str">
        <f>IF(ISNUMBER(Inputs!C256),IF(AND(Inputs!C256&gt;0,C330&gt;=0),C330/Inputs!C256-1,"n.m."),"n.a.")</f>
        <v>n.a.</v>
      </c>
      <c r="D331" s="41">
        <f>IF(ISNUMBER(Inputs!D256),IF(AND(Inputs!D256&gt;0,D330&gt;=0),D330/Inputs!D256-1,"n.m."),"n.a.")</f>
        <v>0.12270303992740472</v>
      </c>
      <c r="E331" s="41">
        <f>IF(ISNUMBER(Inputs!E256),IF(AND(Inputs!E256&gt;0,E330&gt;=0),E330/Inputs!E256-1,"n.m."),"n.a.")</f>
        <v>0.09330364887526743</v>
      </c>
      <c r="F331" s="41">
        <f>IF(ISNUMBER(Inputs!F256),IF(AND(Inputs!F256&gt;0,F330&gt;=0),F330/Inputs!F256-1,"n.m."),"n.a.")</f>
        <v>0.13308070175438602</v>
      </c>
      <c r="G331" s="41">
        <f>IF(ISNUMBER(Inputs!G256),IF(AND(Inputs!G256&gt;0,G330&gt;=0),G330/Inputs!G256-1,"n.m."),"n.a.")</f>
        <v>0.08005028216855226</v>
      </c>
      <c r="H331" s="40">
        <f>IF(ISNUMBER(C330),IF(AND(C330&gt;0,H330&gt;=0),H330/C330-1,"n.m."),"n.a.")</f>
        <v>0.051587334490710735</v>
      </c>
      <c r="I331" s="7"/>
    </row>
    <row r="332">
      <c r="A332" s="7"/>
      <c r="B332" s="76" t="s">
        <v>78</v>
      </c>
      <c r="C332" s="29">
        <f>IF(ISNUMBER(Inputs!G256),C330-Inputs!G256,"n.a.")</f>
        <v>1204</v>
      </c>
      <c r="D332" s="12">
        <f>IF(ISNUMBER(C330),D330-C330,"n.a.")</f>
        <v>998</v>
      </c>
      <c r="E332" s="12"/>
      <c r="F332" s="12">
        <f>IF(ISNUMBER(D330),F330-D330,"n.a.")</f>
        <v>775</v>
      </c>
      <c r="G332" s="12">
        <f>IF(ISNUMBER(F330),G330-F330,"n.a.")</f>
        <v>16</v>
      </c>
      <c r="H332" s="42">
        <f>IF(ISNUMBER(G330),H330-G330,"n.a.")</f>
        <v>201.90999999999622</v>
      </c>
      <c r="I332" s="7"/>
    </row>
    <row r="333">
      <c r="A333" s="7"/>
      <c r="B333" s="69" t="s">
        <v>67</v>
      </c>
      <c r="C333" s="41">
        <f>IF(ISNUMBER(Inputs!G256),IF(AND(Inputs!G256&gt;0,C330&gt;=0),C330/Inputs!G256-1,"n.m."),"n.a.")</f>
        <v>0.032201984540907835</v>
      </c>
      <c r="D333" s="24">
        <f>IF(ISNUMBER(C330),IF(AND(C330&gt;0,D330&gt;=0),D330/C330-1,"n.m."),"n.a.")</f>
        <v>0.02585961184670804</v>
      </c>
      <c r="E333" s="24"/>
      <c r="F333" s="24">
        <f>IF(ISNUMBER(D330),IF(AND(D330&gt;0,F330&gt;=0),F330/D330-1,"n.m."),"n.a.")</f>
        <v>0.019575155969791203</v>
      </c>
      <c r="G333" s="24">
        <f>IF(ISNUMBER(F330),IF(AND(F330&gt;0,G330&gt;=0),G330/F330-1,"n.m."),"n.a.")</f>
        <v>0.00039637318535401533</v>
      </c>
      <c r="H333" s="58">
        <v>0.005</v>
      </c>
      <c r="I333" s="7"/>
    </row>
    <row r="334">
      <c r="A334" s="7"/>
      <c r="B334" s="48" t="s">
        <v>136</v>
      </c>
      <c r="C334" s="31">
        <v>234</v>
      </c>
      <c r="D334" s="31">
        <v>220</v>
      </c>
      <c r="E334" s="31">
        <v>878</v>
      </c>
      <c r="F334" s="31">
        <v>207</v>
      </c>
      <c r="G334" s="31">
        <v>209</v>
      </c>
      <c r="H334" s="42">
        <f>H330*H337*H$6/$I$6</f>
        <v>212.3531868131868</v>
      </c>
      <c r="I334" s="39" t="s">
        <v>106</v>
      </c>
    </row>
    <row r="335">
      <c r="A335" s="7"/>
      <c r="B335" s="69" t="s">
        <v>66</v>
      </c>
      <c r="C335" s="41" t="str">
        <f>IF(ISNUMBER(Inputs!C257),IF(AND(Inputs!C257&gt;0,C334&gt;=0),C334/Inputs!C257-1,"n.m."),"n.a.")</f>
        <v>n.a.</v>
      </c>
      <c r="D335" s="41">
        <f>IF(ISNUMBER(Inputs!D257),IF(AND(Inputs!D257&gt;0,D334&gt;=0),D334/Inputs!D257-1,"n.m."),"n.a.")</f>
        <v>0.01382488479262678</v>
      </c>
      <c r="E335" s="41">
        <f>IF(ISNUMBER(Inputs!E257),IF(AND(Inputs!E257&gt;0,E334&gt;=0),E334/Inputs!E257-1,"n.m."),"n.a.")</f>
        <v>-0.05591397849462365</v>
      </c>
      <c r="F335" s="41">
        <f>IF(ISNUMBER(Inputs!F257),IF(AND(Inputs!F257&gt;0,F334&gt;=0),F334/Inputs!F257-1,"n.m."),"n.a.")</f>
        <v>0.014705882352941124</v>
      </c>
      <c r="G335" s="41">
        <f>IF(ISNUMBER(Inputs!G257),IF(AND(Inputs!G257&gt;0,G334&gt;=0),G334/Inputs!G257-1,"n.m."),"n.a.")</f>
        <v>-0.050000000000000044</v>
      </c>
      <c r="H335" s="40">
        <f>IF(ISNUMBER(C334),IF(AND(C334&gt;0,H334&gt;=0),H334/C334-1,"n.m."),"n.a.")</f>
        <v>-0.09250774866159495</v>
      </c>
      <c r="I335" s="7"/>
    </row>
    <row r="336">
      <c r="A336" s="7"/>
      <c r="B336" s="76" t="s">
        <v>78</v>
      </c>
      <c r="C336" s="29">
        <f>IF(ISNUMBER(Inputs!G257),C334-Inputs!G257,"n.a.")</f>
        <v>14</v>
      </c>
      <c r="D336" s="12">
        <f>IF(ISNUMBER(C334),D334-C334,"n.a.")</f>
        <v>-14</v>
      </c>
      <c r="E336" s="12"/>
      <c r="F336" s="12">
        <f>IF(ISNUMBER(D334),F334-D334,"n.a.")</f>
        <v>-13</v>
      </c>
      <c r="G336" s="12">
        <f>IF(ISNUMBER(F334),G334-F334,"n.a.")</f>
        <v>2</v>
      </c>
      <c r="H336" s="42">
        <f>IF(ISNUMBER(G334),H334-G334,"n.a.")</f>
        <v>3.3531868131867952</v>
      </c>
      <c r="I336" s="7"/>
    </row>
    <row r="337">
      <c r="A337" s="7"/>
      <c r="B337" s="44" t="s">
        <v>137</v>
      </c>
      <c r="C337" s="60">
        <f>IF(C330=0,0,C334*$I$6/C$6/C330)</f>
        <v>0.024055387381581927</v>
      </c>
      <c r="D337" s="60">
        <f>IF(D330=0,0,D334*$I$6/D$6/D330)</f>
        <v>0.022046073273130806</v>
      </c>
      <c r="E337" s="60">
        <f>IF(E330=0,0,E334*$I$6/E$6/E330)</f>
        <v>0.0232195276756671</v>
      </c>
      <c r="F337" s="60">
        <f>IF(F330=0,0,F334*$I$6/F$6/F330)</f>
        <v>0.020797205569043253</v>
      </c>
      <c r="G337" s="60">
        <f>IF(G330=0,0,G334*$I$6/G$6/G330)</f>
        <v>0.020759167532482376</v>
      </c>
      <c r="H337" s="61">
        <f>G337+H338/10000</f>
        <v>0.020759167532482376</v>
      </c>
      <c r="I337" s="7"/>
    </row>
    <row r="338">
      <c r="A338" s="7"/>
      <c r="B338" s="69" t="s">
        <v>69</v>
      </c>
      <c r="C338" s="38" t="str">
        <f>"n.a."</f>
        <v>n.a.</v>
      </c>
      <c r="D338" s="38">
        <f>IF(AND(ISNUMBER(D337),ISNUMBER(C337)),(D337-C337)*10000,"n.a.")</f>
        <v>-20.093141084511213</v>
      </c>
      <c r="E338" s="38"/>
      <c r="F338" s="38">
        <f>IF(AND(ISNUMBER(F337),ISNUMBER(D337)),(F337-D337)*10000,"n.a.")</f>
        <v>-12.48867704087553</v>
      </c>
      <c r="G338" s="38">
        <f>IF(AND(ISNUMBER(G337),ISNUMBER(F337)),(G337-F337)*10000,"n.a.")</f>
        <v>-0.3803803656087651</v>
      </c>
      <c r="H338" s="77">
        <v>0</v>
      </c>
      <c r="I338" s="7"/>
    </row>
    <row r="339">
      <c r="A339" s="7"/>
      <c r="B339" s="1" t="s">
        <v>140</v>
      </c>
      <c r="C339" s="11"/>
      <c r="D339" s="11"/>
      <c r="E339" s="11"/>
      <c r="F339" s="11"/>
      <c r="G339" s="11"/>
      <c r="H339" s="91"/>
      <c r="I339" s="7"/>
    </row>
    <row r="340">
      <c r="A340" s="7"/>
      <c r="B340" s="48" t="s">
        <v>105</v>
      </c>
      <c r="C340" s="31">
        <v>15124</v>
      </c>
      <c r="D340" s="31">
        <v>14396</v>
      </c>
      <c r="E340" s="31">
        <v>15159</v>
      </c>
      <c r="F340" s="31">
        <v>13388</v>
      </c>
      <c r="G340" s="31">
        <v>13095</v>
      </c>
      <c r="H340" s="42">
        <f>G340*(1+H343)</f>
        <v>12767.625</v>
      </c>
      <c r="I340" s="39" t="s">
        <v>106</v>
      </c>
    </row>
    <row r="341">
      <c r="A341" s="7"/>
      <c r="B341" s="69" t="s">
        <v>66</v>
      </c>
      <c r="C341" s="41" t="str">
        <f>IF(ISNUMBER(Inputs!C258),IF(AND(Inputs!C258&gt;0,C340&gt;=0),C340/Inputs!C258-1,"n.m."),"n.a.")</f>
        <v>n.a.</v>
      </c>
      <c r="D341" s="41">
        <f>IF(ISNUMBER(Inputs!D258),IF(AND(Inputs!D258&gt;0,D340&gt;=0),D340/Inputs!D258-1,"n.m."),"n.a.")</f>
        <v>-0.08451510333863277</v>
      </c>
      <c r="E341" s="41">
        <f>IF(ISNUMBER(Inputs!E258),IF(AND(Inputs!E258&gt;0,E340&gt;=0),E340/Inputs!E258-1,"n.m."),"n.a.")</f>
        <v>-0.020166763622260997</v>
      </c>
      <c r="F341" s="41">
        <f>IF(ISNUMBER(Inputs!F258),IF(AND(Inputs!F258&gt;0,F340&gt;=0),F340/Inputs!F258-1,"n.m."),"n.a.")</f>
        <v>-0.1526045952275461</v>
      </c>
      <c r="G341" s="41">
        <f>IF(ISNUMBER(Inputs!G258),IF(AND(Inputs!G258&gt;0,G340&gt;=0),G340/Inputs!G258-1,"n.m."),"n.a.")</f>
        <v>-0.14601539063518976</v>
      </c>
      <c r="H341" s="40">
        <f>IF(ISNUMBER(C340),IF(AND(C340&gt;0,H340&gt;=0),H340/C340-1,"n.m."),"n.a.")</f>
        <v>-0.15580368950013224</v>
      </c>
      <c r="I341" s="7"/>
    </row>
    <row r="342">
      <c r="A342" s="7"/>
      <c r="B342" s="76" t="s">
        <v>78</v>
      </c>
      <c r="C342" s="29">
        <f>IF(ISNUMBER(Inputs!G258),C340-Inputs!G258,"n.a.")</f>
        <v>-210</v>
      </c>
      <c r="D342" s="12">
        <f>IF(ISNUMBER(C340),D340-C340,"n.a.")</f>
        <v>-728</v>
      </c>
      <c r="E342" s="12"/>
      <c r="F342" s="12">
        <f>IF(ISNUMBER(D340),F340-D340,"n.a.")</f>
        <v>-1008</v>
      </c>
      <c r="G342" s="12">
        <f>IF(ISNUMBER(F340),G340-F340,"n.a.")</f>
        <v>-293</v>
      </c>
      <c r="H342" s="42">
        <f>IF(ISNUMBER(G340),H340-G340,"n.a.")</f>
        <v>-327.375</v>
      </c>
      <c r="I342" s="7"/>
    </row>
    <row r="343">
      <c r="A343" s="7"/>
      <c r="B343" s="69" t="s">
        <v>67</v>
      </c>
      <c r="C343" s="41">
        <f>IF(ISNUMBER(Inputs!G258),IF(AND(Inputs!G258&gt;0,C340&gt;=0),C340/Inputs!G258-1,"n.m."),"n.a.")</f>
        <v>-0.013695056736663602</v>
      </c>
      <c r="D343" s="24">
        <f>IF(ISNUMBER(C340),IF(AND(C340&gt;0,D340&gt;=0),D340/C340-1,"n.m."),"n.a.")</f>
        <v>-0.04813541391166354</v>
      </c>
      <c r="E343" s="24"/>
      <c r="F343" s="24">
        <f>IF(ISNUMBER(D340),IF(AND(D340&gt;0,F340&gt;=0),F340/D340-1,"n.m."),"n.a.")</f>
        <v>-0.07001944984717978</v>
      </c>
      <c r="G343" s="24">
        <f>IF(ISNUMBER(F340),IF(AND(F340&gt;0,G340&gt;=0),G340/F340-1,"n.m."),"n.a.")</f>
        <v>-0.021885270391395317</v>
      </c>
      <c r="H343" s="58">
        <v>-0.025</v>
      </c>
      <c r="I343" s="7"/>
    </row>
    <row r="344">
      <c r="A344" s="7"/>
      <c r="B344" s="48" t="s">
        <v>136</v>
      </c>
      <c r="C344" s="31">
        <v>132</v>
      </c>
      <c r="D344" s="31">
        <v>120</v>
      </c>
      <c r="E344" s="31">
        <v>532</v>
      </c>
      <c r="F344" s="31">
        <v>103</v>
      </c>
      <c r="G344" s="31">
        <v>98</v>
      </c>
      <c r="H344" s="42">
        <f>H340*H347*H$6/$I$6</f>
        <v>94.02548712328769</v>
      </c>
      <c r="I344" s="39" t="s">
        <v>106</v>
      </c>
    </row>
    <row r="345">
      <c r="A345" s="7"/>
      <c r="B345" s="69" t="s">
        <v>66</v>
      </c>
      <c r="C345" s="41" t="str">
        <f>IF(ISNUMBER(Inputs!C259),IF(AND(Inputs!C259&gt;0,C344&gt;=0),C344/Inputs!C259-1,"n.m."),"n.a.")</f>
        <v>n.a.</v>
      </c>
      <c r="D345" s="41">
        <f>IF(ISNUMBER(Inputs!D259),IF(AND(Inputs!D259&gt;0,D344&gt;=0),D344/Inputs!D259-1,"n.m."),"n.a.")</f>
        <v>-0.22580645161290325</v>
      </c>
      <c r="E345" s="41">
        <f>IF(ISNUMBER(Inputs!E259),IF(AND(Inputs!E259&gt;0,E344&gt;=0),E344/Inputs!E259-1,"n.m."),"n.a.")</f>
        <v>-0.15689381933438984</v>
      </c>
      <c r="F345" s="41">
        <f>IF(ISNUMBER(Inputs!F259),IF(AND(Inputs!F259&gt;0,F344&gt;=0),F344/Inputs!F259-1,"n.m."),"n.a.")</f>
        <v>-0.2896551724137931</v>
      </c>
      <c r="G345" s="41">
        <f>IF(ISNUMBER(Inputs!G259),IF(AND(Inputs!G259&gt;0,G344&gt;=0),G344/Inputs!G259-1,"n.m."),"n.a.")</f>
        <v>-0.274074074074074</v>
      </c>
      <c r="H345" s="40">
        <f>IF(ISNUMBER(C344),IF(AND(C344&gt;0,H344&gt;=0),H344/C344-1,"n.m."),"n.a.")</f>
        <v>-0.28768570361145684</v>
      </c>
      <c r="I345" s="7"/>
    </row>
    <row r="346">
      <c r="A346" s="7"/>
      <c r="B346" s="76" t="s">
        <v>78</v>
      </c>
      <c r="C346" s="29">
        <f>IF(ISNUMBER(Inputs!G259),C344-Inputs!G259,"n.a.")</f>
        <v>-3</v>
      </c>
      <c r="D346" s="12">
        <f>IF(ISNUMBER(C344),D344-C344,"n.a.")</f>
        <v>-12</v>
      </c>
      <c r="E346" s="12"/>
      <c r="F346" s="12">
        <f>IF(ISNUMBER(D344),F344-D344,"n.a.")</f>
        <v>-17</v>
      </c>
      <c r="G346" s="12">
        <f>IF(ISNUMBER(F344),G344-F344,"n.a.")</f>
        <v>-5</v>
      </c>
      <c r="H346" s="42">
        <f>IF(ISNUMBER(G344),H344-G344,"n.a.")</f>
        <v>-3.9745128767123106</v>
      </c>
      <c r="I346" s="7"/>
    </row>
    <row r="347">
      <c r="A347" s="7"/>
      <c r="B347" s="44" t="s">
        <v>137</v>
      </c>
      <c r="C347" s="60">
        <f>IF(C340=0,0,C344*$I$6/C$6/C340)</f>
        <v>0.03462679530374987</v>
      </c>
      <c r="D347" s="60">
        <f>IF(D340=0,0,D344*$I$6/D$6/D340)</f>
        <v>0.03307078053082378</v>
      </c>
      <c r="E347" s="60">
        <f>IF(E340=0,0,E344*$I$6/E$6/E340)</f>
        <v>0.035094663236361234</v>
      </c>
      <c r="F347" s="60">
        <f>IF(F340=0,0,F344*$I$6/F$6/F340)</f>
        <v>0.03120124157620423</v>
      </c>
      <c r="G347" s="60">
        <f>IF(G340=0,0,G344*$I$6/G$6/G340)</f>
        <v>0.03001732898640115</v>
      </c>
      <c r="H347" s="61">
        <f>G347+H348/10000</f>
        <v>0.029217328986401152</v>
      </c>
      <c r="I347" s="7"/>
    </row>
    <row r="348">
      <c r="A348" s="7"/>
      <c r="B348" s="69" t="s">
        <v>69</v>
      </c>
      <c r="C348" s="38" t="str">
        <f>"n.a."</f>
        <v>n.a.</v>
      </c>
      <c r="D348" s="38">
        <f>IF(AND(ISNUMBER(D347),ISNUMBER(C347)),(D347-C347)*10000,"n.a.")</f>
        <v>-15.560147729260857</v>
      </c>
      <c r="E348" s="38"/>
      <c r="F348" s="38">
        <f>IF(AND(ISNUMBER(F347),ISNUMBER(D347)),(F347-D347)*10000,"n.a.")</f>
        <v>-18.695389546195504</v>
      </c>
      <c r="G348" s="38">
        <f>IF(AND(ISNUMBER(G347),ISNUMBER(F347)),(G347-F347)*10000,"n.a.")</f>
        <v>-11.839125898030801</v>
      </c>
      <c r="H348" s="77">
        <v>-8</v>
      </c>
      <c r="I348" s="7"/>
    </row>
    <row r="349">
      <c r="A349" s="7"/>
      <c r="B349" s="33" t="s">
        <v>141</v>
      </c>
      <c r="C349" s="9"/>
      <c r="D349" s="9"/>
      <c r="E349" s="9"/>
      <c r="F349" s="9"/>
      <c r="G349" s="9"/>
      <c r="H349" s="43"/>
      <c r="I349" s="7"/>
    </row>
    <row r="350">
      <c r="A350" s="7"/>
      <c r="B350" s="90" t="s">
        <v>105</v>
      </c>
      <c r="C350" s="35">
        <f>C310+C320+C330+C340</f>
        <v>90037</v>
      </c>
      <c r="D350" s="35">
        <f>D310+D320+D330+D340</f>
        <v>90391</v>
      </c>
      <c r="E350" s="35">
        <f>E310+E320+E330+E340</f>
        <v>89743</v>
      </c>
      <c r="F350" s="35">
        <f>F310+F320+F330+F340</f>
        <v>91074</v>
      </c>
      <c r="G350" s="35">
        <f>G310+G320+G330+G340</f>
        <v>90953</v>
      </c>
      <c r="H350" s="50">
        <f>H310+H320+H330+H340</f>
        <v>90640.155</v>
      </c>
      <c r="I350" s="7"/>
    </row>
    <row r="351">
      <c r="A351" s="7"/>
      <c r="B351" s="69" t="s">
        <v>66</v>
      </c>
      <c r="C351" s="41" t="str">
        <f>IF(ISNUMBER(Inputs!C260),IF(AND(Inputs!C260&gt;0,C350&gt;=0),C350/Inputs!C260-1,"n.m."),"n.a.")</f>
        <v>n.a.</v>
      </c>
      <c r="D351" s="41">
        <f>IF(ISNUMBER(Inputs!D260),IF(AND(Inputs!D260&gt;0,D350&gt;=0),D350/Inputs!D260-1,"n.m."),"n.a.")</f>
        <v>0.038153648255981</v>
      </c>
      <c r="E351" s="41">
        <f>IF(ISNUMBER(Inputs!E260),IF(AND(Inputs!E260&gt;0,E350&gt;=0),E350/Inputs!E260-1,"n.m."),"n.a.")</f>
        <v>0.03774326715156273</v>
      </c>
      <c r="F351" s="41">
        <f>IF(ISNUMBER(Inputs!F260),IF(AND(Inputs!F260&gt;0,F350&gt;=0),F350/Inputs!F260-1,"n.m."),"n.a.")</f>
        <v>0.027528939233251393</v>
      </c>
      <c r="G351" s="41">
        <f>IF(ISNUMBER(Inputs!G260),IF(AND(Inputs!G260&gt;0,G350&gt;=0),G350/Inputs!G260-1,"n.m."),"n.a.")</f>
        <v>0.011848077607689467</v>
      </c>
      <c r="H351" s="40">
        <f>IF(ISNUMBER(C350),IF(AND(C350&gt;0,H350&gt;=0),H350/C350-1,"n.m."),"n.a.")</f>
        <v>0.006698968201961364</v>
      </c>
      <c r="I351" s="7"/>
    </row>
    <row r="352">
      <c r="A352" s="7"/>
      <c r="B352" s="76" t="s">
        <v>78</v>
      </c>
      <c r="C352" s="29">
        <f>IF(ISNUMBER(Inputs!G260),C350-Inputs!G260,"n.a.")</f>
        <v>149</v>
      </c>
      <c r="D352" s="12">
        <f>IF(ISNUMBER(C350),D350-C350,"n.a.")</f>
        <v>354</v>
      </c>
      <c r="E352" s="12"/>
      <c r="F352" s="12">
        <f>IF(ISNUMBER(D350),F350-D350,"n.a.")</f>
        <v>683</v>
      </c>
      <c r="G352" s="12">
        <f>IF(ISNUMBER(F350),G350-F350,"n.a.")</f>
        <v>-121</v>
      </c>
      <c r="H352" s="42">
        <f>IF(ISNUMBER(G350),H350-G350,"n.a.")</f>
        <v>-312.84500000000116</v>
      </c>
      <c r="I352" s="7"/>
    </row>
    <row r="353">
      <c r="A353" s="7"/>
      <c r="B353" s="90" t="s">
        <v>136</v>
      </c>
      <c r="C353" s="35">
        <f>C314+C324+C334+C344</f>
        <v>456</v>
      </c>
      <c r="D353" s="35">
        <f>D314+D324+D334+D344</f>
        <v>421</v>
      </c>
      <c r="E353" s="35">
        <f>E314+E324+E334+E344</f>
        <v>1766</v>
      </c>
      <c r="F353" s="35">
        <f>F314+F324+F334+F344</f>
        <v>385</v>
      </c>
      <c r="G353" s="35">
        <f>G314+G324+G334+G344</f>
        <v>385</v>
      </c>
      <c r="H353" s="50">
        <f>H314+H324+H334+H344</f>
        <v>384.8415310793316</v>
      </c>
      <c r="I353" s="7"/>
    </row>
    <row r="354">
      <c r="A354" s="7"/>
      <c r="B354" s="69" t="s">
        <v>66</v>
      </c>
      <c r="C354" s="41" t="str">
        <f>IF(ISNUMBER(Inputs!C261),IF(AND(Inputs!C261&gt;0,C353&gt;=0),C353/Inputs!C261-1,"n.m."),"n.a.")</f>
        <v>n.a.</v>
      </c>
      <c r="D354" s="41">
        <f>IF(ISNUMBER(Inputs!D261),IF(AND(Inputs!D261&gt;0,D353&gt;=0),D353/Inputs!D261-1,"n.m."),"n.a.")</f>
        <v>-0.09850107066381153</v>
      </c>
      <c r="E354" s="41">
        <f>IF(ISNUMBER(Inputs!E261),IF(AND(Inputs!E261&gt;0,E353&gt;=0),E353/Inputs!E261-1,"n.m."),"n.a.")</f>
        <v>-0.1040081177067479</v>
      </c>
      <c r="F354" s="41">
        <f>IF(ISNUMBER(Inputs!F261),IF(AND(Inputs!F261&gt;0,F353&gt;=0),F353/Inputs!F261-1,"n.m."),"n.a.")</f>
        <v>-0.12895927601809953</v>
      </c>
      <c r="G354" s="41">
        <f>IF(ISNUMBER(Inputs!G261),IF(AND(Inputs!G261&gt;0,G353&gt;=0),G353/Inputs!G261-1,"n.m."),"n.a.")</f>
        <v>-0.13870246085011184</v>
      </c>
      <c r="H354" s="40">
        <f>IF(ISNUMBER(C353),IF(AND(C353&gt;0,H353&gt;=0),H353/C353-1,"n.m."),"n.a.")</f>
        <v>-0.15604927394883417</v>
      </c>
      <c r="I354" s="7"/>
    </row>
    <row r="355">
      <c r="A355" s="7"/>
      <c r="B355" s="76" t="s">
        <v>78</v>
      </c>
      <c r="C355" s="29">
        <f>IF(ISNUMBER(Inputs!G261),C353-Inputs!G261,"n.a.")</f>
        <v>9</v>
      </c>
      <c r="D355" s="12">
        <f>IF(ISNUMBER(C353),D353-C353,"n.a.")</f>
        <v>-35</v>
      </c>
      <c r="E355" s="12"/>
      <c r="F355" s="12">
        <f>IF(ISNUMBER(D353),F353-D353,"n.a.")</f>
        <v>-36</v>
      </c>
      <c r="G355" s="12">
        <f>IF(ISNUMBER(F353),G353-F353,"n.a.")</f>
        <v>0</v>
      </c>
      <c r="H355" s="42">
        <f>IF(ISNUMBER(G353),H353-G353,"n.a.")</f>
        <v>-0.15846892066838336</v>
      </c>
      <c r="I355" s="7"/>
    </row>
    <row r="356">
      <c r="A356" s="7"/>
      <c r="B356" s="44" t="s">
        <v>137</v>
      </c>
      <c r="C356" s="60">
        <f>C353*$I$6/C$6/C350</f>
        <v>0.020093188742212744</v>
      </c>
      <c r="D356" s="60">
        <f>D353*$I$6/D$6/D350</f>
        <v>0.018478296944722757</v>
      </c>
      <c r="E356" s="60">
        <f>E353*$I$6/E$6/E350</f>
        <v>0.01967841502958448</v>
      </c>
      <c r="F356" s="60">
        <f>F353*$I$6/F$6/F350</f>
        <v>0.017144178238453225</v>
      </c>
      <c r="G356" s="60">
        <f>G353*$I$6/G$6/G350</f>
        <v>0.016978337924321015</v>
      </c>
      <c r="H356" s="61">
        <f>H353*$I$6/H$6/H350</f>
        <v>0.01684481832534426</v>
      </c>
      <c r="I356" s="7"/>
    </row>
    <row r="357">
      <c r="A357" s="7"/>
      <c r="B357" s="69" t="s">
        <v>69</v>
      </c>
      <c r="C357" s="38" t="str">
        <f>"n.a."</f>
        <v>n.a.</v>
      </c>
      <c r="D357" s="38">
        <f>IF(AND(ISNUMBER(D356),ISNUMBER(C356)),(D356-C356)*10000,"n.a.")</f>
        <v>-16.148917974899874</v>
      </c>
      <c r="E357" s="38"/>
      <c r="F357" s="38">
        <f>IF(AND(ISNUMBER(F356),ISNUMBER(D356)),(F356-D356)*10000,"n.a.")</f>
        <v>-13.341187062695312</v>
      </c>
      <c r="G357" s="38">
        <f>IF(AND(ISNUMBER(G356),ISNUMBER(F356)),(G356-F356)*10000,"n.a.")</f>
        <v>-1.6584031413221025</v>
      </c>
      <c r="H357" s="67">
        <f>IF(AND(ISNUMBER(H356),ISNUMBER(G356)),(H356-G356)*10000,"n.a.")</f>
        <v>-1.335195989767557</v>
      </c>
      <c r="I357" s="7"/>
    </row>
    <row r="358">
      <c r="A358" s="7"/>
      <c r="B358" s="1" t="s">
        <v>142</v>
      </c>
      <c r="C358" s="11"/>
      <c r="D358" s="11"/>
      <c r="E358" s="11"/>
      <c r="F358" s="11"/>
      <c r="G358" s="11"/>
      <c r="H358" s="91"/>
      <c r="I358" s="7"/>
    </row>
    <row r="359">
      <c r="A359" s="7"/>
      <c r="B359" s="48" t="s">
        <v>105</v>
      </c>
      <c r="C359" s="31">
        <v>48</v>
      </c>
      <c r="D359" s="31">
        <v>52</v>
      </c>
      <c r="E359" s="31">
        <v>55</v>
      </c>
      <c r="F359" s="31">
        <v>655</v>
      </c>
      <c r="G359" s="31">
        <v>1096</v>
      </c>
      <c r="H359" s="42">
        <f>G359*(1+H362)</f>
        <v>657.6</v>
      </c>
      <c r="I359" s="39" t="s">
        <v>106</v>
      </c>
    </row>
    <row r="360">
      <c r="A360" s="7"/>
      <c r="B360" s="69" t="s">
        <v>66</v>
      </c>
      <c r="C360" s="41" t="str">
        <f>IF(ISNUMBER(Inputs!C262),IF(AND(Inputs!C262&gt;0,C359&gt;=0),C359/Inputs!C262-1,"n.m."),"n.a.")</f>
        <v>n.a.</v>
      </c>
      <c r="D360" s="41">
        <f>IF(ISNUMBER(Inputs!D262),IF(AND(Inputs!D262&gt;0,D359&gt;=0),D359/Inputs!D262-1,"n.m."),"n.a.")</f>
        <v>1.1666666666666665</v>
      </c>
      <c r="E360" s="41">
        <f>IF(ISNUMBER(Inputs!E262),IF(AND(Inputs!E262&gt;0,E359&gt;=0),E359/Inputs!E262-1,"n.m."),"n.a.")</f>
        <v>2.6666666666666665</v>
      </c>
      <c r="F360" s="41">
        <f>IF(ISNUMBER(Inputs!F262),IF(AND(Inputs!F262&gt;0,F359&gt;=0),F359/Inputs!F262-1,"n.m."),"n.a.")</f>
        <v>15.794871794871796</v>
      </c>
      <c r="G360" s="41">
        <f>IF(ISNUMBER(Inputs!G262),IF(AND(Inputs!G262&gt;0,G359&gt;=0),G359/Inputs!G262-1,"n.m."),"n.a.")</f>
        <v>12.7</v>
      </c>
      <c r="H360" s="40">
        <f>IF(ISNUMBER(C359),IF(AND(C359&gt;0,H359&gt;=0),H359/C359-1,"n.m."),"n.a.")</f>
        <v>12.700000000000001</v>
      </c>
      <c r="I360" s="7"/>
    </row>
    <row r="361">
      <c r="A361" s="7"/>
      <c r="B361" s="76" t="s">
        <v>78</v>
      </c>
      <c r="C361" s="29">
        <f>IF(ISNUMBER(Inputs!G262),C359-Inputs!G262,"n.a.")</f>
        <v>-32</v>
      </c>
      <c r="D361" s="12">
        <f>IF(ISNUMBER(C359),D359-C359,"n.a.")</f>
        <v>4</v>
      </c>
      <c r="E361" s="12"/>
      <c r="F361" s="12">
        <f>IF(ISNUMBER(D359),F359-D359,"n.a.")</f>
        <v>603</v>
      </c>
      <c r="G361" s="12">
        <f>IF(ISNUMBER(F359),G359-F359,"n.a.")</f>
        <v>441</v>
      </c>
      <c r="H361" s="42">
        <f>IF(ISNUMBER(G359),H359-G359,"n.a.")</f>
        <v>-438.4</v>
      </c>
      <c r="I361" s="7"/>
    </row>
    <row r="362" ht="79.5">
      <c r="A362" s="7"/>
      <c r="B362" s="69" t="s">
        <v>67</v>
      </c>
      <c r="C362" s="41">
        <f>IF(ISNUMBER(Inputs!G262),IF(AND(Inputs!G262&gt;0,C359&gt;=0),C359/Inputs!G262-1,"n.m."),"n.a.")</f>
        <v>-0.4</v>
      </c>
      <c r="D362" s="24">
        <f>IF(ISNUMBER(C359),IF(AND(C359&gt;0,D359&gt;=0),D359/C359-1,"n.m."),"n.a.")</f>
        <v>0.08333333333333326</v>
      </c>
      <c r="E362" s="24"/>
      <c r="F362" s="24">
        <f>IF(ISNUMBER(D359),IF(AND(D359&gt;0,F359&gt;=0),F359/D359-1,"n.m."),"n.a.")</f>
        <v>11.596153846153847</v>
      </c>
      <c r="G362" s="24">
        <f>IF(ISNUMBER(F359),IF(AND(F359&gt;0,G359&gt;=0),G359/F359-1,"n.m."),"n.a.")</f>
        <v>0.6732824427480917</v>
      </c>
      <c r="H362" s="58">
        <v>-0.4</v>
      </c>
      <c r="I362" s="144" t="s">
        <v>143</v>
      </c>
    </row>
    <row r="363">
      <c r="A363" s="7"/>
      <c r="B363" s="48" t="s">
        <v>136</v>
      </c>
      <c r="C363" s="31">
        <v>0</v>
      </c>
      <c r="D363" s="31">
        <v>2</v>
      </c>
      <c r="E363" s="31">
        <v>3</v>
      </c>
      <c r="F363" s="31">
        <v>7</v>
      </c>
      <c r="G363" s="31">
        <v>9</v>
      </c>
      <c r="H363" s="42">
        <f>H359*H366*H$6/$I$6</f>
        <v>5.492490905916003</v>
      </c>
      <c r="I363" s="39" t="s">
        <v>106</v>
      </c>
    </row>
    <row r="364" ht="15.75">
      <c r="A364" s="7"/>
      <c r="B364" s="69" t="s">
        <v>66</v>
      </c>
      <c r="C364" s="41" t="str">
        <f>IF(ISNUMBER(Inputs!C263),IF(AND(Inputs!C263&gt;0,C363&gt;=0),C363/Inputs!C263-1,"n.m."),"n.a.")</f>
        <v>n.a.</v>
      </c>
      <c r="D364" s="41" t="str">
        <f>IF(ISNUMBER(Inputs!D263),IF(AND(Inputs!D263&gt;0,D363&gt;=0),D363/Inputs!D263-1,"n.m."),"n.a.")</f>
        <v>n.m.</v>
      </c>
      <c r="E364" s="41" t="str">
        <f>IF(ISNUMBER(Inputs!E263),IF(AND(Inputs!E263&gt;0,E363&gt;=0),E363/Inputs!E263-1,"n.m."),"n.a.")</f>
        <v>n.m.</v>
      </c>
      <c r="F364" s="41" t="str">
        <f>IF(ISNUMBER(Inputs!F263),IF(AND(Inputs!F263&gt;0,F363&gt;=0),F363/Inputs!F263-1,"n.m."),"n.a.")</f>
        <v>n.m.</v>
      </c>
      <c r="G364" s="41">
        <f>IF(ISNUMBER(Inputs!G263),IF(AND(Inputs!G263&gt;0,G363&gt;=0),G363/Inputs!G263-1,"n.m."),"n.a.")</f>
        <v>8</v>
      </c>
      <c r="H364" s="40" t="str">
        <f>IF(ISNUMBER(C363),IF(AND(C363&gt;0,H363&gt;=0),H363/C363-1,"n.m."),"n.a.")</f>
        <v>n.m.</v>
      </c>
      <c r="I364" s="142" t="s">
        <v>144</v>
      </c>
    </row>
    <row r="365">
      <c r="A365" s="7"/>
      <c r="B365" s="76" t="s">
        <v>78</v>
      </c>
      <c r="C365" s="29">
        <f>IF(ISNUMBER(Inputs!G263),C363-Inputs!G263,"n.a.")</f>
        <v>-1</v>
      </c>
      <c r="D365" s="12">
        <f>IF(ISNUMBER(C363),D363-C363,"n.a.")</f>
        <v>2</v>
      </c>
      <c r="E365" s="12"/>
      <c r="F365" s="12">
        <f>IF(ISNUMBER(D363),F363-D363,"n.a.")</f>
        <v>5</v>
      </c>
      <c r="G365" s="12">
        <f>IF(ISNUMBER(F363),G363-F363,"n.a.")</f>
        <v>2</v>
      </c>
      <c r="H365" s="42">
        <f>IF(ISNUMBER(G363),H363-G363,"n.a.")</f>
        <v>-3.5075090940839972</v>
      </c>
      <c r="I365" s="7"/>
    </row>
    <row r="366" ht="28.5">
      <c r="A366" s="7"/>
      <c r="B366" s="44" t="s">
        <v>137</v>
      </c>
      <c r="C366" s="60">
        <f>IF(C359=0,0,C363*$I$6/C$6/C359)</f>
        <v>0</v>
      </c>
      <c r="D366" s="60">
        <f>IF(D359=0,0,D363*$I$6/D$6/D359)</f>
        <v>0.15259197324414717</v>
      </c>
      <c r="E366" s="60">
        <f>IF(E359=0,0,E363*$I$6/E$6/E359)</f>
        <v>0.05454545454545454</v>
      </c>
      <c r="F366" s="60">
        <f>IF(F359=0,0,F363*$I$6/F$6/F359)</f>
        <v>0.04334181509754029</v>
      </c>
      <c r="G366" s="60">
        <f>IF(G359=0,0,G363*$I$6/G$6/G359)</f>
        <v>0.03293695355739152</v>
      </c>
      <c r="H366" s="61">
        <f>G366+H367/10000</f>
        <v>0.03313695355739152</v>
      </c>
      <c r="I366" s="142" t="s">
        <v>145</v>
      </c>
    </row>
    <row r="367" ht="28.5">
      <c r="A367" s="7"/>
      <c r="B367" s="69" t="s">
        <v>69</v>
      </c>
      <c r="C367" s="38" t="str">
        <f>"n.a."</f>
        <v>n.a.</v>
      </c>
      <c r="D367" s="38">
        <f>IF(AND(ISNUMBER(D366),ISNUMBER(C366)),(D366-C366)*10000,"n.a.")</f>
        <v>1525.9197324414718</v>
      </c>
      <c r="E367" s="38"/>
      <c r="F367" s="38">
        <f>IF(AND(ISNUMBER(F366),ISNUMBER(D366)),(F366-D366)*10000,"n.a.")</f>
        <v>-1092.5015814660687</v>
      </c>
      <c r="G367" s="38">
        <f>IF(AND(ISNUMBER(G366),ISNUMBER(F366)),(G366-F366)*10000,"n.a.")</f>
        <v>-104.04861540148768</v>
      </c>
      <c r="H367" s="77">
        <v>2</v>
      </c>
      <c r="I367" s="142" t="s">
        <v>146</v>
      </c>
    </row>
    <row r="368">
      <c r="A368" s="7"/>
      <c r="B368" s="1" t="s">
        <v>147</v>
      </c>
      <c r="C368" s="11"/>
      <c r="D368" s="11"/>
      <c r="E368" s="11"/>
      <c r="F368" s="11"/>
      <c r="G368" s="11"/>
      <c r="H368" s="91"/>
      <c r="I368" s="7"/>
    </row>
    <row r="369">
      <c r="A369" s="7"/>
      <c r="B369" s="48" t="s">
        <v>105</v>
      </c>
      <c r="C369" s="31">
        <v>696</v>
      </c>
      <c r="D369" s="31">
        <v>211</v>
      </c>
      <c r="E369" s="31">
        <v>312</v>
      </c>
      <c r="F369" s="31">
        <v>1077</v>
      </c>
      <c r="G369" s="31">
        <v>2592</v>
      </c>
      <c r="H369" s="42">
        <f>G369*(1+H372)</f>
        <v>2721.6</v>
      </c>
      <c r="I369" s="39" t="s">
        <v>106</v>
      </c>
    </row>
    <row r="370">
      <c r="A370" s="7"/>
      <c r="B370" s="69" t="s">
        <v>66</v>
      </c>
      <c r="C370" s="41" t="str">
        <f>IF(ISNUMBER(Inputs!C264),IF(AND(Inputs!C264&gt;0,C369&gt;=0),C369/Inputs!C264-1,"n.m."),"n.a.")</f>
        <v>n.a.</v>
      </c>
      <c r="D370" s="41">
        <f>IF(ISNUMBER(Inputs!D264),IF(AND(Inputs!D264&gt;0,D369&gt;=0),D369/Inputs!D264-1,"n.m."),"n.a.")</f>
        <v>-0.8251864125932062</v>
      </c>
      <c r="E370" s="41">
        <f>IF(ISNUMBER(Inputs!E264),IF(AND(Inputs!E264&gt;0,E369&gt;=0),E369/Inputs!E264-1,"n.m."),"n.a.")</f>
        <v>-0.5684647302904564</v>
      </c>
      <c r="F370" s="41">
        <f>IF(ISNUMBER(Inputs!F264),IF(AND(Inputs!F264&gt;0,F369&gt;=0),F369/Inputs!F264-1,"n.m."),"n.a.")</f>
        <v>2.1769911504424777</v>
      </c>
      <c r="G370" s="41" t="str">
        <f>IF(ISNUMBER(Inputs!G264),IF(AND(Inputs!G264&gt;0,G369&gt;=0),G369/Inputs!G264-1,"n.m."),"n.a.")</f>
        <v>n.m.</v>
      </c>
      <c r="H370" s="40">
        <f>IF(ISNUMBER(C369),IF(AND(C369&gt;0,H369&gt;=0),H369/C369-1,"n.m."),"n.a.")</f>
        <v>2.910344827586207</v>
      </c>
      <c r="I370" s="7"/>
    </row>
    <row r="371">
      <c r="A371" s="7"/>
      <c r="B371" s="76" t="s">
        <v>78</v>
      </c>
      <c r="C371" s="29">
        <f>IF(ISNUMBER(Inputs!G264),C369-Inputs!G264,"n.a.")</f>
        <v>696</v>
      </c>
      <c r="D371" s="12">
        <f>IF(ISNUMBER(C369),D369-C369,"n.a.")</f>
        <v>-485</v>
      </c>
      <c r="E371" s="12"/>
      <c r="F371" s="12">
        <f>IF(ISNUMBER(D369),F369-D369,"n.a.")</f>
        <v>866</v>
      </c>
      <c r="G371" s="12">
        <f>IF(ISNUMBER(F369),G369-F369,"n.a.")</f>
        <v>1515</v>
      </c>
      <c r="H371" s="42">
        <f>IF(ISNUMBER(G369),H369-G369,"n.a.")</f>
        <v>129.5999999999999</v>
      </c>
      <c r="I371" s="7"/>
    </row>
    <row r="372">
      <c r="A372" s="7"/>
      <c r="B372" s="69" t="s">
        <v>67</v>
      </c>
      <c r="C372" s="41" t="str">
        <f>IF(ISNUMBER(Inputs!G264),IF(AND(Inputs!G264&gt;0,C369&gt;=0),C369/Inputs!G264-1,"n.m."),"n.a.")</f>
        <v>n.m.</v>
      </c>
      <c r="D372" s="24">
        <f>IF(ISNUMBER(C369),IF(AND(C369&gt;0,D369&gt;=0),D369/C369-1,"n.m."),"n.a.")</f>
        <v>-0.6968390804597702</v>
      </c>
      <c r="E372" s="24"/>
      <c r="F372" s="24">
        <f>IF(ISNUMBER(D369),IF(AND(D369&gt;0,F369&gt;=0),F369/D369-1,"n.m."),"n.a.")</f>
        <v>4.104265402843602</v>
      </c>
      <c r="G372" s="24">
        <f>IF(ISNUMBER(F369),IF(AND(F369&gt;0,G369&gt;=0),G369/F369-1,"n.m."),"n.a.")</f>
        <v>1.4066852367688023</v>
      </c>
      <c r="H372" s="58">
        <v>0.05</v>
      </c>
      <c r="I372" s="7"/>
    </row>
    <row r="373">
      <c r="A373" s="7"/>
      <c r="B373" s="48" t="s">
        <v>136</v>
      </c>
      <c r="C373" s="31">
        <v>8</v>
      </c>
      <c r="D373" s="31">
        <v>2</v>
      </c>
      <c r="E373" s="31">
        <v>14</v>
      </c>
      <c r="F373" s="31">
        <v>10</v>
      </c>
      <c r="G373" s="31">
        <v>25</v>
      </c>
      <c r="H373" s="42">
        <f>H369*H376*H$6/$I$6</f>
        <v>26.675660004214958</v>
      </c>
      <c r="I373" s="39" t="s">
        <v>106</v>
      </c>
    </row>
    <row r="374">
      <c r="A374" s="7"/>
      <c r="B374" s="69" t="s">
        <v>66</v>
      </c>
      <c r="C374" s="41" t="str">
        <f>IF(ISNUMBER(Inputs!C265),IF(AND(Inputs!C265&gt;0,C373&gt;=0),C373/Inputs!C265-1,"n.m."),"n.a.")</f>
        <v>n.a.</v>
      </c>
      <c r="D374" s="41">
        <f>IF(ISNUMBER(Inputs!D265),IF(AND(Inputs!D265&gt;0,D373&gt;=0),D373/Inputs!D265-1,"n.m."),"n.a.")</f>
        <v>-0.875</v>
      </c>
      <c r="E374" s="41">
        <f>IF(ISNUMBER(Inputs!E265),IF(AND(Inputs!E265&gt;0,E373&gt;=0),E373/Inputs!E265-1,"n.m."),"n.a.")</f>
        <v>-0.65</v>
      </c>
      <c r="F374" s="41">
        <f>IF(ISNUMBER(Inputs!F265),IF(AND(Inputs!F265&gt;0,F373&gt;=0),F373/Inputs!F265-1,"n.m."),"n.a.")</f>
        <v>1.5</v>
      </c>
      <c r="G374" s="41" t="str">
        <f>IF(ISNUMBER(Inputs!G265),IF(AND(Inputs!G265&gt;0,G373&gt;=0),G373/Inputs!G265-1,"n.m."),"n.a.")</f>
        <v>n.m.</v>
      </c>
      <c r="H374" s="40">
        <f>IF(ISNUMBER(C373),IF(AND(C373&gt;0,H373&gt;=0),H373/C373-1,"n.m."),"n.a.")</f>
        <v>2.3344575005268697</v>
      </c>
      <c r="I374" s="7"/>
    </row>
    <row r="375">
      <c r="A375" s="7"/>
      <c r="B375" s="76" t="s">
        <v>78</v>
      </c>
      <c r="C375" s="29">
        <f>IF(ISNUMBER(Inputs!G265),C373-Inputs!G265,"n.a.")</f>
        <v>8</v>
      </c>
      <c r="D375" s="12">
        <f>IF(ISNUMBER(C373),D373-C373,"n.a.")</f>
        <v>-6</v>
      </c>
      <c r="E375" s="12"/>
      <c r="F375" s="12">
        <f>IF(ISNUMBER(D373),F373-D373,"n.a.")</f>
        <v>8</v>
      </c>
      <c r="G375" s="12">
        <f>IF(ISNUMBER(F373),G373-F373,"n.a.")</f>
        <v>15</v>
      </c>
      <c r="H375" s="42">
        <f>IF(ISNUMBER(G373),H373-G373,"n.a.")</f>
        <v>1.6756600042149579</v>
      </c>
      <c r="I375" s="7"/>
    </row>
    <row r="376">
      <c r="A376" s="7"/>
      <c r="B376" s="44" t="s">
        <v>137</v>
      </c>
      <c r="C376" s="60">
        <f>IF(C369=0,0,C373*$I$6/C$6/C369)</f>
        <v>0.04560219890054973</v>
      </c>
      <c r="D376" s="60">
        <f>IF(D369=0,0,D373*$I$6/D$6/D369)</f>
        <v>0.03760560478054811</v>
      </c>
      <c r="E376" s="60">
        <f>IF(E369=0,0,E373*$I$6/E$6/E369)</f>
        <v>0.04487179487179487</v>
      </c>
      <c r="F376" s="60">
        <f>IF(F369=0,0,F373*$I$6/F$6/F369)</f>
        <v>0.037656040441555766</v>
      </c>
      <c r="G376" s="60">
        <f>IF(G369=0,0,G373*$I$6/G$6/G369)</f>
        <v>0.03868623660290327</v>
      </c>
      <c r="H376" s="61">
        <f>G376+H377/10000</f>
        <v>0.03888623660290327</v>
      </c>
      <c r="I376" s="7"/>
    </row>
    <row r="377">
      <c r="A377" s="7"/>
      <c r="B377" s="69" t="s">
        <v>69</v>
      </c>
      <c r="C377" s="38" t="str">
        <f>"n.a."</f>
        <v>n.a.</v>
      </c>
      <c r="D377" s="38">
        <f>IF(AND(ISNUMBER(D376),ISNUMBER(C376)),(D376-C376)*10000,"n.a.")</f>
        <v>-79.96594120001616</v>
      </c>
      <c r="E377" s="38"/>
      <c r="F377" s="38">
        <f>IF(AND(ISNUMBER(F376),ISNUMBER(D376)),(F376-D376)*10000,"n.a.")</f>
        <v>0.5043566100765284</v>
      </c>
      <c r="G377" s="38">
        <f>IF(AND(ISNUMBER(G376),ISNUMBER(F376)),(G376-F376)*10000,"n.a.")</f>
        <v>10.301961613475019</v>
      </c>
      <c r="H377" s="77">
        <v>2</v>
      </c>
      <c r="I377" s="7"/>
    </row>
    <row r="378">
      <c r="A378" s="7"/>
      <c r="B378" s="1" t="s">
        <v>148</v>
      </c>
      <c r="C378" s="11"/>
      <c r="D378" s="11"/>
      <c r="E378" s="11"/>
      <c r="F378" s="11"/>
      <c r="G378" s="11"/>
      <c r="H378" s="91"/>
      <c r="I378" s="7"/>
    </row>
    <row r="379">
      <c r="A379" s="7"/>
      <c r="B379" s="48" t="s">
        <v>105</v>
      </c>
      <c r="C379" s="31">
        <v>5527</v>
      </c>
      <c r="D379" s="31">
        <v>4524</v>
      </c>
      <c r="E379" s="31">
        <v>5424</v>
      </c>
      <c r="F379" s="31">
        <v>3750</v>
      </c>
      <c r="G379" s="31">
        <v>3617</v>
      </c>
      <c r="H379" s="42">
        <f>G379*(1+H382)</f>
        <v>4593.59</v>
      </c>
      <c r="I379" s="39" t="s">
        <v>106</v>
      </c>
    </row>
    <row r="380">
      <c r="A380" s="7"/>
      <c r="B380" s="69" t="s">
        <v>66</v>
      </c>
      <c r="C380" s="41" t="str">
        <f>IF(ISNUMBER(Inputs!C266),IF(AND(Inputs!C266&gt;0,C379&gt;=0),C379/Inputs!C266-1,"n.m."),"n.a.")</f>
        <v>n.a.</v>
      </c>
      <c r="D380" s="41">
        <f>IF(ISNUMBER(Inputs!D266),IF(AND(Inputs!D266&gt;0,D379&gt;=0),D379/Inputs!D266-1,"n.m."),"n.a.")</f>
        <v>-0.24912863070539415</v>
      </c>
      <c r="E380" s="41">
        <f>IF(ISNUMBER(Inputs!E266),IF(AND(Inputs!E266&gt;0,E379&gt;=0),E379/Inputs!E266-1,"n.m."),"n.a.")</f>
        <v>0.24632352941176472</v>
      </c>
      <c r="F380" s="41">
        <f>IF(ISNUMBER(Inputs!F266),IF(AND(Inputs!F266&gt;0,F379&gt;=0),F379/Inputs!F266-1,"n.m."),"n.a.")</f>
        <v>-0.3751041493084486</v>
      </c>
      <c r="G380" s="41">
        <f>IF(ISNUMBER(Inputs!G266),IF(AND(Inputs!G266&gt;0,G379&gt;=0),G379/Inputs!G266-1,"n.m."),"n.a.")</f>
        <v>-0.3609540636042403</v>
      </c>
      <c r="H380" s="40">
        <f>IF(ISNUMBER(C379),IF(AND(C379&gt;0,H379&gt;=0),H379/C379-1,"n.m."),"n.a.")</f>
        <v>-0.16888185272299616</v>
      </c>
      <c r="I380" s="7"/>
    </row>
    <row r="381">
      <c r="A381" s="7"/>
      <c r="B381" s="76" t="s">
        <v>78</v>
      </c>
      <c r="C381" s="29">
        <f>IF(ISNUMBER(Inputs!G266),C379-Inputs!G266,"n.a.")</f>
        <v>-133</v>
      </c>
      <c r="D381" s="12">
        <f>IF(ISNUMBER(C379),D379-C379,"n.a.")</f>
        <v>-1003</v>
      </c>
      <c r="E381" s="12"/>
      <c r="F381" s="12">
        <f>IF(ISNUMBER(D379),F379-D379,"n.a.")</f>
        <v>-774</v>
      </c>
      <c r="G381" s="12">
        <f>IF(ISNUMBER(F379),G379-F379,"n.a.")</f>
        <v>-133</v>
      </c>
      <c r="H381" s="42">
        <f>IF(ISNUMBER(G379),H379-G379,"n.a.")</f>
        <v>976.5900000000001</v>
      </c>
      <c r="I381" s="7"/>
    </row>
    <row r="382">
      <c r="A382" s="7"/>
      <c r="B382" s="69" t="s">
        <v>67</v>
      </c>
      <c r="C382" s="41">
        <f>IF(ISNUMBER(Inputs!G266),IF(AND(Inputs!G266&gt;0,C379&gt;=0),C379/Inputs!G266-1,"n.m."),"n.a.")</f>
        <v>-0.02349823321554767</v>
      </c>
      <c r="D382" s="24">
        <f>IF(ISNUMBER(C379),IF(AND(C379&gt;0,D379&gt;=0),D379/C379-1,"n.m."),"n.a.")</f>
        <v>-0.18147277003799533</v>
      </c>
      <c r="E382" s="24"/>
      <c r="F382" s="24">
        <f>IF(ISNUMBER(D379),IF(AND(D379&gt;0,F379&gt;=0),F379/D379-1,"n.m."),"n.a.")</f>
        <v>-0.17108753315649872</v>
      </c>
      <c r="G382" s="24">
        <f>IF(ISNUMBER(F379),IF(AND(F379&gt;0,G379&gt;=0),G379/F379-1,"n.m."),"n.a.")</f>
        <v>-0.035466666666666646</v>
      </c>
      <c r="H382" s="58">
        <v>0.27</v>
      </c>
      <c r="I382" s="7"/>
    </row>
    <row r="383">
      <c r="A383" s="7"/>
      <c r="B383" s="48" t="s">
        <v>136</v>
      </c>
      <c r="C383" s="31">
        <v>75</v>
      </c>
      <c r="D383" s="31">
        <v>62</v>
      </c>
      <c r="E383" s="31">
        <v>299</v>
      </c>
      <c r="F383" s="31">
        <v>52</v>
      </c>
      <c r="G383" s="31">
        <v>52</v>
      </c>
      <c r="H383" s="42">
        <f>H379*H386*H$6/$I$6</f>
        <v>65.02895971037182</v>
      </c>
      <c r="I383" s="39" t="s">
        <v>106</v>
      </c>
    </row>
    <row r="384">
      <c r="A384" s="7"/>
      <c r="B384" s="69" t="s">
        <v>66</v>
      </c>
      <c r="C384" s="41" t="str">
        <f>IF(ISNUMBER(Inputs!C267),IF(AND(Inputs!C267&gt;0,C383&gt;=0),C383/Inputs!C267-1,"n.m."),"n.a.")</f>
        <v>n.a.</v>
      </c>
      <c r="D384" s="41">
        <f>IF(ISNUMBER(Inputs!D267),IF(AND(Inputs!D267&gt;0,D383&gt;=0),D383/Inputs!D267-1,"n.m."),"n.a.")</f>
        <v>-0.3033707865168539</v>
      </c>
      <c r="E384" s="41">
        <f>IF(ISNUMBER(Inputs!E267),IF(AND(Inputs!E267&gt;0,E383&gt;=0),E383/Inputs!E267-1,"n.m."),"n.a.")</f>
        <v>0.07168458781362008</v>
      </c>
      <c r="F384" s="41">
        <f>IF(ISNUMBER(Inputs!F267),IF(AND(Inputs!F267&gt;0,F383&gt;=0),F383/Inputs!F267-1,"n.m."),"n.a.")</f>
        <v>-0.388235294117647</v>
      </c>
      <c r="G384" s="41">
        <f>IF(ISNUMBER(Inputs!G267),IF(AND(Inputs!G267&gt;0,G383&gt;=0),G383/Inputs!G267-1,"n.m."),"n.a.")</f>
        <v>-0.3246753246753247</v>
      </c>
      <c r="H384" s="40">
        <f>IF(ISNUMBER(C383),IF(AND(C383&gt;0,H383&gt;=0),H383/C383-1,"n.m."),"n.a.")</f>
        <v>-0.132947203861709</v>
      </c>
      <c r="I384" s="7"/>
    </row>
    <row r="385">
      <c r="A385" s="7"/>
      <c r="B385" s="76" t="s">
        <v>78</v>
      </c>
      <c r="C385" s="29">
        <f>IF(ISNUMBER(Inputs!G267),C383-Inputs!G267,"n.a.")</f>
        <v>-2</v>
      </c>
      <c r="D385" s="12">
        <f>IF(ISNUMBER(C383),D383-C383,"n.a.")</f>
        <v>-13</v>
      </c>
      <c r="E385" s="12"/>
      <c r="F385" s="12">
        <f>IF(ISNUMBER(D383),F383-D383,"n.a.")</f>
        <v>-10</v>
      </c>
      <c r="G385" s="12">
        <f>IF(ISNUMBER(F383),G383-F383,"n.a.")</f>
        <v>0</v>
      </c>
      <c r="H385" s="42">
        <f>IF(ISNUMBER(G383),H383-G383,"n.a.")</f>
        <v>13.028959710371822</v>
      </c>
      <c r="I385" s="7"/>
    </row>
    <row r="386">
      <c r="A386" s="7"/>
      <c r="B386" s="44" t="s">
        <v>137</v>
      </c>
      <c r="C386" s="60">
        <f>IF(C379=0,0,C383*$I$6/C$6/C379)</f>
        <v>0.053836502230158664</v>
      </c>
      <c r="D386" s="60">
        <f>IF(D379=0,0,D383*$I$6/D$6/D379)</f>
        <v>0.054371852535270826</v>
      </c>
      <c r="E386" s="60">
        <f>IF(E379=0,0,E383*$I$6/E$6/E379)</f>
        <v>0.05512536873156342</v>
      </c>
      <c r="F386" s="60">
        <f>IF(F379=0,0,F383*$I$6/F$6/F379)</f>
        <v>0.05623703703703704</v>
      </c>
      <c r="G386" s="60">
        <f>IF(G379=0,0,G383*$I$6/G$6/G379)</f>
        <v>0.057664204747422884</v>
      </c>
      <c r="H386" s="61">
        <f>G386+H387/10000</f>
        <v>0.05616420474742288</v>
      </c>
      <c r="I386" s="7"/>
    </row>
    <row r="387">
      <c r="A387" s="7"/>
      <c r="B387" s="69" t="s">
        <v>69</v>
      </c>
      <c r="C387" s="38" t="str">
        <f>"n.a."</f>
        <v>n.a.</v>
      </c>
      <c r="D387" s="38">
        <f>IF(AND(ISNUMBER(D386),ISNUMBER(C386)),(D386-C386)*10000,"n.a.")</f>
        <v>5.353503051121616</v>
      </c>
      <c r="E387" s="38"/>
      <c r="F387" s="38">
        <f>IF(AND(ISNUMBER(F386),ISNUMBER(D386)),(F386-D386)*10000,"n.a.")</f>
        <v>18.651845017662108</v>
      </c>
      <c r="G387" s="38">
        <f>IF(AND(ISNUMBER(G386),ISNUMBER(F386)),(G386-F386)*10000,"n.a.")</f>
        <v>14.271677103858474</v>
      </c>
      <c r="H387" s="77">
        <v>-15</v>
      </c>
      <c r="I387" s="7"/>
    </row>
    <row r="388">
      <c r="A388" s="7"/>
      <c r="B388" s="34" t="s">
        <v>149</v>
      </c>
      <c r="C388" s="9"/>
      <c r="D388" s="9"/>
      <c r="E388" s="9"/>
      <c r="F388" s="9"/>
      <c r="G388" s="9"/>
      <c r="H388" s="43"/>
      <c r="I388" s="7"/>
    </row>
    <row r="389">
      <c r="A389" s="7"/>
      <c r="B389" s="33" t="s">
        <v>105</v>
      </c>
      <c r="C389" s="35">
        <f>C310+C320+C330+C340+C359+C369+C379</f>
        <v>96308</v>
      </c>
      <c r="D389" s="35">
        <f>D310+D320+D330+D340+D359+D369+D379</f>
        <v>95178</v>
      </c>
      <c r="E389" s="35">
        <f>E310+E320+E330+E340+E359+E369+E379</f>
        <v>95534</v>
      </c>
      <c r="F389" s="35">
        <f>F310+F320+F330+F340+F359+F369+F379</f>
        <v>96556</v>
      </c>
      <c r="G389" s="35">
        <f>G310+G320+G330+G340+G359+G369+G379</f>
        <v>98258</v>
      </c>
      <c r="H389" s="50">
        <f>H310+H320+H330+H340+H359+H369+H379</f>
        <v>98612.945</v>
      </c>
      <c r="I389" s="7"/>
    </row>
    <row r="390">
      <c r="A390" s="7"/>
      <c r="B390" s="44" t="s">
        <v>66</v>
      </c>
      <c r="C390" s="41" t="str">
        <f>IF(ISNUMBER(Inputs!C268),IF(AND(Inputs!C268&gt;0,C389&gt;=0),C389/Inputs!C268-1,"n.m."),"n.a.")</f>
        <v>n.a.</v>
      </c>
      <c r="D390" s="41">
        <f>IF(ISNUMBER(Inputs!D268),IF(AND(Inputs!D268&gt;0,D389&gt;=0),D389/Inputs!D268-1,"n.m."),"n.a.")</f>
        <v>0.009043201696262937</v>
      </c>
      <c r="E390" s="41">
        <f>IF(ISNUMBER(Inputs!E268),IF(AND(Inputs!E268&gt;0,E389&gt;=0),E389/Inputs!E268-1,"n.m."),"n.a.")</f>
        <v>0.04330068036125767</v>
      </c>
      <c r="F390" s="41">
        <f>IF(ISNUMBER(Inputs!F268),IF(AND(Inputs!F268&gt;0,F389&gt;=0),F389/Inputs!F268-1,"n.m."),"n.a.")</f>
        <v>0.016239882963383856</v>
      </c>
      <c r="G390" s="41">
        <f>IF(ISNUMBER(Inputs!G268),IF(AND(Inputs!G268&gt;0,G389&gt;=0),G389/Inputs!G268-1,"n.m."),"n.a.")</f>
        <v>0.02750240515330238</v>
      </c>
      <c r="H390" s="40">
        <f>IF(ISNUMBER(C389),IF(AND(C389&gt;0,H389&gt;=0),H389/C389-1,"n.m."),"n.a.")</f>
        <v>0.02393305852057992</v>
      </c>
      <c r="I390" s="7"/>
    </row>
    <row r="391">
      <c r="A391" s="7"/>
      <c r="B391" s="48" t="s">
        <v>78</v>
      </c>
      <c r="C391" s="29">
        <f>IF(ISNUMBER(Inputs!G268),C389-Inputs!G268,"n.a.")</f>
        <v>680</v>
      </c>
      <c r="D391" s="12">
        <f>IF(ISNUMBER(C389),D389-C389,"n.a.")</f>
        <v>-1130</v>
      </c>
      <c r="E391" s="12"/>
      <c r="F391" s="12">
        <f>IF(ISNUMBER(D389),F389-D389,"n.a.")</f>
        <v>1378</v>
      </c>
      <c r="G391" s="12">
        <f>IF(ISNUMBER(F389),G389-F389,"n.a.")</f>
        <v>1702</v>
      </c>
      <c r="H391" s="42">
        <f>IF(ISNUMBER(G389),H389-G389,"n.a.")</f>
        <v>354.945000000007</v>
      </c>
      <c r="I391" s="7"/>
    </row>
    <row r="392">
      <c r="A392" s="7"/>
      <c r="B392" s="33" t="s">
        <v>136</v>
      </c>
      <c r="C392" s="35">
        <f>C314+C324+C334+C344+C363+C373+C383</f>
        <v>539</v>
      </c>
      <c r="D392" s="35">
        <f>D314+D324+D334+D344+D363+D373+D383</f>
        <v>487</v>
      </c>
      <c r="E392" s="35">
        <f>E314+E324+E334+E344+E363+E373+E383</f>
        <v>2082</v>
      </c>
      <c r="F392" s="35">
        <f>F314+F324+F334+F344+F363+F373+F383</f>
        <v>454</v>
      </c>
      <c r="G392" s="35">
        <f>G314+G324+G334+G344+G363+G373+G383</f>
        <v>471</v>
      </c>
      <c r="H392" s="50">
        <f>H314+H324+H334+H344+H363+H373+H383</f>
        <v>482.03864169983433</v>
      </c>
      <c r="I392" s="7"/>
    </row>
    <row r="393">
      <c r="A393" s="7"/>
      <c r="B393" s="44" t="s">
        <v>66</v>
      </c>
      <c r="C393" s="41" t="str">
        <f>IF(ISNUMBER(Inputs!C269),IF(AND(Inputs!C269&gt;0,C392&gt;=0),C392/Inputs!C269-1,"n.m."),"n.a.")</f>
        <v>n.a.</v>
      </c>
      <c r="D393" s="41">
        <f>IF(ISNUMBER(Inputs!D269),IF(AND(Inputs!D269&gt;0,D392&gt;=0),D392/Inputs!D269-1,"n.m."),"n.a.")</f>
        <v>-0.14860139860139865</v>
      </c>
      <c r="E393" s="41">
        <f>IF(ISNUMBER(Inputs!E269),IF(AND(Inputs!E269&gt;0,E392&gt;=0),E392/Inputs!E269-1,"n.m."),"n.a.")</f>
        <v>-0.09082969432314414</v>
      </c>
      <c r="F393" s="41">
        <f>IF(ISNUMBER(Inputs!F269),IF(AND(Inputs!F269&gt;0,F392&gt;=0),F392/Inputs!F269-1,"n.m."),"n.a.")</f>
        <v>-0.14500941619585683</v>
      </c>
      <c r="G393" s="41">
        <f>IF(ISNUMBER(Inputs!G269),IF(AND(Inputs!G269&gt;0,G392&gt;=0),G392/Inputs!G269-1,"n.m."),"n.a.")</f>
        <v>-0.10285714285714287</v>
      </c>
      <c r="H393" s="40">
        <f>IF(ISNUMBER(C392),IF(AND(C392&gt;0,H392&gt;=0),H392/C392-1,"n.m."),"n.a.")</f>
        <v>-0.10567970000030735</v>
      </c>
      <c r="I393" s="7"/>
    </row>
    <row r="394">
      <c r="A394" s="7"/>
      <c r="B394" s="48" t="s">
        <v>78</v>
      </c>
      <c r="C394" s="29">
        <f>IF(ISNUMBER(Inputs!G269),C392-Inputs!G269,"n.a.")</f>
        <v>14</v>
      </c>
      <c r="D394" s="12">
        <f>IF(ISNUMBER(C392),D392-C392,"n.a.")</f>
        <v>-52</v>
      </c>
      <c r="E394" s="12"/>
      <c r="F394" s="12">
        <f>IF(ISNUMBER(D392),F392-D392,"n.a.")</f>
        <v>-33</v>
      </c>
      <c r="G394" s="12">
        <f>IF(ISNUMBER(F392),G392-F392,"n.a.")</f>
        <v>17</v>
      </c>
      <c r="H394" s="42">
        <f>IF(ISNUMBER(G392),H392-G392,"n.a.")</f>
        <v>11.03864169983433</v>
      </c>
      <c r="I394" s="7"/>
    </row>
    <row r="395">
      <c r="A395" s="7"/>
      <c r="B395" s="75" t="s">
        <v>137</v>
      </c>
      <c r="C395" s="60">
        <f>C392*$I$6/C$6/C389</f>
        <v>0.022204011224856487</v>
      </c>
      <c r="D395" s="60">
        <f>D392*$I$6/D$6/D389</f>
        <v>0.020300064775656046</v>
      </c>
      <c r="E395" s="60">
        <f>E392*$I$6/E$6/E389</f>
        <v>0.021793288253396697</v>
      </c>
      <c r="F395" s="60">
        <f>F392*$I$6/F$6/F389</f>
        <v>0.01906895710491551</v>
      </c>
      <c r="G395" s="60">
        <f>G392*$I$6/G$6/G389</f>
        <v>0.01922668713159055</v>
      </c>
      <c r="H395" s="61">
        <f>H392*$I$6/H$6/H389</f>
        <v>0.019393355663798094</v>
      </c>
      <c r="I395" s="7"/>
    </row>
    <row r="396">
      <c r="A396" s="7"/>
      <c r="B396" s="44" t="s">
        <v>69</v>
      </c>
      <c r="C396" s="38" t="str">
        <f>"n.a."</f>
        <v>n.a.</v>
      </c>
      <c r="D396" s="38">
        <f>IF(AND(ISNUMBER(D395),ISNUMBER(C395)),(D395-C395)*10000,"n.a.")</f>
        <v>-19.03946449200441</v>
      </c>
      <c r="E396" s="38"/>
      <c r="F396" s="38">
        <f>IF(AND(ISNUMBER(F395),ISNUMBER(D395)),(F395-D395)*10000,"n.a.")</f>
        <v>-12.311076707405347</v>
      </c>
      <c r="G396" s="38">
        <f>IF(AND(ISNUMBER(G395),ISNUMBER(F395)),(G395-F395)*10000,"n.a.")</f>
        <v>1.5773002667503895</v>
      </c>
      <c r="H396" s="67">
        <f>IF(AND(ISNUMBER(H395),ISNUMBER(G395)),(H395-G395)*10000,"n.a.")</f>
        <v>1.6666853220754367</v>
      </c>
      <c r="I396" s="7"/>
    </row>
    <row r="397">
      <c r="A397" s="7"/>
      <c r="B397" s="1" t="s">
        <v>150</v>
      </c>
      <c r="C397" s="31">
        <v>39538</v>
      </c>
      <c r="D397" s="31">
        <v>39459</v>
      </c>
      <c r="E397" s="31">
        <v>39403</v>
      </c>
      <c r="F397" s="31">
        <v>39160</v>
      </c>
      <c r="G397" s="31">
        <v>39738</v>
      </c>
      <c r="H397" s="42">
        <f>G397*(1+H400)</f>
        <v>39896.952</v>
      </c>
      <c r="I397" s="39" t="s">
        <v>106</v>
      </c>
    </row>
    <row r="398">
      <c r="A398" s="7"/>
      <c r="B398" s="44" t="s">
        <v>66</v>
      </c>
      <c r="C398" s="41" t="str">
        <f>IF(ISNUMBER(Inputs!C270),IF(AND(Inputs!C270&gt;0,C397&gt;=0),C397/Inputs!C270-1,"n.m."),"n.a.")</f>
        <v>n.a.</v>
      </c>
      <c r="D398" s="41">
        <f>IF(ISNUMBER(Inputs!D270),IF(AND(Inputs!D270&gt;0,D397&gt;=0),D397/Inputs!D270-1,"n.m."),"n.a.")</f>
        <v>0.0008877840909091717</v>
      </c>
      <c r="E398" s="41">
        <f>IF(ISNUMBER(Inputs!E270),IF(AND(Inputs!E270&gt;0,E397&gt;=0),E397/Inputs!E270-1,"n.m."),"n.a.")</f>
        <v>-0.01826290611919479</v>
      </c>
      <c r="F398" s="41">
        <f>IF(ISNUMBER(Inputs!F270),IF(AND(Inputs!F270&gt;0,F397&gt;=0),F397/Inputs!F270-1,"n.m."),"n.a.")</f>
        <v>0.0027398663354927244</v>
      </c>
      <c r="G398" s="41">
        <f>IF(ISNUMBER(Inputs!G270),IF(AND(Inputs!G270&gt;0,G397&gt;=0),G397/Inputs!G270-1,"n.m."),"n.a.")</f>
        <v>0.004601071898068465</v>
      </c>
      <c r="H398" s="40">
        <f>IF(ISNUMBER(C397),IF(AND(C397&gt;0,H397&gt;=0),H397/C397-1,"n.m."),"n.a.")</f>
        <v>0.009078658505741188</v>
      </c>
      <c r="I398" s="7"/>
    </row>
    <row r="399">
      <c r="A399" s="7"/>
      <c r="B399" s="48" t="s">
        <v>78</v>
      </c>
      <c r="C399" s="29">
        <f>IF(ISNUMBER(Inputs!G270),C397-Inputs!G270,"n.a.")</f>
        <v>-18</v>
      </c>
      <c r="D399" s="12">
        <f>IF(ISNUMBER(C397),D397-C397,"n.a.")</f>
        <v>-79</v>
      </c>
      <c r="E399" s="12"/>
      <c r="F399" s="12">
        <f>IF(ISNUMBER(D397),F397-D397,"n.a.")</f>
        <v>-299</v>
      </c>
      <c r="G399" s="12">
        <f>IF(ISNUMBER(F397),G397-F397,"n.a.")</f>
        <v>578</v>
      </c>
      <c r="H399" s="42">
        <f>IF(ISNUMBER(G397),H397-G397,"n.a.")</f>
        <v>158.9519999999975</v>
      </c>
      <c r="I399" s="7"/>
    </row>
    <row r="400">
      <c r="A400" s="7"/>
      <c r="B400" s="44" t="s">
        <v>67</v>
      </c>
      <c r="C400" s="41">
        <f>IF(ISNUMBER(Inputs!G270),IF(AND(Inputs!G270&gt;0,C397&gt;=0),C397/Inputs!G270-1,"n.m."),"n.a.")</f>
        <v>-0.0004550510668419605</v>
      </c>
      <c r="D400" s="24">
        <f>IF(ISNUMBER(C397),IF(AND(C397&gt;0,D397&gt;=0),D397/C397-1,"n.m."),"n.a.")</f>
        <v>-0.0019980777985735276</v>
      </c>
      <c r="E400" s="24"/>
      <c r="F400" s="24">
        <f>IF(ISNUMBER(D397),IF(AND(D397&gt;0,F397&gt;=0),F397/D397-1,"n.m."),"n.a.")</f>
        <v>-0.0075774854912694645</v>
      </c>
      <c r="G400" s="24">
        <f>IF(ISNUMBER(F397),IF(AND(F397&gt;0,G397&gt;=0),G397/F397-1,"n.m."),"n.a.")</f>
        <v>0.014759959141981582</v>
      </c>
      <c r="H400" s="58">
        <v>0.004</v>
      </c>
      <c r="I400" s="7"/>
    </row>
    <row r="401">
      <c r="A401" s="7"/>
      <c r="B401" s="33" t="s">
        <v>151</v>
      </c>
      <c r="C401" s="35">
        <f>C350+C397</f>
        <v>129575</v>
      </c>
      <c r="D401" s="35">
        <f>D350+D397</f>
        <v>129850</v>
      </c>
      <c r="E401" s="35">
        <f>E350+E397</f>
        <v>129146</v>
      </c>
      <c r="F401" s="35">
        <f>F350+F397</f>
        <v>130234</v>
      </c>
      <c r="G401" s="35">
        <f>G350+G397</f>
        <v>130691</v>
      </c>
      <c r="H401" s="50">
        <f>H350+H397</f>
        <v>130537.10699999999</v>
      </c>
      <c r="I401" s="7"/>
    </row>
    <row r="402">
      <c r="A402" s="7"/>
      <c r="B402" s="44" t="s">
        <v>66</v>
      </c>
      <c r="C402" s="41" t="str">
        <f>IF(ISNUMBER(Inputs!C271),IF(AND(Inputs!C271&gt;0,C401&gt;=0),C401/Inputs!C271-1,"n.m."),"n.a.")</f>
        <v>n.a.</v>
      </c>
      <c r="D402" s="41">
        <f>IF(ISNUMBER(Inputs!D271),IF(AND(Inputs!D271&gt;0,D401&gt;=0),D401/Inputs!D271-1,"n.m."),"n.a.")</f>
        <v>0.026539017969373857</v>
      </c>
      <c r="E402" s="41">
        <f>IF(ISNUMBER(Inputs!E271),IF(AND(Inputs!E271&gt;0,E401&gt;=0),E401/Inputs!E271-1,"n.m."),"n.a.")</f>
        <v>0.01998973265410897</v>
      </c>
      <c r="F402" s="41">
        <f>IF(ISNUMBER(Inputs!F271),IF(AND(Inputs!F271&gt;0,F401&gt;=0),F401/Inputs!F271-1,"n.m."),"n.a.")</f>
        <v>0.01994721467338101</v>
      </c>
      <c r="G402" s="41">
        <f>IF(ISNUMBER(Inputs!G271),IF(AND(Inputs!G271&gt;0,G401&gt;=0),G401/Inputs!G271-1,"n.m."),"n.a.")</f>
        <v>0.009633509471277169</v>
      </c>
      <c r="H402" s="40">
        <f>IF(ISNUMBER(C401),IF(AND(C401&gt;0,H401&gt;=0),H401/C401-1,"n.m."),"n.a.")</f>
        <v>0.007425097433918504</v>
      </c>
      <c r="I402" s="7"/>
    </row>
    <row r="403">
      <c r="A403" s="7"/>
      <c r="B403" s="48" t="s">
        <v>78</v>
      </c>
      <c r="C403" s="29">
        <f>IF(ISNUMBER(Inputs!G271),C401-Inputs!G271,"n.a.")</f>
        <v>131</v>
      </c>
      <c r="D403" s="12">
        <f>IF(ISNUMBER(C401),D401-C401,"n.a.")</f>
        <v>275</v>
      </c>
      <c r="E403" s="12"/>
      <c r="F403" s="12">
        <f>IF(ISNUMBER(D401),F401-D401,"n.a.")</f>
        <v>384</v>
      </c>
      <c r="G403" s="12">
        <f>IF(ISNUMBER(F401),G401-F401,"n.a.")</f>
        <v>457</v>
      </c>
      <c r="H403" s="42">
        <f>IF(ISNUMBER(G401),H401-G401,"n.a.")</f>
        <v>-153.89300000001094</v>
      </c>
      <c r="I403" s="7"/>
    </row>
    <row r="404">
      <c r="A404" s="7"/>
      <c r="B404" s="44" t="s">
        <v>152</v>
      </c>
      <c r="C404" s="24">
        <f>C397/C401</f>
        <v>0.3051360216091067</v>
      </c>
      <c r="D404" s="24">
        <f>D397/D401</f>
        <v>0.3038814016172507</v>
      </c>
      <c r="E404" s="24">
        <f>E397/E401</f>
        <v>0.3051043005590572</v>
      </c>
      <c r="F404" s="24">
        <f>F397/F401</f>
        <v>0.3006895280802248</v>
      </c>
      <c r="G404" s="24">
        <f>G397/G401</f>
        <v>0.304060723385696</v>
      </c>
      <c r="H404" s="40">
        <f>H397/H401</f>
        <v>0.30563686385358607</v>
      </c>
      <c r="I404" s="7"/>
    </row>
    <row r="405">
      <c r="A405" s="7"/>
      <c r="B405" s="44" t="s">
        <v>69</v>
      </c>
      <c r="C405" s="38" t="str">
        <f>"n.a."</f>
        <v>n.a.</v>
      </c>
      <c r="D405" s="38">
        <f>IF(AND(ISNUMBER(D404),ISNUMBER(C404)),(D404-C404)*10000,"n.a.")</f>
        <v>-12.546199918559985</v>
      </c>
      <c r="E405" s="38"/>
      <c r="F405" s="38">
        <f>IF(AND(ISNUMBER(F404),ISNUMBER(D404)),(F404-D404)*10000,"n.a.")</f>
        <v>-31.9187353702588</v>
      </c>
      <c r="G405" s="38">
        <f>IF(AND(ISNUMBER(G404),ISNUMBER(F404)),(G404-F404)*10000,"n.a.")</f>
        <v>33.71195305471198</v>
      </c>
      <c r="H405" s="67">
        <f>IF(AND(ISNUMBER(H404),ISNUMBER(G404)),(H404-G404)*10000,"n.a.")</f>
        <v>15.761404678900636</v>
      </c>
      <c r="I405" s="7"/>
    </row>
    <row r="406">
      <c r="A406" s="7"/>
      <c r="B406" s="75" t="s">
        <v>153</v>
      </c>
      <c r="C406" s="60">
        <f>C353*$I$6/C$6/C401</f>
        <v>0.013962033067973056</v>
      </c>
      <c r="D406" s="60">
        <f>D353*$I$6/D$6/D401</f>
        <v>0.012863086169660644</v>
      </c>
      <c r="E406" s="60">
        <f>E353*$I$6/E$6/E401</f>
        <v>0.013674445975872269</v>
      </c>
      <c r="F406" s="60">
        <f>F353*$I$6/F$6/F401</f>
        <v>0.011989103374609464</v>
      </c>
      <c r="G406" s="60">
        <f>G353*$I$6/G$6/G401</f>
        <v>0.011815892213165171</v>
      </c>
      <c r="H406" s="61">
        <f>H353*$I$6/H$6/H401</f>
        <v>0.011696420880202625</v>
      </c>
      <c r="I406" s="7"/>
    </row>
    <row r="407">
      <c r="A407" s="7"/>
      <c r="B407" s="44" t="s">
        <v>69</v>
      </c>
      <c r="C407" s="38" t="str">
        <f>"n.a."</f>
        <v>n.a.</v>
      </c>
      <c r="D407" s="38">
        <f>IF(AND(ISNUMBER(D406),ISNUMBER(C406)),(D406-C406)*10000,"n.a.")</f>
        <v>-10.989468983124123</v>
      </c>
      <c r="E407" s="38"/>
      <c r="F407" s="38">
        <f>IF(AND(ISNUMBER(F406),ISNUMBER(D406)),(F406-D406)*10000,"n.a.")</f>
        <v>-8.739827950511799</v>
      </c>
      <c r="G407" s="38">
        <f>IF(AND(ISNUMBER(G406),ISNUMBER(F406)),(G406-F406)*10000,"n.a.")</f>
        <v>-1.732111614442932</v>
      </c>
      <c r="H407" s="67">
        <f>IF(AND(ISNUMBER(H406),ISNUMBER(G406)),(H406-G406)*10000,"n.a.")</f>
        <v>-1.1947133296254588</v>
      </c>
      <c r="I407" s="7"/>
    </row>
    <row r="408">
      <c r="A408" s="7"/>
      <c r="B408" s="34" t="s">
        <v>154</v>
      </c>
      <c r="C408" s="35">
        <f>C303-C392</f>
        <v>1269</v>
      </c>
      <c r="D408" s="35">
        <f>D303-D392</f>
        <v>1294</v>
      </c>
      <c r="E408" s="35">
        <f>E303-E392</f>
        <v>5040</v>
      </c>
      <c r="F408" s="35">
        <f>F303-F392</f>
        <v>1261</v>
      </c>
      <c r="G408" s="35">
        <f>G303-G392</f>
        <v>1291</v>
      </c>
      <c r="H408" s="50">
        <f>H303-H392</f>
        <v>1316.4560536479144</v>
      </c>
      <c r="I408" s="7"/>
    </row>
    <row r="409">
      <c r="A409" s="7"/>
      <c r="B409" s="44" t="s">
        <v>66</v>
      </c>
      <c r="C409" s="41" t="str">
        <f>IF(ISNUMBER(Inputs!C272),IF(AND(Inputs!C272&gt;0,C408&gt;=0),C408/Inputs!C272-1,"n.m."),"n.a.")</f>
        <v>n.a.</v>
      </c>
      <c r="D409" s="41">
        <f>IF(ISNUMBER(Inputs!D272),IF(AND(Inputs!D272&gt;0,D408&gt;=0),D408/Inputs!D272-1,"n.m."),"n.a.")</f>
        <v>0.04102976669348357</v>
      </c>
      <c r="E409" s="41">
        <f>IF(ISNUMBER(Inputs!E272),IF(AND(Inputs!E272&gt;0,E408&gt;=0),E408/Inputs!E272-1,"n.m."),"n.a.")</f>
        <v>0.03533278553820862</v>
      </c>
      <c r="F409" s="41">
        <f>IF(ISNUMBER(Inputs!F272),IF(AND(Inputs!F272&gt;0,F408&gt;=0),F408/Inputs!F272-1,"n.m."),"n.a.")</f>
        <v>0.04560530679933672</v>
      </c>
      <c r="G409" s="41">
        <f>IF(ISNUMBER(Inputs!G272),IF(AND(Inputs!G272&gt;0,G408&gt;=0),G408/Inputs!G272-1,"n.m."),"n.a.")</f>
        <v>0.015735641227379915</v>
      </c>
      <c r="H409" s="40">
        <f>IF(ISNUMBER(C408),IF(AND(C408&gt;0,H408&gt;=0),H408/C408-1,"n.m."),"n.a.")</f>
        <v>0.03739641737424293</v>
      </c>
      <c r="I409" s="7"/>
    </row>
    <row r="410">
      <c r="A410" s="7"/>
      <c r="B410" s="48" t="s">
        <v>78</v>
      </c>
      <c r="C410" s="29">
        <f>IF(ISNUMBER(Inputs!G272),C408-Inputs!G272,"n.a.")</f>
        <v>-2</v>
      </c>
      <c r="D410" s="12">
        <f>IF(ISNUMBER(C408),D408-C408,"n.a.")</f>
        <v>25</v>
      </c>
      <c r="E410" s="12"/>
      <c r="F410" s="12">
        <f>IF(ISNUMBER(D408),F408-D408,"n.a.")</f>
        <v>-33</v>
      </c>
      <c r="G410" s="12">
        <f>IF(ISNUMBER(F408),G408-F408,"n.a.")</f>
        <v>30</v>
      </c>
      <c r="H410" s="42">
        <f>IF(ISNUMBER(G408),H408-G408,"n.a.")</f>
        <v>25.45605364791436</v>
      </c>
      <c r="I410" s="7"/>
    </row>
    <row r="411">
      <c r="A411" s="7"/>
      <c r="B411" s="44" t="s">
        <v>70</v>
      </c>
      <c r="C411" s="52">
        <v>0</v>
      </c>
      <c r="D411" s="52">
        <v>0</v>
      </c>
      <c r="E411" s="52">
        <v>0</v>
      </c>
      <c r="F411" s="52">
        <v>0</v>
      </c>
      <c r="G411" s="52">
        <v>0</v>
      </c>
      <c r="H411" s="58">
        <v>0</v>
      </c>
      <c r="I411" s="7"/>
    </row>
    <row r="412">
      <c r="A412" s="7"/>
      <c r="B412" s="44" t="s">
        <v>71</v>
      </c>
      <c r="C412" s="52">
        <v>0</v>
      </c>
      <c r="D412" s="52">
        <v>0</v>
      </c>
      <c r="E412" s="52">
        <v>0</v>
      </c>
      <c r="F412" s="52">
        <v>0</v>
      </c>
      <c r="G412" s="52">
        <v>0</v>
      </c>
      <c r="H412" s="58">
        <v>0</v>
      </c>
      <c r="I412" s="7"/>
    </row>
    <row r="413">
      <c r="A413" s="7"/>
      <c r="B413" s="44" t="s">
        <v>72</v>
      </c>
      <c r="C413" s="24" t="str">
        <f>IF(AND(ISNUMBER(C409),ISNUMBER(C411),ISNUMBER(C412)),(1+C409)/((1+C411)*(1+C412))-1,"unavailable")</f>
        <v>unavailable</v>
      </c>
      <c r="D413" s="24">
        <f>IF(AND(ISNUMBER(D409),ISNUMBER(D411),ISNUMBER(D412)),(1+D409)/((1+D411)*(1+D412))-1,"unavailable")</f>
        <v>0.04102976669348357</v>
      </c>
      <c r="E413" s="24">
        <f>IF(AND(ISNUMBER(E409),ISNUMBER(E411),ISNUMBER(E412)),(1+E409)/((1+E411)*(1+E412))-1,"unavailable")</f>
        <v>0.03533278553820862</v>
      </c>
      <c r="F413" s="24">
        <f>IF(AND(ISNUMBER(F409),ISNUMBER(F411),ISNUMBER(F412)),(1+F409)/((1+F411)*(1+F412))-1,"unavailable")</f>
        <v>0.04560530679933672</v>
      </c>
      <c r="G413" s="24">
        <f>IF(AND(ISNUMBER(G409),ISNUMBER(G411),ISNUMBER(G412)),(1+G409)/((1+G411)*(1+G412))-1,"unavailable")</f>
        <v>0.015735641227379915</v>
      </c>
      <c r="H413" s="40">
        <f>IF(AND(ISNUMBER(H409),ISNUMBER(H411),ISNUMBER(H412)),(1+H409)/((1+H411)*(1+H412))-1,"unavailable")</f>
        <v>0.03739641737424293</v>
      </c>
      <c r="I413" s="7"/>
    </row>
    <row r="414">
      <c r="A414" s="7"/>
      <c r="B414" s="1" t="s">
        <v>155</v>
      </c>
      <c r="C414" s="31">
        <v>12</v>
      </c>
      <c r="D414" s="31">
        <v>13</v>
      </c>
      <c r="E414" s="31">
        <v>49</v>
      </c>
      <c r="F414" s="31">
        <v>13</v>
      </c>
      <c r="G414" s="31">
        <v>14</v>
      </c>
      <c r="H414" s="71">
        <v>14</v>
      </c>
      <c r="I414" s="39" t="s">
        <v>156</v>
      </c>
    </row>
    <row r="415">
      <c r="A415" s="7"/>
      <c r="B415" s="44" t="s">
        <v>66</v>
      </c>
      <c r="C415" s="41" t="str">
        <f>IF(ISNUMBER(Inputs!C273),IF(AND(Inputs!C273&gt;0,C414&gt;=0),C414/Inputs!C273-1,"n.m."),"n.a.")</f>
        <v>n.a.</v>
      </c>
      <c r="D415" s="41">
        <f>IF(ISNUMBER(Inputs!D273),IF(AND(Inputs!D273&gt;0,D414&gt;=0),D414/Inputs!D273-1,"n.m."),"n.a.")</f>
        <v>0</v>
      </c>
      <c r="E415" s="41">
        <f>IF(ISNUMBER(Inputs!E273),IF(AND(Inputs!E273&gt;0,E414&gt;=0),E414/Inputs!E273-1,"n.m."),"n.a.")</f>
        <v>-0.020000000000000018</v>
      </c>
      <c r="F415" s="41">
        <f>IF(ISNUMBER(Inputs!F273),IF(AND(Inputs!F273&gt;0,F414&gt;=0),F414/Inputs!F273-1,"n.m."),"n.a.")</f>
        <v>0.08333333333333326</v>
      </c>
      <c r="G415" s="41">
        <f>IF(ISNUMBER(Inputs!G273),IF(AND(Inputs!G273&gt;0,G414&gt;=0),G414/Inputs!G273-1,"n.m."),"n.a.")</f>
        <v>0.16666666666666674</v>
      </c>
      <c r="H415" s="40">
        <f>IF(ISNUMBER(C414),IF(AND(C414&gt;0,H414&gt;=0),H414/C414-1,"n.m."),"n.a.")</f>
        <v>0.16666666666666674</v>
      </c>
      <c r="I415" s="7"/>
    </row>
    <row r="416">
      <c r="A416" s="7"/>
      <c r="B416" s="48" t="s">
        <v>78</v>
      </c>
      <c r="C416" s="29">
        <f>IF(ISNUMBER(Inputs!G273),C414-Inputs!G273,"n.a.")</f>
        <v>0</v>
      </c>
      <c r="D416" s="12">
        <f>IF(ISNUMBER(C414),D414-C414,"n.a.")</f>
        <v>1</v>
      </c>
      <c r="E416" s="12"/>
      <c r="F416" s="12">
        <f>IF(ISNUMBER(D414),F414-D414,"n.a.")</f>
        <v>0</v>
      </c>
      <c r="G416" s="12">
        <f>IF(ISNUMBER(F414),G414-F414,"n.a.")</f>
        <v>1</v>
      </c>
      <c r="H416" s="42">
        <f>IF(ISNUMBER(G414),H414-G414,"n.a.")</f>
        <v>0</v>
      </c>
      <c r="I416" s="7"/>
    </row>
    <row r="417">
      <c r="A417" s="7"/>
      <c r="B417" s="34" t="s">
        <v>157</v>
      </c>
      <c r="C417" s="35">
        <f>C408-C414</f>
        <v>1257</v>
      </c>
      <c r="D417" s="35">
        <f>D408-D414</f>
        <v>1281</v>
      </c>
      <c r="E417" s="35">
        <f>E408-E414</f>
        <v>4991</v>
      </c>
      <c r="F417" s="35">
        <f>F408-F414</f>
        <v>1248</v>
      </c>
      <c r="G417" s="35">
        <f>G408-G414</f>
        <v>1277</v>
      </c>
      <c r="H417" s="50">
        <f>H408-H414</f>
        <v>1302.4560536479144</v>
      </c>
      <c r="I417" s="7"/>
    </row>
    <row r="418">
      <c r="A418" s="7"/>
      <c r="B418" s="44" t="s">
        <v>66</v>
      </c>
      <c r="C418" s="41">
        <f>IF(ISNUMBER(Inputs!C287),IF(AND(Inputs!C287&gt;0,C417&gt;=0),C417/Inputs!C287-1,"n.m."),"n.a.")</f>
        <v>0.03201970443349755</v>
      </c>
      <c r="D418" s="41">
        <f>IF(ISNUMBER(Inputs!D287),IF(AND(Inputs!D287&gt;0,D417&gt;=0),D417/Inputs!D287-1,"n.m."),"n.a.")</f>
        <v>0.04146341463414638</v>
      </c>
      <c r="E418" s="41">
        <f>IF(ISNUMBER(Inputs!E287),IF(AND(Inputs!E287&gt;0,E417&gt;=0),E417/Inputs!E287-1,"n.m."),"n.a.")</f>
        <v>0.03590701535907015</v>
      </c>
      <c r="F418" s="41">
        <f>IF(ISNUMBER(Inputs!F287),IF(AND(Inputs!F287&gt;0,F417&gt;=0),F417/Inputs!F287-1,"n.m."),"n.a.")</f>
        <v>0.045226130653266416</v>
      </c>
      <c r="G418" s="41">
        <f>IF(ISNUMBER(Inputs!G287),IF(AND(Inputs!G287&gt;0,G417&gt;=0),G417/Inputs!G287-1,"n.m."),"n.a.")</f>
        <v>0.01429706115965046</v>
      </c>
      <c r="H418" s="40">
        <f>IF(ISNUMBER(C417),IF(AND(C417&gt;0,H417&gt;=0),H417/C417-1,"n.m."),"n.a.")</f>
        <v>0.03616233384877843</v>
      </c>
      <c r="I418" s="7"/>
    </row>
    <row r="419">
      <c r="A419" s="7"/>
      <c r="B419" s="44" t="s">
        <v>67</v>
      </c>
      <c r="C419" s="41">
        <f>IF(ISNUMBER(Inputs!G287),IF(AND(Inputs!G287&gt;0,C417&gt;=0),C417/Inputs!G287-1,"n.m."),"n.a.")</f>
        <v>-0.001588562351072298</v>
      </c>
      <c r="D419" s="24">
        <f>IF(ISNUMBER(C417),IF(AND(C417&gt;0,D417&gt;=0),D417/C417-1,"n.m."),"n.a.")</f>
        <v>0.019093078758949833</v>
      </c>
      <c r="E419" s="24"/>
      <c r="F419" s="24">
        <f>IF(ISNUMBER(D417),IF(AND(D417&gt;0,F417&gt;=0),F417/D417-1,"n.m."),"n.a.")</f>
        <v>-0.025761124121779888</v>
      </c>
      <c r="G419" s="24">
        <f>IF(ISNUMBER(F417),IF(AND(F417&gt;0,G417&gt;=0),G417/F417-1,"n.m."),"n.a.")</f>
        <v>0.023237179487179516</v>
      </c>
      <c r="H419" s="40">
        <f>IF(ISNUMBER(G417),IF(AND(G417&gt;0,H417&gt;=0),H417/G417-1,"n.m."),"n.a.")</f>
        <v>0.019934262840966666</v>
      </c>
      <c r="I419" s="7"/>
    </row>
    <row r="420">
      <c r="A420" s="7"/>
      <c r="B420" s="48" t="s">
        <v>78</v>
      </c>
      <c r="C420" s="29">
        <f>IF(ISNUMBER(Inputs!G287),C417-Inputs!G287,"n.a.")</f>
        <v>-2</v>
      </c>
      <c r="D420" s="12">
        <f>IF(ISNUMBER(C417),D417-C417,"n.a.")</f>
        <v>24</v>
      </c>
      <c r="E420" s="12"/>
      <c r="F420" s="12">
        <f>IF(ISNUMBER(D417),F417-D417,"n.a.")</f>
        <v>-33</v>
      </c>
      <c r="G420" s="12">
        <f>IF(ISNUMBER(F417),G417-F417,"n.a.")</f>
        <v>29</v>
      </c>
      <c r="H420" s="42">
        <f>IF(ISNUMBER(G417),H417-G417,"n.a.")</f>
        <v>25.45605364791436</v>
      </c>
      <c r="I420" s="7"/>
    </row>
    <row r="421">
      <c r="A421" s="7"/>
      <c r="B421" s="28" t="s">
        <v>158</v>
      </c>
      <c r="C421" s="60">
        <f>C408*$I$6/C$6/C300</f>
        <v>0.035867544118043354</v>
      </c>
      <c r="D421" s="60">
        <f>D408*$I$6/D$6/D300</f>
        <v>0.03698466488358887</v>
      </c>
      <c r="E421" s="60">
        <f>E408*$I$6/E$6/E300</f>
        <v>0.036147689129873484</v>
      </c>
      <c r="F421" s="60">
        <f>F408*$I$6/F$6/F300</f>
        <v>0.03667882746331838</v>
      </c>
      <c r="G421" s="60">
        <f>G408*$I$6/G$6/G300</f>
        <v>0.0366371637517905</v>
      </c>
      <c r="H421" s="61">
        <f>H408*$I$6/H$6/H300</f>
        <v>0.03682123606668741</v>
      </c>
      <c r="I421" s="7"/>
    </row>
    <row r="422">
      <c r="A422" s="7"/>
      <c r="B422" s="44" t="s">
        <v>69</v>
      </c>
      <c r="C422" s="38" t="str">
        <f>"n.a."</f>
        <v>n.a.</v>
      </c>
      <c r="D422" s="38">
        <f>IF(AND(ISNUMBER(D421),ISNUMBER(C421)),(D421-C421)*10000,"n.a.")</f>
        <v>11.17120765545515</v>
      </c>
      <c r="E422" s="38"/>
      <c r="F422" s="38">
        <f>IF(AND(ISNUMBER(F421),ISNUMBER(D421)),(F421-D421)*10000,"n.a.")</f>
        <v>-3.0583742027048832</v>
      </c>
      <c r="G422" s="38">
        <f>IF(AND(ISNUMBER(G421),ISNUMBER(F421)),(G421-F421)*10000,"n.a.")</f>
        <v>-0.41663711527882563</v>
      </c>
      <c r="H422" s="67">
        <f>IF(AND(ISNUMBER(H421),ISNUMBER(G421)),(H421-G421)*10000,"n.a.")</f>
        <v>1.8407231489691451</v>
      </c>
      <c r="I422" s="7"/>
    </row>
    <row r="423">
      <c r="A423" s="7"/>
      <c r="B423" s="75" t="s">
        <v>159</v>
      </c>
      <c r="C423" s="63">
        <v>0.0359</v>
      </c>
      <c r="D423" s="63">
        <v>0.037</v>
      </c>
      <c r="E423" s="63">
        <v>0.0361</v>
      </c>
      <c r="F423" s="63">
        <v>0.0367</v>
      </c>
      <c r="G423" s="63">
        <v>0.0366</v>
      </c>
      <c r="H423" s="61"/>
      <c r="I423" s="39" t="s">
        <v>156</v>
      </c>
    </row>
    <row r="424">
      <c r="A424" s="7"/>
      <c r="B424" s="75" t="s">
        <v>160</v>
      </c>
      <c r="C424" s="60">
        <f>C306-C395</f>
        <v>0.028898053208100478</v>
      </c>
      <c r="D424" s="60">
        <f>D306-D395</f>
        <v>0.03060386734000993</v>
      </c>
      <c r="E424" s="60">
        <f>E306-E395</f>
        <v>0.029286839124174523</v>
      </c>
      <c r="F424" s="60">
        <f>F306-F395</f>
        <v>0.030815411729018687</v>
      </c>
      <c r="G424" s="60">
        <f>G306-G395</f>
        <v>0.03077693992546201</v>
      </c>
      <c r="H424" s="61">
        <f>H306-H395</f>
        <v>0.030910486654812087</v>
      </c>
      <c r="I424" s="7"/>
    </row>
    <row r="425">
      <c r="A425" s="7"/>
      <c r="B425" s="44" t="s">
        <v>69</v>
      </c>
      <c r="C425" s="38" t="str">
        <f>"n.a."</f>
        <v>n.a.</v>
      </c>
      <c r="D425" s="38">
        <f>IF(AND(ISNUMBER(D424),ISNUMBER(C424)),(D424-C424)*10000,"n.a.")</f>
        <v>17.05814131909452</v>
      </c>
      <c r="E425" s="38"/>
      <c r="F425" s="38">
        <f>IF(AND(ISNUMBER(F424),ISNUMBER(D424)),(F424-D424)*10000,"n.a.")</f>
        <v>2.1154438900875676</v>
      </c>
      <c r="G425" s="38">
        <f>IF(AND(ISNUMBER(G424),ISNUMBER(F424)),(G424-F424)*10000,"n.a.")</f>
        <v>-0.38471803556677786</v>
      </c>
      <c r="H425" s="67">
        <f>IF(AND(ISNUMBER(H424),ISNUMBER(G424)),(H424-G424)*10000,"n.a.")</f>
        <v>1.335467293500786</v>
      </c>
      <c r="I425" s="7"/>
    </row>
    <row r="426">
      <c r="A426" s="7"/>
      <c r="B426" s="7"/>
      <c r="C426" s="7"/>
      <c r="D426" s="7"/>
      <c r="E426" s="7"/>
      <c r="F426" s="7"/>
      <c r="G426" s="7"/>
      <c r="H426" s="49"/>
      <c r="I426" s="7"/>
    </row>
    <row r="427">
      <c r="A427" s="7"/>
      <c r="B427" s="34" t="s">
        <v>161</v>
      </c>
      <c r="C427" s="9"/>
      <c r="D427" s="9"/>
      <c r="E427" s="9"/>
      <c r="F427" s="9"/>
      <c r="G427" s="9"/>
      <c r="H427" s="43"/>
      <c r="I427" s="7"/>
    </row>
    <row r="428" ht="28.5">
      <c r="A428" s="7"/>
      <c r="B428" s="1" t="s">
        <v>162</v>
      </c>
      <c r="C428" s="31">
        <v>11</v>
      </c>
      <c r="D428" s="29">
        <f>E428-Inputs!I274</f>
        <v>13</v>
      </c>
      <c r="E428" s="31">
        <v>55</v>
      </c>
      <c r="F428" s="31">
        <v>0</v>
      </c>
      <c r="G428" s="31">
        <v>33</v>
      </c>
      <c r="H428" s="32">
        <f>'Income Statement'!H233-'Segment - Corporate Bank'!H108-'Segment - Consumer Bank'!H135-'Segment - Wealth Management'!H120</f>
        <v>24.219500000000153</v>
      </c>
      <c r="I428" s="142" t="s">
        <v>77</v>
      </c>
    </row>
    <row r="429">
      <c r="A429" s="7"/>
      <c r="B429" s="44" t="s">
        <v>66</v>
      </c>
      <c r="C429" s="41">
        <f>IF(ISNUMBER(Inputs!C274),IF(AND(Inputs!C274&gt;0,C428&gt;=0),C428/Inputs!C274-1,"n.m."),"n.a.")</f>
        <v>-0.6666666666666667</v>
      </c>
      <c r="D429" s="41" t="str">
        <f>IF(ISNUMBER(Inputs!D274),IF(AND(Inputs!D274&gt;0,D428&gt;=0),D428/Inputs!D274-1,"n.m."),"n.a.")</f>
        <v>n.m.</v>
      </c>
      <c r="E429" s="41">
        <f>IF(ISNUMBER(Inputs!E274),IF(AND(Inputs!E274&gt;0,E428&gt;=0),E428/Inputs!E274-1,"n.m."),"n.a.")</f>
        <v>-0.5338983050847458</v>
      </c>
      <c r="F429" s="41">
        <f>IF(ISNUMBER(Inputs!F274),IF(AND(Inputs!F274&gt;0,F428&gt;=0),F428/Inputs!F274-1,"n.m."),"n.a.")</f>
        <v>-1</v>
      </c>
      <c r="G429" s="41">
        <f>IF(ISNUMBER(Inputs!G274),IF(AND(Inputs!G274&gt;0,G428&gt;=0),G428/Inputs!G274-1,"n.m."),"n.a.")</f>
        <v>-0.13157894736842102</v>
      </c>
      <c r="H429" s="40">
        <f>IF(ISNUMBER(C428),IF(AND(C428&gt;0,H428&gt;=0),H428/C428-1,"n.m."),"n.a.")</f>
        <v>1.2017727272727412</v>
      </c>
      <c r="I429" s="7"/>
    </row>
    <row r="430">
      <c r="A430" s="7"/>
      <c r="B430" s="48" t="s">
        <v>78</v>
      </c>
      <c r="C430" s="29">
        <f>IF(ISNUMBER(Inputs!G274),C428-Inputs!G274,"n.a.")</f>
        <v>-27</v>
      </c>
      <c r="D430" s="12">
        <f>IF(ISNUMBER(C428),D428-C428,"n.a.")</f>
        <v>2</v>
      </c>
      <c r="E430" s="12"/>
      <c r="F430" s="12">
        <f>IF(ISNUMBER(D428),F428-D428,"n.a.")</f>
        <v>-13</v>
      </c>
      <c r="G430" s="12">
        <f>IF(ISNUMBER(F428),G428-F428,"n.a.")</f>
        <v>33</v>
      </c>
      <c r="H430" s="42">
        <f>IF(ISNUMBER(G428),H428-G428,"n.a.")</f>
        <v>-8.780499999999847</v>
      </c>
      <c r="I430" s="7"/>
    </row>
    <row r="431" ht="105">
      <c r="A431" s="7"/>
      <c r="B431" s="1" t="s">
        <v>163</v>
      </c>
      <c r="C431" s="31">
        <v>-50</v>
      </c>
      <c r="D431" s="29">
        <f>E431-Inputs!I275</f>
        <v>-35</v>
      </c>
      <c r="E431" s="31">
        <v>-147</v>
      </c>
      <c r="F431" s="31">
        <v>-36</v>
      </c>
      <c r="G431" s="31">
        <v>-34</v>
      </c>
      <c r="H431" s="32">
        <f>'Income Statement'!H76-'Segment - Corporate Bank'!H116-'Segment - Consumer Bank'!H143-'Segment - Wealth Management'!H128</f>
        <v>-3.7912010893150594</v>
      </c>
      <c r="I431" s="142" t="s">
        <v>164</v>
      </c>
    </row>
    <row r="432">
      <c r="A432" s="7"/>
      <c r="B432" s="44" t="s">
        <v>66</v>
      </c>
      <c r="C432" s="41" t="str">
        <f>IF(ISNUMBER(Inputs!C275),IF(AND(Inputs!C275&gt;0,C431&gt;=0),C431/Inputs!C275-1,"n.m."),"n.a.")</f>
        <v>n.m.</v>
      </c>
      <c r="D432" s="41" t="str">
        <f>IF(ISNUMBER(Inputs!D275),IF(AND(Inputs!D275&gt;0,D431&gt;=0),D431/Inputs!D275-1,"n.m."),"n.a.")</f>
        <v>n.m.</v>
      </c>
      <c r="E432" s="41" t="str">
        <f>IF(ISNUMBER(Inputs!E275),IF(AND(Inputs!E275&gt;0,E431&gt;=0),E431/Inputs!E275-1,"n.m."),"n.a.")</f>
        <v>n.m.</v>
      </c>
      <c r="F432" s="41" t="str">
        <f>IF(ISNUMBER(Inputs!F275),IF(AND(Inputs!F275&gt;0,F431&gt;=0),F431/Inputs!F275-1,"n.m."),"n.a.")</f>
        <v>n.m.</v>
      </c>
      <c r="G432" s="41" t="str">
        <f>IF(ISNUMBER(Inputs!G275),IF(AND(Inputs!G275&gt;0,G431&gt;=0),G431/Inputs!G275-1,"n.m."),"n.a.")</f>
        <v>n.m.</v>
      </c>
      <c r="H432" s="40" t="str">
        <f>IF(ISNUMBER(C431),IF(AND(C431&gt;0,H431&gt;=0),H431/C431-1,"n.m."),"n.a.")</f>
        <v>n.m.</v>
      </c>
      <c r="I432" s="7"/>
    </row>
    <row r="433">
      <c r="A433" s="7"/>
      <c r="B433" s="48" t="s">
        <v>78</v>
      </c>
      <c r="C433" s="29">
        <f>IF(ISNUMBER(Inputs!G275),C431-Inputs!G275,"n.a.")</f>
        <v>-62</v>
      </c>
      <c r="D433" s="12">
        <f>IF(ISNUMBER(C431),D431-C431,"n.a.")</f>
        <v>15</v>
      </c>
      <c r="E433" s="12"/>
      <c r="F433" s="12">
        <f>IF(ISNUMBER(D431),F431-D431,"n.a.")</f>
        <v>-1</v>
      </c>
      <c r="G433" s="12">
        <f>IF(ISNUMBER(F431),G431-F431,"n.a.")</f>
        <v>2</v>
      </c>
      <c r="H433" s="42">
        <f>IF(ISNUMBER(G431),H431-G431,"n.a.")</f>
        <v>30.20879891068494</v>
      </c>
      <c r="I433" s="7"/>
    </row>
    <row r="434">
      <c r="A434" s="7"/>
      <c r="B434" s="33" t="s">
        <v>165</v>
      </c>
      <c r="C434" s="35">
        <f>C90-C428-C431</f>
        <v>25</v>
      </c>
      <c r="D434" s="35">
        <f>D90-D428-D431</f>
        <v>6</v>
      </c>
      <c r="E434" s="35">
        <f>E90-E428-E431</f>
        <v>51</v>
      </c>
      <c r="F434" s="35">
        <f>F90-F428-F431</f>
        <v>36</v>
      </c>
      <c r="G434" s="35">
        <f>G90-G428-G431</f>
        <v>-29</v>
      </c>
      <c r="H434" s="50">
        <f>H90-H428-H431</f>
        <v>-21.415364640786784</v>
      </c>
      <c r="I434" s="7"/>
    </row>
    <row r="435" ht="28.5">
      <c r="A435" s="7"/>
      <c r="B435" s="1" t="s">
        <v>166</v>
      </c>
      <c r="C435" s="31">
        <v>-32</v>
      </c>
      <c r="D435" s="29">
        <f>E435-Inputs!I276</f>
        <v>-1</v>
      </c>
      <c r="E435" s="31">
        <v>-86</v>
      </c>
      <c r="F435" s="31">
        <v>-14</v>
      </c>
      <c r="G435" s="31">
        <v>-38</v>
      </c>
      <c r="H435" s="32">
        <f>'Income Statement'!H248-'Segment - Corporate Bank'!H123-'Segment - Consumer Bank'!H150-'Segment - Wealth Management'!H135</f>
        <v>-35.259962382141104</v>
      </c>
      <c r="I435" s="142" t="s">
        <v>77</v>
      </c>
    </row>
    <row r="436">
      <c r="A436" s="7"/>
      <c r="B436" s="44" t="s">
        <v>66</v>
      </c>
      <c r="C436" s="41" t="str">
        <f>IF(ISNUMBER(Inputs!C276),IF(AND(Inputs!C276&gt;0,C435&gt;=0),C435/Inputs!C276-1,"n.m."),"n.a.")</f>
        <v>n.m.</v>
      </c>
      <c r="D436" s="41" t="str">
        <f>IF(ISNUMBER(Inputs!D276),IF(AND(Inputs!D276&gt;0,D435&gt;=0),D435/Inputs!D276-1,"n.m."),"n.a.")</f>
        <v>n.m.</v>
      </c>
      <c r="E436" s="41" t="str">
        <f>IF(ISNUMBER(Inputs!E276),IF(AND(Inputs!E276&gt;0,E435&gt;=0),E435/Inputs!E276-1,"n.m."),"n.a.")</f>
        <v>n.m.</v>
      </c>
      <c r="F436" s="41" t="str">
        <f>IF(ISNUMBER(Inputs!F276),IF(AND(Inputs!F276&gt;0,F435&gt;=0),F435/Inputs!F276-1,"n.m."),"n.a.")</f>
        <v>n.m.</v>
      </c>
      <c r="G436" s="41" t="str">
        <f>IF(ISNUMBER(Inputs!G276),IF(AND(Inputs!G276&gt;0,G435&gt;=0),G435/Inputs!G276-1,"n.m."),"n.a.")</f>
        <v>n.m.</v>
      </c>
      <c r="H436" s="40" t="str">
        <f>IF(ISNUMBER(C435),IF(AND(C435&gt;0,H435&gt;=0),H435/C435-1,"n.m."),"n.a.")</f>
        <v>n.m.</v>
      </c>
      <c r="I436" s="7"/>
    </row>
    <row r="437">
      <c r="A437" s="7"/>
      <c r="B437" s="48" t="s">
        <v>78</v>
      </c>
      <c r="C437" s="29">
        <f>IF(ISNUMBER(Inputs!G276),C435-Inputs!G276,"n.a.")</f>
        <v>9</v>
      </c>
      <c r="D437" s="12">
        <f>IF(ISNUMBER(C435),D435-C435,"n.a.")</f>
        <v>31</v>
      </c>
      <c r="E437" s="12"/>
      <c r="F437" s="12">
        <f>IF(ISNUMBER(D435),F435-D435,"n.a.")</f>
        <v>-13</v>
      </c>
      <c r="G437" s="12">
        <f>IF(ISNUMBER(F435),G435-F435,"n.a.")</f>
        <v>-24</v>
      </c>
      <c r="H437" s="42">
        <f>IF(ISNUMBER(G435),H435-G435,"n.a.")</f>
        <v>2.7400376178588957</v>
      </c>
      <c r="I437" s="7"/>
    </row>
    <row r="438">
      <c r="A438" s="7"/>
      <c r="B438" s="33" t="s">
        <v>167</v>
      </c>
      <c r="C438" s="35">
        <f>C434-C435</f>
        <v>57</v>
      </c>
      <c r="D438" s="35">
        <f>D434-D435</f>
        <v>7</v>
      </c>
      <c r="E438" s="35">
        <f>E434-E435</f>
        <v>137</v>
      </c>
      <c r="F438" s="35">
        <f>F434-F435</f>
        <v>50</v>
      </c>
      <c r="G438" s="35">
        <f>G434-G435</f>
        <v>9</v>
      </c>
      <c r="H438" s="50">
        <f>H434-H435</f>
        <v>13.84459774135432</v>
      </c>
      <c r="I438" s="7"/>
    </row>
    <row r="439">
      <c r="A439" s="7"/>
      <c r="B439" s="48" t="s">
        <v>78</v>
      </c>
      <c r="C439" s="12" t="str">
        <f>"n.a."</f>
        <v>n.a.</v>
      </c>
      <c r="D439" s="12">
        <f>IF(ISNUMBER(C438),D438-C438,"n.a.")</f>
        <v>-50</v>
      </c>
      <c r="E439" s="12"/>
      <c r="F439" s="12">
        <f>IF(ISNUMBER(D438),F438-D438,"n.a.")</f>
        <v>43</v>
      </c>
      <c r="G439" s="12">
        <f>IF(ISNUMBER(F438),G438-F438,"n.a.")</f>
        <v>-41</v>
      </c>
      <c r="H439" s="42">
        <f>IF(ISNUMBER(G438),H438-G438,"n.a.")</f>
        <v>4.84459774135432</v>
      </c>
      <c r="I439" s="7"/>
    </row>
    <row r="440" ht="28.5">
      <c r="A440" s="7"/>
      <c r="B440" s="28" t="s">
        <v>168</v>
      </c>
      <c r="C440" s="30">
        <f>'Segment - Corporate Bank'!C127+'Segment - Consumer Bank'!C154+'Segment - Wealth Management'!C139+C438-'Income Statement'!C252</f>
        <v>0</v>
      </c>
      <c r="D440" s="30">
        <f>'Segment - Corporate Bank'!D127+'Segment - Consumer Bank'!D154+'Segment - Wealth Management'!D139+D438-'Income Statement'!D252</f>
        <v>0</v>
      </c>
      <c r="E440" s="30">
        <f>'Segment - Corporate Bank'!E127+'Segment - Consumer Bank'!E154+'Segment - Wealth Management'!E139+E438-'Income Statement'!E252</f>
        <v>0</v>
      </c>
      <c r="F440" s="30">
        <f>'Segment - Corporate Bank'!F127+'Segment - Consumer Bank'!F154+'Segment - Wealth Management'!F139+F438-'Income Statement'!F252</f>
        <v>0</v>
      </c>
      <c r="G440" s="30">
        <f>'Segment - Corporate Bank'!G127+'Segment - Consumer Bank'!G154+'Segment - Wealth Management'!G139+G438-'Income Statement'!G252</f>
        <v>0</v>
      </c>
      <c r="H440" s="73">
        <f>'Segment - Corporate Bank'!H127+'Segment - Consumer Bank'!H154+'Segment - Wealth Management'!H139+H438-'Income Statement'!H252</f>
        <v>0</v>
      </c>
      <c r="I440" s="138" t="s">
        <v>95</v>
      </c>
    </row>
    <row r="441" ht="28.5">
      <c r="A441" s="7"/>
      <c r="B441" s="28" t="s">
        <v>169</v>
      </c>
      <c r="C441" s="30">
        <f>'Segment - Corporate Bank'!C108+'Segment - Consumer Bank'!C135+'Segment - Wealth Management'!C120+C428-'Income Statement'!C233</f>
        <v>0</v>
      </c>
      <c r="D441" s="30">
        <f>'Segment - Corporate Bank'!D108+'Segment - Consumer Bank'!D135+'Segment - Wealth Management'!D120+D428-'Income Statement'!D233</f>
        <v>0</v>
      </c>
      <c r="E441" s="30">
        <f>'Segment - Corporate Bank'!E108+'Segment - Consumer Bank'!E135+'Segment - Wealth Management'!E120+E428-'Income Statement'!E233</f>
        <v>0</v>
      </c>
      <c r="F441" s="30">
        <f>'Segment - Corporate Bank'!F108+'Segment - Consumer Bank'!F135+'Segment - Wealth Management'!F120+F428-'Income Statement'!F233</f>
        <v>0</v>
      </c>
      <c r="G441" s="30">
        <f>'Segment - Corporate Bank'!G108+'Segment - Consumer Bank'!G135+'Segment - Wealth Management'!G120+G428-'Income Statement'!G233</f>
        <v>0</v>
      </c>
      <c r="H441" s="73">
        <f>'Segment - Corporate Bank'!H108+'Segment - Consumer Bank'!H135+'Segment - Wealth Management'!H120+H428-'Income Statement'!H233</f>
        <v>0</v>
      </c>
      <c r="I441" s="138" t="s">
        <v>95</v>
      </c>
    </row>
    <row r="442">
      <c r="A442" s="7"/>
      <c r="B442" s="1" t="s">
        <v>170</v>
      </c>
      <c r="C442" s="29">
        <f>Inputs!G277</f>
        <v>3513</v>
      </c>
      <c r="D442" s="12">
        <f>C443</f>
        <v>2576</v>
      </c>
      <c r="E442" s="12" t="str">
        <f>"n.a."</f>
        <v>n.a.</v>
      </c>
      <c r="F442" s="12">
        <f>D443</f>
        <v>2142</v>
      </c>
      <c r="G442" s="12">
        <f>F443</f>
        <v>2285</v>
      </c>
      <c r="H442" s="42">
        <f>G443</f>
        <v>2320</v>
      </c>
      <c r="I442" s="7"/>
    </row>
    <row r="443">
      <c r="A443" s="7"/>
      <c r="B443" s="1" t="s">
        <v>171</v>
      </c>
      <c r="C443" s="31">
        <v>2576</v>
      </c>
      <c r="D443" s="31">
        <v>2142</v>
      </c>
      <c r="E443" s="12">
        <f>D443</f>
        <v>2142</v>
      </c>
      <c r="F443" s="31">
        <v>2285</v>
      </c>
      <c r="G443" s="31">
        <v>2320</v>
      </c>
      <c r="H443" s="42">
        <f>H442*(1+H446)</f>
        <v>2320</v>
      </c>
      <c r="I443" s="39" t="s">
        <v>156</v>
      </c>
    </row>
    <row r="444">
      <c r="A444" s="7"/>
      <c r="B444" s="44" t="s">
        <v>66</v>
      </c>
      <c r="C444" s="41" t="str">
        <f>IF(ISNUMBER(Inputs!C277),IF(AND(Inputs!C277&gt;0,C443&gt;=0),C443/Inputs!C277-1,"n.m."),"n.a.")</f>
        <v>n.a.</v>
      </c>
      <c r="D444" s="41" t="str">
        <f>IF(ISNUMBER(Inputs!D277),IF(AND(Inputs!D277&gt;0,D443&gt;=0),D443/Inputs!D277-1,"n.m."),"n.a.")</f>
        <v>n.a.</v>
      </c>
      <c r="E444" s="41" t="str">
        <f>IF(ISNUMBER(Inputs!E277),IF(AND(Inputs!E277&gt;0,E443&gt;=0),E443/Inputs!E277-1,"n.m."),"n.a.")</f>
        <v>n.a.</v>
      </c>
      <c r="F444" s="41" t="str">
        <f>IF(ISNUMBER(Inputs!F277),IF(AND(Inputs!F277&gt;0,F443&gt;=0),F443/Inputs!F277-1,"n.m."),"n.a.")</f>
        <v>n.a.</v>
      </c>
      <c r="G444" s="41">
        <f>IF(ISNUMBER(Inputs!G277),IF(AND(Inputs!G277&gt;0,G443&gt;=0),G443/Inputs!G277-1,"n.m."),"n.a.")</f>
        <v>-0.3395957870765727</v>
      </c>
      <c r="H444" s="40">
        <f>IF(ISNUMBER(C443),IF(AND(C443&gt;0,H443&gt;=0),H443/C443-1,"n.m."),"n.a.")</f>
        <v>-0.0993788819875776</v>
      </c>
      <c r="I444" s="7"/>
    </row>
    <row r="445">
      <c r="A445" s="7"/>
      <c r="B445" s="48" t="s">
        <v>78</v>
      </c>
      <c r="C445" s="29">
        <f>IF(ISNUMBER(Inputs!G277),C443-Inputs!G277,"n.a.")</f>
        <v>-937</v>
      </c>
      <c r="D445" s="12">
        <f>IF(ISNUMBER(C443),D443-C443,"n.a.")</f>
        <v>-434</v>
      </c>
      <c r="E445" s="12"/>
      <c r="F445" s="12">
        <f>IF(ISNUMBER(D443),F443-D443,"n.a.")</f>
        <v>143</v>
      </c>
      <c r="G445" s="12">
        <f>IF(ISNUMBER(F443),G443-F443,"n.a.")</f>
        <v>35</v>
      </c>
      <c r="H445" s="42">
        <f>IF(ISNUMBER(G443),H443-G443,"n.a.")</f>
        <v>0</v>
      </c>
      <c r="I445" s="7"/>
    </row>
    <row r="446">
      <c r="A446" s="7"/>
      <c r="B446" s="44" t="s">
        <v>172</v>
      </c>
      <c r="C446" s="24">
        <f>IF(ISNUMBER(C442),C443/C442-1,"n.a.")</f>
        <v>-0.26672359806433243</v>
      </c>
      <c r="D446" s="24">
        <f>IF(ISNUMBER(D442),D443/D442-1,"n.a.")</f>
        <v>-0.1684782608695652</v>
      </c>
      <c r="E446" s="24" t="str">
        <f>IF(ISNUMBER(E442),E443/E442-1,"n.a.")</f>
        <v>n.a.</v>
      </c>
      <c r="F446" s="24">
        <f>IF(ISNUMBER(F442),F443/F442-1,"n.a.")</f>
        <v>0.06676003734827263</v>
      </c>
      <c r="G446" s="24">
        <f>IF(ISNUMBER(G442),G443/G442-1,"n.a.")</f>
        <v>0.015317286652078765</v>
      </c>
      <c r="H446" s="58">
        <v>0</v>
      </c>
      <c r="I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</row>
    <row r="448" ht="54">
      <c r="A448" s="7"/>
      <c r="B448" s="139" t="s">
        <v>173</v>
      </c>
      <c r="C448" s="7"/>
      <c r="D448" s="7"/>
      <c r="E448" s="7"/>
      <c r="F448" s="7"/>
      <c r="G448" s="7"/>
      <c r="H448" s="7"/>
      <c r="I448" s="7"/>
    </row>
  </sheetData>
  <mergeCells count="1">
    <mergeCell ref="B448:I448"/>
  </mergeCell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1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174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 ht="28.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143" t="s">
        <v>63</v>
      </c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27">
        <v>365</v>
      </c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175</v>
      </c>
      <c r="C8" s="9"/>
      <c r="D8" s="9"/>
      <c r="E8" s="9"/>
      <c r="F8" s="9"/>
      <c r="G8" s="9"/>
      <c r="H8" s="43"/>
      <c r="I8" s="7"/>
    </row>
    <row r="9">
      <c r="A9" s="7"/>
      <c r="B9" s="8" t="s">
        <v>176</v>
      </c>
      <c r="C9" s="31">
        <v>70567</v>
      </c>
      <c r="D9" s="29">
        <f>(E9*E$6-Inputs!I128*Inputs!$I$6)/D$6</f>
        <v>69811.55434782608</v>
      </c>
      <c r="E9" s="31">
        <v>69862</v>
      </c>
      <c r="F9" s="31">
        <v>71203</v>
      </c>
      <c r="G9" s="31">
        <v>73240</v>
      </c>
      <c r="H9" s="42">
        <f>G9*(1+H12)</f>
        <v>73825.92</v>
      </c>
      <c r="I9" s="39" t="s">
        <v>177</v>
      </c>
    </row>
    <row r="10">
      <c r="A10" s="7"/>
      <c r="B10" s="44" t="s">
        <v>66</v>
      </c>
      <c r="C10" s="41">
        <f>IF(ISNUMBER(Inputs!C128),IF(AND(Inputs!C128&gt;0,C9&gt;=0),C9/Inputs!C128-1,"n.m."),"n.a.")</f>
        <v>0.017343290467677797</v>
      </c>
      <c r="D10" s="41">
        <f>IF(ISNUMBER(Inputs!D128),IF(AND(Inputs!D128&gt;0,D9&gt;=0),D9/Inputs!D128-1,"n.m."),"n.a.")</f>
        <v>0.0032952864048307884</v>
      </c>
      <c r="E10" s="41">
        <f>IF(ISNUMBER(Inputs!E128),IF(AND(Inputs!E128&gt;0,E9&gt;=0),E9/Inputs!E128-1,"n.m."),"n.a.")</f>
        <v>0.009464360541563632</v>
      </c>
      <c r="F10" s="41">
        <f>IF(ISNUMBER(Inputs!F128),IF(AND(Inputs!F128&gt;0,F9&gt;=0),F9/Inputs!F128-1,"n.m."),"n.a.")</f>
        <v>0.027623432290839744</v>
      </c>
      <c r="G10" s="41">
        <f>IF(ISNUMBER(Inputs!G128),IF(AND(Inputs!G128&gt;0,G9&gt;=0),G9/Inputs!G128-1,"n.m."),"n.a.")</f>
        <v>0.04976493521385161</v>
      </c>
      <c r="H10" s="40">
        <f>IF(ISNUMBER(C9),IF(AND(C9&gt;0,H9&gt;=0),H9/C9-1,"n.m."),"n.a.")</f>
        <v>0.0461819263961909</v>
      </c>
      <c r="I10" s="7"/>
    </row>
    <row r="11">
      <c r="A11" s="7"/>
      <c r="B11" s="48" t="s">
        <v>78</v>
      </c>
      <c r="C11" s="29">
        <f>IF(ISNUMBER(Inputs!G128),C9-Inputs!G128,"n.a.")</f>
        <v>799</v>
      </c>
      <c r="D11" s="12">
        <f>IF(ISNUMBER(C9),D9-C9,"n.a.")</f>
        <v>-755.4456521739194</v>
      </c>
      <c r="E11" s="12"/>
      <c r="F11" s="12">
        <f>IF(ISNUMBER(D9),F9-D9,"n.a.")</f>
        <v>1391.4456521739194</v>
      </c>
      <c r="G11" s="12">
        <f>IF(ISNUMBER(F9),G9-F9,"n.a.")</f>
        <v>2037</v>
      </c>
      <c r="H11" s="42">
        <f>IF(ISNUMBER(G9),H9-G9,"n.a.")</f>
        <v>585.9199999999983</v>
      </c>
      <c r="I11" s="7"/>
    </row>
    <row r="12">
      <c r="A12" s="7"/>
      <c r="B12" s="44" t="s">
        <v>67</v>
      </c>
      <c r="C12" s="41">
        <f>IF(ISNUMBER(Inputs!G128),IF(AND(Inputs!G128&gt;0,C9&gt;=0),C9/Inputs!G128-1,"n.m."),"n.a.")</f>
        <v>0.011452241715399714</v>
      </c>
      <c r="D12" s="24">
        <f>IF(ISNUMBER(C9),IF(AND(C9&gt;0,D9&gt;=0),D9/C9-1,"n.m."),"n.a.")</f>
        <v>-0.010705367270451016</v>
      </c>
      <c r="E12" s="24"/>
      <c r="F12" s="24">
        <f>IF(ISNUMBER(D9),IF(AND(D9&gt;0,F9&gt;=0),F9/D9-1,"n.m."),"n.a.")</f>
        <v>0.019931452109506642</v>
      </c>
      <c r="G12" s="24">
        <f>IF(ISNUMBER(F9),IF(AND(F9&gt;0,G9&gt;=0),G9/F9-1,"n.m."),"n.a.")</f>
        <v>0.02860834515399624</v>
      </c>
      <c r="H12" s="58">
        <v>0.008</v>
      </c>
      <c r="I12" s="7"/>
    </row>
    <row r="13" ht="41.25">
      <c r="A13" s="7"/>
      <c r="B13" s="8" t="s">
        <v>178</v>
      </c>
      <c r="C13" s="31">
        <v>39733</v>
      </c>
      <c r="D13" s="31">
        <v>40243</v>
      </c>
      <c r="E13" s="31">
        <v>39387</v>
      </c>
      <c r="F13" s="31">
        <v>40707</v>
      </c>
      <c r="G13" s="31">
        <v>40106</v>
      </c>
      <c r="H13" s="42">
        <f>(H16+H18)/2</f>
        <v>39852.119999999995</v>
      </c>
      <c r="I13" s="142" t="s">
        <v>179</v>
      </c>
    </row>
    <row r="14">
      <c r="A14" s="7"/>
      <c r="B14" s="44" t="s">
        <v>66</v>
      </c>
      <c r="C14" s="41" t="str">
        <f>IF(ISNUMBER(Inputs!C129),IF(AND(Inputs!C129&gt;0,C13&gt;=0),C13/Inputs!C129-1,"n.m."),"n.a.")</f>
        <v>n.a.</v>
      </c>
      <c r="D14" s="41" t="str">
        <f>IF(ISNUMBER(Inputs!D129),IF(AND(Inputs!D129&gt;0,D13&gt;=0),D13/Inputs!D129-1,"n.m."),"n.a.")</f>
        <v>n.a.</v>
      </c>
      <c r="E14" s="41">
        <f>IF(ISNUMBER(Inputs!E129),IF(AND(Inputs!E129&gt;0,E13&gt;=0),E13/Inputs!E129-1,"n.m."),"n.a.")</f>
        <v>0.06431215715945626</v>
      </c>
      <c r="F14" s="41" t="str">
        <f>IF(ISNUMBER(Inputs!F129),IF(AND(Inputs!F129&gt;0,F13&gt;=0),F13/Inputs!F129-1,"n.m."),"n.a.")</f>
        <v>n.a.</v>
      </c>
      <c r="G14" s="41">
        <f>IF(ISNUMBER(Inputs!G129),IF(AND(Inputs!G129&gt;0,G13&gt;=0),G13/Inputs!G129-1,"n.m."),"n.a.")</f>
        <v>0.022225620635163423</v>
      </c>
      <c r="H14" s="40">
        <f>IF(ISNUMBER(C13),IF(AND(C13&gt;0,H13&gt;=0),H13/C13-1,"n.m."),"n.a.")</f>
        <v>0.0029980117282861762</v>
      </c>
      <c r="I14" s="7"/>
    </row>
    <row r="15">
      <c r="A15" s="7"/>
      <c r="B15" s="48" t="s">
        <v>78</v>
      </c>
      <c r="C15" s="29">
        <f>IF(ISNUMBER(Inputs!G129),C13-Inputs!G129,"n.a.")</f>
        <v>499</v>
      </c>
      <c r="D15" s="12">
        <f>IF(ISNUMBER(C13),D13-C13,"n.a.")</f>
        <v>510</v>
      </c>
      <c r="E15" s="12"/>
      <c r="F15" s="12">
        <f>IF(ISNUMBER(D13),F13-D13,"n.a.")</f>
        <v>464</v>
      </c>
      <c r="G15" s="12">
        <f>IF(ISNUMBER(F13),G13-F13,"n.a.")</f>
        <v>-601</v>
      </c>
      <c r="H15" s="42">
        <f>IF(ISNUMBER(G13),H13-G13,"n.a.")</f>
        <v>-253.88000000000466</v>
      </c>
      <c r="I15" s="7"/>
    </row>
    <row r="16">
      <c r="A16" s="7"/>
      <c r="B16" s="1" t="s">
        <v>180</v>
      </c>
      <c r="C16" s="29">
        <f>Inputs!G130</f>
        <v>40101</v>
      </c>
      <c r="D16" s="12">
        <f>C18</f>
        <v>40415</v>
      </c>
      <c r="E16" s="12" t="str">
        <f>"n.a."</f>
        <v>n.a.</v>
      </c>
      <c r="F16" s="12">
        <f>D18</f>
        <v>40449</v>
      </c>
      <c r="G16" s="12">
        <f>F18</f>
        <v>40574</v>
      </c>
      <c r="H16" s="42">
        <f>G18</f>
        <v>39952</v>
      </c>
      <c r="I16" s="7"/>
    </row>
    <row r="17">
      <c r="A17" s="7"/>
      <c r="B17" s="1" t="s">
        <v>181</v>
      </c>
      <c r="C17" s="12">
        <f>IF(ISNUMBER(C16),C18-C16,"n.a.")</f>
        <v>314</v>
      </c>
      <c r="D17" s="12">
        <f>IF(ISNUMBER(D16),D18-D16,"n.a.")</f>
        <v>34</v>
      </c>
      <c r="E17" s="12" t="str">
        <f>IF(ISNUMBER(E16),E18-E16,"n.a.")</f>
        <v>n.a.</v>
      </c>
      <c r="F17" s="12">
        <f>IF(ISNUMBER(F16),F18-F16,"n.a.")</f>
        <v>125</v>
      </c>
      <c r="G17" s="12">
        <f>IF(ISNUMBER(G16),G18-G16,"n.a.")</f>
        <v>-622</v>
      </c>
      <c r="H17" s="42">
        <f>IF(ISNUMBER(H16),H18-H16,"n.a.")</f>
        <v>-199.76000000000204</v>
      </c>
      <c r="I17" s="7"/>
    </row>
    <row r="18">
      <c r="A18" s="7"/>
      <c r="B18" s="33" t="s">
        <v>182</v>
      </c>
      <c r="C18" s="72">
        <v>40415</v>
      </c>
      <c r="D18" s="72">
        <v>40449</v>
      </c>
      <c r="E18" s="35">
        <f>D18</f>
        <v>40449</v>
      </c>
      <c r="F18" s="72">
        <v>40574</v>
      </c>
      <c r="G18" s="72">
        <v>39952</v>
      </c>
      <c r="H18" s="50">
        <f>H16*(1+H21)</f>
        <v>39752.24</v>
      </c>
      <c r="I18" s="39" t="s">
        <v>156</v>
      </c>
    </row>
    <row r="19">
      <c r="A19" s="7"/>
      <c r="B19" s="44" t="s">
        <v>66</v>
      </c>
      <c r="C19" s="41" t="str">
        <f>IF(ISNUMBER(Inputs!C130),IF(AND(Inputs!C130&gt;0,C18&gt;=0),C18/Inputs!C130-1,"n.m."),"n.a.")</f>
        <v>n.a.</v>
      </c>
      <c r="D19" s="41" t="str">
        <f>IF(ISNUMBER(Inputs!D130),IF(AND(Inputs!D130&gt;0,D18&gt;=0),D18/Inputs!D130-1,"n.m."),"n.a.")</f>
        <v>n.a.</v>
      </c>
      <c r="E19" s="41" t="str">
        <f>IF(ISNUMBER(Inputs!E130),IF(AND(Inputs!E130&gt;0,E18&gt;=0),E18/Inputs!E130-1,"n.m."),"n.a.")</f>
        <v>n.a.</v>
      </c>
      <c r="F19" s="41" t="str">
        <f>IF(ISNUMBER(Inputs!F130),IF(AND(Inputs!F130&gt;0,F18&gt;=0),F18/Inputs!F130-1,"n.m."),"n.a.")</f>
        <v>n.a.</v>
      </c>
      <c r="G19" s="41">
        <f>IF(ISNUMBER(Inputs!G130),IF(AND(Inputs!G130&gt;0,G18&gt;=0),G18/Inputs!G130-1,"n.m."),"n.a.")</f>
        <v>-0.0037156180643874714</v>
      </c>
      <c r="H19" s="40">
        <f>IF(ISNUMBER(C18),IF(AND(C18&gt;0,H18&gt;=0),H18/C18-1,"n.m."),"n.a.")</f>
        <v>-0.0163988618087344</v>
      </c>
      <c r="I19" s="7"/>
    </row>
    <row r="20">
      <c r="A20" s="7"/>
      <c r="B20" s="48" t="s">
        <v>78</v>
      </c>
      <c r="C20" s="29">
        <f>IF(ISNUMBER(Inputs!G130),C18-Inputs!G130,"n.a.")</f>
        <v>314</v>
      </c>
      <c r="D20" s="12">
        <f>IF(ISNUMBER(C18),D18-C18,"n.a.")</f>
        <v>34</v>
      </c>
      <c r="E20" s="12"/>
      <c r="F20" s="12">
        <f>IF(ISNUMBER(D18),F18-D18,"n.a.")</f>
        <v>125</v>
      </c>
      <c r="G20" s="12">
        <f>IF(ISNUMBER(F18),G18-F18,"n.a.")</f>
        <v>-622</v>
      </c>
      <c r="H20" s="42">
        <f>IF(ISNUMBER(G18),H18-G18,"n.a.")</f>
        <v>-199.76000000000204</v>
      </c>
      <c r="I20" s="7"/>
    </row>
    <row r="21">
      <c r="A21" s="7"/>
      <c r="B21" s="44" t="s">
        <v>183</v>
      </c>
      <c r="C21" s="24">
        <f>IF(ISNUMBER(C16),C18/C16-1,"n.a.")</f>
        <v>0.007830228672601747</v>
      </c>
      <c r="D21" s="24">
        <f>IF(ISNUMBER(D16),D18/D16-1,"n.a.")</f>
        <v>0.000841271805022803</v>
      </c>
      <c r="E21" s="24" t="str">
        <f>IF(ISNUMBER(E16),E18/E16-1,"n.a.")</f>
        <v>n.a.</v>
      </c>
      <c r="F21" s="24">
        <f>IF(ISNUMBER(F16),F18/F16-1,"n.a.")</f>
        <v>0.0030903112561497803</v>
      </c>
      <c r="G21" s="24">
        <f>IF(ISNUMBER(G16),G18/G16-1,"n.a.")</f>
        <v>-0.015330014294868688</v>
      </c>
      <c r="H21" s="58">
        <v>-0.005</v>
      </c>
      <c r="I21" s="7"/>
    </row>
    <row r="22">
      <c r="A22" s="7"/>
      <c r="B22" s="7"/>
      <c r="C22" s="7"/>
      <c r="D22" s="7"/>
      <c r="E22" s="7"/>
      <c r="F22" s="7"/>
      <c r="G22" s="7"/>
      <c r="H22" s="49"/>
      <c r="I22" s="7"/>
    </row>
    <row r="23">
      <c r="A23" s="7"/>
      <c r="B23" s="34" t="s">
        <v>184</v>
      </c>
      <c r="C23" s="9"/>
      <c r="D23" s="9"/>
      <c r="E23" s="9"/>
      <c r="F23" s="9"/>
      <c r="G23" s="9"/>
      <c r="H23" s="43"/>
      <c r="I23" s="7"/>
    </row>
    <row r="24">
      <c r="A24" s="7"/>
      <c r="B24" s="28" t="s">
        <v>185</v>
      </c>
      <c r="C24" s="41">
        <f>C26/'Income Statement'!C52</f>
        <v>0.37788385043754974</v>
      </c>
      <c r="D24" s="41">
        <f>D26/'Income Statement'!D52</f>
        <v>0.3793911007025761</v>
      </c>
      <c r="E24" s="41">
        <f>E26/'Income Statement'!E52</f>
        <v>0.3760769384892807</v>
      </c>
      <c r="F24" s="41">
        <f>F26/'Income Statement'!F52</f>
        <v>0.3798076923076923</v>
      </c>
      <c r="G24" s="41">
        <f>G26/'Income Statement'!G52</f>
        <v>0.37823022709475335</v>
      </c>
      <c r="H24" s="59">
        <f>H26/'Income Statement'!H52</f>
        <v>0.3821983901727003</v>
      </c>
      <c r="I24" s="7"/>
    </row>
    <row r="25">
      <c r="A25" s="7"/>
      <c r="B25" s="44" t="s">
        <v>69</v>
      </c>
      <c r="C25" s="38" t="str">
        <f>"n.a."</f>
        <v>n.a.</v>
      </c>
      <c r="D25" s="38">
        <f>IF(AND(ISNUMBER(D24),ISNUMBER(C24)),(D24-C24)*10000,"n.a.")</f>
        <v>15.072502650263498</v>
      </c>
      <c r="E25" s="38"/>
      <c r="F25" s="38">
        <f>IF(AND(ISNUMBER(F24),ISNUMBER(D24)),(F24-D24)*10000,"n.a.")</f>
        <v>4.165916051162011</v>
      </c>
      <c r="G25" s="38">
        <f>IF(AND(ISNUMBER(G24),ISNUMBER(F24)),(G24-F24)*10000,"n.a.")</f>
        <v>-15.774652129389445</v>
      </c>
      <c r="H25" s="67">
        <f>IF(AND(ISNUMBER(H24),ISNUMBER(G24)),(H24-G24)*10000,"n.a.")</f>
        <v>39.681630779469515</v>
      </c>
      <c r="I25" s="7"/>
    </row>
    <row r="26">
      <c r="A26" s="7"/>
      <c r="B26" s="34" t="s">
        <v>186</v>
      </c>
      <c r="C26" s="72">
        <v>475</v>
      </c>
      <c r="D26" s="78">
        <f>E26-Inputs!I131</f>
        <v>486</v>
      </c>
      <c r="E26" s="72">
        <v>1877</v>
      </c>
      <c r="F26" s="72">
        <v>474</v>
      </c>
      <c r="G26" s="72">
        <v>483</v>
      </c>
      <c r="H26" s="50">
        <f>H9*H32*H$6/$I$6</f>
        <v>497.796606974921</v>
      </c>
      <c r="I26" s="39" t="s">
        <v>81</v>
      </c>
    </row>
    <row r="27">
      <c r="A27" s="7"/>
      <c r="B27" s="44" t="s">
        <v>66</v>
      </c>
      <c r="C27" s="41">
        <f>IF(ISNUMBER(Inputs!C131),IF(AND(Inputs!C131&gt;0,C26&gt;=0),C26/Inputs!C131-1,"n.m."),"n.a.")</f>
        <v>0.034858387799564294</v>
      </c>
      <c r="D27" s="41">
        <f>IF(ISNUMBER(Inputs!D131),IF(AND(Inputs!D131&gt;0,D26&gt;=0),D26/Inputs!D131-1,"n.m."),"n.a.")</f>
        <v>0.051948051948051965</v>
      </c>
      <c r="E27" s="41">
        <f>IF(ISNUMBER(Inputs!E131),IF(AND(Inputs!E131&gt;0,E26&gt;=0),E26/Inputs!E131-1,"n.m."),"n.a.")</f>
        <v>0.03075233388248222</v>
      </c>
      <c r="F27" s="41">
        <f>IF(ISNUMBER(Inputs!F131),IF(AND(Inputs!F131&gt;0,F26&gt;=0),F26/Inputs!F131-1,"n.m."),"n.a.")</f>
        <v>0.0748299319727892</v>
      </c>
      <c r="G27" s="41">
        <f>IF(ISNUMBER(Inputs!G131),IF(AND(Inputs!G131&gt;0,G26&gt;=0),G26/Inputs!G131-1,"n.m."),"n.a.")</f>
        <v>0.018987341772152</v>
      </c>
      <c r="H27" s="40">
        <f>IF(ISNUMBER(C26),IF(AND(C26&gt;0,H26&gt;=0),H26/C26-1,"n.m."),"n.a.")</f>
        <v>0.047992856789307314</v>
      </c>
      <c r="I27" s="7"/>
    </row>
    <row r="28">
      <c r="A28" s="7"/>
      <c r="B28" s="48" t="s">
        <v>78</v>
      </c>
      <c r="C28" s="29">
        <f>IF(ISNUMBER(Inputs!G131),C26-Inputs!G131,"n.a.")</f>
        <v>1</v>
      </c>
      <c r="D28" s="12">
        <f>IF(ISNUMBER(C26),D26-C26,"n.a.")</f>
        <v>11</v>
      </c>
      <c r="E28" s="12"/>
      <c r="F28" s="12">
        <f>IF(ISNUMBER(D26),F26-D26,"n.a.")</f>
        <v>-12</v>
      </c>
      <c r="G28" s="12">
        <f>IF(ISNUMBER(F26),G26-F26,"n.a.")</f>
        <v>9</v>
      </c>
      <c r="H28" s="42">
        <f>IF(ISNUMBER(G26),H26-G26,"n.a.")</f>
        <v>14.79660697492102</v>
      </c>
      <c r="I28" s="7"/>
    </row>
    <row r="29">
      <c r="A29" s="7"/>
      <c r="B29" s="44" t="s">
        <v>70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8">
        <v>0</v>
      </c>
      <c r="I29" s="7"/>
    </row>
    <row r="30">
      <c r="A30" s="7"/>
      <c r="B30" s="44" t="s">
        <v>71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8">
        <v>0</v>
      </c>
      <c r="I30" s="7"/>
    </row>
    <row r="31">
      <c r="A31" s="7"/>
      <c r="B31" s="44" t="s">
        <v>72</v>
      </c>
      <c r="C31" s="24">
        <f>IF(AND(ISNUMBER(C27),ISNUMBER(C29),ISNUMBER(C30)),(1+C27)/((1+C29)*(1+C30))-1,"unavailable")</f>
        <v>0.034858387799564294</v>
      </c>
      <c r="D31" s="24">
        <f>IF(AND(ISNUMBER(D27),ISNUMBER(D29),ISNUMBER(D30)),(1+D27)/((1+D29)*(1+D30))-1,"unavailable")</f>
        <v>0.051948051948051965</v>
      </c>
      <c r="E31" s="24">
        <f>IF(AND(ISNUMBER(E27),ISNUMBER(E29),ISNUMBER(E30)),(1+E27)/((1+E29)*(1+E30))-1,"unavailable")</f>
        <v>0.03075233388248222</v>
      </c>
      <c r="F31" s="24">
        <f>IF(AND(ISNUMBER(F27),ISNUMBER(F29),ISNUMBER(F30)),(1+F27)/((1+F29)*(1+F30))-1,"unavailable")</f>
        <v>0.0748299319727892</v>
      </c>
      <c r="G31" s="24">
        <f>IF(AND(ISNUMBER(G27),ISNUMBER(G29),ISNUMBER(G30)),(1+G27)/((1+G29)*(1+G30))-1,"unavailable")</f>
        <v>0.018987341772152</v>
      </c>
      <c r="H31" s="40">
        <f>IF(AND(ISNUMBER(H27),ISNUMBER(H29),ISNUMBER(H30)),(1+H27)/((1+H29)*(1+H30))-1,"unavailable")</f>
        <v>0.047992856789307314</v>
      </c>
      <c r="I31" s="7"/>
    </row>
    <row r="32">
      <c r="A32" s="7"/>
      <c r="B32" s="75" t="s">
        <v>187</v>
      </c>
      <c r="C32" s="60">
        <f>C26/C9*$I$6/C$6</f>
        <v>0.02670527115457958</v>
      </c>
      <c r="D32" s="60">
        <f>D26/D9*$I$6/D$6</f>
        <v>0.027619384669567752</v>
      </c>
      <c r="E32" s="60">
        <f>E26/E9*$I$6/E$6</f>
        <v>0.02686725258366494</v>
      </c>
      <c r="F32" s="60">
        <f>F26/F9*$I$6/F$6</f>
        <v>0.026997926117345243</v>
      </c>
      <c r="G32" s="60">
        <f>G26/G9*$I$6/G$6</f>
        <v>0.026451497710372644</v>
      </c>
      <c r="H32" s="61">
        <f>G32+H33/10000</f>
        <v>0.026751497710372645</v>
      </c>
      <c r="I32" s="7"/>
    </row>
    <row r="33">
      <c r="A33" s="7"/>
      <c r="B33" s="44" t="s">
        <v>69</v>
      </c>
      <c r="C33" s="38" t="str">
        <f>"n.a."</f>
        <v>n.a.</v>
      </c>
      <c r="D33" s="38">
        <f>IF(AND(ISNUMBER(D32),ISNUMBER(C32)),(D32-C32)*10000,"n.a.")</f>
        <v>9.141135149881713</v>
      </c>
      <c r="E33" s="38"/>
      <c r="F33" s="38">
        <f>IF(AND(ISNUMBER(F32),ISNUMBER(D32)),(F32-D32)*10000,"n.a.")</f>
        <v>-6.214585522225091</v>
      </c>
      <c r="G33" s="38">
        <f>IF(AND(ISNUMBER(G32),ISNUMBER(F32)),(G32-F32)*10000,"n.a.")</f>
        <v>-5.464284069725996</v>
      </c>
      <c r="H33" s="77">
        <v>3</v>
      </c>
      <c r="I33" s="7"/>
    </row>
    <row r="34">
      <c r="A34" s="7"/>
      <c r="B34" s="1" t="s">
        <v>188</v>
      </c>
      <c r="C34" s="31">
        <v>61</v>
      </c>
      <c r="D34" s="29">
        <f>E34-Inputs!I132</f>
        <v>61</v>
      </c>
      <c r="E34" s="31">
        <v>246</v>
      </c>
      <c r="F34" s="31">
        <v>66</v>
      </c>
      <c r="G34" s="31">
        <v>66</v>
      </c>
      <c r="H34" s="42">
        <f>H13*H38*H$6/$I$6</f>
        <v>67.00603298372882</v>
      </c>
      <c r="I34" s="39" t="s">
        <v>81</v>
      </c>
    </row>
    <row r="35">
      <c r="A35" s="7"/>
      <c r="B35" s="44" t="s">
        <v>66</v>
      </c>
      <c r="C35" s="41">
        <f>IF(ISNUMBER(Inputs!C132),IF(AND(Inputs!C132&gt;0,C34&gt;=0),C34/Inputs!C132-1,"n.m."),"n.a.")</f>
        <v>0.051724137931034475</v>
      </c>
      <c r="D35" s="41">
        <f>IF(ISNUMBER(Inputs!D132),IF(AND(Inputs!D132&gt;0,D34&gt;=0),D34/Inputs!D132-1,"n.m."),"n.a.")</f>
        <v>0.08928571428571419</v>
      </c>
      <c r="E35" s="41">
        <f>IF(ISNUMBER(Inputs!E132),IF(AND(Inputs!E132&gt;0,E34&gt;=0),E34/Inputs!E132-1,"n.m."),"n.a.")</f>
        <v>0.10313901345291487</v>
      </c>
      <c r="F35" s="41">
        <f>IF(ISNUMBER(Inputs!F132),IF(AND(Inputs!F132&gt;0,F34&gt;=0),F34/Inputs!F132-1,"n.m."),"n.a.")</f>
        <v>0.03125</v>
      </c>
      <c r="G35" s="41">
        <f>IF(ISNUMBER(Inputs!G132),IF(AND(Inputs!G132&gt;0,G34&gt;=0),G34/Inputs!G132-1,"n.m."),"n.a.")</f>
        <v>0.10000000000000009</v>
      </c>
      <c r="H35" s="40">
        <f>IF(ISNUMBER(C34),IF(AND(C34&gt;0,H34&gt;=0),H34/C34-1,"n.m."),"n.a.")</f>
        <v>0.0984595571103084</v>
      </c>
      <c r="I35" s="7"/>
    </row>
    <row r="36">
      <c r="A36" s="7"/>
      <c r="B36" s="48" t="s">
        <v>78</v>
      </c>
      <c r="C36" s="29">
        <f>IF(ISNUMBER(Inputs!G132),C34-Inputs!G132,"n.a.")</f>
        <v>1</v>
      </c>
      <c r="D36" s="12">
        <f>IF(ISNUMBER(C34),D34-C34,"n.a.")</f>
        <v>0</v>
      </c>
      <c r="E36" s="12"/>
      <c r="F36" s="12">
        <f>IF(ISNUMBER(D34),F34-D34,"n.a.")</f>
        <v>5</v>
      </c>
      <c r="G36" s="12">
        <f>IF(ISNUMBER(F34),G34-F34,"n.a.")</f>
        <v>0</v>
      </c>
      <c r="H36" s="42">
        <f>IF(ISNUMBER(G34),H34-G34,"n.a.")</f>
        <v>1.0060329837288151</v>
      </c>
      <c r="I36" s="7"/>
    </row>
    <row r="37">
      <c r="A37" s="7"/>
      <c r="B37" s="44" t="s">
        <v>67</v>
      </c>
      <c r="C37" s="41">
        <f>IF(ISNUMBER(Inputs!G132),IF(AND(Inputs!G132&gt;0,C34&gt;=0),C34/Inputs!G132-1,"n.m."),"n.a.")</f>
        <v>0.016666666666666607</v>
      </c>
      <c r="D37" s="24">
        <f>IF(ISNUMBER(C34),IF(AND(C34&gt;0,D34&gt;=0),D34/C34-1,"n.m."),"n.a.")</f>
        <v>0</v>
      </c>
      <c r="E37" s="24"/>
      <c r="F37" s="24">
        <f>IF(ISNUMBER(D34),IF(AND(D34&gt;0,F34&gt;=0),F34/D34-1,"n.m."),"n.a.")</f>
        <v>0.08196721311475419</v>
      </c>
      <c r="G37" s="24">
        <f>IF(ISNUMBER(F34),IF(AND(F34&gt;0,G34&gt;=0),G34/F34-1,"n.m."),"n.a.")</f>
        <v>0</v>
      </c>
      <c r="H37" s="40">
        <f>IF(ISNUMBER(G34),IF(AND(G34&gt;0,H34&gt;=0),H34/G34-1,"n.m."),"n.a.")</f>
        <v>0.015242923995891111</v>
      </c>
      <c r="I37" s="7"/>
    </row>
    <row r="38" ht="66.75">
      <c r="A38" s="7"/>
      <c r="B38" s="44" t="s">
        <v>189</v>
      </c>
      <c r="C38" s="60">
        <f>C34/C13*$I$6/C$6</f>
        <v>0.006090928688123659</v>
      </c>
      <c r="D38" s="60">
        <f>D34/D13*$I$6/D$6</f>
        <v>0.006013738279084993</v>
      </c>
      <c r="E38" s="60">
        <f>E34/E13*$I$6/E$6</f>
        <v>0.0062457155914388</v>
      </c>
      <c r="F38" s="60">
        <f>F34/F13*$I$6/F$6</f>
        <v>0.0065754456645458195</v>
      </c>
      <c r="G38" s="60">
        <f>G34/G13*$I$6/G$6</f>
        <v>0.006600640171676924</v>
      </c>
      <c r="H38" s="61">
        <f>G38+H39/10000</f>
        <v>0.006670640171676924</v>
      </c>
      <c r="I38" s="142" t="s">
        <v>190</v>
      </c>
    </row>
    <row r="39">
      <c r="A39" s="7"/>
      <c r="B39" s="69" t="s">
        <v>69</v>
      </c>
      <c r="C39" s="38" t="str">
        <f>"n.a."</f>
        <v>n.a.</v>
      </c>
      <c r="D39" s="38">
        <f>IF(AND(ISNUMBER(D38),ISNUMBER(C38)),(D38-C38)*10000,"n.a.")</f>
        <v>-0.7719040903866621</v>
      </c>
      <c r="E39" s="38"/>
      <c r="F39" s="38">
        <f>IF(AND(ISNUMBER(F38),ISNUMBER(D38)),(F38-D38)*10000,"n.a.")</f>
        <v>5.617073854608263</v>
      </c>
      <c r="G39" s="38">
        <f>IF(AND(ISNUMBER(G38),ISNUMBER(F38)),(G38-F38)*10000,"n.a.")</f>
        <v>0.25194507131104554</v>
      </c>
      <c r="H39" s="77">
        <v>0.7</v>
      </c>
      <c r="I39" s="7"/>
    </row>
    <row r="40">
      <c r="A40" s="7"/>
      <c r="B40" s="44" t="s">
        <v>70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8">
        <v>0</v>
      </c>
      <c r="I40" s="7"/>
    </row>
    <row r="41">
      <c r="A41" s="7"/>
      <c r="B41" s="44" t="s">
        <v>71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8">
        <v>0</v>
      </c>
      <c r="I41" s="7"/>
    </row>
    <row r="42">
      <c r="A42" s="7"/>
      <c r="B42" s="44" t="s">
        <v>72</v>
      </c>
      <c r="C42" s="24">
        <f>IF(AND(ISNUMBER(C35),ISNUMBER(C40),ISNUMBER(C41)),(1+C35)/((1+C40)*(1+C41))-1,"unavailable")</f>
        <v>0.051724137931034475</v>
      </c>
      <c r="D42" s="24">
        <f>IF(AND(ISNUMBER(D35),ISNUMBER(D40),ISNUMBER(D41)),(1+D35)/((1+D40)*(1+D41))-1,"unavailable")</f>
        <v>0.08928571428571419</v>
      </c>
      <c r="E42" s="24">
        <f>IF(AND(ISNUMBER(E35),ISNUMBER(E40),ISNUMBER(E41)),(1+E35)/((1+E40)*(1+E41))-1,"unavailable")</f>
        <v>0.10313901345291487</v>
      </c>
      <c r="F42" s="24">
        <f>IF(AND(ISNUMBER(F35),ISNUMBER(F40),ISNUMBER(F41)),(1+F35)/((1+F40)*(1+F41))-1,"unavailable")</f>
        <v>0.03125</v>
      </c>
      <c r="G42" s="24">
        <f>IF(AND(ISNUMBER(G35),ISNUMBER(G40),ISNUMBER(G41)),(1+G35)/((1+G40)*(1+G41))-1,"unavailable")</f>
        <v>0.10000000000000009</v>
      </c>
      <c r="H42" s="40">
        <f>IF(AND(ISNUMBER(H35),ISNUMBER(H40),ISNUMBER(H41)),(1+H35)/((1+H40)*(1+H41))-1,"unavailable")</f>
        <v>0.0984595571103084</v>
      </c>
      <c r="I42" s="7"/>
    </row>
    <row r="43">
      <c r="A43" s="7"/>
      <c r="B43" s="1" t="s">
        <v>191</v>
      </c>
      <c r="C43" s="31">
        <v>10</v>
      </c>
      <c r="D43" s="29">
        <f>E43-Inputs!I133</f>
        <v>10</v>
      </c>
      <c r="E43" s="31">
        <v>42</v>
      </c>
      <c r="F43" s="31">
        <v>11</v>
      </c>
      <c r="G43" s="31">
        <v>11</v>
      </c>
      <c r="H43" s="42">
        <f>H13*H47*H$6/$I$6</f>
        <v>11.050481454913708</v>
      </c>
      <c r="I43" s="39" t="s">
        <v>81</v>
      </c>
    </row>
    <row r="44">
      <c r="A44" s="7"/>
      <c r="B44" s="44" t="s">
        <v>66</v>
      </c>
      <c r="C44" s="41">
        <f>IF(ISNUMBER(Inputs!C133),IF(AND(Inputs!C133&gt;0,C43&gt;=0),C43/Inputs!C133-1,"n.m."),"n.a.")</f>
        <v>-0.09090909090909094</v>
      </c>
      <c r="D44" s="41">
        <f>IF(ISNUMBER(Inputs!D133),IF(AND(Inputs!D133&gt;0,D43&gt;=0),D43/Inputs!D133-1,"n.m."),"n.a.")</f>
        <v>-0.09090909090909094</v>
      </c>
      <c r="E44" s="41">
        <f>IF(ISNUMBER(Inputs!E133),IF(AND(Inputs!E133&gt;0,E43&gt;=0),E43/Inputs!E133-1,"n.m."),"n.a.")</f>
        <v>-0.023255813953488413</v>
      </c>
      <c r="F44" s="41">
        <f>IF(ISNUMBER(Inputs!F133),IF(AND(Inputs!F133&gt;0,F43&gt;=0),F43/Inputs!F133-1,"n.m."),"n.a.")</f>
        <v>0</v>
      </c>
      <c r="G44" s="41">
        <f>IF(ISNUMBER(Inputs!G133),IF(AND(Inputs!G133&gt;0,G43&gt;=0),G43/Inputs!G133-1,"n.m."),"n.a.")</f>
        <v>0</v>
      </c>
      <c r="H44" s="40">
        <f>IF(ISNUMBER(C43),IF(AND(C43&gt;0,H43&gt;=0),H43/C43-1,"n.m."),"n.a.")</f>
        <v>0.10504814549137076</v>
      </c>
      <c r="I44" s="7"/>
    </row>
    <row r="45">
      <c r="A45" s="7"/>
      <c r="B45" s="48" t="s">
        <v>78</v>
      </c>
      <c r="C45" s="29">
        <f>IF(ISNUMBER(Inputs!G133),C43-Inputs!G133,"n.a.")</f>
        <v>-1</v>
      </c>
      <c r="D45" s="12">
        <f>IF(ISNUMBER(C43),D43-C43,"n.a.")</f>
        <v>0</v>
      </c>
      <c r="E45" s="12"/>
      <c r="F45" s="12">
        <f>IF(ISNUMBER(D43),F43-D43,"n.a.")</f>
        <v>1</v>
      </c>
      <c r="G45" s="12">
        <f>IF(ISNUMBER(F43),G43-F43,"n.a.")</f>
        <v>0</v>
      </c>
      <c r="H45" s="42">
        <f>IF(ISNUMBER(G43),H43-G43,"n.a.")</f>
        <v>0.050481454913708035</v>
      </c>
      <c r="I45" s="7"/>
    </row>
    <row r="46">
      <c r="A46" s="7"/>
      <c r="B46" s="44" t="s">
        <v>67</v>
      </c>
      <c r="C46" s="41">
        <f>IF(ISNUMBER(Inputs!G133),IF(AND(Inputs!G133&gt;0,C43&gt;=0),C43/Inputs!G133-1,"n.m."),"n.a.")</f>
        <v>-0.09090909090909094</v>
      </c>
      <c r="D46" s="24">
        <f>IF(ISNUMBER(C43),IF(AND(C43&gt;0,D43&gt;=0),D43/C43-1,"n.m."),"n.a.")</f>
        <v>0</v>
      </c>
      <c r="E46" s="24"/>
      <c r="F46" s="24">
        <f>IF(ISNUMBER(D43),IF(AND(D43&gt;0,F43&gt;=0),F43/D43-1,"n.m."),"n.a.")</f>
        <v>0.10000000000000009</v>
      </c>
      <c r="G46" s="24">
        <f>IF(ISNUMBER(F43),IF(AND(F43&gt;0,G43&gt;=0),G43/F43-1,"n.m."),"n.a.")</f>
        <v>0</v>
      </c>
      <c r="H46" s="40">
        <f>IF(ISNUMBER(G43),IF(AND(G43&gt;0,H43&gt;=0),H43/G43-1,"n.m."),"n.a.")</f>
        <v>0.004589223173973478</v>
      </c>
      <c r="I46" s="7"/>
    </row>
    <row r="47">
      <c r="A47" s="7"/>
      <c r="B47" s="44" t="s">
        <v>189</v>
      </c>
      <c r="C47" s="60">
        <f>C43/C13*$I$6/C$6</f>
        <v>0.0009985128996924033</v>
      </c>
      <c r="D47" s="60">
        <f>D43/D13*$I$6/D$6</f>
        <v>0.0009858587342762284</v>
      </c>
      <c r="E47" s="60">
        <f>E43/E13*$I$6/E$6</f>
        <v>0.0010663416863432096</v>
      </c>
      <c r="F47" s="60">
        <f>F43/F13*$I$6/F$6</f>
        <v>0.0010959076107576367</v>
      </c>
      <c r="G47" s="60">
        <f>G43/G13*$I$6/G$6</f>
        <v>0.0011001066952794874</v>
      </c>
      <c r="H47" s="61">
        <f>G47+H48/10000</f>
        <v>0.0011001066952794874</v>
      </c>
      <c r="I47" s="7"/>
    </row>
    <row r="48">
      <c r="A48" s="7"/>
      <c r="B48" s="69" t="s">
        <v>69</v>
      </c>
      <c r="C48" s="38" t="str">
        <f>"n.a."</f>
        <v>n.a.</v>
      </c>
      <c r="D48" s="38">
        <f>IF(AND(ISNUMBER(D47),ISNUMBER(C47)),(D47-C47)*10000,"n.a.")</f>
        <v>-0.12654165416174862</v>
      </c>
      <c r="E48" s="38"/>
      <c r="F48" s="38">
        <f>IF(AND(ISNUMBER(F47),ISNUMBER(D47)),(F47-D47)*10000,"n.a.")</f>
        <v>1.1004887648140824</v>
      </c>
      <c r="G48" s="38">
        <f>IF(AND(ISNUMBER(G47),ISNUMBER(F47)),(G47-F47)*10000,"n.a.")</f>
        <v>0.04199084521850759</v>
      </c>
      <c r="H48" s="77">
        <v>0</v>
      </c>
      <c r="I48" s="7"/>
    </row>
    <row r="49">
      <c r="A49" s="7"/>
      <c r="B49" s="44" t="s">
        <v>70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8">
        <v>0</v>
      </c>
      <c r="I49" s="7"/>
    </row>
    <row r="50">
      <c r="A50" s="7"/>
      <c r="B50" s="44" t="s">
        <v>71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8">
        <v>0</v>
      </c>
      <c r="I50" s="7"/>
    </row>
    <row r="51">
      <c r="A51" s="7"/>
      <c r="B51" s="44" t="s">
        <v>72</v>
      </c>
      <c r="C51" s="24">
        <f>IF(AND(ISNUMBER(C44),ISNUMBER(C49),ISNUMBER(C50)),(1+C44)/((1+C49)*(1+C50))-1,"unavailable")</f>
        <v>-0.09090909090909094</v>
      </c>
      <c r="D51" s="24">
        <f>IF(AND(ISNUMBER(D44),ISNUMBER(D49),ISNUMBER(D50)),(1+D44)/((1+D49)*(1+D50))-1,"unavailable")</f>
        <v>-0.09090909090909094</v>
      </c>
      <c r="E51" s="24">
        <f>IF(AND(ISNUMBER(E44),ISNUMBER(E49),ISNUMBER(E50)),(1+E44)/((1+E49)*(1+E50))-1,"unavailable")</f>
        <v>-0.023255813953488413</v>
      </c>
      <c r="F51" s="24">
        <f>IF(AND(ISNUMBER(F44),ISNUMBER(F49),ISNUMBER(F50)),(1+F44)/((1+F49)*(1+F50))-1,"unavailable")</f>
        <v>0</v>
      </c>
      <c r="G51" s="24">
        <f>IF(AND(ISNUMBER(G44),ISNUMBER(G49),ISNUMBER(G50)),(1+G44)/((1+G49)*(1+G50))-1,"unavailable")</f>
        <v>0</v>
      </c>
      <c r="H51" s="40">
        <f>IF(AND(ISNUMBER(H44),ISNUMBER(H49),ISNUMBER(H50)),(1+H44)/((1+H49)*(1+H50))-1,"unavailable")</f>
        <v>0.10504814549137076</v>
      </c>
      <c r="I51" s="7"/>
    </row>
    <row r="52">
      <c r="A52" s="7"/>
      <c r="B52" s="1" t="s">
        <v>192</v>
      </c>
      <c r="C52" s="31">
        <v>104</v>
      </c>
      <c r="D52" s="29">
        <f>E52-Inputs!I134</f>
        <v>79</v>
      </c>
      <c r="E52" s="31">
        <v>344</v>
      </c>
      <c r="F52" s="31">
        <v>84</v>
      </c>
      <c r="G52" s="31">
        <v>84</v>
      </c>
      <c r="H52" s="71">
        <v>88</v>
      </c>
      <c r="I52" s="39" t="s">
        <v>81</v>
      </c>
    </row>
    <row r="53">
      <c r="A53" s="7"/>
      <c r="B53" s="44" t="s">
        <v>66</v>
      </c>
      <c r="C53" s="41">
        <f>IF(ISNUMBER(Inputs!C134),IF(AND(Inputs!C134&gt;0,C52&gt;=0),C52/Inputs!C134-1,"n.m."),"n.a.")</f>
        <v>0.13043478260869557</v>
      </c>
      <c r="D53" s="41">
        <f>IF(ISNUMBER(Inputs!D134),IF(AND(Inputs!D134&gt;0,D52&gt;=0),D52/Inputs!D134-1,"n.m."),"n.a.")</f>
        <v>-0.18556701030927836</v>
      </c>
      <c r="E53" s="41">
        <f>IF(ISNUMBER(Inputs!E134),IF(AND(Inputs!E134&gt;0,E52&gt;=0),E52/Inputs!E134-1,"n.m."),"n.a.")</f>
        <v>-0.005780346820809301</v>
      </c>
      <c r="F53" s="41">
        <f>IF(ISNUMBER(Inputs!F134),IF(AND(Inputs!F134&gt;0,F52&gt;=0),F52/Inputs!F134-1,"n.m."),"n.a.")</f>
        <v>0.06329113924050622</v>
      </c>
      <c r="G53" s="41">
        <f>IF(ISNUMBER(Inputs!G134),IF(AND(Inputs!G134&gt;0,G52&gt;=0),G52/Inputs!G134-1,"n.m."),"n.a.")</f>
        <v>0.012048192771084265</v>
      </c>
      <c r="H53" s="40">
        <f>IF(ISNUMBER(C52),IF(AND(C52&gt;0,H52&gt;=0),H52/C52-1,"n.m."),"n.a.")</f>
        <v>-0.15384615384615385</v>
      </c>
      <c r="I53" s="7"/>
    </row>
    <row r="54">
      <c r="A54" s="7"/>
      <c r="B54" s="48" t="s">
        <v>78</v>
      </c>
      <c r="C54" s="29">
        <f>IF(ISNUMBER(Inputs!G134),C52-Inputs!G134,"n.a.")</f>
        <v>21</v>
      </c>
      <c r="D54" s="12">
        <f>IF(ISNUMBER(C52),D52-C52,"n.a.")</f>
        <v>-25</v>
      </c>
      <c r="E54" s="12"/>
      <c r="F54" s="12">
        <f>IF(ISNUMBER(D52),F52-D52,"n.a.")</f>
        <v>5</v>
      </c>
      <c r="G54" s="12">
        <f>IF(ISNUMBER(F52),G52-F52,"n.a.")</f>
        <v>0</v>
      </c>
      <c r="H54" s="42">
        <f>IF(ISNUMBER(G52),H52-G52,"n.a.")</f>
        <v>4</v>
      </c>
      <c r="I54" s="7"/>
    </row>
    <row r="55">
      <c r="A55" s="7"/>
      <c r="B55" s="44" t="s">
        <v>67</v>
      </c>
      <c r="C55" s="41">
        <f>IF(ISNUMBER(Inputs!G134),IF(AND(Inputs!G134&gt;0,C52&gt;=0),C52/Inputs!G134-1,"n.m."),"n.a.")</f>
        <v>0.2530120481927711</v>
      </c>
      <c r="D55" s="24">
        <f>IF(ISNUMBER(C52),IF(AND(C52&gt;0,D52&gt;=0),D52/C52-1,"n.m."),"n.a.")</f>
        <v>-0.24038461538461542</v>
      </c>
      <c r="E55" s="24"/>
      <c r="F55" s="24">
        <f>IF(ISNUMBER(D52),IF(AND(D52&gt;0,F52&gt;=0),F52/D52-1,"n.m."),"n.a.")</f>
        <v>0.06329113924050622</v>
      </c>
      <c r="G55" s="24">
        <f>IF(ISNUMBER(F52),IF(AND(F52&gt;0,G52&gt;=0),G52/F52-1,"n.m."),"n.a.")</f>
        <v>0</v>
      </c>
      <c r="H55" s="40">
        <f>IF(ISNUMBER(G52),IF(AND(G52&gt;0,H52&gt;=0),H52/G52-1,"n.m."),"n.a.")</f>
        <v>0.04761904761904767</v>
      </c>
      <c r="I55" s="7"/>
    </row>
    <row r="56">
      <c r="A56" s="7"/>
      <c r="B56" s="44" t="s">
        <v>70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40" t="str">
        <f>"unavailable"</f>
        <v>unavailable</v>
      </c>
      <c r="I56" s="7"/>
    </row>
    <row r="57">
      <c r="A57" s="7"/>
      <c r="B57" s="44" t="s">
        <v>71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8">
        <v>0</v>
      </c>
      <c r="I57" s="7"/>
    </row>
    <row r="58">
      <c r="A58" s="7"/>
      <c r="B58" s="44" t="s">
        <v>72</v>
      </c>
      <c r="C58" s="24">
        <f>IF(AND(ISNUMBER(C53),ISNUMBER(C56),ISNUMBER(C57)),(1+C53)/((1+C56)*(1+C57))-1,"unavailable")</f>
        <v>0.13043478260869557</v>
      </c>
      <c r="D58" s="24">
        <f>IF(AND(ISNUMBER(D53),ISNUMBER(D56),ISNUMBER(D57)),(1+D53)/((1+D56)*(1+D57))-1,"unavailable")</f>
        <v>-0.18556701030927836</v>
      </c>
      <c r="E58" s="24">
        <f>IF(AND(ISNUMBER(E53),ISNUMBER(E56),ISNUMBER(E57)),(1+E53)/((1+E56)*(1+E57))-1,"unavailable")</f>
        <v>-0.005780346820809301</v>
      </c>
      <c r="F58" s="24">
        <f>IF(AND(ISNUMBER(F53),ISNUMBER(F56),ISNUMBER(F57)),(1+F53)/((1+F56)*(1+F57))-1,"unavailable")</f>
        <v>0.06329113924050622</v>
      </c>
      <c r="G58" s="24">
        <f>IF(AND(ISNUMBER(G53),ISNUMBER(G56),ISNUMBER(G57)),(1+G53)/((1+G56)*(1+G57))-1,"unavailable")</f>
        <v>0.012048192771084265</v>
      </c>
      <c r="H58" s="40" t="str">
        <f>IF(AND(ISNUMBER(H53),ISNUMBER(H56),ISNUMBER(H57)),(1+H53)/((1+H56)*(1+H57))-1,"unavailable")</f>
        <v>unavailable</v>
      </c>
      <c r="I58" s="7"/>
    </row>
    <row r="59">
      <c r="A59" s="7"/>
      <c r="B59" s="1" t="s">
        <v>193</v>
      </c>
      <c r="C59" s="31">
        <v>28</v>
      </c>
      <c r="D59" s="29">
        <f>E59-Inputs!I135</f>
        <v>30</v>
      </c>
      <c r="E59" s="31">
        <v>114</v>
      </c>
      <c r="F59" s="31">
        <v>30</v>
      </c>
      <c r="G59" s="31">
        <v>28</v>
      </c>
      <c r="H59" s="42">
        <f>H9*H63*H$6/$I$6</f>
        <v>29.092399159030556</v>
      </c>
      <c r="I59" s="39" t="s">
        <v>81</v>
      </c>
    </row>
    <row r="60">
      <c r="A60" s="7"/>
      <c r="B60" s="44" t="s">
        <v>66</v>
      </c>
      <c r="C60" s="41">
        <f>IF(ISNUMBER(Inputs!C135),IF(AND(Inputs!C135&gt;0,C59&gt;=0),C59/Inputs!C135-1,"n.m."),"n.a.")</f>
        <v>0</v>
      </c>
      <c r="D60" s="41">
        <f>IF(ISNUMBER(Inputs!D135),IF(AND(Inputs!D135&gt;0,D59&gt;=0),D59/Inputs!D135-1,"n.m."),"n.a.")</f>
        <v>0.0714285714285714</v>
      </c>
      <c r="E60" s="41">
        <f>IF(ISNUMBER(Inputs!E135),IF(AND(Inputs!E135&gt;0,E59&gt;=0),E59/Inputs!E135-1,"n.m."),"n.a.")</f>
        <v>0.027027027027026973</v>
      </c>
      <c r="F60" s="41">
        <f>IF(ISNUMBER(Inputs!F135),IF(AND(Inputs!F135&gt;0,F59&gt;=0),F59/Inputs!F135-1,"n.m."),"n.a.")</f>
        <v>0.11111111111111116</v>
      </c>
      <c r="G60" s="41">
        <f>IF(ISNUMBER(Inputs!G135),IF(AND(Inputs!G135&gt;0,G59&gt;=0),G59/Inputs!G135-1,"n.m."),"n.a.")</f>
        <v>-0.03448275862068961</v>
      </c>
      <c r="H60" s="40">
        <f>IF(ISNUMBER(C59),IF(AND(C59&gt;0,H59&gt;=0),H59/C59-1,"n.m."),"n.a.")</f>
        <v>0.03901425567966266</v>
      </c>
      <c r="I60" s="7"/>
    </row>
    <row r="61">
      <c r="A61" s="7"/>
      <c r="B61" s="48" t="s">
        <v>78</v>
      </c>
      <c r="C61" s="29">
        <f>IF(ISNUMBER(Inputs!G135),C59-Inputs!G135,"n.a.")</f>
        <v>-1</v>
      </c>
      <c r="D61" s="12">
        <f>IF(ISNUMBER(C59),D59-C59,"n.a.")</f>
        <v>2</v>
      </c>
      <c r="E61" s="12"/>
      <c r="F61" s="12">
        <f>IF(ISNUMBER(D59),F59-D59,"n.a.")</f>
        <v>0</v>
      </c>
      <c r="G61" s="12">
        <f>IF(ISNUMBER(F59),G59-F59,"n.a.")</f>
        <v>-2</v>
      </c>
      <c r="H61" s="42">
        <f>IF(ISNUMBER(G59),H59-G59,"n.a.")</f>
        <v>1.0923991590305562</v>
      </c>
      <c r="I61" s="7"/>
    </row>
    <row r="62">
      <c r="A62" s="7"/>
      <c r="B62" s="44" t="s">
        <v>67</v>
      </c>
      <c r="C62" s="41">
        <f>IF(ISNUMBER(Inputs!G135),IF(AND(Inputs!G135&gt;0,C59&gt;=0),C59/Inputs!G135-1,"n.m."),"n.a.")</f>
        <v>-0.03448275862068961</v>
      </c>
      <c r="D62" s="24">
        <f>IF(ISNUMBER(C59),IF(AND(C59&gt;0,D59&gt;=0),D59/C59-1,"n.m."),"n.a.")</f>
        <v>0.0714285714285714</v>
      </c>
      <c r="E62" s="24"/>
      <c r="F62" s="24">
        <f>IF(ISNUMBER(D59),IF(AND(D59&gt;0,F59&gt;=0),F59/D59-1,"n.m."),"n.a.")</f>
        <v>0</v>
      </c>
      <c r="G62" s="24">
        <f>IF(ISNUMBER(F59),IF(AND(F59&gt;0,G59&gt;=0),G59/F59-1,"n.m."),"n.a.")</f>
        <v>-0.06666666666666665</v>
      </c>
      <c r="H62" s="40">
        <f>IF(ISNUMBER(G59),IF(AND(G59&gt;0,H59&gt;=0),H59/G59-1,"n.m."),"n.a.")</f>
        <v>0.03901425567966266</v>
      </c>
      <c r="I62" s="7"/>
    </row>
    <row r="63">
      <c r="A63" s="7"/>
      <c r="B63" s="44" t="s">
        <v>194</v>
      </c>
      <c r="C63" s="60">
        <f>C59/C9*$I$6/C$6</f>
        <v>0.0015742054575331123</v>
      </c>
      <c r="D63" s="60">
        <f>D59/D9*$I$6/D$6</f>
        <v>0.001704900288244923</v>
      </c>
      <c r="E63" s="60">
        <f>E59/E9*$I$6/E$6</f>
        <v>0.001631788382811829</v>
      </c>
      <c r="F63" s="60">
        <f>F59/F9*$I$6/F$6</f>
        <v>0.0017087295010978002</v>
      </c>
      <c r="G63" s="60">
        <f>G59/G9*$I$6/G$6</f>
        <v>0.0015334201571230517</v>
      </c>
      <c r="H63" s="61">
        <f>G63+H64/10000</f>
        <v>0.0015634201571230518</v>
      </c>
      <c r="I63" s="7"/>
    </row>
    <row r="64">
      <c r="A64" s="7"/>
      <c r="B64" s="69" t="s">
        <v>69</v>
      </c>
      <c r="C64" s="38" t="str">
        <f>"n.a."</f>
        <v>n.a.</v>
      </c>
      <c r="D64" s="38">
        <f>IF(AND(ISNUMBER(D63),ISNUMBER(C63)),(D63-C63)*10000,"n.a.")</f>
        <v>1.3069483071181074</v>
      </c>
      <c r="E64" s="38"/>
      <c r="F64" s="38">
        <f>IF(AND(ISNUMBER(F63),ISNUMBER(D63)),(F63-D63)*10000,"n.a.")</f>
        <v>0.038292128528771494</v>
      </c>
      <c r="G64" s="38">
        <f>IF(AND(ISNUMBER(G63),ISNUMBER(F63)),(G63-F63)*10000,"n.a.")</f>
        <v>-1.7530934397474844</v>
      </c>
      <c r="H64" s="77">
        <v>0.3</v>
      </c>
      <c r="I64" s="7"/>
    </row>
    <row r="65">
      <c r="A65" s="7"/>
      <c r="B65" s="44" t="s">
        <v>70</v>
      </c>
      <c r="C65" s="52">
        <v>0</v>
      </c>
      <c r="D65" s="52">
        <v>0</v>
      </c>
      <c r="E65" s="52">
        <v>0</v>
      </c>
      <c r="F65" s="52">
        <v>0</v>
      </c>
      <c r="G65" s="52">
        <v>0</v>
      </c>
      <c r="H65" s="58">
        <v>0</v>
      </c>
      <c r="I65" s="7"/>
    </row>
    <row r="66">
      <c r="A66" s="7"/>
      <c r="B66" s="44" t="s">
        <v>71</v>
      </c>
      <c r="C66" s="52">
        <v>0</v>
      </c>
      <c r="D66" s="52">
        <v>0</v>
      </c>
      <c r="E66" s="52">
        <v>0</v>
      </c>
      <c r="F66" s="52">
        <v>0</v>
      </c>
      <c r="G66" s="52">
        <v>0</v>
      </c>
      <c r="H66" s="58">
        <v>0</v>
      </c>
      <c r="I66" s="7"/>
    </row>
    <row r="67">
      <c r="A67" s="7"/>
      <c r="B67" s="44" t="s">
        <v>72</v>
      </c>
      <c r="C67" s="24">
        <f>IF(AND(ISNUMBER(C60),ISNUMBER(C65),ISNUMBER(C66)),(1+C60)/((1+C65)*(1+C66))-1,"unavailable")</f>
        <v>0</v>
      </c>
      <c r="D67" s="24">
        <f>IF(AND(ISNUMBER(D60),ISNUMBER(D65),ISNUMBER(D66)),(1+D60)/((1+D65)*(1+D66))-1,"unavailable")</f>
        <v>0.0714285714285714</v>
      </c>
      <c r="E67" s="24">
        <f>IF(AND(ISNUMBER(E60),ISNUMBER(E65),ISNUMBER(E66)),(1+E60)/((1+E65)*(1+E66))-1,"unavailable")</f>
        <v>0.027027027027026973</v>
      </c>
      <c r="F67" s="24">
        <f>IF(AND(ISNUMBER(F60),ISNUMBER(F65),ISNUMBER(F66)),(1+F60)/((1+F65)*(1+F66))-1,"unavailable")</f>
        <v>0.11111111111111116</v>
      </c>
      <c r="G67" s="24">
        <f>IF(AND(ISNUMBER(G60),ISNUMBER(G65),ISNUMBER(G66)),(1+G60)/((1+G65)*(1+G66))-1,"unavailable")</f>
        <v>-0.03448275862068961</v>
      </c>
      <c r="H67" s="40">
        <f>IF(AND(ISNUMBER(H60),ISNUMBER(H65),ISNUMBER(H66)),(1+H60)/((1+H65)*(1+H66))-1,"unavailable")</f>
        <v>0.03901425567966266</v>
      </c>
      <c r="I67" s="7"/>
    </row>
    <row r="68">
      <c r="A68" s="7"/>
      <c r="B68" s="1" t="s">
        <v>195</v>
      </c>
      <c r="C68" s="31">
        <v>61</v>
      </c>
      <c r="D68" s="29">
        <f>E68-Inputs!I136</f>
        <v>64</v>
      </c>
      <c r="E68" s="31">
        <v>209</v>
      </c>
      <c r="F68" s="31">
        <v>39</v>
      </c>
      <c r="G68" s="31">
        <v>53</v>
      </c>
      <c r="H68" s="42">
        <f>G68*(1+H71)</f>
        <v>49.979</v>
      </c>
      <c r="I68" s="39" t="s">
        <v>81</v>
      </c>
    </row>
    <row r="69">
      <c r="A69" s="7"/>
      <c r="B69" s="44" t="s">
        <v>66</v>
      </c>
      <c r="C69" s="41">
        <f>IF(ISNUMBER(Inputs!C136),IF(AND(Inputs!C136&gt;0,C68&gt;=0),C68/Inputs!C136-1,"n.m."),"n.a.")</f>
        <v>0.196078431372549</v>
      </c>
      <c r="D69" s="41">
        <f>IF(ISNUMBER(Inputs!D136),IF(AND(Inputs!D136&gt;0,D68&gt;=0),D68/Inputs!D136-1,"n.m."),"n.a.")</f>
        <v>0.33333333333333326</v>
      </c>
      <c r="E69" s="41">
        <f>IF(ISNUMBER(Inputs!E136),IF(AND(Inputs!E136&gt;0,E68&gt;=0),E68/Inputs!E136-1,"n.m."),"n.a.")</f>
        <v>0.20114942528735624</v>
      </c>
      <c r="F69" s="41">
        <f>IF(ISNUMBER(Inputs!F136),IF(AND(Inputs!F136&gt;0,F68&gt;=0),F68/Inputs!F136-1,"n.m."),"n.a.")</f>
        <v>-0.0714285714285714</v>
      </c>
      <c r="G69" s="41">
        <f>IF(ISNUMBER(Inputs!G136),IF(AND(Inputs!G136&gt;0,G68&gt;=0),G68/Inputs!G136-1,"n.m."),"n.a.")</f>
        <v>0.26190476190476186</v>
      </c>
      <c r="H69" s="40">
        <f>IF(ISNUMBER(C68),IF(AND(C68&gt;0,H68&gt;=0),H68/C68-1,"n.m."),"n.a.")</f>
        <v>-0.180672131147541</v>
      </c>
      <c r="I69" s="7"/>
    </row>
    <row r="70">
      <c r="A70" s="7"/>
      <c r="B70" s="48" t="s">
        <v>78</v>
      </c>
      <c r="C70" s="29">
        <f>IF(ISNUMBER(Inputs!G136),C68-Inputs!G136,"n.a.")</f>
        <v>19</v>
      </c>
      <c r="D70" s="12">
        <f>IF(ISNUMBER(C68),D68-C68,"n.a.")</f>
        <v>3</v>
      </c>
      <c r="E70" s="12"/>
      <c r="F70" s="12">
        <f>IF(ISNUMBER(D68),F68-D68,"n.a.")</f>
        <v>-25</v>
      </c>
      <c r="G70" s="12">
        <f>IF(ISNUMBER(F68),G68-F68,"n.a.")</f>
        <v>14</v>
      </c>
      <c r="H70" s="42">
        <f>IF(ISNUMBER(G68),H68-G68,"n.a.")</f>
        <v>-3.021000000000001</v>
      </c>
      <c r="I70" s="7"/>
    </row>
    <row r="71">
      <c r="A71" s="7"/>
      <c r="B71" s="44" t="s">
        <v>67</v>
      </c>
      <c r="C71" s="41">
        <f>IF(ISNUMBER(Inputs!G136),IF(AND(Inputs!G136&gt;0,C68&gt;=0),C68/Inputs!G136-1,"n.m."),"n.a.")</f>
        <v>0.45238095238095233</v>
      </c>
      <c r="D71" s="24">
        <f>IF(ISNUMBER(C68),IF(AND(C68&gt;0,D68&gt;=0),D68/C68-1,"n.m."),"n.a.")</f>
        <v>0.049180327868852514</v>
      </c>
      <c r="E71" s="24"/>
      <c r="F71" s="24">
        <f>IF(ISNUMBER(D68),IF(AND(D68&gt;0,F68&gt;=0),F68/D68-1,"n.m."),"n.a.")</f>
        <v>-0.390625</v>
      </c>
      <c r="G71" s="24">
        <f>IF(ISNUMBER(F68),IF(AND(F68&gt;0,G68&gt;=0),G68/F68-1,"n.m."),"n.a.")</f>
        <v>0.35897435897435903</v>
      </c>
      <c r="H71" s="58">
        <v>-0.057</v>
      </c>
      <c r="I71" s="7"/>
    </row>
    <row r="72">
      <c r="A72" s="7"/>
      <c r="B72" s="44" t="s">
        <v>70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8">
        <v>0</v>
      </c>
      <c r="I72" s="7"/>
    </row>
    <row r="73">
      <c r="A73" s="7"/>
      <c r="B73" s="44" t="s">
        <v>71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8">
        <v>0</v>
      </c>
      <c r="I73" s="7"/>
    </row>
    <row r="74">
      <c r="A74" s="7"/>
      <c r="B74" s="44" t="s">
        <v>72</v>
      </c>
      <c r="C74" s="24">
        <f>IF(AND(ISNUMBER(C69),ISNUMBER(C72),ISNUMBER(C73)),(1+C69)/((1+C72)*(1+C73))-1,"unavailable")</f>
        <v>0.196078431372549</v>
      </c>
      <c r="D74" s="24">
        <f>IF(AND(ISNUMBER(D69),ISNUMBER(D72),ISNUMBER(D73)),(1+D69)/((1+D72)*(1+D73))-1,"unavailable")</f>
        <v>0.33333333333333326</v>
      </c>
      <c r="E74" s="24">
        <f>IF(AND(ISNUMBER(E69),ISNUMBER(E72),ISNUMBER(E73)),(1+E69)/((1+E72)*(1+E73))-1,"unavailable")</f>
        <v>0.20114942528735624</v>
      </c>
      <c r="F74" s="24">
        <f>IF(AND(ISNUMBER(F69),ISNUMBER(F72),ISNUMBER(F73)),(1+F69)/((1+F72)*(1+F73))-1,"unavailable")</f>
        <v>-0.0714285714285714</v>
      </c>
      <c r="G74" s="24">
        <f>IF(AND(ISNUMBER(G69),ISNUMBER(G72),ISNUMBER(G73)),(1+G69)/((1+G72)*(1+G73))-1,"unavailable")</f>
        <v>0.26190476190476186</v>
      </c>
      <c r="H74" s="40">
        <f>IF(AND(ISNUMBER(H69),ISNUMBER(H72),ISNUMBER(H73)),(1+H69)/((1+H72)*(1+H73))-1,"unavailable")</f>
        <v>-0.180672131147541</v>
      </c>
      <c r="I74" s="7"/>
    </row>
    <row r="75">
      <c r="A75" s="7"/>
      <c r="B75" s="34" t="s">
        <v>196</v>
      </c>
      <c r="C75" s="35">
        <f>C34+C43+C52+C59+C68</f>
        <v>264</v>
      </c>
      <c r="D75" s="35">
        <f>D34+D43+D52+D59+D68</f>
        <v>244</v>
      </c>
      <c r="E75" s="35">
        <f>E34+E43+E52+E59+E68</f>
        <v>955</v>
      </c>
      <c r="F75" s="35">
        <f>F34+F43+F52+F59+F68</f>
        <v>230</v>
      </c>
      <c r="G75" s="35">
        <f>G34+G43+G52+G59+G68</f>
        <v>242</v>
      </c>
      <c r="H75" s="50">
        <f>H34+H43+H52+H59+H68</f>
        <v>245.12791359767306</v>
      </c>
      <c r="I75" s="7"/>
    </row>
    <row r="76">
      <c r="A76" s="7"/>
      <c r="B76" s="44" t="s">
        <v>66</v>
      </c>
      <c r="C76" s="41">
        <f>IF(ISNUMBER(Inputs!C137),IF(AND(Inputs!C137&gt;0,C75&gt;=0),C75/Inputs!C137-1,"n.m."),"n.a.")</f>
        <v>0.10000000000000009</v>
      </c>
      <c r="D76" s="41">
        <f>IF(ISNUMBER(Inputs!D137),IF(AND(Inputs!D137&gt;0,D75&gt;=0),D75/Inputs!D137-1,"n.m."),"n.a.")</f>
        <v>0.016666666666666607</v>
      </c>
      <c r="E76" s="41">
        <f>IF(ISNUMBER(Inputs!E137),IF(AND(Inputs!E137&gt;0,E75&gt;=0),E75/Inputs!E137-1,"n.m."),"n.a.")</f>
        <v>0.064659977703456</v>
      </c>
      <c r="F76" s="41">
        <f>IF(ISNUMBER(Inputs!F137),IF(AND(Inputs!F137&gt;0,F75&gt;=0),F75/Inputs!F137-1,"n.m."),"n.a.")</f>
        <v>0.03139013452914807</v>
      </c>
      <c r="G76" s="41">
        <f>IF(ISNUMBER(Inputs!G137),IF(AND(Inputs!G137&gt;0,G75&gt;=0),G75/Inputs!G137-1,"n.m."),"n.a.")</f>
        <v>0.0755555555555556</v>
      </c>
      <c r="H76" s="40">
        <f>IF(ISNUMBER(C75),IF(AND(C75&gt;0,H75&gt;=0),H75/C75-1,"n.m."),"n.a.")</f>
        <v>-0.07148517576638991</v>
      </c>
      <c r="I76" s="7"/>
    </row>
    <row r="77">
      <c r="A77" s="7"/>
      <c r="B77" s="48" t="s">
        <v>78</v>
      </c>
      <c r="C77" s="29">
        <f>IF(ISNUMBER(Inputs!G137),C75-Inputs!G137,"n.a.")</f>
        <v>39</v>
      </c>
      <c r="D77" s="12">
        <f>IF(ISNUMBER(C75),D75-C75,"n.a.")</f>
        <v>-20</v>
      </c>
      <c r="E77" s="12"/>
      <c r="F77" s="12">
        <f>IF(ISNUMBER(D75),F75-D75,"n.a.")</f>
        <v>-14</v>
      </c>
      <c r="G77" s="12">
        <f>IF(ISNUMBER(F75),G75-F75,"n.a.")</f>
        <v>12</v>
      </c>
      <c r="H77" s="42">
        <f>IF(ISNUMBER(G75),H75-G75,"n.a.")</f>
        <v>3.127913597673057</v>
      </c>
      <c r="I77" s="7"/>
    </row>
    <row r="78">
      <c r="A78" s="7"/>
      <c r="B78" s="44" t="s">
        <v>70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40" t="str">
        <f>"unavailable"</f>
        <v>unavailable</v>
      </c>
      <c r="I78" s="7"/>
    </row>
    <row r="79">
      <c r="A79" s="7"/>
      <c r="B79" s="44" t="s">
        <v>71</v>
      </c>
      <c r="C79" s="52">
        <v>0</v>
      </c>
      <c r="D79" s="52">
        <v>0</v>
      </c>
      <c r="E79" s="52">
        <v>0</v>
      </c>
      <c r="F79" s="52">
        <v>0</v>
      </c>
      <c r="G79" s="52">
        <v>0</v>
      </c>
      <c r="H79" s="58">
        <v>0</v>
      </c>
      <c r="I79" s="7"/>
    </row>
    <row r="80">
      <c r="A80" s="7"/>
      <c r="B80" s="44" t="s">
        <v>72</v>
      </c>
      <c r="C80" s="24">
        <f>IF(AND(ISNUMBER(C76),ISNUMBER(C78),ISNUMBER(C79)),(1+C76)/((1+C78)*(1+C79))-1,"unavailable")</f>
        <v>0.10000000000000009</v>
      </c>
      <c r="D80" s="24">
        <f>IF(AND(ISNUMBER(D76),ISNUMBER(D78),ISNUMBER(D79)),(1+D76)/((1+D78)*(1+D79))-1,"unavailable")</f>
        <v>0.016666666666666607</v>
      </c>
      <c r="E80" s="24">
        <f>IF(AND(ISNUMBER(E76),ISNUMBER(E78),ISNUMBER(E79)),(1+E76)/((1+E78)*(1+E79))-1,"unavailable")</f>
        <v>0.064659977703456</v>
      </c>
      <c r="F80" s="24">
        <f>IF(AND(ISNUMBER(F76),ISNUMBER(F78),ISNUMBER(F79)),(1+F76)/((1+F78)*(1+F79))-1,"unavailable")</f>
        <v>0.03139013452914807</v>
      </c>
      <c r="G80" s="24">
        <f>IF(AND(ISNUMBER(G76),ISNUMBER(G78),ISNUMBER(G79)),(1+G76)/((1+G78)*(1+G79))-1,"unavailable")</f>
        <v>0.0755555555555556</v>
      </c>
      <c r="H80" s="40" t="str">
        <f>IF(AND(ISNUMBER(H76),ISNUMBER(H78),ISNUMBER(H79)),(1+H76)/((1+H78)*(1+H79))-1,"unavailable")</f>
        <v>unavailable</v>
      </c>
      <c r="I80" s="7"/>
    </row>
    <row r="81">
      <c r="A81" s="7"/>
      <c r="B81" s="34" t="s">
        <v>197</v>
      </c>
      <c r="C81" s="35">
        <f>C26+C75</f>
        <v>739</v>
      </c>
      <c r="D81" s="35">
        <f>D26+D75</f>
        <v>730</v>
      </c>
      <c r="E81" s="35">
        <f>E26+E75</f>
        <v>2832</v>
      </c>
      <c r="F81" s="35">
        <f>F26+F75</f>
        <v>704</v>
      </c>
      <c r="G81" s="35">
        <f>G26+G75</f>
        <v>725</v>
      </c>
      <c r="H81" s="50">
        <f>H26+H75</f>
        <v>742.924520572594</v>
      </c>
      <c r="I81" s="7"/>
    </row>
    <row r="82">
      <c r="A82" s="7"/>
      <c r="B82" s="44" t="s">
        <v>66</v>
      </c>
      <c r="C82" s="41">
        <f>IF(ISNUMBER(Inputs!C138),IF(AND(Inputs!C138&gt;0,C81&gt;=0),C81/Inputs!C138-1,"n.m."),"n.a.")</f>
        <v>0.05722460658082973</v>
      </c>
      <c r="D82" s="41">
        <f>IF(ISNUMBER(Inputs!D138),IF(AND(Inputs!D138&gt;0,D81&gt;=0),D81/Inputs!D138-1,"n.m."),"n.a.")</f>
        <v>0.03988603988603989</v>
      </c>
      <c r="E82" s="41">
        <f>IF(ISNUMBER(Inputs!E138),IF(AND(Inputs!E138&gt;0,E81&gt;=0),E81/Inputs!E138-1,"n.m."),"n.a.")</f>
        <v>0.04194260485651213</v>
      </c>
      <c r="F82" s="41">
        <f>IF(ISNUMBER(Inputs!F138),IF(AND(Inputs!F138&gt;0,F81&gt;=0),F81/Inputs!F138-1,"n.m."),"n.a.")</f>
        <v>0.06024096385542177</v>
      </c>
      <c r="G82" s="41">
        <f>IF(ISNUMBER(Inputs!G138),IF(AND(Inputs!G138&gt;0,G81&gt;=0),G81/Inputs!G138-1,"n.m."),"n.a.")</f>
        <v>0.03719599427753928</v>
      </c>
      <c r="H82" s="40">
        <f>IF(ISNUMBER(C81),IF(AND(C81&gt;0,H81&gt;=0),H81/C81-1,"n.m."),"n.a.")</f>
        <v>0.00531058264221107</v>
      </c>
      <c r="I82" s="7"/>
    </row>
    <row r="83">
      <c r="A83" s="7"/>
      <c r="B83" s="48" t="s">
        <v>78</v>
      </c>
      <c r="C83" s="29">
        <f>IF(ISNUMBER(Inputs!G138),C81-Inputs!G138,"n.a.")</f>
        <v>40</v>
      </c>
      <c r="D83" s="12">
        <f>IF(ISNUMBER(C81),D81-C81,"n.a.")</f>
        <v>-9</v>
      </c>
      <c r="E83" s="12"/>
      <c r="F83" s="12">
        <f>IF(ISNUMBER(D81),F81-D81,"n.a.")</f>
        <v>-26</v>
      </c>
      <c r="G83" s="12">
        <f>IF(ISNUMBER(F81),G81-F81,"n.a.")</f>
        <v>21</v>
      </c>
      <c r="H83" s="42">
        <f>IF(ISNUMBER(G81),H81-G81,"n.a.")</f>
        <v>17.92452057259402</v>
      </c>
      <c r="I83" s="7"/>
    </row>
    <row r="84">
      <c r="A84" s="7"/>
      <c r="B84" s="44" t="s">
        <v>67</v>
      </c>
      <c r="C84" s="41">
        <f>IF(ISNUMBER(Inputs!G138),IF(AND(Inputs!G138&gt;0,C81&gt;=0),C81/Inputs!G138-1,"n.m."),"n.a.")</f>
        <v>0.05722460658082973</v>
      </c>
      <c r="D84" s="24">
        <f>IF(ISNUMBER(C81),IF(AND(C81&gt;0,D81&gt;=0),D81/C81-1,"n.m."),"n.a.")</f>
        <v>-0.012178619756427644</v>
      </c>
      <c r="E84" s="24"/>
      <c r="F84" s="24">
        <f>IF(ISNUMBER(D81),IF(AND(D81&gt;0,F81&gt;=0),F81/D81-1,"n.m."),"n.a.")</f>
        <v>-0.03561643835616435</v>
      </c>
      <c r="G84" s="24">
        <f>IF(ISNUMBER(F81),IF(AND(F81&gt;0,G81&gt;=0),G81/F81-1,"n.m."),"n.a.")</f>
        <v>0.029829545454545414</v>
      </c>
      <c r="H84" s="40">
        <f>IF(ISNUMBER(G81),IF(AND(G81&gt;0,H81&gt;=0),H81/G81-1,"n.m."),"n.a.")</f>
        <v>0.024723476651853815</v>
      </c>
      <c r="I84" s="7"/>
    </row>
    <row r="85">
      <c r="A85" s="7"/>
      <c r="B85" s="44" t="s">
        <v>198</v>
      </c>
      <c r="C85" s="41">
        <f>C81/'Income Statement'!C169</f>
        <v>0.38569937369519836</v>
      </c>
      <c r="D85" s="41">
        <f>D81/'Income Statement'!D169</f>
        <v>0.3800104112441437</v>
      </c>
      <c r="E85" s="41">
        <f>E81/'Income Statement'!E169</f>
        <v>0.37629550890247143</v>
      </c>
      <c r="F85" s="41">
        <f>F81/'Income Statement'!F169</f>
        <v>0.3758675920982381</v>
      </c>
      <c r="G85" s="41">
        <f>G81/'Income Statement'!G169</f>
        <v>0.3801782905086523</v>
      </c>
      <c r="H85" s="59">
        <f>H81/'Income Statement'!H169</f>
        <v>0.37776488694860144</v>
      </c>
      <c r="I85" s="7"/>
    </row>
    <row r="86">
      <c r="A86" s="7"/>
      <c r="B86" s="69" t="s">
        <v>69</v>
      </c>
      <c r="C86" s="38" t="str">
        <f>"n.a."</f>
        <v>n.a.</v>
      </c>
      <c r="D86" s="38">
        <f>IF(AND(ISNUMBER(D85),ISNUMBER(C85)),(D85-C85)*10000,"n.a.")</f>
        <v>-56.889624510546575</v>
      </c>
      <c r="E86" s="38"/>
      <c r="F86" s="38">
        <f>IF(AND(ISNUMBER(F85),ISNUMBER(D85)),(F85-D85)*10000,"n.a.")</f>
        <v>-41.42819145905585</v>
      </c>
      <c r="G86" s="38">
        <f>IF(AND(ISNUMBER(G85),ISNUMBER(F85)),(G85-F85)*10000,"n.a.")</f>
        <v>43.10698410414204</v>
      </c>
      <c r="H86" s="67">
        <f>IF(AND(ISNUMBER(H85),ISNUMBER(G85)),(H85-G85)*10000,"n.a.")</f>
        <v>-24.134035600508753</v>
      </c>
      <c r="I86" s="7"/>
    </row>
    <row r="87">
      <c r="A87" s="7"/>
      <c r="B87" s="44" t="s">
        <v>70</v>
      </c>
      <c r="C87" s="52">
        <v>0</v>
      </c>
      <c r="D87" s="52">
        <v>0</v>
      </c>
      <c r="E87" s="52">
        <v>0</v>
      </c>
      <c r="F87" s="52">
        <v>0</v>
      </c>
      <c r="G87" s="52">
        <v>0</v>
      </c>
      <c r="H87" s="40" t="str">
        <f>"unavailable"</f>
        <v>unavailable</v>
      </c>
      <c r="I87" s="7"/>
    </row>
    <row r="88">
      <c r="A88" s="7"/>
      <c r="B88" s="44" t="s">
        <v>71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8">
        <v>0</v>
      </c>
      <c r="I88" s="7"/>
    </row>
    <row r="89">
      <c r="A89" s="7"/>
      <c r="B89" s="44" t="s">
        <v>72</v>
      </c>
      <c r="C89" s="24">
        <f>IF(AND(ISNUMBER(C82),ISNUMBER(C87),ISNUMBER(C88)),(1+C82)/((1+C87)*(1+C88))-1,"unavailable")</f>
        <v>0.05722460658082973</v>
      </c>
      <c r="D89" s="24">
        <f>IF(AND(ISNUMBER(D82),ISNUMBER(D87),ISNUMBER(D88)),(1+D82)/((1+D87)*(1+D88))-1,"unavailable")</f>
        <v>0.03988603988603989</v>
      </c>
      <c r="E89" s="24">
        <f>IF(AND(ISNUMBER(E82),ISNUMBER(E87),ISNUMBER(E88)),(1+E82)/((1+E87)*(1+E88))-1,"unavailable")</f>
        <v>0.04194260485651213</v>
      </c>
      <c r="F89" s="24">
        <f>IF(AND(ISNUMBER(F82),ISNUMBER(F87),ISNUMBER(F88)),(1+F82)/((1+F87)*(1+F88))-1,"unavailable")</f>
        <v>0.06024096385542177</v>
      </c>
      <c r="G89" s="24">
        <f>IF(AND(ISNUMBER(G82),ISNUMBER(G87),ISNUMBER(G88)),(1+G82)/((1+G87)*(1+G88))-1,"unavailable")</f>
        <v>0.03719599427753928</v>
      </c>
      <c r="H89" s="40" t="str">
        <f>IF(AND(ISNUMBER(H82),ISNUMBER(H87),ISNUMBER(H88)),(1+H82)/((1+H87)*(1+H88))-1,"unavailable")</f>
        <v>unavailable</v>
      </c>
      <c r="I89" s="7"/>
    </row>
    <row r="90">
      <c r="A90" s="7"/>
      <c r="B90" s="7"/>
      <c r="C90" s="7"/>
      <c r="D90" s="7"/>
      <c r="E90" s="7"/>
      <c r="F90" s="7"/>
      <c r="G90" s="7"/>
      <c r="H90" s="49"/>
      <c r="I90" s="7"/>
    </row>
    <row r="91">
      <c r="A91" s="7"/>
      <c r="B91" s="34" t="s">
        <v>199</v>
      </c>
      <c r="C91" s="9"/>
      <c r="D91" s="9"/>
      <c r="E91" s="9"/>
      <c r="F91" s="9"/>
      <c r="G91" s="9"/>
      <c r="H91" s="43"/>
      <c r="I91" s="7"/>
    </row>
    <row r="92">
      <c r="A92" s="7"/>
      <c r="B92" s="1" t="s">
        <v>200</v>
      </c>
      <c r="C92" s="31">
        <v>143</v>
      </c>
      <c r="D92" s="29">
        <f>E92-Inputs!I139</f>
        <v>139</v>
      </c>
      <c r="E92" s="31">
        <v>564</v>
      </c>
      <c r="F92" s="31">
        <v>151</v>
      </c>
      <c r="G92" s="31">
        <v>143</v>
      </c>
      <c r="H92" s="42">
        <f>G92*(1+H95)</f>
        <v>144.43</v>
      </c>
      <c r="I92" s="39" t="s">
        <v>81</v>
      </c>
    </row>
    <row r="93">
      <c r="A93" s="7"/>
      <c r="B93" s="44" t="s">
        <v>66</v>
      </c>
      <c r="C93" s="41">
        <f>IF(ISNUMBER(Inputs!C139),IF(AND(Inputs!C139&gt;0,C92&gt;=0),C92/Inputs!C139-1,"n.m."),"n.a.")</f>
        <v>0.014184397163120588</v>
      </c>
      <c r="D93" s="41">
        <f>IF(ISNUMBER(Inputs!D139),IF(AND(Inputs!D139&gt;0,D92&gt;=0),D92/Inputs!D139-1,"n.m."),"n.a.")</f>
        <v>0.03731343283582089</v>
      </c>
      <c r="E93" s="41">
        <f>IF(ISNUMBER(Inputs!E139),IF(AND(Inputs!E139&gt;0,E92&gt;=0),E92/Inputs!E139-1,"n.m."),"n.a.")</f>
        <v>0.010752688172043001</v>
      </c>
      <c r="F93" s="41">
        <f>IF(ISNUMBER(Inputs!F139),IF(AND(Inputs!F139&gt;0,F92&gt;=0),F92/Inputs!F139-1,"n.m."),"n.a.")</f>
        <v>0.04137931034482767</v>
      </c>
      <c r="G93" s="41">
        <f>IF(ISNUMBER(Inputs!G139),IF(AND(Inputs!G139&gt;0,G92&gt;=0),G92/Inputs!G139-1,"n.m."),"n.a.")</f>
        <v>0.04379562043795615</v>
      </c>
      <c r="H93" s="40">
        <f>IF(ISNUMBER(C92),IF(AND(C92&gt;0,H92&gt;=0),H92/C92-1,"n.m."),"n.a.")</f>
        <v>0.010000000000000009</v>
      </c>
      <c r="I93" s="7"/>
    </row>
    <row r="94">
      <c r="A94" s="7"/>
      <c r="B94" s="48" t="s">
        <v>78</v>
      </c>
      <c r="C94" s="29">
        <f>IF(ISNUMBER(Inputs!G139),C92-Inputs!G139,"n.a.")</f>
        <v>6</v>
      </c>
      <c r="D94" s="12">
        <f>IF(ISNUMBER(C92),D92-C92,"n.a.")</f>
        <v>-4</v>
      </c>
      <c r="E94" s="12"/>
      <c r="F94" s="12">
        <f>IF(ISNUMBER(D92),F92-D92,"n.a.")</f>
        <v>12</v>
      </c>
      <c r="G94" s="12">
        <f>IF(ISNUMBER(F92),G92-F92,"n.a.")</f>
        <v>-8</v>
      </c>
      <c r="H94" s="42">
        <f>IF(ISNUMBER(G92),H92-G92,"n.a.")</f>
        <v>1.4300000000000068</v>
      </c>
      <c r="I94" s="7"/>
    </row>
    <row r="95">
      <c r="A95" s="7"/>
      <c r="B95" s="44" t="s">
        <v>67</v>
      </c>
      <c r="C95" s="41">
        <f>IF(ISNUMBER(Inputs!G139),IF(AND(Inputs!G139&gt;0,C92&gt;=0),C92/Inputs!G139-1,"n.m."),"n.a.")</f>
        <v>0.04379562043795615</v>
      </c>
      <c r="D95" s="24">
        <f>IF(ISNUMBER(C92),IF(AND(C92&gt;0,D92&gt;=0),D92/C92-1,"n.m."),"n.a.")</f>
        <v>-0.027972027972028024</v>
      </c>
      <c r="E95" s="24"/>
      <c r="F95" s="24">
        <f>IF(ISNUMBER(D92),IF(AND(D92&gt;0,F92&gt;=0),F92/D92-1,"n.m."),"n.a.")</f>
        <v>0.08633093525179847</v>
      </c>
      <c r="G95" s="24">
        <f>IF(ISNUMBER(F92),IF(AND(F92&gt;0,G92&gt;=0),G92/F92-1,"n.m."),"n.a.")</f>
        <v>-0.052980132450331174</v>
      </c>
      <c r="H95" s="58">
        <v>0.01</v>
      </c>
      <c r="I95" s="7"/>
    </row>
    <row r="96">
      <c r="A96" s="7"/>
      <c r="B96" s="1" t="s">
        <v>201</v>
      </c>
      <c r="C96" s="31">
        <v>6</v>
      </c>
      <c r="D96" s="29">
        <f>E96-Inputs!I140</f>
        <v>7</v>
      </c>
      <c r="E96" s="31">
        <v>22</v>
      </c>
      <c r="F96" s="31">
        <v>5</v>
      </c>
      <c r="G96" s="31">
        <v>6</v>
      </c>
      <c r="H96" s="42">
        <f>G96*(1+H99)</f>
        <v>6</v>
      </c>
      <c r="I96" s="39" t="s">
        <v>81</v>
      </c>
    </row>
    <row r="97">
      <c r="A97" s="7"/>
      <c r="B97" s="44" t="s">
        <v>66</v>
      </c>
      <c r="C97" s="41">
        <f>IF(ISNUMBER(Inputs!C140),IF(AND(Inputs!C140&gt;0,C96&gt;=0),C96/Inputs!C140-1,"n.m."),"n.a.")</f>
        <v>0.19999999999999996</v>
      </c>
      <c r="D97" s="41">
        <f>IF(ISNUMBER(Inputs!D140),IF(AND(Inputs!D140&gt;0,D96&gt;=0),D96/Inputs!D140-1,"n.m."),"n.a.")</f>
        <v>0.3999999999999999</v>
      </c>
      <c r="E97" s="41">
        <f>IF(ISNUMBER(Inputs!E140),IF(AND(Inputs!E140&gt;0,E96&gt;=0),E96/Inputs!E140-1,"n.m."),"n.a.")</f>
        <v>0.1578947368421053</v>
      </c>
      <c r="F97" s="41">
        <f>IF(ISNUMBER(Inputs!F140),IF(AND(Inputs!F140&gt;0,F96&gt;=0),F96/Inputs!F140-1,"n.m."),"n.a.")</f>
        <v>0</v>
      </c>
      <c r="G97" s="41">
        <f>IF(ISNUMBER(Inputs!G140),IF(AND(Inputs!G140&gt;0,G96&gt;=0),G96/Inputs!G140-1,"n.m."),"n.a.")</f>
        <v>0.19999999999999996</v>
      </c>
      <c r="H97" s="40">
        <f>IF(ISNUMBER(C96),IF(AND(C96&gt;0,H96&gt;=0),H96/C96-1,"n.m."),"n.a.")</f>
        <v>0</v>
      </c>
      <c r="I97" s="7"/>
    </row>
    <row r="98">
      <c r="A98" s="7"/>
      <c r="B98" s="48" t="s">
        <v>78</v>
      </c>
      <c r="C98" s="29">
        <f>IF(ISNUMBER(Inputs!G140),C96-Inputs!G140,"n.a.")</f>
        <v>1</v>
      </c>
      <c r="D98" s="12">
        <f>IF(ISNUMBER(C96),D96-C96,"n.a.")</f>
        <v>1</v>
      </c>
      <c r="E98" s="12"/>
      <c r="F98" s="12">
        <f>IF(ISNUMBER(D96),F96-D96,"n.a.")</f>
        <v>-2</v>
      </c>
      <c r="G98" s="12">
        <f>IF(ISNUMBER(F96),G96-F96,"n.a.")</f>
        <v>1</v>
      </c>
      <c r="H98" s="42">
        <f>IF(ISNUMBER(G96),H96-G96,"n.a.")</f>
        <v>0</v>
      </c>
      <c r="I98" s="7"/>
    </row>
    <row r="99">
      <c r="A99" s="7"/>
      <c r="B99" s="44" t="s">
        <v>67</v>
      </c>
      <c r="C99" s="41">
        <f>IF(ISNUMBER(Inputs!G140),IF(AND(Inputs!G140&gt;0,C96&gt;=0),C96/Inputs!G140-1,"n.m."),"n.a.")</f>
        <v>0.19999999999999996</v>
      </c>
      <c r="D99" s="24">
        <f>IF(ISNUMBER(C96),IF(AND(C96&gt;0,D96&gt;=0),D96/C96-1,"n.m."),"n.a.")</f>
        <v>0.16666666666666674</v>
      </c>
      <c r="E99" s="24"/>
      <c r="F99" s="24">
        <f>IF(ISNUMBER(D96),IF(AND(D96&gt;0,F96&gt;=0),F96/D96-1,"n.m."),"n.a.")</f>
        <v>-0.2857142857142857</v>
      </c>
      <c r="G99" s="24">
        <f>IF(ISNUMBER(F96),IF(AND(F96&gt;0,G96&gt;=0),G96/F96-1,"n.m."),"n.a.")</f>
        <v>0.19999999999999996</v>
      </c>
      <c r="H99" s="58">
        <v>0</v>
      </c>
      <c r="I99" s="7"/>
    </row>
    <row r="100">
      <c r="A100" s="7"/>
      <c r="B100" s="1" t="s">
        <v>202</v>
      </c>
      <c r="C100" s="31">
        <v>6</v>
      </c>
      <c r="D100" s="29">
        <f>E100-Inputs!I141</f>
        <v>7</v>
      </c>
      <c r="E100" s="31">
        <v>27</v>
      </c>
      <c r="F100" s="31">
        <v>7</v>
      </c>
      <c r="G100" s="31">
        <v>7</v>
      </c>
      <c r="H100" s="42">
        <f>G100*(1+H103)</f>
        <v>7</v>
      </c>
      <c r="I100" s="39" t="s">
        <v>81</v>
      </c>
    </row>
    <row r="101">
      <c r="A101" s="7"/>
      <c r="B101" s="44" t="s">
        <v>66</v>
      </c>
      <c r="C101" s="41">
        <f>IF(ISNUMBER(Inputs!C141),IF(AND(Inputs!C141&gt;0,C100&gt;=0),C100/Inputs!C141-1,"n.m."),"n.a.")</f>
        <v>-0.1428571428571429</v>
      </c>
      <c r="D101" s="41">
        <f>IF(ISNUMBER(Inputs!D141),IF(AND(Inputs!D141&gt;0,D100&gt;=0),D100/Inputs!D141-1,"n.m."),"n.a.")</f>
        <v>0</v>
      </c>
      <c r="E101" s="41">
        <f>IF(ISNUMBER(Inputs!E141),IF(AND(Inputs!E141&gt;0,E100&gt;=0),E100/Inputs!E141-1,"n.m."),"n.a.")</f>
        <v>0</v>
      </c>
      <c r="F101" s="41">
        <f>IF(ISNUMBER(Inputs!F141),IF(AND(Inputs!F141&gt;0,F100&gt;=0),F100/Inputs!F141-1,"n.m."),"n.a.")</f>
        <v>0</v>
      </c>
      <c r="G101" s="41">
        <f>IF(ISNUMBER(Inputs!G141),IF(AND(Inputs!G141&gt;0,G100&gt;=0),G100/Inputs!G141-1,"n.m."),"n.a.")</f>
        <v>0</v>
      </c>
      <c r="H101" s="40">
        <f>IF(ISNUMBER(C100),IF(AND(C100&gt;0,H100&gt;=0),H100/C100-1,"n.m."),"n.a.")</f>
        <v>0.16666666666666674</v>
      </c>
      <c r="I101" s="7"/>
    </row>
    <row r="102">
      <c r="A102" s="7"/>
      <c r="B102" s="48" t="s">
        <v>78</v>
      </c>
      <c r="C102" s="29">
        <f>IF(ISNUMBER(Inputs!G141),C100-Inputs!G141,"n.a.")</f>
        <v>-1</v>
      </c>
      <c r="D102" s="12">
        <f>IF(ISNUMBER(C100),D100-C100,"n.a.")</f>
        <v>1</v>
      </c>
      <c r="E102" s="12"/>
      <c r="F102" s="12">
        <f>IF(ISNUMBER(D100),F100-D100,"n.a.")</f>
        <v>0</v>
      </c>
      <c r="G102" s="12">
        <f>IF(ISNUMBER(F100),G100-F100,"n.a.")</f>
        <v>0</v>
      </c>
      <c r="H102" s="42">
        <f>IF(ISNUMBER(G100),H100-G100,"n.a.")</f>
        <v>0</v>
      </c>
      <c r="I102" s="7"/>
    </row>
    <row r="103">
      <c r="A103" s="7"/>
      <c r="B103" s="44" t="s">
        <v>67</v>
      </c>
      <c r="C103" s="41">
        <f>IF(ISNUMBER(Inputs!G141),IF(AND(Inputs!G141&gt;0,C100&gt;=0),C100/Inputs!G141-1,"n.m."),"n.a.")</f>
        <v>-0.1428571428571429</v>
      </c>
      <c r="D103" s="24">
        <f>IF(ISNUMBER(C100),IF(AND(C100&gt;0,D100&gt;=0),D100/C100-1,"n.m."),"n.a.")</f>
        <v>0.16666666666666674</v>
      </c>
      <c r="E103" s="24"/>
      <c r="F103" s="24">
        <f>IF(ISNUMBER(D100),IF(AND(D100&gt;0,F100&gt;=0),F100/D100-1,"n.m."),"n.a.")</f>
        <v>0</v>
      </c>
      <c r="G103" s="24">
        <f>IF(ISNUMBER(F100),IF(AND(F100&gt;0,G100&gt;=0),G100/F100-1,"n.m."),"n.a.")</f>
        <v>0</v>
      </c>
      <c r="H103" s="58">
        <v>0</v>
      </c>
      <c r="I103" s="7"/>
    </row>
    <row r="104">
      <c r="A104" s="7"/>
      <c r="B104" s="1" t="s">
        <v>203</v>
      </c>
      <c r="C104" s="31">
        <v>165</v>
      </c>
      <c r="D104" s="29">
        <f>E104-Inputs!I142</f>
        <v>167</v>
      </c>
      <c r="E104" s="31">
        <v>647</v>
      </c>
      <c r="F104" s="31">
        <v>168</v>
      </c>
      <c r="G104" s="31">
        <v>172</v>
      </c>
      <c r="H104" s="42">
        <f>G104*(1+H107)</f>
        <v>173.72</v>
      </c>
      <c r="I104" s="39" t="s">
        <v>81</v>
      </c>
    </row>
    <row r="105">
      <c r="A105" s="7"/>
      <c r="B105" s="44" t="s">
        <v>66</v>
      </c>
      <c r="C105" s="41">
        <f>IF(ISNUMBER(Inputs!C142),IF(AND(Inputs!C142&gt;0,C104&gt;=0),C104/Inputs!C142-1,"n.m."),"n.a.")</f>
        <v>-0.0060240963855421326</v>
      </c>
      <c r="D105" s="41">
        <f>IF(ISNUMBER(Inputs!D142),IF(AND(Inputs!D142&gt;0,D104&gt;=0),D104/Inputs!D142-1,"n.m."),"n.a.")</f>
        <v>-0.04022988505747127</v>
      </c>
      <c r="E105" s="41">
        <f>IF(ISNUMBER(Inputs!E142),IF(AND(Inputs!E142&gt;0,E104&gt;=0),E104/Inputs!E142-1,"n.m."),"n.a.")</f>
        <v>-0.028528528528528496</v>
      </c>
      <c r="F105" s="41">
        <f>IF(ISNUMBER(Inputs!F142),IF(AND(Inputs!F142&gt;0,F104&gt;=0),F104/Inputs!F142-1,"n.m."),"n.a.")</f>
        <v>0.0980392156862746</v>
      </c>
      <c r="G105" s="41">
        <f>IF(ISNUMBER(Inputs!G142),IF(AND(Inputs!G142&gt;0,G104&gt;=0),G104/Inputs!G142-1,"n.m."),"n.a.")</f>
        <v>0.06172839506172845</v>
      </c>
      <c r="H105" s="40">
        <f>IF(ISNUMBER(C104),IF(AND(C104&gt;0,H104&gt;=0),H104/C104-1,"n.m."),"n.a.")</f>
        <v>0.05284848484848492</v>
      </c>
      <c r="I105" s="7"/>
    </row>
    <row r="106">
      <c r="A106" s="7"/>
      <c r="B106" s="48" t="s">
        <v>78</v>
      </c>
      <c r="C106" s="29">
        <f>IF(ISNUMBER(Inputs!G142),C104-Inputs!G142,"n.a.")</f>
        <v>3</v>
      </c>
      <c r="D106" s="12">
        <f>IF(ISNUMBER(C104),D104-C104,"n.a.")</f>
        <v>2</v>
      </c>
      <c r="E106" s="12"/>
      <c r="F106" s="12">
        <f>IF(ISNUMBER(D104),F104-D104,"n.a.")</f>
        <v>1</v>
      </c>
      <c r="G106" s="12">
        <f>IF(ISNUMBER(F104),G104-F104,"n.a.")</f>
        <v>4</v>
      </c>
      <c r="H106" s="42">
        <f>IF(ISNUMBER(G104),H104-G104,"n.a.")</f>
        <v>1.7199999999999989</v>
      </c>
      <c r="I106" s="7"/>
    </row>
    <row r="107">
      <c r="A107" s="7"/>
      <c r="B107" s="44" t="s">
        <v>67</v>
      </c>
      <c r="C107" s="41">
        <f>IF(ISNUMBER(Inputs!G142),IF(AND(Inputs!G142&gt;0,C104&gt;=0),C104/Inputs!G142-1,"n.m."),"n.a.")</f>
        <v>0.0185185185185186</v>
      </c>
      <c r="D107" s="24">
        <f>IF(ISNUMBER(C104),IF(AND(C104&gt;0,D104&gt;=0),D104/C104-1,"n.m."),"n.a.")</f>
        <v>0.0121212121212122</v>
      </c>
      <c r="E107" s="24"/>
      <c r="F107" s="24">
        <f>IF(ISNUMBER(D104),IF(AND(D104&gt;0,F104&gt;=0),F104/D104-1,"n.m."),"n.a.")</f>
        <v>0.0059880239520957446</v>
      </c>
      <c r="G107" s="24">
        <f>IF(ISNUMBER(F104),IF(AND(F104&gt;0,G104&gt;=0),G104/F104-1,"n.m."),"n.a.")</f>
        <v>0.023809523809523725</v>
      </c>
      <c r="H107" s="58">
        <v>0.01</v>
      </c>
      <c r="I107" s="7"/>
    </row>
    <row r="108">
      <c r="A108" s="7"/>
      <c r="B108" s="34" t="s">
        <v>204</v>
      </c>
      <c r="C108" s="35">
        <f>C92+C96+C100+C104</f>
        <v>320</v>
      </c>
      <c r="D108" s="35">
        <f>D92+D96+D100+D104</f>
        <v>320</v>
      </c>
      <c r="E108" s="35">
        <f>E92+E96+E100+E104</f>
        <v>1260</v>
      </c>
      <c r="F108" s="35">
        <f>F92+F96+F100+F104</f>
        <v>331</v>
      </c>
      <c r="G108" s="35">
        <f>G92+G96+G100+G104</f>
        <v>328</v>
      </c>
      <c r="H108" s="50">
        <f>H92+H96+H100+H104</f>
        <v>331.15</v>
      </c>
      <c r="I108" s="7"/>
    </row>
    <row r="109">
      <c r="A109" s="7"/>
      <c r="B109" s="44" t="s">
        <v>66</v>
      </c>
      <c r="C109" s="41">
        <f>IF(ISNUMBER(Inputs!C143),IF(AND(Inputs!C143&gt;0,C108&gt;=0),C108/Inputs!C143-1,"n.m."),"n.a.")</f>
        <v>0.0031347962382444194</v>
      </c>
      <c r="D109" s="41">
        <f>IF(ISNUMBER(Inputs!D143),IF(AND(Inputs!D143&gt;0,D108&gt;=0),D108/Inputs!D143-1,"n.m."),"n.a.")</f>
        <v>0</v>
      </c>
      <c r="E109" s="41">
        <f>IF(ISNUMBER(Inputs!E143),IF(AND(Inputs!E143&gt;0,E108&gt;=0),E108/Inputs!E143-1,"n.m."),"n.a.")</f>
        <v>-0.007874015748031482</v>
      </c>
      <c r="F109" s="41">
        <f>IF(ISNUMBER(Inputs!F143),IF(AND(Inputs!F143&gt;0,F108&gt;=0),F108/Inputs!F143-1,"n.m."),"n.a.")</f>
        <v>0.06774193548387086</v>
      </c>
      <c r="G109" s="41">
        <f>IF(ISNUMBER(Inputs!G143),IF(AND(Inputs!G143&gt;0,G108&gt;=0),G108/Inputs!G143-1,"n.m."),"n.a.")</f>
        <v>0.05466237942122176</v>
      </c>
      <c r="H109" s="40">
        <f>IF(ISNUMBER(C108),IF(AND(C108&gt;0,H108&gt;=0),H108/C108-1,"n.m."),"n.a.")</f>
        <v>0.03484374999999984</v>
      </c>
      <c r="I109" s="7"/>
    </row>
    <row r="110">
      <c r="A110" s="7"/>
      <c r="B110" s="48" t="s">
        <v>78</v>
      </c>
      <c r="C110" s="29">
        <f>IF(ISNUMBER(Inputs!G143),C108-Inputs!G143,"n.a.")</f>
        <v>9</v>
      </c>
      <c r="D110" s="12">
        <f>IF(ISNUMBER(C108),D108-C108,"n.a.")</f>
        <v>0</v>
      </c>
      <c r="E110" s="12"/>
      <c r="F110" s="12">
        <f>IF(ISNUMBER(D108),F108-D108,"n.a.")</f>
        <v>11</v>
      </c>
      <c r="G110" s="12">
        <f>IF(ISNUMBER(F108),G108-F108,"n.a.")</f>
        <v>-3</v>
      </c>
      <c r="H110" s="42">
        <f>IF(ISNUMBER(G108),H108-G108,"n.a.")</f>
        <v>3.1499999999999773</v>
      </c>
      <c r="I110" s="7"/>
    </row>
    <row r="111">
      <c r="A111" s="7"/>
      <c r="B111" s="75" t="s">
        <v>205</v>
      </c>
      <c r="C111" s="24">
        <f>C108/C81</f>
        <v>0.4330175913396482</v>
      </c>
      <c r="D111" s="24">
        <f>D108/D81</f>
        <v>0.4383561643835616</v>
      </c>
      <c r="E111" s="24">
        <f>E108/E81</f>
        <v>0.4449152542372881</v>
      </c>
      <c r="F111" s="24">
        <f>F108/F81</f>
        <v>0.47017045454545453</v>
      </c>
      <c r="G111" s="24">
        <f>G108/G81</f>
        <v>0.45241379310344826</v>
      </c>
      <c r="H111" s="40">
        <f>H108/H81</f>
        <v>0.44573841733581876</v>
      </c>
      <c r="I111" s="7"/>
    </row>
    <row r="112">
      <c r="A112" s="7"/>
      <c r="B112" s="44" t="s">
        <v>69</v>
      </c>
      <c r="C112" s="38" t="str">
        <f>"n.a."</f>
        <v>n.a.</v>
      </c>
      <c r="D112" s="38">
        <f>IF(AND(ISNUMBER(D111),ISNUMBER(C111)),(D111-C111)*10000,"n.a.")</f>
        <v>53.38573043913441</v>
      </c>
      <c r="E112" s="38"/>
      <c r="F112" s="38">
        <f>IF(AND(ISNUMBER(F111),ISNUMBER(D111)),(F111-D111)*10000,"n.a.")</f>
        <v>318.1429016189291</v>
      </c>
      <c r="G112" s="38">
        <f>IF(AND(ISNUMBER(G111),ISNUMBER(F111)),(G111-F111)*10000,"n.a.")</f>
        <v>-177.5666144200627</v>
      </c>
      <c r="H112" s="67">
        <f>IF(AND(ISNUMBER(H111),ISNUMBER(G111)),(H111-G111)*10000,"n.a.")</f>
        <v>-66.753757676295</v>
      </c>
      <c r="I112" s="7"/>
    </row>
    <row r="113">
      <c r="A113" s="7"/>
      <c r="B113" s="34" t="s">
        <v>206</v>
      </c>
      <c r="C113" s="35">
        <f>C81-C108</f>
        <v>419</v>
      </c>
      <c r="D113" s="35">
        <f>D81-D108</f>
        <v>410</v>
      </c>
      <c r="E113" s="35">
        <f>E81-E108</f>
        <v>1572</v>
      </c>
      <c r="F113" s="35">
        <f>F81-F108</f>
        <v>373</v>
      </c>
      <c r="G113" s="35">
        <f>G81-G108</f>
        <v>397</v>
      </c>
      <c r="H113" s="50">
        <f>H81-H108</f>
        <v>411.77452057259404</v>
      </c>
      <c r="I113" s="7"/>
    </row>
    <row r="114">
      <c r="A114" s="7"/>
      <c r="B114" s="44" t="s">
        <v>66</v>
      </c>
      <c r="C114" s="41">
        <f>IF(ISNUMBER(Inputs!C144),IF(AND(Inputs!C144&gt;0,C113&gt;=0),C113/Inputs!C144-1,"n.m."),"n.a.")</f>
        <v>0.10263157894736841</v>
      </c>
      <c r="D114" s="41">
        <f>IF(ISNUMBER(Inputs!D144),IF(AND(Inputs!D144&gt;0,D113&gt;=0),D113/Inputs!D144-1,"n.m."),"n.a.")</f>
        <v>0.0732984293193717</v>
      </c>
      <c r="E114" s="41">
        <f>IF(ISNUMBER(Inputs!E144),IF(AND(Inputs!E144&gt;0,E113&gt;=0),E113/Inputs!E144-1,"n.m."),"n.a.")</f>
        <v>0.08563535911602216</v>
      </c>
      <c r="F114" s="41">
        <f>IF(ISNUMBER(Inputs!F144),IF(AND(Inputs!F144&gt;0,F113&gt;=0),F113/Inputs!F144-1,"n.m."),"n.a.")</f>
        <v>0.053672316384180796</v>
      </c>
      <c r="G114" s="41">
        <f>IF(ISNUMBER(Inputs!G144),IF(AND(Inputs!G144&gt;0,G113&gt;=0),G113/Inputs!G144-1,"n.m."),"n.a.")</f>
        <v>0.02319587628865971</v>
      </c>
      <c r="H114" s="40">
        <f>IF(ISNUMBER(C113),IF(AND(C113&gt;0,H113&gt;=0),H113/C113-1,"n.m."),"n.a.")</f>
        <v>-0.017244580972329282</v>
      </c>
      <c r="I114" s="7"/>
    </row>
    <row r="115">
      <c r="A115" s="7"/>
      <c r="B115" s="48" t="s">
        <v>78</v>
      </c>
      <c r="C115" s="29">
        <f>IF(ISNUMBER(Inputs!G144),C113-Inputs!G144,"n.a.")</f>
        <v>31</v>
      </c>
      <c r="D115" s="12">
        <f>IF(ISNUMBER(C113),D113-C113,"n.a.")</f>
        <v>-9</v>
      </c>
      <c r="E115" s="12"/>
      <c r="F115" s="12">
        <f>IF(ISNUMBER(D113),F113-D113,"n.a.")</f>
        <v>-37</v>
      </c>
      <c r="G115" s="12">
        <f>IF(ISNUMBER(F113),G113-F113,"n.a.")</f>
        <v>24</v>
      </c>
      <c r="H115" s="42">
        <f>IF(ISNUMBER(G113),H113-G113,"n.a.")</f>
        <v>14.774520572594042</v>
      </c>
      <c r="I115" s="7"/>
    </row>
    <row r="116">
      <c r="A116" s="7"/>
      <c r="B116" s="1" t="s">
        <v>207</v>
      </c>
      <c r="C116" s="31">
        <v>84</v>
      </c>
      <c r="D116" s="29">
        <f>E116-Inputs!I145</f>
        <v>78</v>
      </c>
      <c r="E116" s="31">
        <v>337</v>
      </c>
      <c r="F116" s="31">
        <v>71</v>
      </c>
      <c r="G116" s="31">
        <v>51</v>
      </c>
      <c r="H116" s="42">
        <f>H119*H9*H$6/$I$6</f>
        <v>52.10289586849314</v>
      </c>
      <c r="I116" s="39" t="s">
        <v>81</v>
      </c>
    </row>
    <row r="117">
      <c r="A117" s="7"/>
      <c r="B117" s="44" t="s">
        <v>66</v>
      </c>
      <c r="C117" s="41">
        <f>IF(ISNUMBER(Inputs!C145),IF(AND(Inputs!C145&gt;0,C116&gt;=0),C116/Inputs!C145-1,"n.m."),"n.a.")</f>
        <v>-0.07692307692307687</v>
      </c>
      <c r="D117" s="41">
        <f>IF(ISNUMBER(Inputs!D145),IF(AND(Inputs!D145&gt;0,D116&gt;=0),D116/Inputs!D145-1,"n.m."),"n.a.")</f>
        <v>-0.1333333333333333</v>
      </c>
      <c r="E117" s="41">
        <f>IF(ISNUMBER(Inputs!E145),IF(AND(Inputs!E145&gt;0,E116&gt;=0),E116/Inputs!E145-1,"n.m."),"n.a.")</f>
        <v>-0.06906077348066297</v>
      </c>
      <c r="F117" s="41">
        <f>IF(ISNUMBER(Inputs!F145),IF(AND(Inputs!F145&gt;0,F116&gt;=0),F116/Inputs!F145-1,"n.m."),"n.a.")</f>
        <v>0.0923076923076922</v>
      </c>
      <c r="G117" s="41">
        <f>IF(ISNUMBER(Inputs!G145),IF(AND(Inputs!G145&gt;0,G116&gt;=0),G116/Inputs!G145-1,"n.m."),"n.a.")</f>
        <v>-0.0892857142857143</v>
      </c>
      <c r="H117" s="40">
        <f>IF(ISNUMBER(C116),IF(AND(C116&gt;0,H116&gt;=0),H116/C116-1,"n.m."),"n.a.")</f>
        <v>-0.3797274301369864</v>
      </c>
      <c r="I117" s="7"/>
    </row>
    <row r="118">
      <c r="A118" s="7"/>
      <c r="B118" s="48" t="s">
        <v>78</v>
      </c>
      <c r="C118" s="29">
        <f>IF(ISNUMBER(Inputs!G145),C116-Inputs!G145,"n.a.")</f>
        <v>28</v>
      </c>
      <c r="D118" s="12">
        <f>IF(ISNUMBER(C116),D116-C116,"n.a.")</f>
        <v>-6</v>
      </c>
      <c r="E118" s="12"/>
      <c r="F118" s="12">
        <f>IF(ISNUMBER(D116),F116-D116,"n.a.")</f>
        <v>-7</v>
      </c>
      <c r="G118" s="12">
        <f>IF(ISNUMBER(F116),G116-F116,"n.a.")</f>
        <v>-20</v>
      </c>
      <c r="H118" s="42">
        <f>IF(ISNUMBER(G116),H116-G116,"n.a.")</f>
        <v>1.1028958684931425</v>
      </c>
      <c r="I118" s="7"/>
    </row>
    <row r="119">
      <c r="A119" s="7"/>
      <c r="B119" s="44" t="s">
        <v>208</v>
      </c>
      <c r="C119" s="60">
        <f>C116/C9*$I$6/C$6</f>
        <v>0.004722616372599337</v>
      </c>
      <c r="D119" s="60">
        <f>D116/D9*$I$6/D$6</f>
        <v>0.004432740749436799</v>
      </c>
      <c r="E119" s="60">
        <f>E116/E9*$I$6/E$6</f>
        <v>0.004823795482522687</v>
      </c>
      <c r="F119" s="60">
        <f>F116/F9*$I$6/F$6</f>
        <v>0.004043993152598127</v>
      </c>
      <c r="G119" s="60">
        <f>G116/G9*$I$6/G$6</f>
        <v>0.002793015286188416</v>
      </c>
      <c r="H119" s="66">
        <v>0.0028</v>
      </c>
      <c r="I119" s="7"/>
    </row>
    <row r="120">
      <c r="A120" s="7"/>
      <c r="B120" s="69" t="s">
        <v>69</v>
      </c>
      <c r="C120" s="38" t="str">
        <f>"n.a."</f>
        <v>n.a.</v>
      </c>
      <c r="D120" s="38">
        <f>IF(AND(ISNUMBER(D119),ISNUMBER(C119)),(D119-C119)*10000,"n.a.")</f>
        <v>-2.898756231625374</v>
      </c>
      <c r="E120" s="38"/>
      <c r="F120" s="38">
        <f>IF(AND(ISNUMBER(F119),ISNUMBER(D119)),(F119-D119)*10000,"n.a.")</f>
        <v>-3.887475968386723</v>
      </c>
      <c r="G120" s="38">
        <f>IF(AND(ISNUMBER(G119),ISNUMBER(F119)),(G119-F119)*10000,"n.a.")</f>
        <v>-12.509778664097109</v>
      </c>
      <c r="H120" s="67">
        <f>IF(AND(ISNUMBER(H119),ISNUMBER(G119)),(H119-G119)*10000,"n.a.")</f>
        <v>0.0698471381158387</v>
      </c>
      <c r="I120" s="7"/>
    </row>
    <row r="121">
      <c r="A121" s="7"/>
      <c r="B121" s="34" t="s">
        <v>209</v>
      </c>
      <c r="C121" s="35">
        <f>C113-C116</f>
        <v>335</v>
      </c>
      <c r="D121" s="35">
        <f>D113-D116</f>
        <v>332</v>
      </c>
      <c r="E121" s="35">
        <f>E113-E116</f>
        <v>1235</v>
      </c>
      <c r="F121" s="35">
        <f>F113-F116</f>
        <v>302</v>
      </c>
      <c r="G121" s="35">
        <f>G113-G116</f>
        <v>346</v>
      </c>
      <c r="H121" s="50">
        <f>H113-H116</f>
        <v>359.6716247041009</v>
      </c>
      <c r="I121" s="7"/>
    </row>
    <row r="122">
      <c r="A122" s="7"/>
      <c r="B122" s="44" t="s">
        <v>66</v>
      </c>
      <c r="C122" s="41">
        <f>IF(ISNUMBER(Inputs!C146),IF(AND(Inputs!C146&gt;0,C121&gt;=0),C121/Inputs!C146-1,"n.m."),"n.a.")</f>
        <v>0.15916955017301038</v>
      </c>
      <c r="D122" s="41">
        <f>IF(ISNUMBER(Inputs!D146),IF(AND(Inputs!D146&gt;0,D121&gt;=0),D121/Inputs!D146-1,"n.m."),"n.a.")</f>
        <v>0.13698630136986312</v>
      </c>
      <c r="E122" s="41">
        <f>IF(ISNUMBER(Inputs!E146),IF(AND(Inputs!E146&gt;0,E121&gt;=0),E121/Inputs!E146-1,"n.m."),"n.a.")</f>
        <v>0.1372007366482504</v>
      </c>
      <c r="F122" s="41">
        <f>IF(ISNUMBER(Inputs!F146),IF(AND(Inputs!F146&gt;0,F121&gt;=0),F121/Inputs!F146-1,"n.m."),"n.a.")</f>
        <v>0.04498269896193774</v>
      </c>
      <c r="G122" s="41">
        <f>IF(ISNUMBER(Inputs!G146),IF(AND(Inputs!G146&gt;0,G121&gt;=0),G121/Inputs!G146-1,"n.m."),"n.a.")</f>
        <v>0.04216867469879526</v>
      </c>
      <c r="H122" s="40">
        <f>IF(ISNUMBER(C121),IF(AND(C121&gt;0,H121&gt;=0),H121/C121-1,"n.m."),"n.a.")</f>
        <v>0.07364664090776385</v>
      </c>
      <c r="I122" s="7"/>
    </row>
    <row r="123">
      <c r="A123" s="7"/>
      <c r="B123" s="1" t="s">
        <v>210</v>
      </c>
      <c r="C123" s="31">
        <v>84</v>
      </c>
      <c r="D123" s="29">
        <f>E123-Inputs!I147</f>
        <v>83</v>
      </c>
      <c r="E123" s="31">
        <v>309</v>
      </c>
      <c r="F123" s="31">
        <v>75</v>
      </c>
      <c r="G123" s="31">
        <v>86</v>
      </c>
      <c r="H123" s="42">
        <f>H121*H125</f>
        <v>89.91790617602523</v>
      </c>
      <c r="I123" s="39" t="s">
        <v>81</v>
      </c>
    </row>
    <row r="124">
      <c r="A124" s="7"/>
      <c r="B124" s="44" t="s">
        <v>66</v>
      </c>
      <c r="C124" s="41">
        <f>IF(ISNUMBER(Inputs!C147),IF(AND(Inputs!C147&gt;0,C123&gt;=0),C123/Inputs!C147-1,"n.m."),"n.a.")</f>
        <v>0.15068493150684925</v>
      </c>
      <c r="D124" s="41">
        <f>IF(ISNUMBER(Inputs!D147),IF(AND(Inputs!D147&gt;0,D123&gt;=0),D123/Inputs!D147-1,"n.m."),"n.a.")</f>
        <v>0.15277777777777768</v>
      </c>
      <c r="E124" s="41">
        <f>IF(ISNUMBER(Inputs!E147),IF(AND(Inputs!E147&gt;0,E123&gt;=0),E123/Inputs!E147-1,"n.m."),"n.a.")</f>
        <v>0.14022140221402224</v>
      </c>
      <c r="F124" s="41">
        <f>IF(ISNUMBER(Inputs!F147),IF(AND(Inputs!F147&gt;0,F123&gt;=0),F123/Inputs!F147-1,"n.m."),"n.a.")</f>
        <v>0.04166666666666674</v>
      </c>
      <c r="G124" s="41">
        <f>IF(ISNUMBER(Inputs!G147),IF(AND(Inputs!G147&gt;0,G123&gt;=0),G123/Inputs!G147-1,"n.m."),"n.a.")</f>
        <v>0.03614457831325302</v>
      </c>
      <c r="H124" s="40">
        <f>IF(ISNUMBER(C123),IF(AND(C123&gt;0,H123&gt;=0),H123/C123-1,"n.m."),"n.a.")</f>
        <v>0.07045126400030033</v>
      </c>
      <c r="I124" s="7"/>
    </row>
    <row r="125">
      <c r="A125" s="7"/>
      <c r="B125" s="44" t="s">
        <v>211</v>
      </c>
      <c r="C125" s="24">
        <f>C123/C121</f>
        <v>0.2507462686567164</v>
      </c>
      <c r="D125" s="24">
        <f>D123/D121</f>
        <v>0.25</v>
      </c>
      <c r="E125" s="24">
        <f>E123/E121</f>
        <v>0.25020242914979757</v>
      </c>
      <c r="F125" s="24">
        <f>F123/F121</f>
        <v>0.24834437086092714</v>
      </c>
      <c r="G125" s="24">
        <f>G123/G121</f>
        <v>0.24855491329479767</v>
      </c>
      <c r="H125" s="58">
        <v>0.25</v>
      </c>
      <c r="I125" s="7"/>
    </row>
    <row r="126">
      <c r="A126" s="7"/>
      <c r="B126" s="69" t="s">
        <v>69</v>
      </c>
      <c r="C126" s="38" t="str">
        <f>"n.a."</f>
        <v>n.a.</v>
      </c>
      <c r="D126" s="38">
        <f>IF(AND(ISNUMBER(D125),ISNUMBER(C125)),(D125-C125)*10000,"n.a.")</f>
        <v>-7.462686567163979</v>
      </c>
      <c r="E126" s="38"/>
      <c r="F126" s="38">
        <f>IF(AND(ISNUMBER(F125),ISNUMBER(D125)),(F125-D125)*10000,"n.a.")</f>
        <v>-16.55629139072856</v>
      </c>
      <c r="G126" s="38">
        <f>IF(AND(ISNUMBER(G125),ISNUMBER(F125)),(G125-F125)*10000,"n.a.")</f>
        <v>2.1054243387053084</v>
      </c>
      <c r="H126" s="67">
        <f>IF(AND(ISNUMBER(H125),ISNUMBER(G125)),(H125-G125)*10000,"n.a.")</f>
        <v>14.450867052023252</v>
      </c>
      <c r="I126" s="7"/>
    </row>
    <row r="127">
      <c r="A127" s="7"/>
      <c r="B127" s="34" t="s">
        <v>212</v>
      </c>
      <c r="C127" s="35">
        <f>C121-C123</f>
        <v>251</v>
      </c>
      <c r="D127" s="35">
        <f>D121-D123</f>
        <v>249</v>
      </c>
      <c r="E127" s="35">
        <f>E121-E123</f>
        <v>926</v>
      </c>
      <c r="F127" s="35">
        <f>F121-F123</f>
        <v>227</v>
      </c>
      <c r="G127" s="35">
        <f>G121-G123</f>
        <v>260</v>
      </c>
      <c r="H127" s="50">
        <f>H121-H123</f>
        <v>269.7537185280757</v>
      </c>
      <c r="I127" s="7"/>
    </row>
    <row r="128">
      <c r="A128" s="7"/>
      <c r="B128" s="44" t="s">
        <v>66</v>
      </c>
      <c r="C128" s="41">
        <f>IF(ISNUMBER(Inputs!C148),IF(AND(Inputs!C148&gt;0,C127&gt;=0),C127/Inputs!C148-1,"n.m."),"n.a.")</f>
        <v>0.16203703703703698</v>
      </c>
      <c r="D128" s="41">
        <f>IF(ISNUMBER(Inputs!D148),IF(AND(Inputs!D148&gt;0,D127&gt;=0),D127/Inputs!D148-1,"n.m."),"n.a.")</f>
        <v>0.13181818181818183</v>
      </c>
      <c r="E128" s="41">
        <f>IF(ISNUMBER(Inputs!E148),IF(AND(Inputs!E148&gt;0,E127&gt;=0),E127/Inputs!E148-1,"n.m."),"n.a.")</f>
        <v>0.136196319018405</v>
      </c>
      <c r="F128" s="41">
        <f>IF(ISNUMBER(Inputs!F148),IF(AND(Inputs!F148&gt;0,F127&gt;=0),F127/Inputs!F148-1,"n.m."),"n.a.")</f>
        <v>0.04608294930875578</v>
      </c>
      <c r="G128" s="41">
        <f>IF(ISNUMBER(Inputs!G148),IF(AND(Inputs!G148&gt;0,G127&gt;=0),G127/Inputs!G148-1,"n.m."),"n.a.")</f>
        <v>0.04417670682730934</v>
      </c>
      <c r="H128" s="40">
        <f>IF(ISNUMBER(C127),IF(AND(C127&gt;0,H127&gt;=0),H127/C127-1,"n.m."),"n.a.")</f>
        <v>0.07471601007201478</v>
      </c>
      <c r="I128" s="7"/>
    </row>
    <row r="129">
      <c r="A129" s="7"/>
      <c r="B129" s="48" t="s">
        <v>78</v>
      </c>
      <c r="C129" s="29">
        <f>IF(ISNUMBER(Inputs!G148),C127-Inputs!G148,"n.a.")</f>
        <v>2</v>
      </c>
      <c r="D129" s="12">
        <f>IF(ISNUMBER(C127),D127-C127,"n.a.")</f>
        <v>-2</v>
      </c>
      <c r="E129" s="12"/>
      <c r="F129" s="12">
        <f>IF(ISNUMBER(D127),F127-D127,"n.a.")</f>
        <v>-22</v>
      </c>
      <c r="G129" s="12">
        <f>IF(ISNUMBER(F127),G127-F127,"n.a.")</f>
        <v>33</v>
      </c>
      <c r="H129" s="42">
        <f>IF(ISNUMBER(G127),H127-G127,"n.a.")</f>
        <v>9.753718528075694</v>
      </c>
      <c r="I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</row>
    <row r="131" ht="79.5">
      <c r="A131" s="7"/>
      <c r="B131" s="139" t="s">
        <v>213</v>
      </c>
      <c r="C131" s="7"/>
      <c r="D131" s="7"/>
      <c r="E131" s="7"/>
      <c r="F131" s="7"/>
      <c r="G131" s="7"/>
      <c r="H131" s="7"/>
      <c r="I131" s="7"/>
    </row>
  </sheetData>
  <mergeCells count="1">
    <mergeCell ref="B131:I131"/>
  </mergeCell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214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 ht="28.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143" t="s">
        <v>63</v>
      </c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27">
        <v>365</v>
      </c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215</v>
      </c>
      <c r="C8" s="9"/>
      <c r="D8" s="9"/>
      <c r="E8" s="9"/>
      <c r="F8" s="9"/>
      <c r="G8" s="9"/>
      <c r="H8" s="43"/>
      <c r="I8" s="7"/>
    </row>
    <row r="9">
      <c r="A9" s="7"/>
      <c r="B9" s="8" t="s">
        <v>176</v>
      </c>
      <c r="C9" s="31">
        <v>37360</v>
      </c>
      <c r="D9" s="29">
        <f>(E9*E$6-Inputs!I149*Inputs!$I$6)/D$6</f>
        <v>37263.95652173913</v>
      </c>
      <c r="E9" s="31">
        <v>37442</v>
      </c>
      <c r="F9" s="31">
        <v>36905</v>
      </c>
      <c r="G9" s="31">
        <v>36658</v>
      </c>
      <c r="H9" s="42">
        <f>G9*(1+H12)</f>
        <v>36548.026</v>
      </c>
      <c r="I9" s="39" t="s">
        <v>177</v>
      </c>
    </row>
    <row r="10">
      <c r="A10" s="7"/>
      <c r="B10" s="44" t="s">
        <v>66</v>
      </c>
      <c r="C10" s="41">
        <f>IF(ISNUMBER(Inputs!C149),IF(AND(Inputs!C149&gt;0,C9&gt;=0),C9/Inputs!C149-1,"n.m."),"n.a.")</f>
        <v>-0.013779631487249921</v>
      </c>
      <c r="D10" s="41">
        <f>IF(ISNUMBER(Inputs!D149),IF(AND(Inputs!D149&gt;0,D9&gt;=0),D9/Inputs!D149-1,"n.m."),"n.a.")</f>
        <v>-0.015914569630332553</v>
      </c>
      <c r="E10" s="41">
        <f>IF(ISNUMBER(Inputs!E149),IF(AND(Inputs!E149&gt;0,E9&gt;=0),E9/Inputs!E149-1,"n.m."),"n.a.")</f>
        <v>-0.013308034890768705</v>
      </c>
      <c r="F10" s="41">
        <f>IF(ISNUMBER(Inputs!F149),IF(AND(Inputs!F149&gt;0,F9&gt;=0),F9/Inputs!F149-1,"n.m."),"n.a.")</f>
        <v>-0.020229909469827723</v>
      </c>
      <c r="G10" s="41">
        <f>IF(ISNUMBER(Inputs!G149),IF(AND(Inputs!G149&gt;0,G9&gt;=0),G9/Inputs!G149-1,"n.m."),"n.a.")</f>
        <v>-0.022505466375126626</v>
      </c>
      <c r="H10" s="40">
        <f>IF(ISNUMBER(C9),IF(AND(C9&gt;0,H9&gt;=0),H9/C9-1,"n.m."),"n.a.")</f>
        <v>-0.02173377944325483</v>
      </c>
      <c r="I10" s="7"/>
    </row>
    <row r="11">
      <c r="A11" s="7"/>
      <c r="B11" s="48" t="s">
        <v>78</v>
      </c>
      <c r="C11" s="29">
        <f>IF(ISNUMBER(Inputs!G149),C9-Inputs!G149,"n.a.")</f>
        <v>-142</v>
      </c>
      <c r="D11" s="12">
        <f>IF(ISNUMBER(C9),D9-C9,"n.a.")</f>
        <v>-96.04347826087178</v>
      </c>
      <c r="E11" s="12"/>
      <c r="F11" s="12">
        <f>IF(ISNUMBER(D9),F9-D9,"n.a.")</f>
        <v>-358.9565217391282</v>
      </c>
      <c r="G11" s="12">
        <f>IF(ISNUMBER(F9),G9-F9,"n.a.")</f>
        <v>-247</v>
      </c>
      <c r="H11" s="42">
        <f>IF(ISNUMBER(G9),H9-G9,"n.a.")</f>
        <v>-109.97400000000198</v>
      </c>
      <c r="I11" s="7"/>
    </row>
    <row r="12">
      <c r="A12" s="7"/>
      <c r="B12" s="44" t="s">
        <v>67</v>
      </c>
      <c r="C12" s="41">
        <f>IF(ISNUMBER(Inputs!G149),IF(AND(Inputs!G149&gt;0,C9&gt;=0),C9/Inputs!G149-1,"n.m."),"n.a.")</f>
        <v>-0.0037864647218814884</v>
      </c>
      <c r="D12" s="24">
        <f>IF(ISNUMBER(C9),IF(AND(C9&gt;0,D9&gt;=0),D9/C9-1,"n.m."),"n.a.")</f>
        <v>-0.002570756912764205</v>
      </c>
      <c r="E12" s="24"/>
      <c r="F12" s="24">
        <f>IF(ISNUMBER(D9),IF(AND(D9&gt;0,F9&gt;=0),F9/D9-1,"n.m."),"n.a.")</f>
        <v>-0.009632807550366218</v>
      </c>
      <c r="G12" s="24">
        <f>IF(ISNUMBER(F9),IF(AND(F9&gt;0,G9&gt;=0),G9/F9-1,"n.m."),"n.a.")</f>
        <v>-0.006692860046064175</v>
      </c>
      <c r="H12" s="58">
        <v>-0.003</v>
      </c>
      <c r="I12" s="7"/>
    </row>
    <row r="13" ht="41.25">
      <c r="A13" s="7"/>
      <c r="B13" s="8" t="s">
        <v>178</v>
      </c>
      <c r="C13" s="31">
        <v>79698</v>
      </c>
      <c r="D13" s="31">
        <v>79437</v>
      </c>
      <c r="E13" s="31">
        <v>79442</v>
      </c>
      <c r="F13" s="31">
        <v>79599</v>
      </c>
      <c r="G13" s="31">
        <v>80624</v>
      </c>
      <c r="H13" s="42">
        <f>(H16+H18)/2</f>
        <v>81093.458</v>
      </c>
      <c r="I13" s="142" t="s">
        <v>179</v>
      </c>
    </row>
    <row r="14">
      <c r="A14" s="7"/>
      <c r="B14" s="44" t="s">
        <v>66</v>
      </c>
      <c r="C14" s="41" t="str">
        <f>IF(ISNUMBER(Inputs!C150),IF(AND(Inputs!C150&gt;0,C13&gt;=0),C13/Inputs!C150-1,"n.m."),"n.a.")</f>
        <v>n.a.</v>
      </c>
      <c r="D14" s="41" t="str">
        <f>IF(ISNUMBER(Inputs!D150),IF(AND(Inputs!D150&gt;0,D13&gt;=0),D13/Inputs!D150-1,"n.m."),"n.a.")</f>
        <v>n.a.</v>
      </c>
      <c r="E14" s="41">
        <f>IF(ISNUMBER(Inputs!E150),IF(AND(Inputs!E150&gt;0,E13&gt;=0),E13/Inputs!E150-1,"n.m."),"n.a.")</f>
        <v>0.004539534413211532</v>
      </c>
      <c r="F14" s="41" t="str">
        <f>IF(ISNUMBER(Inputs!F150),IF(AND(Inputs!F150&gt;0,F13&gt;=0),F13/Inputs!F150-1,"n.m."),"n.a.")</f>
        <v>n.a.</v>
      </c>
      <c r="G14" s="41">
        <f>IF(ISNUMBER(Inputs!G150),IF(AND(Inputs!G150&gt;0,G13&gt;=0),G13/Inputs!G150-1,"n.m."),"n.a.")</f>
        <v>0.008909800780859012</v>
      </c>
      <c r="H14" s="40">
        <f>IF(ISNUMBER(C13),IF(AND(C13&gt;0,H13&gt;=0),H13/C13-1,"n.m."),"n.a.")</f>
        <v>0.01750932269316663</v>
      </c>
      <c r="I14" s="7"/>
    </row>
    <row r="15">
      <c r="A15" s="7"/>
      <c r="B15" s="48" t="s">
        <v>78</v>
      </c>
      <c r="C15" s="29">
        <f>IF(ISNUMBER(Inputs!G150),C13-Inputs!G150,"n.a.")</f>
        <v>-214</v>
      </c>
      <c r="D15" s="12">
        <f>IF(ISNUMBER(C13),D13-C13,"n.a.")</f>
        <v>-261</v>
      </c>
      <c r="E15" s="12"/>
      <c r="F15" s="12">
        <f>IF(ISNUMBER(D13),F13-D13,"n.a.")</f>
        <v>162</v>
      </c>
      <c r="G15" s="12">
        <f>IF(ISNUMBER(F13),G13-F13,"n.a.")</f>
        <v>1025</v>
      </c>
      <c r="H15" s="42">
        <f>IF(ISNUMBER(G13),H13-G13,"n.a.")</f>
        <v>469.4579999999987</v>
      </c>
      <c r="I15" s="7"/>
    </row>
    <row r="16">
      <c r="A16" s="7"/>
      <c r="B16" s="1" t="s">
        <v>180</v>
      </c>
      <c r="C16" s="29">
        <f>Inputs!G151</f>
        <v>79953</v>
      </c>
      <c r="D16" s="12">
        <f>C18</f>
        <v>79689</v>
      </c>
      <c r="E16" s="12" t="str">
        <f>"n.a."</f>
        <v>n.a.</v>
      </c>
      <c r="F16" s="12">
        <f>D18</f>
        <v>80193</v>
      </c>
      <c r="G16" s="12">
        <f>F18</f>
        <v>81271</v>
      </c>
      <c r="H16" s="42">
        <f>G18</f>
        <v>80972</v>
      </c>
      <c r="I16" s="7"/>
    </row>
    <row r="17">
      <c r="A17" s="7"/>
      <c r="B17" s="1" t="s">
        <v>181</v>
      </c>
      <c r="C17" s="12">
        <f>IF(ISNUMBER(C16),C18-C16,"n.a.")</f>
        <v>-264</v>
      </c>
      <c r="D17" s="12">
        <f>IF(ISNUMBER(D16),D18-D16,"n.a.")</f>
        <v>504</v>
      </c>
      <c r="E17" s="12" t="str">
        <f>IF(ISNUMBER(E16),E18-E16,"n.a.")</f>
        <v>n.a.</v>
      </c>
      <c r="F17" s="12">
        <f>IF(ISNUMBER(F16),F18-F16,"n.a.")</f>
        <v>1078</v>
      </c>
      <c r="G17" s="12">
        <f>IF(ISNUMBER(G16),G18-G16,"n.a.")</f>
        <v>-299</v>
      </c>
      <c r="H17" s="42">
        <f>IF(ISNUMBER(H16),H18-H16,"n.a.")</f>
        <v>242.91599999999744</v>
      </c>
      <c r="I17" s="7"/>
    </row>
    <row r="18">
      <c r="A18" s="7"/>
      <c r="B18" s="33" t="s">
        <v>182</v>
      </c>
      <c r="C18" s="72">
        <v>79689</v>
      </c>
      <c r="D18" s="72">
        <v>80193</v>
      </c>
      <c r="E18" s="35">
        <f>D18</f>
        <v>80193</v>
      </c>
      <c r="F18" s="72">
        <v>81271</v>
      </c>
      <c r="G18" s="72">
        <v>80972</v>
      </c>
      <c r="H18" s="50">
        <f>H16*(1+H21)</f>
        <v>81214.916</v>
      </c>
      <c r="I18" s="39" t="s">
        <v>156</v>
      </c>
    </row>
    <row r="19">
      <c r="A19" s="7"/>
      <c r="B19" s="44" t="s">
        <v>66</v>
      </c>
      <c r="C19" s="41" t="str">
        <f>IF(ISNUMBER(Inputs!C151),IF(AND(Inputs!C151&gt;0,C18&gt;=0),C18/Inputs!C151-1,"n.m."),"n.a.")</f>
        <v>n.a.</v>
      </c>
      <c r="D19" s="41" t="str">
        <f>IF(ISNUMBER(Inputs!D151),IF(AND(Inputs!D151&gt;0,D18&gt;=0),D18/Inputs!D151-1,"n.m."),"n.a.")</f>
        <v>n.a.</v>
      </c>
      <c r="E19" s="41" t="str">
        <f>IF(ISNUMBER(Inputs!E151),IF(AND(Inputs!E151&gt;0,E18&gt;=0),E18/Inputs!E151-1,"n.m."),"n.a.")</f>
        <v>n.a.</v>
      </c>
      <c r="F19" s="41" t="str">
        <f>IF(ISNUMBER(Inputs!F151),IF(AND(Inputs!F151&gt;0,F18&gt;=0),F18/Inputs!F151-1,"n.m."),"n.a.")</f>
        <v>n.a.</v>
      </c>
      <c r="G19" s="41">
        <f>IF(ISNUMBER(Inputs!G151),IF(AND(Inputs!G151&gt;0,G18&gt;=0),G18/Inputs!G151-1,"n.m."),"n.a.")</f>
        <v>0.01274498768026211</v>
      </c>
      <c r="H19" s="40">
        <f>IF(ISNUMBER(C18),IF(AND(C18&gt;0,H18&gt;=0),H18/C18-1,"n.m."),"n.a.")</f>
        <v>0.019148389363651264</v>
      </c>
      <c r="I19" s="7"/>
    </row>
    <row r="20">
      <c r="A20" s="7"/>
      <c r="B20" s="48" t="s">
        <v>78</v>
      </c>
      <c r="C20" s="29">
        <f>IF(ISNUMBER(Inputs!G151),C18-Inputs!G151,"n.a.")</f>
        <v>-264</v>
      </c>
      <c r="D20" s="12">
        <f>IF(ISNUMBER(C18),D18-C18,"n.a.")</f>
        <v>504</v>
      </c>
      <c r="E20" s="12"/>
      <c r="F20" s="12">
        <f>IF(ISNUMBER(D18),F18-D18,"n.a.")</f>
        <v>1078</v>
      </c>
      <c r="G20" s="12">
        <f>IF(ISNUMBER(F18),G18-F18,"n.a.")</f>
        <v>-299</v>
      </c>
      <c r="H20" s="42">
        <f>IF(ISNUMBER(G18),H18-G18,"n.a.")</f>
        <v>242.91599999999744</v>
      </c>
      <c r="I20" s="7"/>
    </row>
    <row r="21">
      <c r="A21" s="7"/>
      <c r="B21" s="44" t="s">
        <v>183</v>
      </c>
      <c r="C21" s="24">
        <f>IF(ISNUMBER(C16),C18/C16-1,"n.a.")</f>
        <v>-0.0033019398896851904</v>
      </c>
      <c r="D21" s="24">
        <f>IF(ISNUMBER(D16),D18/D16-1,"n.a.")</f>
        <v>0.0063245868313066556</v>
      </c>
      <c r="E21" s="24" t="str">
        <f>IF(ISNUMBER(E16),E18/E16-1,"n.a.")</f>
        <v>n.a.</v>
      </c>
      <c r="F21" s="24">
        <f>IF(ISNUMBER(F16),F18/F16-1,"n.a.")</f>
        <v>0.01344256980035663</v>
      </c>
      <c r="G21" s="24">
        <f>IF(ISNUMBER(G16),G18/G16-1,"n.a.")</f>
        <v>-0.0036790491073076526</v>
      </c>
      <c r="H21" s="58">
        <v>0.003</v>
      </c>
      <c r="I21" s="7"/>
    </row>
    <row r="22">
      <c r="A22" s="7"/>
      <c r="B22" s="7"/>
      <c r="C22" s="7"/>
      <c r="D22" s="7"/>
      <c r="E22" s="7"/>
      <c r="F22" s="7"/>
      <c r="G22" s="7"/>
      <c r="H22" s="49"/>
      <c r="I22" s="7"/>
    </row>
    <row r="23">
      <c r="A23" s="7"/>
      <c r="B23" s="34" t="s">
        <v>216</v>
      </c>
      <c r="C23" s="9"/>
      <c r="D23" s="9"/>
      <c r="E23" s="9"/>
      <c r="F23" s="9"/>
      <c r="G23" s="9"/>
      <c r="H23" s="43"/>
      <c r="I23" s="7"/>
    </row>
    <row r="24">
      <c r="A24" s="7"/>
      <c r="B24" s="28" t="s">
        <v>185</v>
      </c>
      <c r="C24" s="41">
        <f>C26/'Income Statement'!C52</f>
        <v>0.5871121718377088</v>
      </c>
      <c r="D24" s="41">
        <f>D26/'Income Statement'!D52</f>
        <v>0.5839188134270101</v>
      </c>
      <c r="E24" s="41">
        <f>E26/'Income Statement'!E52</f>
        <v>0.5884592266078942</v>
      </c>
      <c r="F24" s="41">
        <f>F26/'Income Statement'!F52</f>
        <v>0.5841346153846154</v>
      </c>
      <c r="G24" s="41">
        <f>G26/'Income Statement'!G52</f>
        <v>0.5857478465152701</v>
      </c>
      <c r="H24" s="59">
        <f>H26/'Income Statement'!H52</f>
        <v>0.5816979089855365</v>
      </c>
      <c r="I24" s="7"/>
    </row>
    <row r="25">
      <c r="A25" s="7"/>
      <c r="B25" s="44" t="s">
        <v>69</v>
      </c>
      <c r="C25" s="38" t="str">
        <f>"n.a."</f>
        <v>n.a.</v>
      </c>
      <c r="D25" s="38">
        <f>IF(AND(ISNUMBER(D24),ISNUMBER(C24)),(D24-C24)*10000,"n.a.")</f>
        <v>-31.933584106986768</v>
      </c>
      <c r="E25" s="38"/>
      <c r="F25" s="38">
        <f>IF(AND(ISNUMBER(F24),ISNUMBER(D24)),(F24-D24)*10000,"n.a.")</f>
        <v>2.158019576052883</v>
      </c>
      <c r="G25" s="38">
        <f>IF(AND(ISNUMBER(G24),ISNUMBER(F24)),(G24-F24)*10000,"n.a.")</f>
        <v>16.13231130654702</v>
      </c>
      <c r="H25" s="67">
        <f>IF(AND(ISNUMBER(H24),ISNUMBER(G24)),(H24-G24)*10000,"n.a.")</f>
        <v>-40.49937529733594</v>
      </c>
      <c r="I25" s="7"/>
    </row>
    <row r="26">
      <c r="A26" s="7"/>
      <c r="B26" s="34" t="s">
        <v>186</v>
      </c>
      <c r="C26" s="72">
        <v>738</v>
      </c>
      <c r="D26" s="78">
        <f>E26-Inputs!I152</f>
        <v>748</v>
      </c>
      <c r="E26" s="72">
        <v>2937</v>
      </c>
      <c r="F26" s="72">
        <v>729</v>
      </c>
      <c r="G26" s="72">
        <v>748</v>
      </c>
      <c r="H26" s="50">
        <f>H9*H32*H$6/$I$6</f>
        <v>757.6359629525456</v>
      </c>
      <c r="I26" s="39" t="s">
        <v>81</v>
      </c>
    </row>
    <row r="27">
      <c r="A27" s="7"/>
      <c r="B27" s="44" t="s">
        <v>66</v>
      </c>
      <c r="C27" s="41">
        <f>IF(ISNUMBER(Inputs!C152),IF(AND(Inputs!C152&gt;0,C26&gt;=0),C26/Inputs!C152-1,"n.m."),"n.a.")</f>
        <v>0.027855153203342642</v>
      </c>
      <c r="D27" s="41">
        <f>IF(ISNUMBER(Inputs!D152),IF(AND(Inputs!D152&gt;0,D26&gt;=0),D26/Inputs!D152-1,"n.m."),"n.a.")</f>
        <v>0.028885832187070193</v>
      </c>
      <c r="E27" s="41">
        <f>IF(ISNUMBER(Inputs!E152),IF(AND(Inputs!E152&gt;0,E26&gt;=0),E26/Inputs!E152-1,"n.m."),"n.a.")</f>
        <v>0.03634438955539876</v>
      </c>
      <c r="F27" s="41">
        <f>IF(ISNUMBER(Inputs!F152),IF(AND(Inputs!F152&gt;0,F26&gt;=0),F26/Inputs!F152-1,"n.m."),"n.a.")</f>
        <v>0.026760563380281654</v>
      </c>
      <c r="G27" s="41">
        <f>IF(ISNUMBER(Inputs!G152),IF(AND(Inputs!G152&gt;0,G26&gt;=0),G26/Inputs!G152-1,"n.m."),"n.a.")</f>
        <v>0.008086253369272267</v>
      </c>
      <c r="H27" s="40">
        <f>IF(ISNUMBER(C26),IF(AND(C26&gt;0,H26&gt;=0),H26/C26-1,"n.m."),"n.a.")</f>
        <v>0.026606995870658068</v>
      </c>
      <c r="I27" s="7"/>
    </row>
    <row r="28">
      <c r="A28" s="7"/>
      <c r="B28" s="48" t="s">
        <v>78</v>
      </c>
      <c r="C28" s="29">
        <f>IF(ISNUMBER(Inputs!G152),C26-Inputs!G152,"n.a.")</f>
        <v>-4</v>
      </c>
      <c r="D28" s="12">
        <f>IF(ISNUMBER(C26),D26-C26,"n.a.")</f>
        <v>10</v>
      </c>
      <c r="E28" s="12"/>
      <c r="F28" s="12">
        <f>IF(ISNUMBER(D26),F26-D26,"n.a.")</f>
        <v>-19</v>
      </c>
      <c r="G28" s="12">
        <f>IF(ISNUMBER(F26),G26-F26,"n.a.")</f>
        <v>19</v>
      </c>
      <c r="H28" s="42">
        <f>IF(ISNUMBER(G26),H26-G26,"n.a.")</f>
        <v>9.635962952545583</v>
      </c>
      <c r="I28" s="7"/>
    </row>
    <row r="29">
      <c r="A29" s="7"/>
      <c r="B29" s="44" t="s">
        <v>70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8">
        <v>0</v>
      </c>
      <c r="I29" s="7"/>
    </row>
    <row r="30">
      <c r="A30" s="7"/>
      <c r="B30" s="44" t="s">
        <v>71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8">
        <v>0</v>
      </c>
      <c r="I30" s="7"/>
    </row>
    <row r="31">
      <c r="A31" s="7"/>
      <c r="B31" s="44" t="s">
        <v>72</v>
      </c>
      <c r="C31" s="24">
        <f>IF(AND(ISNUMBER(C27),ISNUMBER(C29),ISNUMBER(C30)),(1+C27)/((1+C29)*(1+C30))-1,"unavailable")</f>
        <v>0.027855153203342642</v>
      </c>
      <c r="D31" s="24">
        <f>IF(AND(ISNUMBER(D27),ISNUMBER(D29),ISNUMBER(D30)),(1+D27)/((1+D29)*(1+D30))-1,"unavailable")</f>
        <v>0.028885832187070193</v>
      </c>
      <c r="E31" s="24">
        <f>IF(AND(ISNUMBER(E27),ISNUMBER(E29),ISNUMBER(E30)),(1+E27)/((1+E29)*(1+E30))-1,"unavailable")</f>
        <v>0.03634438955539876</v>
      </c>
      <c r="F31" s="24">
        <f>IF(AND(ISNUMBER(F27),ISNUMBER(F29),ISNUMBER(F30)),(1+F27)/((1+F29)*(1+F30))-1,"unavailable")</f>
        <v>0.026760563380281654</v>
      </c>
      <c r="G31" s="24">
        <f>IF(AND(ISNUMBER(G27),ISNUMBER(G29),ISNUMBER(G30)),(1+G27)/((1+G29)*(1+G30))-1,"unavailable")</f>
        <v>0.008086253369272267</v>
      </c>
      <c r="H31" s="40">
        <f>IF(AND(ISNUMBER(H27),ISNUMBER(H29),ISNUMBER(H30)),(1+H27)/((1+H29)*(1+H30))-1,"unavailable")</f>
        <v>0.026606995870658068</v>
      </c>
      <c r="I31" s="7"/>
    </row>
    <row r="32">
      <c r="A32" s="7"/>
      <c r="B32" s="75" t="s">
        <v>187</v>
      </c>
      <c r="C32" s="60">
        <f>C26/C9*$I$6/C$6</f>
        <v>0.07837084535890514</v>
      </c>
      <c r="D32" s="60">
        <f>D26/D9*$I$6/D$6</f>
        <v>0.07963750961122242</v>
      </c>
      <c r="E32" s="60">
        <f>E26/E9*$I$6/E$6</f>
        <v>0.07844132257892207</v>
      </c>
      <c r="F32" s="60">
        <f>F26/F9*$I$6/F$6</f>
        <v>0.08011109605744479</v>
      </c>
      <c r="G32" s="60">
        <f>G26/G9*$I$6/G$6</f>
        <v>0.08184352065633096</v>
      </c>
      <c r="H32" s="61">
        <f>G32+H33/10000</f>
        <v>0.08224352065633096</v>
      </c>
      <c r="I32" s="7"/>
    </row>
    <row r="33">
      <c r="A33" s="7"/>
      <c r="B33" s="44" t="s">
        <v>69</v>
      </c>
      <c r="C33" s="38" t="str">
        <f>"n.a."</f>
        <v>n.a.</v>
      </c>
      <c r="D33" s="38">
        <f>IF(AND(ISNUMBER(D32),ISNUMBER(C32)),(D32-C32)*10000,"n.a.")</f>
        <v>12.666642523172788</v>
      </c>
      <c r="E33" s="38"/>
      <c r="F33" s="38">
        <f>IF(AND(ISNUMBER(F32),ISNUMBER(D32)),(F32-D32)*10000,"n.a.")</f>
        <v>4.735864462223765</v>
      </c>
      <c r="G33" s="38">
        <f>IF(AND(ISNUMBER(G32),ISNUMBER(F32)),(G32-F32)*10000,"n.a.")</f>
        <v>17.32424598886173</v>
      </c>
      <c r="H33" s="77">
        <v>4</v>
      </c>
      <c r="I33" s="7"/>
    </row>
    <row r="34">
      <c r="A34" s="7"/>
      <c r="B34" s="1" t="s">
        <v>188</v>
      </c>
      <c r="C34" s="31">
        <v>99</v>
      </c>
      <c r="D34" s="29">
        <f>E34-Inputs!I153</f>
        <v>101</v>
      </c>
      <c r="E34" s="31">
        <v>386</v>
      </c>
      <c r="F34" s="31">
        <v>96</v>
      </c>
      <c r="G34" s="31">
        <v>100</v>
      </c>
      <c r="H34" s="42">
        <f>H13*H38*H$6/$I$6</f>
        <v>101.07438065169093</v>
      </c>
      <c r="I34" s="39" t="s">
        <v>81</v>
      </c>
    </row>
    <row r="35">
      <c r="A35" s="7"/>
      <c r="B35" s="44" t="s">
        <v>66</v>
      </c>
      <c r="C35" s="41">
        <f>IF(ISNUMBER(Inputs!C153),IF(AND(Inputs!C153&gt;0,C34&gt;=0),C34/Inputs!C153-1,"n.m."),"n.a.")</f>
        <v>-0.010000000000000009</v>
      </c>
      <c r="D35" s="41">
        <f>IF(ISNUMBER(Inputs!D153),IF(AND(Inputs!D153&gt;0,D34&gt;=0),D34/Inputs!D153-1,"n.m."),"n.a.")</f>
        <v>0.030612244897959107</v>
      </c>
      <c r="E35" s="41">
        <f>IF(ISNUMBER(Inputs!E153),IF(AND(Inputs!E153&gt;0,E34&gt;=0),E34/Inputs!E153-1,"n.m."),"n.a.")</f>
        <v>0.0025974025974024872</v>
      </c>
      <c r="F35" s="41">
        <f>IF(ISNUMBER(Inputs!F153),IF(AND(Inputs!F153&gt;0,F34&gt;=0),F34/Inputs!F153-1,"n.m."),"n.a.")</f>
        <v>0</v>
      </c>
      <c r="G35" s="41">
        <f>IF(ISNUMBER(Inputs!G153),IF(AND(Inputs!G153&gt;0,G34&gt;=0),G34/Inputs!G153-1,"n.m."),"n.a.")</f>
        <v>0.11111111111111116</v>
      </c>
      <c r="H35" s="40">
        <f>IF(ISNUMBER(C34),IF(AND(C34&gt;0,H34&gt;=0),H34/C34-1,"n.m."),"n.a.")</f>
        <v>0.020953339916069957</v>
      </c>
      <c r="I35" s="7"/>
    </row>
    <row r="36">
      <c r="A36" s="7"/>
      <c r="B36" s="48" t="s">
        <v>78</v>
      </c>
      <c r="C36" s="29">
        <f>IF(ISNUMBER(Inputs!G153),C34-Inputs!G153,"n.a.")</f>
        <v>9</v>
      </c>
      <c r="D36" s="12">
        <f>IF(ISNUMBER(C34),D34-C34,"n.a.")</f>
        <v>2</v>
      </c>
      <c r="E36" s="12"/>
      <c r="F36" s="12">
        <f>IF(ISNUMBER(D34),F34-D34,"n.a.")</f>
        <v>-5</v>
      </c>
      <c r="G36" s="12">
        <f>IF(ISNUMBER(F34),G34-F34,"n.a.")</f>
        <v>4</v>
      </c>
      <c r="H36" s="42">
        <f>IF(ISNUMBER(G34),H34-G34,"n.a.")</f>
        <v>1.0743806516909302</v>
      </c>
      <c r="I36" s="7"/>
    </row>
    <row r="37">
      <c r="A37" s="7"/>
      <c r="B37" s="44" t="s">
        <v>67</v>
      </c>
      <c r="C37" s="41">
        <f>IF(ISNUMBER(Inputs!G153),IF(AND(Inputs!G153&gt;0,C34&gt;=0),C34/Inputs!G153-1,"n.m."),"n.a.")</f>
        <v>0.10000000000000009</v>
      </c>
      <c r="D37" s="24">
        <f>IF(ISNUMBER(C34),IF(AND(C34&gt;0,D34&gt;=0),D34/C34-1,"n.m."),"n.a.")</f>
        <v>0.02020202020202011</v>
      </c>
      <c r="E37" s="24"/>
      <c r="F37" s="24">
        <f>IF(ISNUMBER(D34),IF(AND(D34&gt;0,F34&gt;=0),F34/D34-1,"n.m."),"n.a.")</f>
        <v>-0.04950495049504955</v>
      </c>
      <c r="G37" s="24">
        <f>IF(ISNUMBER(F34),IF(AND(F34&gt;0,G34&gt;=0),G34/F34-1,"n.m."),"n.a.")</f>
        <v>0.04166666666666674</v>
      </c>
      <c r="H37" s="40">
        <f>IF(ISNUMBER(G34),IF(AND(G34&gt;0,H34&gt;=0),H34/G34-1,"n.m."),"n.a.")</f>
        <v>0.010743806516909205</v>
      </c>
      <c r="I37" s="7"/>
    </row>
    <row r="38" ht="79.5">
      <c r="A38" s="7"/>
      <c r="B38" s="44" t="s">
        <v>189</v>
      </c>
      <c r="C38" s="60">
        <f>C34/C13*$I$6/C$6</f>
        <v>0.004928250886225938</v>
      </c>
      <c r="D38" s="60">
        <f>D34/D13*$I$6/D$6</f>
        <v>0.005044331001159793</v>
      </c>
      <c r="E38" s="60">
        <f>E34/E13*$I$6/E$6</f>
        <v>0.00485889076307243</v>
      </c>
      <c r="F38" s="60">
        <f>F34/F13*$I$6/F$6</f>
        <v>0.0048911837250886735</v>
      </c>
      <c r="G38" s="60">
        <f>G34/G13*$I$6/G$6</f>
        <v>0.0049749317957295735</v>
      </c>
      <c r="H38" s="61">
        <f>G38+H39/10000</f>
        <v>0.004944931795729574</v>
      </c>
      <c r="I38" s="142" t="s">
        <v>217</v>
      </c>
    </row>
    <row r="39">
      <c r="A39" s="7"/>
      <c r="B39" s="69" t="s">
        <v>69</v>
      </c>
      <c r="C39" s="38" t="str">
        <f>"n.a."</f>
        <v>n.a.</v>
      </c>
      <c r="D39" s="38">
        <f>IF(AND(ISNUMBER(D38),ISNUMBER(C38)),(D38-C38)*10000,"n.a.")</f>
        <v>1.1608011493385515</v>
      </c>
      <c r="E39" s="38"/>
      <c r="F39" s="38">
        <f>IF(AND(ISNUMBER(F38),ISNUMBER(D38)),(F38-D38)*10000,"n.a.")</f>
        <v>-1.5314727607111926</v>
      </c>
      <c r="G39" s="38">
        <f>IF(AND(ISNUMBER(G38),ISNUMBER(F38)),(G38-F38)*10000,"n.a.")</f>
        <v>0.8374807064090005</v>
      </c>
      <c r="H39" s="77">
        <v>-0.3</v>
      </c>
      <c r="I39" s="7"/>
    </row>
    <row r="40">
      <c r="A40" s="7"/>
      <c r="B40" s="44" t="s">
        <v>70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8">
        <v>0</v>
      </c>
      <c r="I40" s="7"/>
    </row>
    <row r="41">
      <c r="A41" s="7"/>
      <c r="B41" s="44" t="s">
        <v>71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8">
        <v>0</v>
      </c>
      <c r="I41" s="7"/>
    </row>
    <row r="42">
      <c r="A42" s="7"/>
      <c r="B42" s="44" t="s">
        <v>72</v>
      </c>
      <c r="C42" s="24">
        <f>IF(AND(ISNUMBER(C35),ISNUMBER(C40),ISNUMBER(C41)),(1+C35)/((1+C40)*(1+C41))-1,"unavailable")</f>
        <v>-0.010000000000000009</v>
      </c>
      <c r="D42" s="24">
        <f>IF(AND(ISNUMBER(D35),ISNUMBER(D40),ISNUMBER(D41)),(1+D35)/((1+D40)*(1+D41))-1,"unavailable")</f>
        <v>0.030612244897959107</v>
      </c>
      <c r="E42" s="24">
        <f>IF(AND(ISNUMBER(E35),ISNUMBER(E40),ISNUMBER(E41)),(1+E35)/((1+E40)*(1+E41))-1,"unavailable")</f>
        <v>0.0025974025974024872</v>
      </c>
      <c r="F42" s="24">
        <f>IF(AND(ISNUMBER(F35),ISNUMBER(F40),ISNUMBER(F41)),(1+F35)/((1+F40)*(1+F41))-1,"unavailable")</f>
        <v>0</v>
      </c>
      <c r="G42" s="24">
        <f>IF(AND(ISNUMBER(G35),ISNUMBER(G40),ISNUMBER(G41)),(1+G35)/((1+G40)*(1+G41))-1,"unavailable")</f>
        <v>0.11111111111111116</v>
      </c>
      <c r="H42" s="40">
        <f>IF(AND(ISNUMBER(H35),ISNUMBER(H40),ISNUMBER(H41)),(1+H35)/((1+H40)*(1+H41))-1,"unavailable")</f>
        <v>0.020953339916069957</v>
      </c>
      <c r="I42" s="7"/>
    </row>
    <row r="43">
      <c r="A43" s="7"/>
      <c r="B43" s="1" t="s">
        <v>191</v>
      </c>
      <c r="C43" s="31">
        <v>112</v>
      </c>
      <c r="D43" s="29">
        <f>E43-Inputs!I154</f>
        <v>113</v>
      </c>
      <c r="E43" s="31">
        <v>444</v>
      </c>
      <c r="F43" s="31">
        <v>106</v>
      </c>
      <c r="G43" s="31">
        <v>115</v>
      </c>
      <c r="H43" s="42">
        <f>H13*H47*H$6/$I$6</f>
        <v>114.8967180839432</v>
      </c>
      <c r="I43" s="39" t="s">
        <v>81</v>
      </c>
    </row>
    <row r="44">
      <c r="A44" s="7"/>
      <c r="B44" s="44" t="s">
        <v>66</v>
      </c>
      <c r="C44" s="41">
        <f>IF(ISNUMBER(Inputs!C154),IF(AND(Inputs!C154&gt;0,C43&gt;=0),C43/Inputs!C154-1,"n.m."),"n.a.")</f>
        <v>0.03703703703703698</v>
      </c>
      <c r="D44" s="41">
        <f>IF(ISNUMBER(Inputs!D154),IF(AND(Inputs!D154&gt;0,D43&gt;=0),D43/Inputs!D154-1,"n.m."),"n.a.")</f>
        <v>0.10784313725490202</v>
      </c>
      <c r="E44" s="41">
        <f>IF(ISNUMBER(Inputs!E154),IF(AND(Inputs!E154&gt;0,E43&gt;=0),E43/Inputs!E154-1,"n.m."),"n.a.")</f>
        <v>0.04716981132075482</v>
      </c>
      <c r="F44" s="41">
        <f>IF(ISNUMBER(Inputs!F154),IF(AND(Inputs!F154&gt;0,F43&gt;=0),F43/Inputs!F154-1,"n.m."),"n.a.")</f>
        <v>0</v>
      </c>
      <c r="G44" s="41">
        <f>IF(ISNUMBER(Inputs!G154),IF(AND(Inputs!G154&gt;0,G43&gt;=0),G43/Inputs!G154-1,"n.m."),"n.a.")</f>
        <v>0.00877192982456143</v>
      </c>
      <c r="H44" s="40">
        <f>IF(ISNUMBER(C43),IF(AND(C43&gt;0,H43&gt;=0),H43/C43-1,"n.m."),"n.a.")</f>
        <v>0.025863554320921356</v>
      </c>
      <c r="I44" s="7"/>
    </row>
    <row r="45">
      <c r="A45" s="7"/>
      <c r="B45" s="48" t="s">
        <v>78</v>
      </c>
      <c r="C45" s="29">
        <f>IF(ISNUMBER(Inputs!G154),C43-Inputs!G154,"n.a.")</f>
        <v>-2</v>
      </c>
      <c r="D45" s="12">
        <f>IF(ISNUMBER(C43),D43-C43,"n.a.")</f>
        <v>1</v>
      </c>
      <c r="E45" s="12"/>
      <c r="F45" s="12">
        <f>IF(ISNUMBER(D43),F43-D43,"n.a.")</f>
        <v>-7</v>
      </c>
      <c r="G45" s="12">
        <f>IF(ISNUMBER(F43),G43-F43,"n.a.")</f>
        <v>9</v>
      </c>
      <c r="H45" s="42">
        <f>IF(ISNUMBER(G43),H43-G43,"n.a.")</f>
        <v>-0.10328191605680104</v>
      </c>
      <c r="I45" s="7"/>
    </row>
    <row r="46">
      <c r="A46" s="7"/>
      <c r="B46" s="44" t="s">
        <v>67</v>
      </c>
      <c r="C46" s="41">
        <f>IF(ISNUMBER(Inputs!G154),IF(AND(Inputs!G154&gt;0,C43&gt;=0),C43/Inputs!G154-1,"n.m."),"n.a.")</f>
        <v>-0.01754385964912286</v>
      </c>
      <c r="D46" s="24">
        <f>IF(ISNUMBER(C43),IF(AND(C43&gt;0,D43&gt;=0),D43/C43-1,"n.m."),"n.a.")</f>
        <v>0.008928571428571397</v>
      </c>
      <c r="E46" s="24"/>
      <c r="F46" s="24">
        <f>IF(ISNUMBER(D43),IF(AND(D43&gt;0,F43&gt;=0),F43/D43-1,"n.m."),"n.a.")</f>
        <v>-0.06194690265486724</v>
      </c>
      <c r="G46" s="24">
        <f>IF(ISNUMBER(F43),IF(AND(F43&gt;0,G43&gt;=0),G43/F43-1,"n.m."),"n.a.")</f>
        <v>0.08490566037735858</v>
      </c>
      <c r="H46" s="40">
        <f>IF(ISNUMBER(G43),IF(AND(G43&gt;0,H43&gt;=0),H43/G43-1,"n.m."),"n.a.")</f>
        <v>-0.0008981036178852264</v>
      </c>
      <c r="I46" s="7"/>
    </row>
    <row r="47">
      <c r="A47" s="7"/>
      <c r="B47" s="44" t="s">
        <v>189</v>
      </c>
      <c r="C47" s="60">
        <f>C43/C13*$I$6/C$6</f>
        <v>0.005575394941992979</v>
      </c>
      <c r="D47" s="60">
        <f>D43/D13*$I$6/D$6</f>
        <v>0.0056436574567431345</v>
      </c>
      <c r="E47" s="60">
        <f>E43/E13*$I$6/E$6</f>
        <v>0.005588983157523728</v>
      </c>
      <c r="F47" s="60">
        <f>F43/F13*$I$6/F$6</f>
        <v>0.005400682029785411</v>
      </c>
      <c r="G47" s="60">
        <f>G43/G13*$I$6/G$6</f>
        <v>0.005721171565089009</v>
      </c>
      <c r="H47" s="61">
        <f>G47+H48/10000</f>
        <v>0.005621171565089009</v>
      </c>
      <c r="I47" s="7"/>
    </row>
    <row r="48">
      <c r="A48" s="7"/>
      <c r="B48" s="69" t="s">
        <v>69</v>
      </c>
      <c r="C48" s="38" t="str">
        <f>"n.a."</f>
        <v>n.a.</v>
      </c>
      <c r="D48" s="38">
        <f>IF(AND(ISNUMBER(D47),ISNUMBER(C47)),(D47-C47)*10000,"n.a.")</f>
        <v>0.6826251475015519</v>
      </c>
      <c r="E48" s="38"/>
      <c r="F48" s="38">
        <f>IF(AND(ISNUMBER(F47),ISNUMBER(D47)),(F47-D47)*10000,"n.a.")</f>
        <v>-2.4297542695772383</v>
      </c>
      <c r="G48" s="38">
        <f>IF(AND(ISNUMBER(G47),ISNUMBER(F47)),(G47-F47)*10000,"n.a.")</f>
        <v>3.204895353035985</v>
      </c>
      <c r="H48" s="77">
        <v>-1</v>
      </c>
      <c r="I48" s="7"/>
    </row>
    <row r="49">
      <c r="A49" s="7"/>
      <c r="B49" s="44" t="s">
        <v>70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8">
        <v>0</v>
      </c>
      <c r="I49" s="7"/>
    </row>
    <row r="50">
      <c r="A50" s="7"/>
      <c r="B50" s="44" t="s">
        <v>71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8">
        <v>0</v>
      </c>
      <c r="I50" s="7"/>
    </row>
    <row r="51">
      <c r="A51" s="7"/>
      <c r="B51" s="44" t="s">
        <v>72</v>
      </c>
      <c r="C51" s="24">
        <f>IF(AND(ISNUMBER(C44),ISNUMBER(C49),ISNUMBER(C50)),(1+C44)/((1+C49)*(1+C50))-1,"unavailable")</f>
        <v>0.03703703703703698</v>
      </c>
      <c r="D51" s="24">
        <f>IF(AND(ISNUMBER(D44),ISNUMBER(D49),ISNUMBER(D50)),(1+D44)/((1+D49)*(1+D50))-1,"unavailable")</f>
        <v>0.10784313725490202</v>
      </c>
      <c r="E51" s="24">
        <f>IF(AND(ISNUMBER(E44),ISNUMBER(E49),ISNUMBER(E50)),(1+E44)/((1+E49)*(1+E50))-1,"unavailable")</f>
        <v>0.04716981132075482</v>
      </c>
      <c r="F51" s="24">
        <f>IF(AND(ISNUMBER(F44),ISNUMBER(F49),ISNUMBER(F50)),(1+F44)/((1+F49)*(1+F50))-1,"unavailable")</f>
        <v>0</v>
      </c>
      <c r="G51" s="24">
        <f>IF(AND(ISNUMBER(G44),ISNUMBER(G49),ISNUMBER(G50)),(1+G44)/((1+G49)*(1+G50))-1,"unavailable")</f>
        <v>0.00877192982456143</v>
      </c>
      <c r="H51" s="40">
        <f>IF(AND(ISNUMBER(H44),ISNUMBER(H49),ISNUMBER(H50)),(1+H44)/((1+H49)*(1+H50))-1,"unavailable")</f>
        <v>0.025863554320921356</v>
      </c>
      <c r="I51" s="7"/>
    </row>
    <row r="52">
      <c r="A52" s="7"/>
      <c r="B52" s="1" t="s">
        <v>192</v>
      </c>
      <c r="C52" s="31">
        <v>0</v>
      </c>
      <c r="D52" s="29">
        <f>E52-Inputs!I155</f>
        <v>1</v>
      </c>
      <c r="E52" s="31">
        <v>2</v>
      </c>
      <c r="F52" s="31">
        <v>0</v>
      </c>
      <c r="G52" s="31">
        <v>0</v>
      </c>
      <c r="H52" s="71">
        <v>0</v>
      </c>
      <c r="I52" s="39" t="s">
        <v>81</v>
      </c>
    </row>
    <row r="53" ht="28.5">
      <c r="A53" s="7"/>
      <c r="B53" s="44" t="s">
        <v>66</v>
      </c>
      <c r="C53" s="41" t="str">
        <f>IF(ISNUMBER(Inputs!C155),IF(AND(Inputs!C155&gt;0,C52&gt;=0),C52/Inputs!C155-1,"n.m."),"n.a.")</f>
        <v>n.m.</v>
      </c>
      <c r="D53" s="41" t="str">
        <f>IF(ISNUMBER(Inputs!D155),IF(AND(Inputs!D155&gt;0,D52&gt;=0),D52/Inputs!D155-1,"n.m."),"n.a.")</f>
        <v>n.m.</v>
      </c>
      <c r="E53" s="41">
        <f>IF(ISNUMBER(Inputs!E155),IF(AND(Inputs!E155&gt;0,E52&gt;=0),E52/Inputs!E155-1,"n.m."),"n.a.")</f>
        <v>1</v>
      </c>
      <c r="F53" s="41" t="str">
        <f>IF(ISNUMBER(Inputs!F155),IF(AND(Inputs!F155&gt;0,F52&gt;=0),F52/Inputs!F155-1,"n.m."),"n.a.")</f>
        <v>n.m.</v>
      </c>
      <c r="G53" s="41" t="str">
        <f>IF(ISNUMBER(Inputs!G155),IF(AND(Inputs!G155&gt;0,G52&gt;=0),G52/Inputs!G155-1,"n.m."),"n.a.")</f>
        <v>n.m.</v>
      </c>
      <c r="H53" s="40" t="str">
        <f>IF(ISNUMBER(C52),IF(AND(C52&gt;0,H52&gt;=0),H52/C52-1,"n.m."),"n.a.")</f>
        <v>n.m.</v>
      </c>
      <c r="I53" s="144" t="s">
        <v>218</v>
      </c>
    </row>
    <row r="54">
      <c r="A54" s="7"/>
      <c r="B54" s="48" t="s">
        <v>78</v>
      </c>
      <c r="C54" s="29">
        <f>IF(ISNUMBER(Inputs!G155),C52-Inputs!G155,"n.a.")</f>
        <v>0</v>
      </c>
      <c r="D54" s="12">
        <f>IF(ISNUMBER(C52),D52-C52,"n.a.")</f>
        <v>1</v>
      </c>
      <c r="E54" s="12"/>
      <c r="F54" s="12">
        <f>IF(ISNUMBER(D52),F52-D52,"n.a.")</f>
        <v>-1</v>
      </c>
      <c r="G54" s="12">
        <f>IF(ISNUMBER(F52),G52-F52,"n.a.")</f>
        <v>0</v>
      </c>
      <c r="H54" s="42">
        <f>IF(ISNUMBER(G52),H52-G52,"n.a.")</f>
        <v>0</v>
      </c>
      <c r="I54" s="7"/>
    </row>
    <row r="55" ht="15.75">
      <c r="A55" s="7"/>
      <c r="B55" s="44" t="s">
        <v>67</v>
      </c>
      <c r="C55" s="41" t="str">
        <f>IF(ISNUMBER(Inputs!G155),IF(AND(Inputs!G155&gt;0,C52&gt;=0),C52/Inputs!G155-1,"n.m."),"n.a.")</f>
        <v>n.m.</v>
      </c>
      <c r="D55" s="24" t="str">
        <f>IF(ISNUMBER(C52),IF(AND(C52&gt;0,D52&gt;=0),D52/C52-1,"n.m."),"n.a.")</f>
        <v>n.m.</v>
      </c>
      <c r="E55" s="24"/>
      <c r="F55" s="24">
        <f>IF(ISNUMBER(D52),IF(AND(D52&gt;0,F52&gt;=0),F52/D52-1,"n.m."),"n.a.")</f>
        <v>-1</v>
      </c>
      <c r="G55" s="24" t="str">
        <f>IF(ISNUMBER(F52),IF(AND(F52&gt;0,G52&gt;=0),G52/F52-1,"n.m."),"n.a.")</f>
        <v>n.m.</v>
      </c>
      <c r="H55" s="40" t="str">
        <f>IF(ISNUMBER(G52),IF(AND(G52&gt;0,H52&gt;=0),H52/G52-1,"n.m."),"n.a.")</f>
        <v>n.m.</v>
      </c>
      <c r="I55" s="142" t="s">
        <v>219</v>
      </c>
    </row>
    <row r="56">
      <c r="A56" s="7"/>
      <c r="B56" s="44" t="s">
        <v>70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8">
        <v>0</v>
      </c>
      <c r="I56" s="7"/>
    </row>
    <row r="57">
      <c r="A57" s="7"/>
      <c r="B57" s="44" t="s">
        <v>71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8">
        <v>0</v>
      </c>
      <c r="I57" s="7"/>
    </row>
    <row r="58">
      <c r="A58" s="7"/>
      <c r="B58" s="44" t="s">
        <v>72</v>
      </c>
      <c r="C58" s="24" t="str">
        <f>IF(AND(ISNUMBER(C53),ISNUMBER(C56),ISNUMBER(C57)),(1+C53)/((1+C56)*(1+C57))-1,"unavailable")</f>
        <v>unavailable</v>
      </c>
      <c r="D58" s="24" t="str">
        <f>IF(AND(ISNUMBER(D53),ISNUMBER(D56),ISNUMBER(D57)),(1+D53)/((1+D56)*(1+D57))-1,"unavailable")</f>
        <v>unavailable</v>
      </c>
      <c r="E58" s="24">
        <f>IF(AND(ISNUMBER(E53),ISNUMBER(E56),ISNUMBER(E57)),(1+E53)/((1+E56)*(1+E57))-1,"unavailable")</f>
        <v>1</v>
      </c>
      <c r="F58" s="24" t="str">
        <f>IF(AND(ISNUMBER(F53),ISNUMBER(F56),ISNUMBER(F57)),(1+F53)/((1+F56)*(1+F57))-1,"unavailable")</f>
        <v>unavailable</v>
      </c>
      <c r="G58" s="24" t="str">
        <f>IF(AND(ISNUMBER(G53),ISNUMBER(G56),ISNUMBER(G57)),(1+G53)/((1+G56)*(1+G57))-1,"unavailable")</f>
        <v>unavailable</v>
      </c>
      <c r="H58" s="40" t="str">
        <f>IF(AND(ISNUMBER(H53),ISNUMBER(H56),ISNUMBER(H57)),(1+H53)/((1+H56)*(1+H57))-1,"unavailable")</f>
        <v>unavailable</v>
      </c>
      <c r="I58" s="7"/>
    </row>
    <row r="59">
      <c r="A59" s="7"/>
      <c r="B59" s="1" t="s">
        <v>220</v>
      </c>
      <c r="C59" s="31">
        <v>504</v>
      </c>
      <c r="D59" s="31">
        <v>494</v>
      </c>
      <c r="E59" s="31">
        <v>1885</v>
      </c>
      <c r="F59" s="31">
        <v>516</v>
      </c>
      <c r="G59" s="31">
        <v>586</v>
      </c>
      <c r="H59" s="42">
        <f>G59*(1+H62)</f>
        <v>556.6999999999999</v>
      </c>
      <c r="I59" s="39" t="s">
        <v>221</v>
      </c>
    </row>
    <row r="60">
      <c r="A60" s="7"/>
      <c r="B60" s="44" t="s">
        <v>66</v>
      </c>
      <c r="C60" s="41" t="str">
        <f>IF(ISNUMBER(Inputs!C156),IF(AND(Inputs!C156&gt;0,C59&gt;=0),C59/Inputs!C156-1,"n.m."),"n.a.")</f>
        <v>n.a.</v>
      </c>
      <c r="D60" s="41">
        <f>IF(ISNUMBER(Inputs!D156),IF(AND(Inputs!D156&gt;0,D59&gt;=0),D59/Inputs!D156-1,"n.m."),"n.a.")</f>
        <v>0.06926406926406936</v>
      </c>
      <c r="E60" s="41">
        <f>IF(ISNUMBER(Inputs!E156),IF(AND(Inputs!E156&gt;0,E59&gt;=0),E59/Inputs!E156-1,"n.m."),"n.a.")</f>
        <v>-0.01976079043161727</v>
      </c>
      <c r="F60" s="41">
        <f>IF(ISNUMBER(Inputs!F156),IF(AND(Inputs!F156&gt;0,F59&gt;=0),F59/Inputs!F156-1,"n.m."),"n.a.")</f>
        <v>0.39083557951482484</v>
      </c>
      <c r="G60" s="41">
        <f>IF(ISNUMBER(Inputs!G156),IF(AND(Inputs!G156&gt;0,G59&gt;=0),G59/Inputs!G156-1,"n.m."),"n.a.")</f>
        <v>0.1356589147286822</v>
      </c>
      <c r="H60" s="40">
        <f>IF(ISNUMBER(C59),IF(AND(C59&gt;0,H59&gt;=0),H59/C59-1,"n.m."),"n.a.")</f>
        <v>0.10456349206349191</v>
      </c>
      <c r="I60" s="7"/>
    </row>
    <row r="61">
      <c r="A61" s="7"/>
      <c r="B61" s="48" t="s">
        <v>78</v>
      </c>
      <c r="C61" s="29">
        <f>IF(ISNUMBER(Inputs!G156),C59-Inputs!G156,"n.a.")</f>
        <v>-12</v>
      </c>
      <c r="D61" s="12">
        <f>IF(ISNUMBER(C59),D59-C59,"n.a.")</f>
        <v>-10</v>
      </c>
      <c r="E61" s="12"/>
      <c r="F61" s="12">
        <f>IF(ISNUMBER(D59),F59-D59,"n.a.")</f>
        <v>22</v>
      </c>
      <c r="G61" s="12">
        <f>IF(ISNUMBER(F59),G59-F59,"n.a.")</f>
        <v>70</v>
      </c>
      <c r="H61" s="42">
        <f>IF(ISNUMBER(G59),H59-G59,"n.a.")</f>
        <v>-29.300000000000068</v>
      </c>
      <c r="I61" s="7"/>
    </row>
    <row r="62">
      <c r="A62" s="7"/>
      <c r="B62" s="44" t="s">
        <v>67</v>
      </c>
      <c r="C62" s="41">
        <f>IF(ISNUMBER(Inputs!G156),IF(AND(Inputs!G156&gt;0,C59&gt;=0),C59/Inputs!G156-1,"n.m."),"n.a.")</f>
        <v>-0.023255813953488413</v>
      </c>
      <c r="D62" s="24">
        <f>IF(ISNUMBER(C59),IF(AND(C59&gt;0,D59&gt;=0),D59/C59-1,"n.m."),"n.a.")</f>
        <v>-0.019841269841269882</v>
      </c>
      <c r="E62" s="24"/>
      <c r="F62" s="24">
        <f>IF(ISNUMBER(D59),IF(AND(D59&gt;0,F59&gt;=0),F59/D59-1,"n.m."),"n.a.")</f>
        <v>0.044534412955465674</v>
      </c>
      <c r="G62" s="24">
        <f>IF(ISNUMBER(F59),IF(AND(F59&gt;0,G59&gt;=0),G59/F59-1,"n.m."),"n.a.")</f>
        <v>0.1356589147286822</v>
      </c>
      <c r="H62" s="58">
        <v>-0.05</v>
      </c>
      <c r="I62" s="7"/>
    </row>
    <row r="63" ht="28.5">
      <c r="A63" s="7"/>
      <c r="B63" s="1" t="s">
        <v>222</v>
      </c>
      <c r="C63" s="31">
        <v>465</v>
      </c>
      <c r="D63" s="31">
        <v>463</v>
      </c>
      <c r="E63" s="31">
        <v>1885</v>
      </c>
      <c r="F63" s="31">
        <v>451</v>
      </c>
      <c r="G63" s="31">
        <v>586</v>
      </c>
      <c r="H63" s="42">
        <f>G63*(1+H66)</f>
        <v>556.6999999999999</v>
      </c>
      <c r="I63" s="142" t="s">
        <v>223</v>
      </c>
    </row>
    <row r="64">
      <c r="A64" s="7"/>
      <c r="B64" s="44" t="s">
        <v>66</v>
      </c>
      <c r="C64" s="41" t="str">
        <f>IF(ISNUMBER(Inputs!C157),IF(AND(Inputs!C157&gt;0,C63&gt;=0),C63/Inputs!C157-1,"n.m."),"n.a.")</f>
        <v>n.a.</v>
      </c>
      <c r="D64" s="41">
        <f>IF(ISNUMBER(Inputs!D157),IF(AND(Inputs!D157&gt;0,D63&gt;=0),D63/Inputs!D157-1,"n.m."),"n.a.")</f>
        <v>0.12106537530266337</v>
      </c>
      <c r="E64" s="41">
        <f>IF(ISNUMBER(Inputs!E157),IF(AND(Inputs!E157&gt;0,E63&gt;=0),E63/Inputs!E157-1,"n.m."),"n.a.")</f>
        <v>0.0692002268859897</v>
      </c>
      <c r="F64" s="41">
        <f>IF(ISNUMBER(Inputs!F157),IF(AND(Inputs!F157&gt;0,F63&gt;=0),F63/Inputs!F157-1,"n.m."),"n.a.")</f>
        <v>0.2704225352112677</v>
      </c>
      <c r="G64" s="41">
        <f>IF(ISNUMBER(Inputs!G157),IF(AND(Inputs!G157&gt;0,G63&gt;=0),G63/Inputs!G157-1,"n.m."),"n.a.")</f>
        <v>-0.02657807308970095</v>
      </c>
      <c r="H64" s="40">
        <f>IF(ISNUMBER(C63),IF(AND(C63&gt;0,H63&gt;=0),H63/C63-1,"n.m."),"n.a.")</f>
        <v>0.19720430107526865</v>
      </c>
      <c r="I64" s="7"/>
    </row>
    <row r="65">
      <c r="A65" s="7"/>
      <c r="B65" s="48" t="s">
        <v>78</v>
      </c>
      <c r="C65" s="29">
        <f>IF(ISNUMBER(Inputs!G157),C63-Inputs!G157,"n.a.")</f>
        <v>-137</v>
      </c>
      <c r="D65" s="12">
        <f>IF(ISNUMBER(C63),D63-C63,"n.a.")</f>
        <v>-2</v>
      </c>
      <c r="E65" s="12"/>
      <c r="F65" s="12">
        <f>IF(ISNUMBER(D63),F63-D63,"n.a.")</f>
        <v>-12</v>
      </c>
      <c r="G65" s="12">
        <f>IF(ISNUMBER(F63),G63-F63,"n.a.")</f>
        <v>135</v>
      </c>
      <c r="H65" s="42">
        <f>IF(ISNUMBER(G63),H63-G63,"n.a.")</f>
        <v>-29.300000000000068</v>
      </c>
      <c r="I65" s="7"/>
    </row>
    <row r="66">
      <c r="A66" s="7"/>
      <c r="B66" s="44" t="s">
        <v>67</v>
      </c>
      <c r="C66" s="41">
        <f>IF(ISNUMBER(Inputs!G157),IF(AND(Inputs!G157&gt;0,C63&gt;=0),C63/Inputs!G157-1,"n.m."),"n.a.")</f>
        <v>-0.22757475083056478</v>
      </c>
      <c r="D66" s="24">
        <f>IF(ISNUMBER(C63),IF(AND(C63&gt;0,D63&gt;=0),D63/C63-1,"n.m."),"n.a.")</f>
        <v>-0.004301075268817178</v>
      </c>
      <c r="E66" s="24"/>
      <c r="F66" s="24">
        <f>IF(ISNUMBER(D63),IF(AND(D63&gt;0,F63&gt;=0),F63/D63-1,"n.m."),"n.a.")</f>
        <v>-0.02591792656587477</v>
      </c>
      <c r="G66" s="24">
        <f>IF(ISNUMBER(F63),IF(AND(F63&gt;0,G63&gt;=0),G63/F63-1,"n.m."),"n.a.")</f>
        <v>0.29933481152993346</v>
      </c>
      <c r="H66" s="58">
        <v>-0.05</v>
      </c>
      <c r="I66" s="7"/>
    </row>
    <row r="67">
      <c r="A67" s="7"/>
      <c r="B67" s="33" t="s">
        <v>224</v>
      </c>
      <c r="C67" s="35">
        <f>C59+C63</f>
        <v>969</v>
      </c>
      <c r="D67" s="35">
        <f>D59+D63</f>
        <v>957</v>
      </c>
      <c r="E67" s="35">
        <f>E59+E63</f>
        <v>3770</v>
      </c>
      <c r="F67" s="35">
        <f>F59+F63</f>
        <v>967</v>
      </c>
      <c r="G67" s="35">
        <f>G59+G63</f>
        <v>1172</v>
      </c>
      <c r="H67" s="50">
        <f>H59+H63</f>
        <v>1113.3999999999999</v>
      </c>
      <c r="I67" s="7"/>
    </row>
    <row r="68">
      <c r="A68" s="7"/>
      <c r="B68" s="44" t="s">
        <v>66</v>
      </c>
      <c r="C68" s="41" t="str">
        <f>IF(ISNUMBER(Inputs!C158),IF(AND(Inputs!C158&gt;0,C67&gt;=0),C67/Inputs!C158-1,"n.m."),"n.a.")</f>
        <v>n.a.</v>
      </c>
      <c r="D68" s="41">
        <f>IF(ISNUMBER(Inputs!D158),IF(AND(Inputs!D158&gt;0,D67&gt;=0),D67/Inputs!D158-1,"n.m."),"n.a.")</f>
        <v>0.09371428571428564</v>
      </c>
      <c r="E68" s="41">
        <f>IF(ISNUMBER(Inputs!E158),IF(AND(Inputs!E158&gt;0,E67&gt;=0),E67/Inputs!E158-1,"n.m."),"n.a.")</f>
        <v>0.022788931090613085</v>
      </c>
      <c r="F68" s="41">
        <f>IF(ISNUMBER(Inputs!F158),IF(AND(Inputs!F158&gt;0,F67&gt;=0),F67/Inputs!F158-1,"n.m."),"n.a.")</f>
        <v>0.33195592286501374</v>
      </c>
      <c r="G68" s="41">
        <f>IF(ISNUMBER(Inputs!G158),IF(AND(Inputs!G158&gt;0,G67&gt;=0),G67/Inputs!G158-1,"n.m."),"n.a.")</f>
        <v>0.04830053667262968</v>
      </c>
      <c r="H68" s="40">
        <f>IF(ISNUMBER(C67),IF(AND(C67&gt;0,H67&gt;=0),H67/C67-1,"n.m."),"n.a.")</f>
        <v>0.14901960784313717</v>
      </c>
      <c r="I68" s="7"/>
    </row>
    <row r="69">
      <c r="A69" s="7"/>
      <c r="B69" s="48" t="s">
        <v>78</v>
      </c>
      <c r="C69" s="29">
        <f>IF(ISNUMBER(Inputs!G158),C67-Inputs!G158,"n.a.")</f>
        <v>-149</v>
      </c>
      <c r="D69" s="12">
        <f>IF(ISNUMBER(C67),D67-C67,"n.a.")</f>
        <v>-12</v>
      </c>
      <c r="E69" s="12"/>
      <c r="F69" s="12">
        <f>IF(ISNUMBER(D67),F67-D67,"n.a.")</f>
        <v>10</v>
      </c>
      <c r="G69" s="12">
        <f>IF(ISNUMBER(F67),G67-F67,"n.a.")</f>
        <v>205</v>
      </c>
      <c r="H69" s="42">
        <f>IF(ISNUMBER(G67),H67-G67,"n.a.")</f>
        <v>-58.600000000000136</v>
      </c>
      <c r="I69" s="7"/>
    </row>
    <row r="70">
      <c r="A70" s="7"/>
      <c r="B70" s="48" t="s">
        <v>225</v>
      </c>
      <c r="C70" s="31">
        <v>17</v>
      </c>
      <c r="D70" s="31">
        <v>17</v>
      </c>
      <c r="E70" s="31">
        <v>64</v>
      </c>
      <c r="F70" s="31">
        <v>18</v>
      </c>
      <c r="G70" s="31">
        <v>17</v>
      </c>
      <c r="H70" s="42">
        <f>H59*H73</f>
        <v>16.15</v>
      </c>
      <c r="I70" s="39" t="s">
        <v>221</v>
      </c>
    </row>
    <row r="71">
      <c r="A71" s="7"/>
      <c r="B71" s="69" t="s">
        <v>66</v>
      </c>
      <c r="C71" s="41" t="str">
        <f>IF(ISNUMBER(Inputs!C159),IF(AND(Inputs!C159&gt;0,C70&gt;=0),C70/Inputs!C159-1,"n.m."),"n.a.")</f>
        <v>n.a.</v>
      </c>
      <c r="D71" s="41">
        <f>IF(ISNUMBER(Inputs!D159),IF(AND(Inputs!D159&gt;0,D70&gt;=0),D70/Inputs!D159-1,"n.m."),"n.a.")</f>
        <v>0.2142857142857142</v>
      </c>
      <c r="E71" s="41">
        <f>IF(ISNUMBER(Inputs!E159),IF(AND(Inputs!E159&gt;0,E70&gt;=0),E70/Inputs!E159-1,"n.m."),"n.a.")</f>
        <v>-0.08571428571428574</v>
      </c>
      <c r="F71" s="41">
        <f>IF(ISNUMBER(Inputs!F159),IF(AND(Inputs!F159&gt;0,F70&gt;=0),F70/Inputs!F159-1,"n.m."),"n.a.")</f>
        <v>0.3846153846153846</v>
      </c>
      <c r="G71" s="41">
        <f>IF(ISNUMBER(Inputs!G159),IF(AND(Inputs!G159&gt;0,G70&gt;=0),G70/Inputs!G159-1,"n.m."),"n.a.")</f>
        <v>0</v>
      </c>
      <c r="H71" s="40">
        <f>IF(ISNUMBER(C70),IF(AND(C70&gt;0,H70&gt;=0),H70/C70-1,"n.m."),"n.a.")</f>
        <v>-0.050000000000000044</v>
      </c>
      <c r="I71" s="7"/>
    </row>
    <row r="72">
      <c r="A72" s="7"/>
      <c r="B72" s="76" t="s">
        <v>78</v>
      </c>
      <c r="C72" s="29">
        <f>IF(ISNUMBER(Inputs!G159),C70-Inputs!G159,"n.a.")</f>
        <v>0</v>
      </c>
      <c r="D72" s="12">
        <f>IF(ISNUMBER(C70),D70-C70,"n.a.")</f>
        <v>0</v>
      </c>
      <c r="E72" s="12"/>
      <c r="F72" s="12">
        <f>IF(ISNUMBER(D70),F70-D70,"n.a.")</f>
        <v>1</v>
      </c>
      <c r="G72" s="12">
        <f>IF(ISNUMBER(F70),G70-F70,"n.a.")</f>
        <v>-1</v>
      </c>
      <c r="H72" s="42">
        <f>IF(ISNUMBER(G70),H70-G70,"n.a.")</f>
        <v>-0.8500000000000014</v>
      </c>
      <c r="I72" s="7"/>
    </row>
    <row r="73">
      <c r="A73" s="7"/>
      <c r="B73" s="69" t="s">
        <v>226</v>
      </c>
      <c r="C73" s="60">
        <f>C70/C59</f>
        <v>0.03373015873015873</v>
      </c>
      <c r="D73" s="60">
        <f>D70/D59</f>
        <v>0.03441295546558704</v>
      </c>
      <c r="E73" s="60">
        <f>E70/E59</f>
        <v>0.03395225464190981</v>
      </c>
      <c r="F73" s="60">
        <f>F70/F59</f>
        <v>0.03488372093023256</v>
      </c>
      <c r="G73" s="60">
        <f>G70/G59</f>
        <v>0.02901023890784983</v>
      </c>
      <c r="H73" s="61">
        <f>G73+H74/10000</f>
        <v>0.02901023890784983</v>
      </c>
      <c r="I73" s="7"/>
    </row>
    <row r="74">
      <c r="A74" s="7"/>
      <c r="B74" s="79" t="s">
        <v>69</v>
      </c>
      <c r="C74" s="38" t="str">
        <f>"n.a."</f>
        <v>n.a.</v>
      </c>
      <c r="D74" s="38">
        <f>IF(AND(ISNUMBER(D73),ISNUMBER(C73)),(D73-C73)*10000,"n.a.")</f>
        <v>6.827967354283149</v>
      </c>
      <c r="E74" s="38"/>
      <c r="F74" s="38">
        <f>IF(AND(ISNUMBER(F73),ISNUMBER(D73)),(F73-D73)*10000,"n.a.")</f>
        <v>4.707654646455145</v>
      </c>
      <c r="G74" s="38">
        <f>IF(AND(ISNUMBER(G73),ISNUMBER(F73)),(G73-F73)*10000,"n.a.")</f>
        <v>-58.73482022382727</v>
      </c>
      <c r="H74" s="77">
        <v>0</v>
      </c>
      <c r="I74" s="7"/>
    </row>
    <row r="75">
      <c r="A75" s="7"/>
      <c r="B75" s="48" t="s">
        <v>227</v>
      </c>
      <c r="C75" s="31">
        <v>47</v>
      </c>
      <c r="D75" s="31">
        <v>47</v>
      </c>
      <c r="E75" s="31">
        <v>188</v>
      </c>
      <c r="F75" s="31">
        <v>46</v>
      </c>
      <c r="G75" s="31">
        <v>45</v>
      </c>
      <c r="H75" s="42">
        <f>G75*(1+H78)</f>
        <v>45</v>
      </c>
      <c r="I75" s="39" t="s">
        <v>221</v>
      </c>
    </row>
    <row r="76">
      <c r="A76" s="7"/>
      <c r="B76" s="69" t="s">
        <v>66</v>
      </c>
      <c r="C76" s="41" t="str">
        <f>IF(ISNUMBER(Inputs!C160),IF(AND(Inputs!C160&gt;0,C75&gt;=0),C75/Inputs!C160-1,"n.m."),"n.a.")</f>
        <v>n.a.</v>
      </c>
      <c r="D76" s="41">
        <f>IF(ISNUMBER(Inputs!D160),IF(AND(Inputs!D160&gt;0,D75&gt;=0),D75/Inputs!D160-1,"n.m."),"n.a.")</f>
        <v>-0.02083333333333337</v>
      </c>
      <c r="E76" s="41">
        <f>IF(ISNUMBER(Inputs!E160),IF(AND(Inputs!E160&gt;0,E75&gt;=0),E75/Inputs!E160-1,"n.m."),"n.a.")</f>
        <v>-0.015706806282722474</v>
      </c>
      <c r="F76" s="41">
        <f>IF(ISNUMBER(Inputs!F160),IF(AND(Inputs!F160&gt;0,F75&gt;=0),F75/Inputs!F160-1,"n.m."),"n.a.")</f>
        <v>-0.021276595744680882</v>
      </c>
      <c r="G76" s="41">
        <f>IF(ISNUMBER(Inputs!G160),IF(AND(Inputs!G160&gt;0,G75&gt;=0),G75/Inputs!G160-1,"n.m."),"n.a.")</f>
        <v>-0.04255319148936165</v>
      </c>
      <c r="H76" s="40">
        <f>IF(ISNUMBER(C75),IF(AND(C75&gt;0,H75&gt;=0),H75/C75-1,"n.m."),"n.a.")</f>
        <v>-0.04255319148936165</v>
      </c>
      <c r="I76" s="7"/>
    </row>
    <row r="77">
      <c r="A77" s="7"/>
      <c r="B77" s="76" t="s">
        <v>78</v>
      </c>
      <c r="C77" s="29">
        <f>IF(ISNUMBER(Inputs!G160),C75-Inputs!G160,"n.a.")</f>
        <v>0</v>
      </c>
      <c r="D77" s="12">
        <f>IF(ISNUMBER(C75),D75-C75,"n.a.")</f>
        <v>0</v>
      </c>
      <c r="E77" s="12"/>
      <c r="F77" s="12">
        <f>IF(ISNUMBER(D75),F75-D75,"n.a.")</f>
        <v>-1</v>
      </c>
      <c r="G77" s="12">
        <f>IF(ISNUMBER(F75),G75-F75,"n.a.")</f>
        <v>-1</v>
      </c>
      <c r="H77" s="42">
        <f>IF(ISNUMBER(G75),H75-G75,"n.a.")</f>
        <v>0</v>
      </c>
      <c r="I77" s="7"/>
    </row>
    <row r="78">
      <c r="A78" s="7"/>
      <c r="B78" s="69" t="s">
        <v>67</v>
      </c>
      <c r="C78" s="41">
        <f>IF(ISNUMBER(Inputs!G160),IF(AND(Inputs!G160&gt;0,C75&gt;=0),C75/Inputs!G160-1,"n.m."),"n.a.")</f>
        <v>0</v>
      </c>
      <c r="D78" s="24">
        <f>IF(ISNUMBER(C75),IF(AND(C75&gt;0,D75&gt;=0),D75/C75-1,"n.m."),"n.a.")</f>
        <v>0</v>
      </c>
      <c r="E78" s="24"/>
      <c r="F78" s="24">
        <f>IF(ISNUMBER(D75),IF(AND(D75&gt;0,F75&gt;=0),F75/D75-1,"n.m."),"n.a.")</f>
        <v>-0.021276595744680882</v>
      </c>
      <c r="G78" s="24">
        <f>IF(ISNUMBER(F75),IF(AND(F75&gt;0,G75&gt;=0),G75/F75-1,"n.m."),"n.a.")</f>
        <v>-0.021739130434782594</v>
      </c>
      <c r="H78" s="58">
        <v>0</v>
      </c>
      <c r="I78" s="7"/>
    </row>
    <row r="79">
      <c r="A79" s="7"/>
      <c r="B79" s="48" t="s">
        <v>228</v>
      </c>
      <c r="C79" s="31">
        <v>1</v>
      </c>
      <c r="D79" s="31">
        <v>13</v>
      </c>
      <c r="E79" s="31">
        <v>20</v>
      </c>
      <c r="F79" s="31">
        <v>1</v>
      </c>
      <c r="G79" s="31">
        <v>5</v>
      </c>
      <c r="H79" s="71">
        <v>5</v>
      </c>
      <c r="I79" s="39" t="s">
        <v>221</v>
      </c>
    </row>
    <row r="80" ht="28.5">
      <c r="A80" s="7"/>
      <c r="B80" s="69" t="s">
        <v>66</v>
      </c>
      <c r="C80" s="41" t="str">
        <f>IF(ISNUMBER(Inputs!C161),IF(AND(Inputs!C161&gt;0,C79&gt;=0),C79/Inputs!C161-1,"n.m."),"n.a.")</f>
        <v>n.a.</v>
      </c>
      <c r="D80" s="41">
        <f>IF(ISNUMBER(Inputs!D161),IF(AND(Inputs!D161&gt;0,D79&gt;=0),D79/Inputs!D161-1,"n.m."),"n.a.")</f>
        <v>-0.7678571428571428</v>
      </c>
      <c r="E80" s="41">
        <f>IF(ISNUMBER(Inputs!E161),IF(AND(Inputs!E161&gt;0,E79&gt;=0),E79/Inputs!E161-1,"n.m."),"n.a.")</f>
        <v>-0.6666666666666667</v>
      </c>
      <c r="F80" s="41" t="str">
        <f>IF(ISNUMBER(Inputs!F161),IF(AND(Inputs!F161&gt;0,F79&gt;=0),F79/Inputs!F161-1,"n.m."),"n.a.")</f>
        <v>n.m.</v>
      </c>
      <c r="G80" s="41">
        <f>IF(ISNUMBER(Inputs!G161),IF(AND(Inputs!G161&gt;0,G79&gt;=0),G79/Inputs!G161-1,"n.m."),"n.a.")</f>
        <v>-0.6875</v>
      </c>
      <c r="H80" s="40">
        <f>IF(ISNUMBER(C79),IF(AND(C79&gt;0,H79&gt;=0),H79/C79-1,"n.m."),"n.a.")</f>
        <v>4</v>
      </c>
      <c r="I80" s="144" t="s">
        <v>229</v>
      </c>
    </row>
    <row r="81">
      <c r="A81" s="7"/>
      <c r="B81" s="76" t="s">
        <v>78</v>
      </c>
      <c r="C81" s="29">
        <f>IF(ISNUMBER(Inputs!G161),C79-Inputs!G161,"n.a.")</f>
        <v>-15</v>
      </c>
      <c r="D81" s="12">
        <f>IF(ISNUMBER(C79),D79-C79,"n.a.")</f>
        <v>12</v>
      </c>
      <c r="E81" s="12"/>
      <c r="F81" s="12">
        <f>IF(ISNUMBER(D79),F79-D79,"n.a.")</f>
        <v>-12</v>
      </c>
      <c r="G81" s="12">
        <f>IF(ISNUMBER(F79),G79-F79,"n.a.")</f>
        <v>4</v>
      </c>
      <c r="H81" s="42">
        <f>IF(ISNUMBER(G79),H79-G79,"n.a.")</f>
        <v>0</v>
      </c>
      <c r="I81" s="7"/>
    </row>
    <row r="82">
      <c r="A82" s="7"/>
      <c r="B82" s="48" t="s">
        <v>230</v>
      </c>
      <c r="C82" s="31">
        <v>1</v>
      </c>
      <c r="D82" s="31">
        <v>-16</v>
      </c>
      <c r="E82" s="31">
        <v>-1</v>
      </c>
      <c r="F82" s="31">
        <v>-3</v>
      </c>
      <c r="G82" s="31">
        <v>-9</v>
      </c>
      <c r="H82" s="71">
        <v>-9</v>
      </c>
      <c r="I82" s="39" t="s">
        <v>221</v>
      </c>
    </row>
    <row r="83">
      <c r="A83" s="7"/>
      <c r="B83" s="69" t="s">
        <v>66</v>
      </c>
      <c r="C83" s="41" t="str">
        <f>IF(ISNUMBER(Inputs!C162),IF(AND(Inputs!C162&gt;0,C82&gt;=0),C82/Inputs!C162-1,"n.m."),"n.a.")</f>
        <v>n.a.</v>
      </c>
      <c r="D83" s="41" t="str">
        <f>IF(ISNUMBER(Inputs!D162),IF(AND(Inputs!D162&gt;0,D82&gt;=0),D82/Inputs!D162-1,"n.m."),"n.a.")</f>
        <v>n.m.</v>
      </c>
      <c r="E83" s="41" t="str">
        <f>IF(ISNUMBER(Inputs!E162),IF(AND(Inputs!E162&gt;0,E82&gt;=0),E82/Inputs!E162-1,"n.m."),"n.a.")</f>
        <v>n.m.</v>
      </c>
      <c r="F83" s="41" t="str">
        <f>IF(ISNUMBER(Inputs!F162),IF(AND(Inputs!F162&gt;0,F82&gt;=0),F82/Inputs!F162-1,"n.m."),"n.a.")</f>
        <v>n.m.</v>
      </c>
      <c r="G83" s="41" t="str">
        <f>IF(ISNUMBER(Inputs!G162),IF(AND(Inputs!G162&gt;0,G82&gt;=0),G82/Inputs!G162-1,"n.m."),"n.a.")</f>
        <v>n.m.</v>
      </c>
      <c r="H83" s="40" t="str">
        <f>IF(ISNUMBER(C82),IF(AND(C82&gt;0,H82&gt;=0),H82/C82-1,"n.m."),"n.a.")</f>
        <v>n.m.</v>
      </c>
      <c r="I83" s="7"/>
    </row>
    <row r="84">
      <c r="A84" s="7"/>
      <c r="B84" s="76" t="s">
        <v>78</v>
      </c>
      <c r="C84" s="29">
        <f>IF(ISNUMBER(Inputs!G162),C82-Inputs!G162,"n.a.")</f>
        <v>5</v>
      </c>
      <c r="D84" s="12">
        <f>IF(ISNUMBER(C82),D82-C82,"n.a.")</f>
        <v>-17</v>
      </c>
      <c r="E84" s="12"/>
      <c r="F84" s="12">
        <f>IF(ISNUMBER(D82),F82-D82,"n.a.")</f>
        <v>13</v>
      </c>
      <c r="G84" s="12">
        <f>IF(ISNUMBER(F82),G82-F82,"n.a.")</f>
        <v>-6</v>
      </c>
      <c r="H84" s="42">
        <f>IF(ISNUMBER(G82),H82-G82,"n.a.")</f>
        <v>0</v>
      </c>
      <c r="I84" s="7"/>
    </row>
    <row r="85">
      <c r="A85" s="7"/>
      <c r="B85" s="48" t="s">
        <v>231</v>
      </c>
      <c r="C85" s="31">
        <v>-28</v>
      </c>
      <c r="D85" s="31">
        <v>-29</v>
      </c>
      <c r="E85" s="31">
        <v>-113</v>
      </c>
      <c r="F85" s="31">
        <v>-30</v>
      </c>
      <c r="G85" s="31">
        <v>-25</v>
      </c>
      <c r="H85" s="71">
        <v>-25</v>
      </c>
      <c r="I85" s="39" t="s">
        <v>221</v>
      </c>
    </row>
    <row r="86">
      <c r="A86" s="7"/>
      <c r="B86" s="69" t="s">
        <v>66</v>
      </c>
      <c r="C86" s="41" t="str">
        <f>IF(ISNUMBER(Inputs!C163),IF(AND(Inputs!C163&gt;0,C85&gt;=0),C85/Inputs!C163-1,"n.m."),"n.a.")</f>
        <v>n.a.</v>
      </c>
      <c r="D86" s="41" t="str">
        <f>IF(ISNUMBER(Inputs!D163),IF(AND(Inputs!D163&gt;0,D85&gt;=0),D85/Inputs!D163-1,"n.m."),"n.a.")</f>
        <v>n.m.</v>
      </c>
      <c r="E86" s="41" t="str">
        <f>IF(ISNUMBER(Inputs!E163),IF(AND(Inputs!E163&gt;0,E85&gt;=0),E85/Inputs!E163-1,"n.m."),"n.a.")</f>
        <v>n.m.</v>
      </c>
      <c r="F86" s="41" t="str">
        <f>IF(ISNUMBER(Inputs!F163),IF(AND(Inputs!F163&gt;0,F85&gt;=0),F85/Inputs!F163-1,"n.m."),"n.a.")</f>
        <v>n.m.</v>
      </c>
      <c r="G86" s="41" t="str">
        <f>IF(ISNUMBER(Inputs!G163),IF(AND(Inputs!G163&gt;0,G85&gt;=0),G85/Inputs!G163-1,"n.m."),"n.a.")</f>
        <v>n.m.</v>
      </c>
      <c r="H86" s="40" t="str">
        <f>IF(ISNUMBER(C85),IF(AND(C85&gt;0,H85&gt;=0),H85/C85-1,"n.m."),"n.a.")</f>
        <v>n.m.</v>
      </c>
      <c r="I86" s="7"/>
    </row>
    <row r="87">
      <c r="A87" s="7"/>
      <c r="B87" s="76" t="s">
        <v>78</v>
      </c>
      <c r="C87" s="29">
        <f>IF(ISNUMBER(Inputs!G163),C85-Inputs!G163,"n.a.")</f>
        <v>0</v>
      </c>
      <c r="D87" s="12">
        <f>IF(ISNUMBER(C85),D85-C85,"n.a.")</f>
        <v>-1</v>
      </c>
      <c r="E87" s="12"/>
      <c r="F87" s="12">
        <f>IF(ISNUMBER(D85),F85-D85,"n.a.")</f>
        <v>-1</v>
      </c>
      <c r="G87" s="12">
        <f>IF(ISNUMBER(F85),G85-F85,"n.a.")</f>
        <v>5</v>
      </c>
      <c r="H87" s="42">
        <f>IF(ISNUMBER(G85),H85-G85,"n.a.")</f>
        <v>0</v>
      </c>
      <c r="I87" s="7"/>
    </row>
    <row r="88">
      <c r="A88" s="7"/>
      <c r="B88" s="33" t="s">
        <v>232</v>
      </c>
      <c r="C88" s="35">
        <f>C70+C75+C79+C82+C85</f>
        <v>38</v>
      </c>
      <c r="D88" s="35">
        <f>D70+D75+D79+D82+D85</f>
        <v>32</v>
      </c>
      <c r="E88" s="35">
        <f>E70+E75+E79+E82+E85</f>
        <v>158</v>
      </c>
      <c r="F88" s="35">
        <f>F70+F75+F79+F82+F85</f>
        <v>32</v>
      </c>
      <c r="G88" s="35">
        <f>G70+G75+G79+G82+G85</f>
        <v>33</v>
      </c>
      <c r="H88" s="50">
        <f>H70+H75+H79+H82+H85</f>
        <v>32.150000000000006</v>
      </c>
      <c r="I88" s="7"/>
    </row>
    <row r="89">
      <c r="A89" s="7"/>
      <c r="B89" s="44" t="s">
        <v>66</v>
      </c>
      <c r="C89" s="41" t="str">
        <f>IF(ISNUMBER(Inputs!C164),IF(AND(Inputs!C164&gt;0,C88&gt;=0),C88/Inputs!C164-1,"n.m."),"n.a.")</f>
        <v>n.a.</v>
      </c>
      <c r="D89" s="41">
        <f>IF(ISNUMBER(Inputs!D164),IF(AND(Inputs!D164&gt;0,D88&gt;=0),D88/Inputs!D164-1,"n.m."),"n.a.")</f>
        <v>-0.08571428571428574</v>
      </c>
      <c r="E89" s="41">
        <f>IF(ISNUMBER(Inputs!E164),IF(AND(Inputs!E164&gt;0,E88&gt;=0),E88/Inputs!E164-1,"n.m."),"n.a.")</f>
        <v>0.08219178082191791</v>
      </c>
      <c r="F89" s="41">
        <f>IF(ISNUMBER(Inputs!F164),IF(AND(Inputs!F164&gt;0,F88&gt;=0),F88/Inputs!F164-1,"n.m."),"n.a.")</f>
        <v>-0.19999999999999996</v>
      </c>
      <c r="G89" s="41">
        <f>IF(ISNUMBER(Inputs!G164),IF(AND(Inputs!G164&gt;0,G88&gt;=0),G88/Inputs!G164-1,"n.m."),"n.a.")</f>
        <v>-0.3125</v>
      </c>
      <c r="H89" s="40">
        <f>IF(ISNUMBER(C88),IF(AND(C88&gt;0,H88&gt;=0),H88/C88-1,"n.m."),"n.a.")</f>
        <v>-0.1539473684210525</v>
      </c>
      <c r="I89" s="7"/>
    </row>
    <row r="90">
      <c r="A90" s="7"/>
      <c r="B90" s="48" t="s">
        <v>78</v>
      </c>
      <c r="C90" s="29">
        <f>IF(ISNUMBER(Inputs!G164),C88-Inputs!G164,"n.a.")</f>
        <v>-10</v>
      </c>
      <c r="D90" s="12">
        <f>IF(ISNUMBER(C88),D88-C88,"n.a.")</f>
        <v>-6</v>
      </c>
      <c r="E90" s="12"/>
      <c r="F90" s="12">
        <f>IF(ISNUMBER(D88),F88-D88,"n.a.")</f>
        <v>0</v>
      </c>
      <c r="G90" s="12">
        <f>IF(ISNUMBER(F88),G88-F88,"n.a.")</f>
        <v>1</v>
      </c>
      <c r="H90" s="42">
        <f>IF(ISNUMBER(G88),H88-G88,"n.a.")</f>
        <v>-0.8499999999999943</v>
      </c>
      <c r="I90" s="7"/>
    </row>
    <row r="91">
      <c r="A91" s="7"/>
      <c r="B91" s="44" t="s">
        <v>67</v>
      </c>
      <c r="C91" s="41">
        <f>IF(ISNUMBER(Inputs!G164),IF(AND(Inputs!G164&gt;0,C88&gt;=0),C88/Inputs!G164-1,"n.m."),"n.a.")</f>
        <v>-0.20833333333333337</v>
      </c>
      <c r="D91" s="24">
        <f>IF(ISNUMBER(C88),IF(AND(C88&gt;0,D88&gt;=0),D88/C88-1,"n.m."),"n.a.")</f>
        <v>-0.1578947368421053</v>
      </c>
      <c r="E91" s="24"/>
      <c r="F91" s="24">
        <f>IF(ISNUMBER(D88),IF(AND(D88&gt;0,F88&gt;=0),F88/D88-1,"n.m."),"n.a.")</f>
        <v>0</v>
      </c>
      <c r="G91" s="24">
        <f>IF(ISNUMBER(F88),IF(AND(F88&gt;0,G88&gt;=0),G88/F88-1,"n.m."),"n.a.")</f>
        <v>0.03125</v>
      </c>
      <c r="H91" s="40">
        <f>IF(ISNUMBER(G88),IF(AND(G88&gt;0,H88&gt;=0),H88/G88-1,"n.m."),"n.a.")</f>
        <v>-0.025757575757575535</v>
      </c>
      <c r="I91" s="7"/>
    </row>
    <row r="92">
      <c r="A92" s="7"/>
      <c r="B92" s="44" t="s">
        <v>70</v>
      </c>
      <c r="C92" s="52">
        <v>0</v>
      </c>
      <c r="D92" s="52">
        <v>0</v>
      </c>
      <c r="E92" s="52">
        <v>0</v>
      </c>
      <c r="F92" s="52">
        <v>0</v>
      </c>
      <c r="G92" s="52">
        <v>0</v>
      </c>
      <c r="H92" s="58">
        <v>0</v>
      </c>
      <c r="I92" s="7"/>
    </row>
    <row r="93">
      <c r="A93" s="7"/>
      <c r="B93" s="44" t="s">
        <v>71</v>
      </c>
      <c r="C93" s="52">
        <v>0</v>
      </c>
      <c r="D93" s="52">
        <v>0</v>
      </c>
      <c r="E93" s="52">
        <v>0</v>
      </c>
      <c r="F93" s="52">
        <v>0</v>
      </c>
      <c r="G93" s="52">
        <v>0</v>
      </c>
      <c r="H93" s="58">
        <v>0</v>
      </c>
      <c r="I93" s="7"/>
    </row>
    <row r="94">
      <c r="A94" s="7"/>
      <c r="B94" s="44" t="s">
        <v>72</v>
      </c>
      <c r="C94" s="24" t="str">
        <f>IF(AND(ISNUMBER(C89),ISNUMBER(C92),ISNUMBER(C93)),(1+C89)/((1+C92)*(1+C93))-1,"unavailable")</f>
        <v>unavailable</v>
      </c>
      <c r="D94" s="24">
        <f>IF(AND(ISNUMBER(D89),ISNUMBER(D92),ISNUMBER(D93)),(1+D89)/((1+D92)*(1+D93))-1,"unavailable")</f>
        <v>-0.08571428571428574</v>
      </c>
      <c r="E94" s="24">
        <f>IF(AND(ISNUMBER(E89),ISNUMBER(E92),ISNUMBER(E93)),(1+E89)/((1+E92)*(1+E93))-1,"unavailable")</f>
        <v>0.08219178082191791</v>
      </c>
      <c r="F94" s="24">
        <f>IF(AND(ISNUMBER(F89),ISNUMBER(F92),ISNUMBER(F93)),(1+F89)/((1+F92)*(1+F93))-1,"unavailable")</f>
        <v>-0.19999999999999996</v>
      </c>
      <c r="G94" s="24">
        <f>IF(AND(ISNUMBER(G89),ISNUMBER(G92),ISNUMBER(G93)),(1+G89)/((1+G92)*(1+G93))-1,"unavailable")</f>
        <v>-0.3125</v>
      </c>
      <c r="H94" s="40">
        <f>IF(AND(ISNUMBER(H89),ISNUMBER(H92),ISNUMBER(H93)),(1+H89)/((1+H92)*(1+H93))-1,"unavailable")</f>
        <v>-0.1539473684210525</v>
      </c>
      <c r="I94" s="7"/>
    </row>
    <row r="95">
      <c r="A95" s="7"/>
      <c r="B95" s="1" t="s">
        <v>195</v>
      </c>
      <c r="C95" s="31">
        <v>19</v>
      </c>
      <c r="D95" s="29">
        <f>E95-Inputs!I165</f>
        <v>20</v>
      </c>
      <c r="E95" s="31">
        <v>79</v>
      </c>
      <c r="F95" s="31">
        <v>18</v>
      </c>
      <c r="G95" s="31">
        <v>17</v>
      </c>
      <c r="H95" s="42">
        <f>G95*(1+H98)</f>
        <v>18.003</v>
      </c>
      <c r="I95" s="39" t="s">
        <v>81</v>
      </c>
    </row>
    <row r="96">
      <c r="A96" s="7"/>
      <c r="B96" s="44" t="s">
        <v>66</v>
      </c>
      <c r="C96" s="41">
        <f>IF(ISNUMBER(Inputs!C165),IF(AND(Inputs!C165&gt;0,C95&gt;=0),C95/Inputs!C165-1,"n.m."),"n.a.")</f>
        <v>-0.050000000000000044</v>
      </c>
      <c r="D96" s="41">
        <f>IF(ISNUMBER(Inputs!D165),IF(AND(Inputs!D165&gt;0,D95&gt;=0),D95/Inputs!D165-1,"n.m."),"n.a.")</f>
        <v>-0.09090909090909094</v>
      </c>
      <c r="E96" s="41">
        <f>IF(ISNUMBER(Inputs!E165),IF(AND(Inputs!E165&gt;0,E95&gt;=0),E95/Inputs!E165-1,"n.m."),"n.a.")</f>
        <v>-0.024691358024691357</v>
      </c>
      <c r="F96" s="41">
        <f>IF(ISNUMBER(Inputs!F165),IF(AND(Inputs!F165&gt;0,F95&gt;=0),F95/Inputs!F165-1,"n.m."),"n.a.")</f>
        <v>-0.052631578947368474</v>
      </c>
      <c r="G96" s="41">
        <f>IF(ISNUMBER(Inputs!G165),IF(AND(Inputs!G165&gt;0,G95&gt;=0),G95/Inputs!G165-1,"n.m."),"n.a.")</f>
        <v>-0.15000000000000002</v>
      </c>
      <c r="H96" s="40">
        <f>IF(ISNUMBER(C95),IF(AND(C95&gt;0,H95&gt;=0),H95/C95-1,"n.m."),"n.a.")</f>
        <v>-0.05247368421052634</v>
      </c>
      <c r="I96" s="7"/>
    </row>
    <row r="97">
      <c r="A97" s="7"/>
      <c r="B97" s="48" t="s">
        <v>78</v>
      </c>
      <c r="C97" s="29">
        <f>IF(ISNUMBER(Inputs!G165),C95-Inputs!G165,"n.a.")</f>
        <v>-1</v>
      </c>
      <c r="D97" s="12">
        <f>IF(ISNUMBER(C95),D95-C95,"n.a.")</f>
        <v>1</v>
      </c>
      <c r="E97" s="12"/>
      <c r="F97" s="12">
        <f>IF(ISNUMBER(D95),F95-D95,"n.a.")</f>
        <v>-2</v>
      </c>
      <c r="G97" s="12">
        <f>IF(ISNUMBER(F95),G95-F95,"n.a.")</f>
        <v>-1</v>
      </c>
      <c r="H97" s="42">
        <f>IF(ISNUMBER(G95),H95-G95,"n.a.")</f>
        <v>1.0030000000000001</v>
      </c>
      <c r="I97" s="7"/>
    </row>
    <row r="98">
      <c r="A98" s="7"/>
      <c r="B98" s="44" t="s">
        <v>67</v>
      </c>
      <c r="C98" s="41">
        <f>IF(ISNUMBER(Inputs!G165),IF(AND(Inputs!G165&gt;0,C95&gt;=0),C95/Inputs!G165-1,"n.m."),"n.a.")</f>
        <v>-0.050000000000000044</v>
      </c>
      <c r="D98" s="24">
        <f>IF(ISNUMBER(C95),IF(AND(C95&gt;0,D95&gt;=0),D95/C95-1,"n.m."),"n.a.")</f>
        <v>0.05263157894736836</v>
      </c>
      <c r="E98" s="24"/>
      <c r="F98" s="24">
        <f>IF(ISNUMBER(D95),IF(AND(D95&gt;0,F95&gt;=0),F95/D95-1,"n.m."),"n.a.")</f>
        <v>-0.09999999999999998</v>
      </c>
      <c r="G98" s="24">
        <f>IF(ISNUMBER(F95),IF(AND(F95&gt;0,G95&gt;=0),G95/F95-1,"n.m."),"n.a.")</f>
        <v>-0.05555555555555558</v>
      </c>
      <c r="H98" s="58">
        <v>0.059</v>
      </c>
      <c r="I98" s="7"/>
    </row>
    <row r="99">
      <c r="A99" s="7"/>
      <c r="B99" s="44" t="s">
        <v>70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8">
        <v>0</v>
      </c>
      <c r="I99" s="7"/>
    </row>
    <row r="100">
      <c r="A100" s="7"/>
      <c r="B100" s="44" t="s">
        <v>71</v>
      </c>
      <c r="C100" s="52">
        <v>0</v>
      </c>
      <c r="D100" s="52">
        <v>0</v>
      </c>
      <c r="E100" s="52">
        <v>0</v>
      </c>
      <c r="F100" s="52">
        <v>0</v>
      </c>
      <c r="G100" s="52">
        <v>0</v>
      </c>
      <c r="H100" s="58">
        <v>0</v>
      </c>
      <c r="I100" s="7"/>
    </row>
    <row r="101">
      <c r="A101" s="7"/>
      <c r="B101" s="44" t="s">
        <v>72</v>
      </c>
      <c r="C101" s="24">
        <f>IF(AND(ISNUMBER(C96),ISNUMBER(C99),ISNUMBER(C100)),(1+C96)/((1+C99)*(1+C100))-1,"unavailable")</f>
        <v>-0.050000000000000044</v>
      </c>
      <c r="D101" s="24">
        <f>IF(AND(ISNUMBER(D96),ISNUMBER(D99),ISNUMBER(D100)),(1+D96)/((1+D99)*(1+D100))-1,"unavailable")</f>
        <v>-0.09090909090909094</v>
      </c>
      <c r="E101" s="24">
        <f>IF(AND(ISNUMBER(E96),ISNUMBER(E99),ISNUMBER(E100)),(1+E96)/((1+E99)*(1+E100))-1,"unavailable")</f>
        <v>-0.024691358024691357</v>
      </c>
      <c r="F101" s="24">
        <f>IF(AND(ISNUMBER(F96),ISNUMBER(F99),ISNUMBER(F100)),(1+F96)/((1+F99)*(1+F100))-1,"unavailable")</f>
        <v>-0.052631578947368474</v>
      </c>
      <c r="G101" s="24">
        <f>IF(AND(ISNUMBER(G96),ISNUMBER(G99),ISNUMBER(G100)),(1+G96)/((1+G99)*(1+G100))-1,"unavailable")</f>
        <v>-0.15000000000000002</v>
      </c>
      <c r="H101" s="40">
        <f>IF(AND(ISNUMBER(H96),ISNUMBER(H99),ISNUMBER(H100)),(1+H96)/((1+H99)*(1+H100))-1,"unavailable")</f>
        <v>-0.05247368421052634</v>
      </c>
      <c r="I101" s="7"/>
    </row>
    <row r="102">
      <c r="A102" s="7"/>
      <c r="B102" s="34" t="s">
        <v>196</v>
      </c>
      <c r="C102" s="35">
        <f>C34+C43+C52+C88+C95</f>
        <v>268</v>
      </c>
      <c r="D102" s="35">
        <f>D34+D43+D52+D88+D95</f>
        <v>267</v>
      </c>
      <c r="E102" s="35">
        <f>E34+E43+E52+E88+E95</f>
        <v>1069</v>
      </c>
      <c r="F102" s="35">
        <f>F34+F43+F52+F88+F95</f>
        <v>252</v>
      </c>
      <c r="G102" s="35">
        <f>G34+G43+G52+G88+G95</f>
        <v>265</v>
      </c>
      <c r="H102" s="50">
        <f>H34+H43+H52+H88+H95</f>
        <v>266.12409873563416</v>
      </c>
      <c r="I102" s="7"/>
    </row>
    <row r="103">
      <c r="A103" s="7"/>
      <c r="B103" s="44" t="s">
        <v>66</v>
      </c>
      <c r="C103" s="41">
        <f>IF(ISNUMBER(Inputs!C166),IF(AND(Inputs!C166&gt;0,C102&gt;=0),C102/Inputs!C166-1,"n.m."),"n.a.")</f>
        <v>0.015151515151515138</v>
      </c>
      <c r="D103" s="41">
        <f>IF(ISNUMBER(Inputs!D166),IF(AND(Inputs!D166&gt;0,D102&gt;=0),D102/Inputs!D166-1,"n.m."),"n.a.")</f>
        <v>0.03891050583657596</v>
      </c>
      <c r="E103" s="41">
        <f>IF(ISNUMBER(Inputs!E166),IF(AND(Inputs!E166&gt;0,E102&gt;=0),E102/Inputs!E166-1,"n.m."),"n.a.")</f>
        <v>0.030858244937319146</v>
      </c>
      <c r="F103" s="41">
        <f>IF(ISNUMBER(Inputs!F166),IF(AND(Inputs!F166&gt;0,F102&gt;=0),F102/Inputs!F166-1,"n.m."),"n.a.")</f>
        <v>-0.03448275862068961</v>
      </c>
      <c r="G103" s="41">
        <f>IF(ISNUMBER(Inputs!G166),IF(AND(Inputs!G166&gt;0,G102&gt;=0),G102/Inputs!G166-1,"n.m."),"n.a.")</f>
        <v>-0.02573529411764708</v>
      </c>
      <c r="H103" s="40">
        <f>IF(ISNUMBER(C102),IF(AND(C102&gt;0,H102&gt;=0),H102/C102-1,"n.m."),"n.a.")</f>
        <v>-0.006999631583454624</v>
      </c>
      <c r="I103" s="7"/>
    </row>
    <row r="104">
      <c r="A104" s="7"/>
      <c r="B104" s="48" t="s">
        <v>78</v>
      </c>
      <c r="C104" s="29">
        <f>IF(ISNUMBER(Inputs!G166),C102-Inputs!G166,"n.a.")</f>
        <v>-4</v>
      </c>
      <c r="D104" s="12">
        <f>IF(ISNUMBER(C102),D102-C102,"n.a.")</f>
        <v>-1</v>
      </c>
      <c r="E104" s="12"/>
      <c r="F104" s="12">
        <f>IF(ISNUMBER(D102),F102-D102,"n.a.")</f>
        <v>-15</v>
      </c>
      <c r="G104" s="12">
        <f>IF(ISNUMBER(F102),G102-F102,"n.a.")</f>
        <v>13</v>
      </c>
      <c r="H104" s="42">
        <f>IF(ISNUMBER(G102),H102-G102,"n.a.")</f>
        <v>1.1240987356341634</v>
      </c>
      <c r="I104" s="7"/>
    </row>
    <row r="105">
      <c r="A105" s="7"/>
      <c r="B105" s="44" t="s">
        <v>70</v>
      </c>
      <c r="C105" s="52">
        <v>0</v>
      </c>
      <c r="D105" s="52">
        <v>0</v>
      </c>
      <c r="E105" s="52">
        <v>0</v>
      </c>
      <c r="F105" s="52">
        <v>0</v>
      </c>
      <c r="G105" s="52">
        <v>0</v>
      </c>
      <c r="H105" s="58">
        <v>0</v>
      </c>
      <c r="I105" s="7"/>
    </row>
    <row r="106">
      <c r="A106" s="7"/>
      <c r="B106" s="44" t="s">
        <v>71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8">
        <v>0</v>
      </c>
      <c r="I106" s="7"/>
    </row>
    <row r="107">
      <c r="A107" s="7"/>
      <c r="B107" s="44" t="s">
        <v>72</v>
      </c>
      <c r="C107" s="24">
        <f>IF(AND(ISNUMBER(C103),ISNUMBER(C105),ISNUMBER(C106)),(1+C103)/((1+C105)*(1+C106))-1,"unavailable")</f>
        <v>0.015151515151515138</v>
      </c>
      <c r="D107" s="24">
        <f>IF(AND(ISNUMBER(D103),ISNUMBER(D105),ISNUMBER(D106)),(1+D103)/((1+D105)*(1+D106))-1,"unavailable")</f>
        <v>0.03891050583657596</v>
      </c>
      <c r="E107" s="24">
        <f>IF(AND(ISNUMBER(E103),ISNUMBER(E105),ISNUMBER(E106)),(1+E103)/((1+E105)*(1+E106))-1,"unavailable")</f>
        <v>0.030858244937319146</v>
      </c>
      <c r="F107" s="24">
        <f>IF(AND(ISNUMBER(F103),ISNUMBER(F105),ISNUMBER(F106)),(1+F103)/((1+F105)*(1+F106))-1,"unavailable")</f>
        <v>-0.03448275862068961</v>
      </c>
      <c r="G107" s="24">
        <f>IF(AND(ISNUMBER(G103),ISNUMBER(G105),ISNUMBER(G106)),(1+G103)/((1+G105)*(1+G106))-1,"unavailable")</f>
        <v>-0.02573529411764708</v>
      </c>
      <c r="H107" s="40">
        <f>IF(AND(ISNUMBER(H103),ISNUMBER(H105),ISNUMBER(H106)),(1+H103)/((1+H105)*(1+H106))-1,"unavailable")</f>
        <v>-0.006999631583454624</v>
      </c>
      <c r="I107" s="7"/>
    </row>
    <row r="108">
      <c r="A108" s="7"/>
      <c r="B108" s="34" t="s">
        <v>197</v>
      </c>
      <c r="C108" s="35">
        <f>C26+C102</f>
        <v>1006</v>
      </c>
      <c r="D108" s="35">
        <f>D26+D102</f>
        <v>1015</v>
      </c>
      <c r="E108" s="35">
        <f>E26+E102</f>
        <v>4006</v>
      </c>
      <c r="F108" s="35">
        <f>F26+F102</f>
        <v>981</v>
      </c>
      <c r="G108" s="35">
        <f>G26+G102</f>
        <v>1013</v>
      </c>
      <c r="H108" s="50">
        <f>H26+H102</f>
        <v>1023.7600616881798</v>
      </c>
      <c r="I108" s="7"/>
    </row>
    <row r="109">
      <c r="A109" s="7"/>
      <c r="B109" s="44" t="s">
        <v>66</v>
      </c>
      <c r="C109" s="41">
        <f>IF(ISNUMBER(Inputs!C167),IF(AND(Inputs!C167&gt;0,C108&gt;=0),C108/Inputs!C167-1,"n.m."),"n.a.")</f>
        <v>0.024439918533604832</v>
      </c>
      <c r="D109" s="41">
        <f>IF(ISNUMBER(Inputs!D167),IF(AND(Inputs!D167&gt;0,D108&gt;=0),D108/Inputs!D167-1,"n.m."),"n.a.")</f>
        <v>0.0315040650406504</v>
      </c>
      <c r="E109" s="41">
        <f>IF(ISNUMBER(Inputs!E167),IF(AND(Inputs!E167&gt;0,E108&gt;=0),E108/Inputs!E167-1,"n.m."),"n.a.")</f>
        <v>0.034874709377421764</v>
      </c>
      <c r="F109" s="41">
        <f>IF(ISNUMBER(Inputs!F167),IF(AND(Inputs!F167&gt;0,F108&gt;=0),F108/Inputs!F167-1,"n.m."),"n.a.")</f>
        <v>0.01029866117404743</v>
      </c>
      <c r="G109" s="41">
        <f>IF(ISNUMBER(Inputs!G167),IF(AND(Inputs!G167&gt;0,G108&gt;=0),G108/Inputs!G167-1,"n.m."),"n.a.")</f>
        <v>-0.0009861932938856066</v>
      </c>
      <c r="H109" s="40">
        <f>IF(ISNUMBER(C108),IF(AND(C108&gt;0,H108&gt;=0),H108/C108-1,"n.m."),"n.a.")</f>
        <v>0.017654136866978032</v>
      </c>
      <c r="I109" s="7"/>
    </row>
    <row r="110">
      <c r="A110" s="7"/>
      <c r="B110" s="48" t="s">
        <v>78</v>
      </c>
      <c r="C110" s="29">
        <f>IF(ISNUMBER(Inputs!G167),C108-Inputs!G167,"n.a.")</f>
        <v>-8</v>
      </c>
      <c r="D110" s="12">
        <f>IF(ISNUMBER(C108),D108-C108,"n.a.")</f>
        <v>9</v>
      </c>
      <c r="E110" s="12"/>
      <c r="F110" s="12">
        <f>IF(ISNUMBER(D108),F108-D108,"n.a.")</f>
        <v>-34</v>
      </c>
      <c r="G110" s="12">
        <f>IF(ISNUMBER(F108),G108-F108,"n.a.")</f>
        <v>32</v>
      </c>
      <c r="H110" s="42">
        <f>IF(ISNUMBER(G108),H108-G108,"n.a.")</f>
        <v>10.760061688179803</v>
      </c>
      <c r="I110" s="7"/>
    </row>
    <row r="111">
      <c r="A111" s="7"/>
      <c r="B111" s="44" t="s">
        <v>67</v>
      </c>
      <c r="C111" s="41">
        <f>IF(ISNUMBER(Inputs!G167),IF(AND(Inputs!G167&gt;0,C108&gt;=0),C108/Inputs!G167-1,"n.m."),"n.a.")</f>
        <v>-0.007889546351084853</v>
      </c>
      <c r="D111" s="24">
        <f>IF(ISNUMBER(C108),IF(AND(C108&gt;0,D108&gt;=0),D108/C108-1,"n.m."),"n.a.")</f>
        <v>0.008946322067594492</v>
      </c>
      <c r="E111" s="24"/>
      <c r="F111" s="24">
        <f>IF(ISNUMBER(D108),IF(AND(D108&gt;0,F108&gt;=0),F108/D108-1,"n.m."),"n.a.")</f>
        <v>-0.03349753694581281</v>
      </c>
      <c r="G111" s="24">
        <f>IF(ISNUMBER(F108),IF(AND(F108&gt;0,G108&gt;=0),G108/F108-1,"n.m."),"n.a.")</f>
        <v>0.032619775739041845</v>
      </c>
      <c r="H111" s="40">
        <f>IF(ISNUMBER(G108),IF(AND(G108&gt;0,H108&gt;=0),H108/G108-1,"n.m."),"n.a.")</f>
        <v>0.010621976000177558</v>
      </c>
      <c r="I111" s="7"/>
    </row>
    <row r="112">
      <c r="A112" s="7"/>
      <c r="B112" s="44" t="s">
        <v>198</v>
      </c>
      <c r="C112" s="41">
        <f>C108/'Income Statement'!C169</f>
        <v>0.5250521920668059</v>
      </c>
      <c r="D112" s="41">
        <f>D108/'Income Statement'!D169</f>
        <v>0.5283706402915148</v>
      </c>
      <c r="E112" s="41">
        <f>E108/'Income Statement'!E169</f>
        <v>0.5322880680308265</v>
      </c>
      <c r="F112" s="41">
        <f>F108/'Income Statement'!F169</f>
        <v>0.5237586759209824</v>
      </c>
      <c r="G112" s="41">
        <f>G108/'Income Statement'!G169</f>
        <v>0.5312008390141584</v>
      </c>
      <c r="H112" s="59">
        <f>H108/'Income Statement'!H169</f>
        <v>0.5205651358337937</v>
      </c>
      <c r="I112" s="7"/>
    </row>
    <row r="113">
      <c r="A113" s="7"/>
      <c r="B113" s="69" t="s">
        <v>69</v>
      </c>
      <c r="C113" s="38" t="str">
        <f>"n.a."</f>
        <v>n.a.</v>
      </c>
      <c r="D113" s="38">
        <f>IF(AND(ISNUMBER(D112),ISNUMBER(C112)),(D112-C112)*10000,"n.a.")</f>
        <v>33.18448224708948</v>
      </c>
      <c r="E113" s="38"/>
      <c r="F113" s="38">
        <f>IF(AND(ISNUMBER(F112),ISNUMBER(D112)),(F112-D112)*10000,"n.a.")</f>
        <v>-46.11964370532462</v>
      </c>
      <c r="G113" s="38">
        <f>IF(AND(ISNUMBER(G112),ISNUMBER(F112)),(G112-F112)*10000,"n.a.")</f>
        <v>74.42163093176023</v>
      </c>
      <c r="H113" s="67">
        <f>IF(AND(ISNUMBER(H112),ISNUMBER(G112)),(H112-G112)*10000,"n.a.")</f>
        <v>-106.35703180364663</v>
      </c>
      <c r="I113" s="7"/>
    </row>
    <row r="114">
      <c r="A114" s="7"/>
      <c r="B114" s="44" t="s">
        <v>70</v>
      </c>
      <c r="C114" s="52">
        <v>0</v>
      </c>
      <c r="D114" s="52">
        <v>0</v>
      </c>
      <c r="E114" s="52">
        <v>0</v>
      </c>
      <c r="F114" s="52">
        <v>0</v>
      </c>
      <c r="G114" s="52">
        <v>0</v>
      </c>
      <c r="H114" s="58">
        <v>0</v>
      </c>
      <c r="I114" s="7"/>
    </row>
    <row r="115">
      <c r="A115" s="7"/>
      <c r="B115" s="44" t="s">
        <v>71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8">
        <v>0</v>
      </c>
      <c r="I115" s="7"/>
    </row>
    <row r="116">
      <c r="A116" s="7"/>
      <c r="B116" s="44" t="s">
        <v>72</v>
      </c>
      <c r="C116" s="24">
        <f>IF(AND(ISNUMBER(C109),ISNUMBER(C114),ISNUMBER(C115)),(1+C109)/((1+C114)*(1+C115))-1,"unavailable")</f>
        <v>0.024439918533604832</v>
      </c>
      <c r="D116" s="24">
        <f>IF(AND(ISNUMBER(D109),ISNUMBER(D114),ISNUMBER(D115)),(1+D109)/((1+D114)*(1+D115))-1,"unavailable")</f>
        <v>0.0315040650406504</v>
      </c>
      <c r="E116" s="24">
        <f>IF(AND(ISNUMBER(E109),ISNUMBER(E114),ISNUMBER(E115)),(1+E109)/((1+E114)*(1+E115))-1,"unavailable")</f>
        <v>0.034874709377421764</v>
      </c>
      <c r="F116" s="24">
        <f>IF(AND(ISNUMBER(F109),ISNUMBER(F114),ISNUMBER(F115)),(1+F109)/((1+F114)*(1+F115))-1,"unavailable")</f>
        <v>0.01029866117404743</v>
      </c>
      <c r="G116" s="24">
        <f>IF(AND(ISNUMBER(G109),ISNUMBER(G114),ISNUMBER(G115)),(1+G109)/((1+G114)*(1+G115))-1,"unavailable")</f>
        <v>-0.0009861932938856066</v>
      </c>
      <c r="H116" s="40">
        <f>IF(AND(ISNUMBER(H109),ISNUMBER(H114),ISNUMBER(H115)),(1+H109)/((1+H114)*(1+H115))-1,"unavailable")</f>
        <v>0.017654136866978032</v>
      </c>
      <c r="I116" s="7"/>
    </row>
    <row r="117">
      <c r="A117" s="7"/>
      <c r="B117" s="7"/>
      <c r="C117" s="7"/>
      <c r="D117" s="7"/>
      <c r="E117" s="7"/>
      <c r="F117" s="7"/>
      <c r="G117" s="7"/>
      <c r="H117" s="49"/>
      <c r="I117" s="7"/>
    </row>
    <row r="118">
      <c r="A118" s="7"/>
      <c r="B118" s="34" t="s">
        <v>233</v>
      </c>
      <c r="C118" s="9"/>
      <c r="D118" s="9"/>
      <c r="E118" s="9"/>
      <c r="F118" s="9"/>
      <c r="G118" s="9"/>
      <c r="H118" s="43"/>
      <c r="I118" s="7"/>
    </row>
    <row r="119">
      <c r="A119" s="7"/>
      <c r="B119" s="1" t="s">
        <v>200</v>
      </c>
      <c r="C119" s="31">
        <v>184</v>
      </c>
      <c r="D119" s="29">
        <f>E119-Inputs!I168</f>
        <v>183</v>
      </c>
      <c r="E119" s="31">
        <v>726</v>
      </c>
      <c r="F119" s="31">
        <v>203</v>
      </c>
      <c r="G119" s="31">
        <v>208</v>
      </c>
      <c r="H119" s="42">
        <f>G119*(1+H122)</f>
        <v>209.03999999999996</v>
      </c>
      <c r="I119" s="39" t="s">
        <v>81</v>
      </c>
    </row>
    <row r="120">
      <c r="A120" s="7"/>
      <c r="B120" s="44" t="s">
        <v>66</v>
      </c>
      <c r="C120" s="41">
        <f>IF(ISNUMBER(Inputs!C168),IF(AND(Inputs!C168&gt;0,C119&gt;=0),C119/Inputs!C168-1,"n.m."),"n.a.")</f>
        <v>0.03370786516853941</v>
      </c>
      <c r="D120" s="41">
        <f>IF(ISNUMBER(Inputs!D168),IF(AND(Inputs!D168&gt;0,D119&gt;=0),D119/Inputs!D168-1,"n.m."),"n.a.")</f>
        <v>0.005494505494505475</v>
      </c>
      <c r="E120" s="41">
        <f>IF(ISNUMBER(Inputs!E168),IF(AND(Inputs!E168&gt;0,E119&gt;=0),E119/Inputs!E168-1,"n.m."),"n.a.")</f>
        <v>0.006934812760055475</v>
      </c>
      <c r="F120" s="41">
        <f>IF(ISNUMBER(Inputs!F168),IF(AND(Inputs!F168&gt;0,F119&gt;=0),F119/Inputs!F168-1,"n.m."),"n.a.")</f>
        <v>0.046391752577319645</v>
      </c>
      <c r="G120" s="41">
        <f>IF(ISNUMBER(Inputs!G168),IF(AND(Inputs!G168&gt;0,G119&gt;=0),G119/Inputs!G168-1,"n.m."),"n.a.")</f>
        <v>0.06666666666666665</v>
      </c>
      <c r="H120" s="40">
        <f>IF(ISNUMBER(C119),IF(AND(C119&gt;0,H119&gt;=0),H119/C119-1,"n.m."),"n.a.")</f>
        <v>0.13608695652173886</v>
      </c>
      <c r="I120" s="7"/>
    </row>
    <row r="121">
      <c r="A121" s="7"/>
      <c r="B121" s="48" t="s">
        <v>78</v>
      </c>
      <c r="C121" s="29">
        <f>IF(ISNUMBER(Inputs!G168),C119-Inputs!G168,"n.a.")</f>
        <v>-11</v>
      </c>
      <c r="D121" s="12">
        <f>IF(ISNUMBER(C119),D119-C119,"n.a.")</f>
        <v>-1</v>
      </c>
      <c r="E121" s="12"/>
      <c r="F121" s="12">
        <f>IF(ISNUMBER(D119),F119-D119,"n.a.")</f>
        <v>20</v>
      </c>
      <c r="G121" s="12">
        <f>IF(ISNUMBER(F119),G119-F119,"n.a.")</f>
        <v>5</v>
      </c>
      <c r="H121" s="42">
        <f>IF(ISNUMBER(G119),H119-G119,"n.a.")</f>
        <v>1.0399999999999636</v>
      </c>
      <c r="I121" s="7"/>
    </row>
    <row r="122">
      <c r="A122" s="7"/>
      <c r="B122" s="44" t="s">
        <v>67</v>
      </c>
      <c r="C122" s="41">
        <f>IF(ISNUMBER(Inputs!G168),IF(AND(Inputs!G168&gt;0,C119&gt;=0),C119/Inputs!G168-1,"n.m."),"n.a.")</f>
        <v>-0.05641025641025643</v>
      </c>
      <c r="D122" s="24">
        <f>IF(ISNUMBER(C119),IF(AND(C119&gt;0,D119&gt;=0),D119/C119-1,"n.m."),"n.a.")</f>
        <v>-0.005434782608695676</v>
      </c>
      <c r="E122" s="24"/>
      <c r="F122" s="24">
        <f>IF(ISNUMBER(D119),IF(AND(D119&gt;0,F119&gt;=0),F119/D119-1,"n.m."),"n.a.")</f>
        <v>0.1092896174863387</v>
      </c>
      <c r="G122" s="24">
        <f>IF(ISNUMBER(F119),IF(AND(F119&gt;0,G119&gt;=0),G119/F119-1,"n.m."),"n.a.")</f>
        <v>0.024630541871921263</v>
      </c>
      <c r="H122" s="58">
        <v>0.005</v>
      </c>
      <c r="I122" s="7"/>
    </row>
    <row r="123">
      <c r="A123" s="7"/>
      <c r="B123" s="1" t="s">
        <v>201</v>
      </c>
      <c r="C123" s="31">
        <v>25</v>
      </c>
      <c r="D123" s="29">
        <f>E123-Inputs!I169</f>
        <v>27</v>
      </c>
      <c r="E123" s="31">
        <v>100</v>
      </c>
      <c r="F123" s="31">
        <v>24</v>
      </c>
      <c r="G123" s="31">
        <v>22</v>
      </c>
      <c r="H123" s="42">
        <f>G123*(1+H126)</f>
        <v>22</v>
      </c>
      <c r="I123" s="39" t="s">
        <v>81</v>
      </c>
    </row>
    <row r="124">
      <c r="A124" s="7"/>
      <c r="B124" s="44" t="s">
        <v>66</v>
      </c>
      <c r="C124" s="41">
        <f>IF(ISNUMBER(Inputs!C169),IF(AND(Inputs!C169&gt;0,C123&gt;=0),C123/Inputs!C169-1,"n.m."),"n.a.")</f>
        <v>0</v>
      </c>
      <c r="D124" s="41">
        <f>IF(ISNUMBER(Inputs!D169),IF(AND(Inputs!D169&gt;0,D123&gt;=0),D123/Inputs!D169-1,"n.m."),"n.a.")</f>
        <v>0.08000000000000007</v>
      </c>
      <c r="E124" s="41">
        <f>IF(ISNUMBER(Inputs!E169),IF(AND(Inputs!E169&gt;0,E123&gt;=0),E123/Inputs!E169-1,"n.m."),"n.a.")</f>
        <v>-0.00990099009900991</v>
      </c>
      <c r="F124" s="41">
        <f>IF(ISNUMBER(Inputs!F169),IF(AND(Inputs!F169&gt;0,F123&gt;=0),F123/Inputs!F169-1,"n.m."),"n.a.")</f>
        <v>-0.040000000000000036</v>
      </c>
      <c r="G124" s="41">
        <f>IF(ISNUMBER(Inputs!G169),IF(AND(Inputs!G169&gt;0,G123&gt;=0),G123/Inputs!G169-1,"n.m."),"n.a.")</f>
        <v>-0.08333333333333337</v>
      </c>
      <c r="H124" s="40">
        <f>IF(ISNUMBER(C123),IF(AND(C123&gt;0,H123&gt;=0),H123/C123-1,"n.m."),"n.a.")</f>
        <v>-0.12</v>
      </c>
      <c r="I124" s="7"/>
    </row>
    <row r="125">
      <c r="A125" s="7"/>
      <c r="B125" s="48" t="s">
        <v>78</v>
      </c>
      <c r="C125" s="29">
        <f>IF(ISNUMBER(Inputs!G169),C123-Inputs!G169,"n.a.")</f>
        <v>1</v>
      </c>
      <c r="D125" s="12">
        <f>IF(ISNUMBER(C123),D123-C123,"n.a.")</f>
        <v>2</v>
      </c>
      <c r="E125" s="12"/>
      <c r="F125" s="12">
        <f>IF(ISNUMBER(D123),F123-D123,"n.a.")</f>
        <v>-3</v>
      </c>
      <c r="G125" s="12">
        <f>IF(ISNUMBER(F123),G123-F123,"n.a.")</f>
        <v>-2</v>
      </c>
      <c r="H125" s="42">
        <f>IF(ISNUMBER(G123),H123-G123,"n.a.")</f>
        <v>0</v>
      </c>
      <c r="I125" s="7"/>
    </row>
    <row r="126">
      <c r="A126" s="7"/>
      <c r="B126" s="44" t="s">
        <v>67</v>
      </c>
      <c r="C126" s="41">
        <f>IF(ISNUMBER(Inputs!G169),IF(AND(Inputs!G169&gt;0,C123&gt;=0),C123/Inputs!G169-1,"n.m."),"n.a.")</f>
        <v>0.04166666666666674</v>
      </c>
      <c r="D126" s="24">
        <f>IF(ISNUMBER(C123),IF(AND(C123&gt;0,D123&gt;=0),D123/C123-1,"n.m."),"n.a.")</f>
        <v>0.08000000000000007</v>
      </c>
      <c r="E126" s="24"/>
      <c r="F126" s="24">
        <f>IF(ISNUMBER(D123),IF(AND(D123&gt;0,F123&gt;=0),F123/D123-1,"n.m."),"n.a.")</f>
        <v>-0.11111111111111116</v>
      </c>
      <c r="G126" s="24">
        <f>IF(ISNUMBER(F123),IF(AND(F123&gt;0,G123&gt;=0),G123/F123-1,"n.m."),"n.a.")</f>
        <v>-0.08333333333333337</v>
      </c>
      <c r="H126" s="58">
        <v>0</v>
      </c>
      <c r="I126" s="7"/>
    </row>
    <row r="127">
      <c r="A127" s="7"/>
      <c r="B127" s="1" t="s">
        <v>202</v>
      </c>
      <c r="C127" s="31">
        <v>56</v>
      </c>
      <c r="D127" s="29">
        <f>E127-Inputs!I170</f>
        <v>57</v>
      </c>
      <c r="E127" s="31">
        <v>221</v>
      </c>
      <c r="F127" s="31">
        <v>55</v>
      </c>
      <c r="G127" s="31">
        <v>56</v>
      </c>
      <c r="H127" s="42">
        <f>G127*(1+H130)</f>
        <v>56.56</v>
      </c>
      <c r="I127" s="39" t="s">
        <v>81</v>
      </c>
    </row>
    <row r="128">
      <c r="A128" s="7"/>
      <c r="B128" s="44" t="s">
        <v>66</v>
      </c>
      <c r="C128" s="41">
        <f>IF(ISNUMBER(Inputs!C170),IF(AND(Inputs!C170&gt;0,C127&gt;=0),C127/Inputs!C170-1,"n.m."),"n.a.")</f>
        <v>0.0980392156862746</v>
      </c>
      <c r="D128" s="41">
        <f>IF(ISNUMBER(Inputs!D170),IF(AND(Inputs!D170&gt;0,D127&gt;=0),D127/Inputs!D170-1,"n.m."),"n.a.")</f>
        <v>0.11764705882352944</v>
      </c>
      <c r="E128" s="41">
        <f>IF(ISNUMBER(Inputs!E170),IF(AND(Inputs!E170&gt;0,E127&gt;=0),E127/Inputs!E170-1,"n.m."),"n.a.")</f>
        <v>0.05238095238095242</v>
      </c>
      <c r="F128" s="41">
        <f>IF(ISNUMBER(Inputs!F170),IF(AND(Inputs!F170&gt;0,F127&gt;=0),F127/Inputs!F170-1,"n.m."),"n.a.")</f>
        <v>0.037735849056603765</v>
      </c>
      <c r="G128" s="41">
        <f>IF(ISNUMBER(Inputs!G170),IF(AND(Inputs!G170&gt;0,G127&gt;=0),G127/Inputs!G170-1,"n.m."),"n.a.")</f>
        <v>0.018181818181818077</v>
      </c>
      <c r="H128" s="40">
        <f>IF(ISNUMBER(C127),IF(AND(C127&gt;0,H127&gt;=0),H127/C127-1,"n.m."),"n.a.")</f>
        <v>0.010000000000000009</v>
      </c>
      <c r="I128" s="7"/>
    </row>
    <row r="129">
      <c r="A129" s="7"/>
      <c r="B129" s="48" t="s">
        <v>78</v>
      </c>
      <c r="C129" s="29">
        <f>IF(ISNUMBER(Inputs!G170),C127-Inputs!G170,"n.a.")</f>
        <v>1</v>
      </c>
      <c r="D129" s="12">
        <f>IF(ISNUMBER(C127),D127-C127,"n.a.")</f>
        <v>1</v>
      </c>
      <c r="E129" s="12"/>
      <c r="F129" s="12">
        <f>IF(ISNUMBER(D127),F127-D127,"n.a.")</f>
        <v>-2</v>
      </c>
      <c r="G129" s="12">
        <f>IF(ISNUMBER(F127),G127-F127,"n.a.")</f>
        <v>1</v>
      </c>
      <c r="H129" s="42">
        <f>IF(ISNUMBER(G127),H127-G127,"n.a.")</f>
        <v>0.5600000000000023</v>
      </c>
      <c r="I129" s="7"/>
    </row>
    <row r="130">
      <c r="A130" s="7"/>
      <c r="B130" s="44" t="s">
        <v>67</v>
      </c>
      <c r="C130" s="41">
        <f>IF(ISNUMBER(Inputs!G170),IF(AND(Inputs!G170&gt;0,C127&gt;=0),C127/Inputs!G170-1,"n.m."),"n.a.")</f>
        <v>0.018181818181818077</v>
      </c>
      <c r="D130" s="24">
        <f>IF(ISNUMBER(C127),IF(AND(C127&gt;0,D127&gt;=0),D127/C127-1,"n.m."),"n.a.")</f>
        <v>0.017857142857142794</v>
      </c>
      <c r="E130" s="24"/>
      <c r="F130" s="24">
        <f>IF(ISNUMBER(D127),IF(AND(D127&gt;0,F127&gt;=0),F127/D127-1,"n.m."),"n.a.")</f>
        <v>-0.03508771929824561</v>
      </c>
      <c r="G130" s="24">
        <f>IF(ISNUMBER(F127),IF(AND(F127&gt;0,G127&gt;=0),G127/F127-1,"n.m."),"n.a.")</f>
        <v>0.018181818181818077</v>
      </c>
      <c r="H130" s="58">
        <v>0.01</v>
      </c>
      <c r="I130" s="7"/>
    </row>
    <row r="131">
      <c r="A131" s="7"/>
      <c r="B131" s="1" t="s">
        <v>203</v>
      </c>
      <c r="C131" s="31">
        <v>385</v>
      </c>
      <c r="D131" s="29">
        <f>E131-Inputs!I171</f>
        <v>375</v>
      </c>
      <c r="E131" s="31">
        <v>1468</v>
      </c>
      <c r="F131" s="31">
        <v>325</v>
      </c>
      <c r="G131" s="31">
        <v>346</v>
      </c>
      <c r="H131" s="42">
        <f>G131*(1+H134)</f>
        <v>347.72999999999996</v>
      </c>
      <c r="I131" s="39" t="s">
        <v>81</v>
      </c>
    </row>
    <row r="132">
      <c r="A132" s="7"/>
      <c r="B132" s="44" t="s">
        <v>66</v>
      </c>
      <c r="C132" s="41">
        <f>IF(ISNUMBER(Inputs!C171),IF(AND(Inputs!C171&gt;0,C131&gt;=0),C131/Inputs!C171-1,"n.m."),"n.a.")</f>
        <v>0.1031518624641834</v>
      </c>
      <c r="D132" s="41">
        <f>IF(ISNUMBER(Inputs!D171),IF(AND(Inputs!D171&gt;0,D131&gt;=0),D131/Inputs!D171-1,"n.m."),"n.a.")</f>
        <v>0.09329446064139946</v>
      </c>
      <c r="E132" s="41">
        <f>IF(ISNUMBER(Inputs!E171),IF(AND(Inputs!E171&gt;0,E131&gt;=0),E131/Inputs!E171-1,"n.m."),"n.a.")</f>
        <v>0.07231555880204521</v>
      </c>
      <c r="F132" s="41">
        <f>IF(ISNUMBER(Inputs!F171),IF(AND(Inputs!F171&gt;0,F131&gt;=0),F131/Inputs!F171-1,"n.m."),"n.a.")</f>
        <v>0.015625</v>
      </c>
      <c r="G132" s="41">
        <f>IF(ISNUMBER(Inputs!G171),IF(AND(Inputs!G171&gt;0,G131&gt;=0),G131/Inputs!G171-1,"n.m."),"n.a.")</f>
        <v>0.054878048780487854</v>
      </c>
      <c r="H132" s="40">
        <f>IF(ISNUMBER(C131),IF(AND(C131&gt;0,H131&gt;=0),H131/C131-1,"n.m."),"n.a.")</f>
        <v>-0.0968051948051949</v>
      </c>
      <c r="I132" s="7"/>
    </row>
    <row r="133">
      <c r="A133" s="7"/>
      <c r="B133" s="48" t="s">
        <v>78</v>
      </c>
      <c r="C133" s="29">
        <f>IF(ISNUMBER(Inputs!G171),C131-Inputs!G171,"n.a.")</f>
        <v>57</v>
      </c>
      <c r="D133" s="12">
        <f>IF(ISNUMBER(C131),D131-C131,"n.a.")</f>
        <v>-10</v>
      </c>
      <c r="E133" s="12"/>
      <c r="F133" s="12">
        <f>IF(ISNUMBER(D131),F131-D131,"n.a.")</f>
        <v>-50</v>
      </c>
      <c r="G133" s="12">
        <f>IF(ISNUMBER(F131),G131-F131,"n.a.")</f>
        <v>21</v>
      </c>
      <c r="H133" s="42">
        <f>IF(ISNUMBER(G131),H131-G131,"n.a.")</f>
        <v>1.7299999999999613</v>
      </c>
      <c r="I133" s="7"/>
    </row>
    <row r="134">
      <c r="A134" s="7"/>
      <c r="B134" s="44" t="s">
        <v>67</v>
      </c>
      <c r="C134" s="41">
        <f>IF(ISNUMBER(Inputs!G171),IF(AND(Inputs!G171&gt;0,C131&gt;=0),C131/Inputs!G171-1,"n.m."),"n.a.")</f>
        <v>0.1737804878048781</v>
      </c>
      <c r="D134" s="24">
        <f>IF(ISNUMBER(C131),IF(AND(C131&gt;0,D131&gt;=0),D131/C131-1,"n.m."),"n.a.")</f>
        <v>-0.025974025974025983</v>
      </c>
      <c r="E134" s="24"/>
      <c r="F134" s="24">
        <f>IF(ISNUMBER(D131),IF(AND(D131&gt;0,F131&gt;=0),F131/D131-1,"n.m."),"n.a.")</f>
        <v>-0.1333333333333333</v>
      </c>
      <c r="G134" s="24">
        <f>IF(ISNUMBER(F131),IF(AND(F131&gt;0,G131&gt;=0),G131/F131-1,"n.m."),"n.a.")</f>
        <v>0.06461538461538452</v>
      </c>
      <c r="H134" s="58">
        <v>0.005</v>
      </c>
      <c r="I134" s="7"/>
    </row>
    <row r="135">
      <c r="A135" s="7"/>
      <c r="B135" s="34" t="s">
        <v>204</v>
      </c>
      <c r="C135" s="35">
        <f>C119+C123+C127+C131</f>
        <v>650</v>
      </c>
      <c r="D135" s="35">
        <f>D119+D123+D127+D131</f>
        <v>642</v>
      </c>
      <c r="E135" s="35">
        <f>E119+E123+E127+E131</f>
        <v>2515</v>
      </c>
      <c r="F135" s="35">
        <f>F119+F123+F127+F131</f>
        <v>607</v>
      </c>
      <c r="G135" s="35">
        <f>G119+G123+G127+G131</f>
        <v>632</v>
      </c>
      <c r="H135" s="50">
        <f>H119+H123+H127+H131</f>
        <v>635.3299999999999</v>
      </c>
      <c r="I135" s="7"/>
    </row>
    <row r="136">
      <c r="A136" s="7"/>
      <c r="B136" s="44" t="s">
        <v>66</v>
      </c>
      <c r="C136" s="41">
        <f>IF(ISNUMBER(Inputs!C172),IF(AND(Inputs!C172&gt;0,C135&gt;=0),C135/Inputs!C172-1,"n.m."),"n.a.")</f>
        <v>0.07794361525704807</v>
      </c>
      <c r="D136" s="41">
        <f>IF(ISNUMBER(Inputs!D172),IF(AND(Inputs!D172&gt;0,D135&gt;=0),D135/Inputs!D172-1,"n.m."),"n.a.")</f>
        <v>0.06821963394342756</v>
      </c>
      <c r="E136" s="41">
        <f>IF(ISNUMBER(Inputs!E172),IF(AND(Inputs!E172&gt;0,E135&gt;=0),E135/Inputs!E172-1,"n.m."),"n.a.")</f>
        <v>0.04748021657642654</v>
      </c>
      <c r="F136" s="41">
        <f>IF(ISNUMBER(Inputs!F172),IF(AND(Inputs!F172&gt;0,F135&gt;=0),F135/Inputs!F172-1,"n.m."),"n.a.")</f>
        <v>0.02533783783783794</v>
      </c>
      <c r="G136" s="41">
        <f>IF(ISNUMBER(Inputs!G172),IF(AND(Inputs!G172&gt;0,G135&gt;=0),G135/Inputs!G172-1,"n.m."),"n.a.")</f>
        <v>0.04983388704318936</v>
      </c>
      <c r="H136" s="40">
        <f>IF(ISNUMBER(C135),IF(AND(C135&gt;0,H135&gt;=0),H135/C135-1,"n.m."),"n.a.")</f>
        <v>-0.022569230769230897</v>
      </c>
      <c r="I136" s="7"/>
    </row>
    <row r="137">
      <c r="A137" s="7"/>
      <c r="B137" s="48" t="s">
        <v>78</v>
      </c>
      <c r="C137" s="29">
        <f>IF(ISNUMBER(Inputs!G172),C135-Inputs!G172,"n.a.")</f>
        <v>48</v>
      </c>
      <c r="D137" s="12">
        <f>IF(ISNUMBER(C135),D135-C135,"n.a.")</f>
        <v>-8</v>
      </c>
      <c r="E137" s="12"/>
      <c r="F137" s="12">
        <f>IF(ISNUMBER(D135),F135-D135,"n.a.")</f>
        <v>-35</v>
      </c>
      <c r="G137" s="12">
        <f>IF(ISNUMBER(F135),G135-F135,"n.a.")</f>
        <v>25</v>
      </c>
      <c r="H137" s="42">
        <f>IF(ISNUMBER(G135),H135-G135,"n.a.")</f>
        <v>3.3299999999999272</v>
      </c>
      <c r="I137" s="7"/>
    </row>
    <row r="138">
      <c r="A138" s="7"/>
      <c r="B138" s="75" t="s">
        <v>205</v>
      </c>
      <c r="C138" s="24">
        <f>C135/C108</f>
        <v>0.6461232604373758</v>
      </c>
      <c r="D138" s="24">
        <f>D135/D108</f>
        <v>0.632512315270936</v>
      </c>
      <c r="E138" s="24">
        <f>E135/E108</f>
        <v>0.627808287568647</v>
      </c>
      <c r="F138" s="24">
        <f>F135/F108</f>
        <v>0.6187563710499491</v>
      </c>
      <c r="G138" s="24">
        <f>G135/G108</f>
        <v>0.6238894373149062</v>
      </c>
      <c r="H138" s="40">
        <f>H135/H108</f>
        <v>0.6205848653173099</v>
      </c>
      <c r="I138" s="7"/>
    </row>
    <row r="139">
      <c r="A139" s="7"/>
      <c r="B139" s="44" t="s">
        <v>69</v>
      </c>
      <c r="C139" s="38" t="str">
        <f>"n.a."</f>
        <v>n.a.</v>
      </c>
      <c r="D139" s="38">
        <f>IF(AND(ISNUMBER(D138),ISNUMBER(C138)),(D138-C138)*10000,"n.a.")</f>
        <v>-136.1094516643979</v>
      </c>
      <c r="E139" s="38"/>
      <c r="F139" s="38">
        <f>IF(AND(ISNUMBER(F138),ISNUMBER(D138)),(F138-D138)*10000,"n.a.")</f>
        <v>-137.55944220986916</v>
      </c>
      <c r="G139" s="38">
        <f>IF(AND(ISNUMBER(G138),ISNUMBER(F138)),(G138-F138)*10000,"n.a.")</f>
        <v>51.33066264957131</v>
      </c>
      <c r="H139" s="67">
        <f>IF(AND(ISNUMBER(H138),ISNUMBER(G138)),(H138-G138)*10000,"n.a.")</f>
        <v>-33.04571997596262</v>
      </c>
      <c r="I139" s="7"/>
    </row>
    <row r="140">
      <c r="A140" s="7"/>
      <c r="B140" s="34" t="s">
        <v>206</v>
      </c>
      <c r="C140" s="35">
        <f>C108-C135</f>
        <v>356</v>
      </c>
      <c r="D140" s="35">
        <f>D108-D135</f>
        <v>373</v>
      </c>
      <c r="E140" s="35">
        <f>E108-E135</f>
        <v>1491</v>
      </c>
      <c r="F140" s="35">
        <f>F108-F135</f>
        <v>374</v>
      </c>
      <c r="G140" s="35">
        <f>G108-G135</f>
        <v>381</v>
      </c>
      <c r="H140" s="50">
        <f>H108-H135</f>
        <v>388.4300616881799</v>
      </c>
      <c r="I140" s="7"/>
    </row>
    <row r="141">
      <c r="A141" s="7"/>
      <c r="B141" s="44" t="s">
        <v>66</v>
      </c>
      <c r="C141" s="41">
        <f>IF(ISNUMBER(Inputs!C173),IF(AND(Inputs!C173&gt;0,C140&gt;=0),C140/Inputs!C173-1,"n.m."),"n.a.")</f>
        <v>-0.06068601583113453</v>
      </c>
      <c r="D141" s="41">
        <f>IF(ISNUMBER(Inputs!D173),IF(AND(Inputs!D173&gt;0,D140&gt;=0),D140/Inputs!D173-1,"n.m."),"n.a.")</f>
        <v>-0.026109660574412552</v>
      </c>
      <c r="E141" s="41">
        <f>IF(ISNUMBER(Inputs!E173),IF(AND(Inputs!E173&gt;0,E140&gt;=0),E140/Inputs!E173-1,"n.m."),"n.a.")</f>
        <v>0.014285714285714235</v>
      </c>
      <c r="F141" s="41">
        <f>IF(ISNUMBER(Inputs!F173),IF(AND(Inputs!F173&gt;0,F140&gt;=0),F140/Inputs!F173-1,"n.m."),"n.a.")</f>
        <v>-0.01319261213720313</v>
      </c>
      <c r="G141" s="41">
        <f>IF(ISNUMBER(Inputs!G173),IF(AND(Inputs!G173&gt;0,G140&gt;=0),G140/Inputs!G173-1,"n.m."),"n.a.")</f>
        <v>-0.07524271844660191</v>
      </c>
      <c r="H141" s="40">
        <f>IF(ISNUMBER(C140),IF(AND(C140&gt;0,H140&gt;=0),H140/C140-1,"n.m."),"n.a.")</f>
        <v>0.09109567889938175</v>
      </c>
      <c r="I141" s="7"/>
    </row>
    <row r="142">
      <c r="A142" s="7"/>
      <c r="B142" s="48" t="s">
        <v>78</v>
      </c>
      <c r="C142" s="29">
        <f>IF(ISNUMBER(Inputs!G173),C140-Inputs!G173,"n.a.")</f>
        <v>-56</v>
      </c>
      <c r="D142" s="12">
        <f>IF(ISNUMBER(C140),D140-C140,"n.a.")</f>
        <v>17</v>
      </c>
      <c r="E142" s="12"/>
      <c r="F142" s="12">
        <f>IF(ISNUMBER(D140),F140-D140,"n.a.")</f>
        <v>1</v>
      </c>
      <c r="G142" s="12">
        <f>IF(ISNUMBER(F140),G140-F140,"n.a.")</f>
        <v>7</v>
      </c>
      <c r="H142" s="42">
        <f>IF(ISNUMBER(G140),H140-G140,"n.a.")</f>
        <v>7.430061688179876</v>
      </c>
      <c r="I142" s="7"/>
    </row>
    <row r="143">
      <c r="A143" s="7"/>
      <c r="B143" s="1" t="s">
        <v>207</v>
      </c>
      <c r="C143" s="31">
        <v>69</v>
      </c>
      <c r="D143" s="29">
        <f>E143-Inputs!I174</f>
        <v>70</v>
      </c>
      <c r="E143" s="31">
        <v>273</v>
      </c>
      <c r="F143" s="31">
        <v>56</v>
      </c>
      <c r="G143" s="31">
        <v>51</v>
      </c>
      <c r="H143" s="42">
        <f>H146*H9*H$6/$I$6</f>
        <v>51.587789027945206</v>
      </c>
      <c r="I143" s="39" t="s">
        <v>81</v>
      </c>
    </row>
    <row r="144">
      <c r="A144" s="7"/>
      <c r="B144" s="44" t="s">
        <v>66</v>
      </c>
      <c r="C144" s="41">
        <f>IF(ISNUMBER(Inputs!C174),IF(AND(Inputs!C174&gt;0,C143&gt;=0),C143/Inputs!C174-1,"n.m."),"n.a.")</f>
        <v>0.029850746268656803</v>
      </c>
      <c r="D144" s="41">
        <f>IF(ISNUMBER(Inputs!D174),IF(AND(Inputs!D174&gt;0,D143&gt;=0),D143/Inputs!D174-1,"n.m."),"n.a.")</f>
        <v>0.02941176470588225</v>
      </c>
      <c r="E144" s="41">
        <f>IF(ISNUMBER(Inputs!E174),IF(AND(Inputs!E174&gt;0,E143&gt;=0),E143/Inputs!E174-1,"n.m."),"n.a.")</f>
        <v>0.011111111111111072</v>
      </c>
      <c r="F144" s="41">
        <f>IF(ISNUMBER(Inputs!F174),IF(AND(Inputs!F174&gt;0,F143&gt;=0),F143/Inputs!F174-1,"n.m."),"n.a.")</f>
        <v>-0.05084745762711862</v>
      </c>
      <c r="G144" s="41">
        <f>IF(ISNUMBER(Inputs!G174),IF(AND(Inputs!G174&gt;0,G143&gt;=0),G143/Inputs!G174-1,"n.m."),"n.a.")</f>
        <v>-0.12068965517241381</v>
      </c>
      <c r="H144" s="40">
        <f>IF(ISNUMBER(C143),IF(AND(C143&gt;0,H143&gt;=0),H143/C143-1,"n.m."),"n.a.")</f>
        <v>-0.252350883652968</v>
      </c>
      <c r="I144" s="7"/>
    </row>
    <row r="145">
      <c r="A145" s="7"/>
      <c r="B145" s="48" t="s">
        <v>78</v>
      </c>
      <c r="C145" s="29">
        <f>IF(ISNUMBER(Inputs!G174),C143-Inputs!G174,"n.a.")</f>
        <v>11</v>
      </c>
      <c r="D145" s="12">
        <f>IF(ISNUMBER(C143),D143-C143,"n.a.")</f>
        <v>1</v>
      </c>
      <c r="E145" s="12"/>
      <c r="F145" s="12">
        <f>IF(ISNUMBER(D143),F143-D143,"n.a.")</f>
        <v>-14</v>
      </c>
      <c r="G145" s="12">
        <f>IF(ISNUMBER(F143),G143-F143,"n.a.")</f>
        <v>-5</v>
      </c>
      <c r="H145" s="42">
        <f>IF(ISNUMBER(G143),H143-G143,"n.a.")</f>
        <v>0.587789027945206</v>
      </c>
      <c r="I145" s="7"/>
    </row>
    <row r="146">
      <c r="A146" s="7"/>
      <c r="B146" s="44" t="s">
        <v>208</v>
      </c>
      <c r="C146" s="60">
        <f>C143/C9*$I$6/C$6</f>
        <v>0.007327355460385439</v>
      </c>
      <c r="D146" s="60">
        <f>D143/D9*$I$6/D$6</f>
        <v>0.007452708118697285</v>
      </c>
      <c r="E146" s="60">
        <f>E143/E9*$I$6/E$6</f>
        <v>0.007291277175364563</v>
      </c>
      <c r="F146" s="60">
        <f>F143/F9*$I$6/F$6</f>
        <v>0.006153938791792741</v>
      </c>
      <c r="G146" s="60">
        <f>G143/G9*$I$6/G$6</f>
        <v>0.005580240044749839</v>
      </c>
      <c r="H146" s="66">
        <v>0.0056</v>
      </c>
      <c r="I146" s="7"/>
    </row>
    <row r="147">
      <c r="A147" s="7"/>
      <c r="B147" s="69" t="s">
        <v>69</v>
      </c>
      <c r="C147" s="38" t="str">
        <f>"n.a."</f>
        <v>n.a.</v>
      </c>
      <c r="D147" s="38">
        <f>IF(AND(ISNUMBER(D146),ISNUMBER(C146)),(D146-C146)*10000,"n.a.")</f>
        <v>1.2535265831184645</v>
      </c>
      <c r="E147" s="38"/>
      <c r="F147" s="38">
        <f>IF(AND(ISNUMBER(F146),ISNUMBER(D146)),(F146-D146)*10000,"n.a.")</f>
        <v>-12.987693269045442</v>
      </c>
      <c r="G147" s="38">
        <f>IF(AND(ISNUMBER(G146),ISNUMBER(F146)),(G146-F146)*10000,"n.a.")</f>
        <v>-5.736987470429025</v>
      </c>
      <c r="H147" s="67">
        <f>IF(AND(ISNUMBER(H146),ISNUMBER(G146)),(H146-G146)*10000,"n.a.")</f>
        <v>0.1975995525016136</v>
      </c>
      <c r="I147" s="7"/>
    </row>
    <row r="148">
      <c r="A148" s="7"/>
      <c r="B148" s="34" t="s">
        <v>209</v>
      </c>
      <c r="C148" s="35">
        <f>C140-C143</f>
        <v>287</v>
      </c>
      <c r="D148" s="35">
        <f>D140-D143</f>
        <v>303</v>
      </c>
      <c r="E148" s="35">
        <f>E140-E143</f>
        <v>1218</v>
      </c>
      <c r="F148" s="35">
        <f>F140-F143</f>
        <v>318</v>
      </c>
      <c r="G148" s="35">
        <f>G140-G143</f>
        <v>330</v>
      </c>
      <c r="H148" s="50">
        <f>H140-H143</f>
        <v>336.8422726602347</v>
      </c>
      <c r="I148" s="7"/>
    </row>
    <row r="149">
      <c r="A149" s="7"/>
      <c r="B149" s="44" t="s">
        <v>66</v>
      </c>
      <c r="C149" s="41">
        <f>IF(ISNUMBER(Inputs!C175),IF(AND(Inputs!C175&gt;0,C148&gt;=0),C148/Inputs!C175-1,"n.m."),"n.a.")</f>
        <v>-0.08012820512820518</v>
      </c>
      <c r="D149" s="41">
        <f>IF(ISNUMBER(Inputs!D175),IF(AND(Inputs!D175&gt;0,D148&gt;=0),D148/Inputs!D175-1,"n.m."),"n.a.")</f>
        <v>-0.03809523809523807</v>
      </c>
      <c r="E149" s="41">
        <f>IF(ISNUMBER(Inputs!E175),IF(AND(Inputs!E175&gt;0,E148&gt;=0),E148/Inputs!E175-1,"n.m."),"n.a.")</f>
        <v>0.014999999999999902</v>
      </c>
      <c r="F149" s="41">
        <f>IF(ISNUMBER(Inputs!F175),IF(AND(Inputs!F175&gt;0,F148&gt;=0),F148/Inputs!F175-1,"n.m."),"n.a.")</f>
        <v>-0.006249999999999978</v>
      </c>
      <c r="G149" s="41">
        <f>IF(ISNUMBER(Inputs!G175),IF(AND(Inputs!G175&gt;0,G148&gt;=0),G148/Inputs!G175-1,"n.m."),"n.a.")</f>
        <v>-0.06779661016949157</v>
      </c>
      <c r="H149" s="40">
        <f>IF(ISNUMBER(C148),IF(AND(C148&gt;0,H148&gt;=0),H148/C148-1,"n.m."),"n.a.")</f>
        <v>0.17366645526214186</v>
      </c>
      <c r="I149" s="7"/>
    </row>
    <row r="150">
      <c r="A150" s="7"/>
      <c r="B150" s="1" t="s">
        <v>210</v>
      </c>
      <c r="C150" s="31">
        <v>72</v>
      </c>
      <c r="D150" s="29">
        <f>E150-Inputs!I176</f>
        <v>75</v>
      </c>
      <c r="E150" s="31">
        <v>304</v>
      </c>
      <c r="F150" s="31">
        <v>79</v>
      </c>
      <c r="G150" s="31">
        <v>82</v>
      </c>
      <c r="H150" s="42">
        <f>H148*H152</f>
        <v>84.21056816505867</v>
      </c>
      <c r="I150" s="39" t="s">
        <v>81</v>
      </c>
    </row>
    <row r="151">
      <c r="A151" s="7"/>
      <c r="B151" s="44" t="s">
        <v>66</v>
      </c>
      <c r="C151" s="41">
        <f>IF(ISNUMBER(Inputs!C176),IF(AND(Inputs!C176&gt;0,C150&gt;=0),C150/Inputs!C176-1,"n.m."),"n.a.")</f>
        <v>-0.07692307692307687</v>
      </c>
      <c r="D151" s="41">
        <f>IF(ISNUMBER(Inputs!D176),IF(AND(Inputs!D176&gt;0,D150&gt;=0),D150/Inputs!D176-1,"n.m."),"n.a.")</f>
        <v>-0.05063291139240511</v>
      </c>
      <c r="E151" s="41">
        <f>IF(ISNUMBER(Inputs!E176),IF(AND(Inputs!E176&gt;0,E150&gt;=0),E150/Inputs!E176-1,"n.m."),"n.a.")</f>
        <v>0.01333333333333342</v>
      </c>
      <c r="F151" s="41">
        <f>IF(ISNUMBER(Inputs!F176),IF(AND(Inputs!F176&gt;0,F150&gt;=0),F150/Inputs!F176-1,"n.m."),"n.a.")</f>
        <v>-0.012499999999999956</v>
      </c>
      <c r="G151" s="41">
        <f>IF(ISNUMBER(Inputs!G176),IF(AND(Inputs!G176&gt;0,G150&gt;=0),G150/Inputs!G176-1,"n.m."),"n.a.")</f>
        <v>-0.06818181818181823</v>
      </c>
      <c r="H151" s="40">
        <f>IF(ISNUMBER(C150),IF(AND(C150&gt;0,H150&gt;=0),H150/C150-1,"n.m."),"n.a.")</f>
        <v>0.16959122451470376</v>
      </c>
      <c r="I151" s="7"/>
    </row>
    <row r="152">
      <c r="A152" s="7"/>
      <c r="B152" s="44" t="s">
        <v>211</v>
      </c>
      <c r="C152" s="24">
        <f>C150/C148</f>
        <v>0.2508710801393728</v>
      </c>
      <c r="D152" s="24">
        <f>D150/D148</f>
        <v>0.24752475247524752</v>
      </c>
      <c r="E152" s="24">
        <f>E150/E148</f>
        <v>0.24958949096880131</v>
      </c>
      <c r="F152" s="24">
        <f>F150/F148</f>
        <v>0.24842767295597484</v>
      </c>
      <c r="G152" s="24">
        <f>G150/G148</f>
        <v>0.24848484848484848</v>
      </c>
      <c r="H152" s="58">
        <v>0.25</v>
      </c>
      <c r="I152" s="7"/>
    </row>
    <row r="153">
      <c r="A153" s="7"/>
      <c r="B153" s="69" t="s">
        <v>69</v>
      </c>
      <c r="C153" s="38" t="str">
        <f>"n.a."</f>
        <v>n.a.</v>
      </c>
      <c r="D153" s="38">
        <f>IF(AND(ISNUMBER(D152),ISNUMBER(C152)),(D152-C152)*10000,"n.a.")</f>
        <v>-33.463276641252925</v>
      </c>
      <c r="E153" s="38"/>
      <c r="F153" s="38">
        <f>IF(AND(ISNUMBER(F152),ISNUMBER(D152)),(F152-D152)*10000,"n.a.")</f>
        <v>9.029204807273207</v>
      </c>
      <c r="G153" s="38">
        <f>IF(AND(ISNUMBER(G152),ISNUMBER(F152)),(G152-F152)*10000,"n.a.")</f>
        <v>0.5717552887363198</v>
      </c>
      <c r="H153" s="67">
        <f>IF(AND(ISNUMBER(H152),ISNUMBER(G152)),(H152-G152)*10000,"n.a.")</f>
        <v>15.151515151515248</v>
      </c>
      <c r="I153" s="7"/>
    </row>
    <row r="154">
      <c r="A154" s="7"/>
      <c r="B154" s="34" t="s">
        <v>212</v>
      </c>
      <c r="C154" s="35">
        <f>C148-C150</f>
        <v>215</v>
      </c>
      <c r="D154" s="35">
        <f>D148-D150</f>
        <v>228</v>
      </c>
      <c r="E154" s="35">
        <f>E148-E150</f>
        <v>914</v>
      </c>
      <c r="F154" s="35">
        <f>F148-F150</f>
        <v>239</v>
      </c>
      <c r="G154" s="35">
        <f>G148-G150</f>
        <v>248</v>
      </c>
      <c r="H154" s="50">
        <f>H148-H150</f>
        <v>252.63170449517602</v>
      </c>
      <c r="I154" s="7"/>
    </row>
    <row r="155">
      <c r="A155" s="7"/>
      <c r="B155" s="44" t="s">
        <v>66</v>
      </c>
      <c r="C155" s="41">
        <f>IF(ISNUMBER(Inputs!C177),IF(AND(Inputs!C177&gt;0,C154&gt;=0),C154/Inputs!C177-1,"n.m."),"n.a.")</f>
        <v>-0.08119658119658124</v>
      </c>
      <c r="D155" s="41">
        <f>IF(ISNUMBER(Inputs!D177),IF(AND(Inputs!D177&gt;0,D154&gt;=0),D154/Inputs!D177-1,"n.m."),"n.a.")</f>
        <v>-0.03389830508474578</v>
      </c>
      <c r="E155" s="41">
        <f>IF(ISNUMBER(Inputs!E177),IF(AND(Inputs!E177&gt;0,E154&gt;=0),E154/Inputs!E177-1,"n.m."),"n.a.")</f>
        <v>0.015555555555555545</v>
      </c>
      <c r="F155" s="41">
        <f>IF(ISNUMBER(Inputs!F177),IF(AND(Inputs!F177&gt;0,F154&gt;=0),F154/Inputs!F177-1,"n.m."),"n.a.")</f>
        <v>-0.004166666666666652</v>
      </c>
      <c r="G155" s="41">
        <f>IF(ISNUMBER(Inputs!G177),IF(AND(Inputs!G177&gt;0,G154&gt;=0),G154/Inputs!G177-1,"n.m."),"n.a.")</f>
        <v>-0.06766917293233088</v>
      </c>
      <c r="H155" s="40">
        <f>IF(ISNUMBER(C154),IF(AND(C154&gt;0,H154&gt;=0),H154/C154-1,"n.m."),"n.a.")</f>
        <v>0.17503118369849324</v>
      </c>
      <c r="I155" s="7"/>
    </row>
    <row r="156">
      <c r="A156" s="7"/>
      <c r="B156" s="48" t="s">
        <v>78</v>
      </c>
      <c r="C156" s="29">
        <f>IF(ISNUMBER(Inputs!G177),C154-Inputs!G177,"n.a.")</f>
        <v>-51</v>
      </c>
      <c r="D156" s="12">
        <f>IF(ISNUMBER(C154),D154-C154,"n.a.")</f>
        <v>13</v>
      </c>
      <c r="E156" s="12"/>
      <c r="F156" s="12">
        <f>IF(ISNUMBER(D154),F154-D154,"n.a.")</f>
        <v>11</v>
      </c>
      <c r="G156" s="12">
        <f>IF(ISNUMBER(F154),G154-F154,"n.a.")</f>
        <v>9</v>
      </c>
      <c r="H156" s="42">
        <f>IF(ISNUMBER(G154),H154-G154,"n.a.")</f>
        <v>4.631704495176024</v>
      </c>
      <c r="I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</row>
    <row r="158" ht="79.5">
      <c r="A158" s="7"/>
      <c r="B158" s="139" t="s">
        <v>213</v>
      </c>
      <c r="C158" s="7"/>
      <c r="D158" s="7"/>
      <c r="E158" s="7"/>
      <c r="F158" s="7"/>
      <c r="G158" s="7"/>
      <c r="H158" s="7"/>
      <c r="I158" s="7"/>
    </row>
  </sheetData>
  <mergeCells count="1">
    <mergeCell ref="B158:I158"/>
  </mergeCell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43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234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 ht="28.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143" t="s">
        <v>63</v>
      </c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27">
        <v>365</v>
      </c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235</v>
      </c>
      <c r="C8" s="9"/>
      <c r="D8" s="9"/>
      <c r="E8" s="9"/>
      <c r="F8" s="9"/>
      <c r="G8" s="9"/>
      <c r="H8" s="43"/>
      <c r="I8" s="7"/>
    </row>
    <row r="9">
      <c r="A9" s="7"/>
      <c r="B9" s="8" t="s">
        <v>176</v>
      </c>
      <c r="C9" s="31">
        <v>2130</v>
      </c>
      <c r="D9" s="29">
        <f>(E9*E$6-Inputs!I178*Inputs!$I$6)/D$6</f>
        <v>2228.1521739130435</v>
      </c>
      <c r="E9" s="31">
        <v>2151</v>
      </c>
      <c r="F9" s="31">
        <v>2216</v>
      </c>
      <c r="G9" s="31">
        <v>2288</v>
      </c>
      <c r="H9" s="42">
        <f>G9*(1+H12)</f>
        <v>2310.88</v>
      </c>
      <c r="I9" s="39" t="s">
        <v>177</v>
      </c>
    </row>
    <row r="10">
      <c r="A10" s="7"/>
      <c r="B10" s="44" t="s">
        <v>66</v>
      </c>
      <c r="C10" s="41">
        <f>IF(ISNUMBER(Inputs!C178),IF(AND(Inputs!C178&gt;0,C9&gt;=0),C9/Inputs!C178-1,"n.m."),"n.a.")</f>
        <v>0.02011494252873569</v>
      </c>
      <c r="D10" s="41">
        <f>IF(ISNUMBER(Inputs!D178),IF(AND(Inputs!D178&gt;0,D9&gt;=0),D9/Inputs!D178-1,"n.m."),"n.a.")</f>
        <v>0.07385327829348531</v>
      </c>
      <c r="E10" s="41">
        <f>IF(ISNUMBER(Inputs!E178),IF(AND(Inputs!E178&gt;0,E9&gt;=0),E9/Inputs!E178-1,"n.m."),"n.a.")</f>
        <v>0.04265632573921474</v>
      </c>
      <c r="F10" s="41">
        <f>IF(ISNUMBER(Inputs!F178),IF(AND(Inputs!F178&gt;0,F9&gt;=0),F9/Inputs!F178-1,"n.m."),"n.a.")</f>
        <v>0.038912330051570576</v>
      </c>
      <c r="G10" s="41">
        <f>IF(ISNUMBER(Inputs!G178),IF(AND(Inputs!G178&gt;0,G9&gt;=0),G9/Inputs!G178-1,"n.m."),"n.a.")</f>
        <v>0.08333333333333326</v>
      </c>
      <c r="H10" s="40">
        <f>IF(ISNUMBER(C9),IF(AND(C9&gt;0,H9&gt;=0),H9/C9-1,"n.m."),"n.a.")</f>
        <v>0.08492018779342736</v>
      </c>
      <c r="I10" s="7"/>
    </row>
    <row r="11">
      <c r="A11" s="7"/>
      <c r="B11" s="48" t="s">
        <v>78</v>
      </c>
      <c r="C11" s="29">
        <f>IF(ISNUMBER(Inputs!G178),C9-Inputs!G178,"n.a.")</f>
        <v>18</v>
      </c>
      <c r="D11" s="12">
        <f>IF(ISNUMBER(C9),D9-C9,"n.a.")</f>
        <v>98.1521739130435</v>
      </c>
      <c r="E11" s="12"/>
      <c r="F11" s="12">
        <f>IF(ISNUMBER(D9),F9-D9,"n.a.")</f>
        <v>-12.152173913043498</v>
      </c>
      <c r="G11" s="12">
        <f>IF(ISNUMBER(F9),G9-F9,"n.a.")</f>
        <v>72</v>
      </c>
      <c r="H11" s="42">
        <f>IF(ISNUMBER(G9),H9-G9,"n.a.")</f>
        <v>22.88000000000011</v>
      </c>
      <c r="I11" s="7"/>
    </row>
    <row r="12">
      <c r="A12" s="7"/>
      <c r="B12" s="44" t="s">
        <v>67</v>
      </c>
      <c r="C12" s="41">
        <f>IF(ISNUMBER(Inputs!G178),IF(AND(Inputs!G178&gt;0,C9&gt;=0),C9/Inputs!G178-1,"n.m."),"n.a.")</f>
        <v>0.008522727272727293</v>
      </c>
      <c r="D12" s="24">
        <f>IF(ISNUMBER(C9),IF(AND(C9&gt;0,D9&gt;=0),D9/C9-1,"n.m."),"n.a.")</f>
        <v>0.04608083282302511</v>
      </c>
      <c r="E12" s="24"/>
      <c r="F12" s="24">
        <f>IF(ISNUMBER(D9),IF(AND(D9&gt;0,F9&gt;=0),F9/D9-1,"n.m."),"n.a.")</f>
        <v>-0.00545392458168692</v>
      </c>
      <c r="G12" s="24">
        <f>IF(ISNUMBER(F9),IF(AND(F9&gt;0,G9&gt;=0),G9/F9-1,"n.m."),"n.a.")</f>
        <v>0.032490974729241895</v>
      </c>
      <c r="H12" s="58">
        <v>0.01</v>
      </c>
      <c r="I12" s="7"/>
    </row>
    <row r="13" ht="41.25">
      <c r="A13" s="7"/>
      <c r="B13" s="8" t="s">
        <v>178</v>
      </c>
      <c r="C13" s="31">
        <v>7262</v>
      </c>
      <c r="D13" s="31">
        <v>7810</v>
      </c>
      <c r="E13" s="31">
        <v>7499</v>
      </c>
      <c r="F13" s="31">
        <v>7777</v>
      </c>
      <c r="G13" s="31">
        <v>7594</v>
      </c>
      <c r="H13" s="42">
        <f>(H16+H18)/2</f>
        <v>7466</v>
      </c>
      <c r="I13" s="142" t="s">
        <v>179</v>
      </c>
    </row>
    <row r="14">
      <c r="A14" s="7"/>
      <c r="B14" s="44" t="s">
        <v>66</v>
      </c>
      <c r="C14" s="41" t="str">
        <f>IF(ISNUMBER(Inputs!C179),IF(AND(Inputs!C179&gt;0,C13&gt;=0),C13/Inputs!C179-1,"n.m."),"n.a.")</f>
        <v>n.a.</v>
      </c>
      <c r="D14" s="41" t="str">
        <f>IF(ISNUMBER(Inputs!D179),IF(AND(Inputs!D179&gt;0,D13&gt;=0),D13/Inputs!D179-1,"n.m."),"n.a.")</f>
        <v>n.a.</v>
      </c>
      <c r="E14" s="41">
        <f>IF(ISNUMBER(Inputs!E179),IF(AND(Inputs!E179&gt;0,E13&gt;=0),E13/Inputs!E179-1,"n.m."),"n.a.")</f>
        <v>-0.005569553109667114</v>
      </c>
      <c r="F14" s="41" t="str">
        <f>IF(ISNUMBER(Inputs!F179),IF(AND(Inputs!F179&gt;0,F13&gt;=0),F13/Inputs!F179-1,"n.m."),"n.a.")</f>
        <v>n.a.</v>
      </c>
      <c r="G14" s="41">
        <f>IF(ISNUMBER(Inputs!G179),IF(AND(Inputs!G179&gt;0,G13&gt;=0),G13/Inputs!G179-1,"n.m."),"n.a.")</f>
        <v>0.03686510103768437</v>
      </c>
      <c r="H14" s="40">
        <f>IF(ISNUMBER(C13),IF(AND(C13&gt;0,H13&gt;=0),H13/C13-1,"n.m."),"n.a.")</f>
        <v>0.028091434866428067</v>
      </c>
      <c r="I14" s="7"/>
    </row>
    <row r="15">
      <c r="A15" s="7"/>
      <c r="B15" s="48" t="s">
        <v>78</v>
      </c>
      <c r="C15" s="29">
        <f>IF(ISNUMBER(Inputs!G179),C13-Inputs!G179,"n.a.")</f>
        <v>-62</v>
      </c>
      <c r="D15" s="12">
        <f>IF(ISNUMBER(C13),D13-C13,"n.a.")</f>
        <v>548</v>
      </c>
      <c r="E15" s="12"/>
      <c r="F15" s="12">
        <f>IF(ISNUMBER(D13),F13-D13,"n.a.")</f>
        <v>-33</v>
      </c>
      <c r="G15" s="12">
        <f>IF(ISNUMBER(F13),G13-F13,"n.a.")</f>
        <v>-183</v>
      </c>
      <c r="H15" s="42">
        <f>IF(ISNUMBER(G13),H13-G13,"n.a.")</f>
        <v>-128</v>
      </c>
      <c r="I15" s="7"/>
    </row>
    <row r="16">
      <c r="A16" s="7"/>
      <c r="B16" s="1" t="s">
        <v>180</v>
      </c>
      <c r="C16" s="29">
        <f>Inputs!G180</f>
        <v>7352</v>
      </c>
      <c r="D16" s="12">
        <f>C18</f>
        <v>7654</v>
      </c>
      <c r="E16" s="12" t="str">
        <f>"n.a."</f>
        <v>n.a.</v>
      </c>
      <c r="F16" s="12">
        <f>D18</f>
        <v>8344</v>
      </c>
      <c r="G16" s="12">
        <f>F18</f>
        <v>7750</v>
      </c>
      <c r="H16" s="42">
        <f>G18</f>
        <v>7466</v>
      </c>
      <c r="I16" s="7"/>
    </row>
    <row r="17">
      <c r="A17" s="7"/>
      <c r="B17" s="1" t="s">
        <v>181</v>
      </c>
      <c r="C17" s="12">
        <f>IF(ISNUMBER(C16),C18-C16,"n.a.")</f>
        <v>302</v>
      </c>
      <c r="D17" s="12">
        <f>IF(ISNUMBER(D16),D18-D16,"n.a.")</f>
        <v>690</v>
      </c>
      <c r="E17" s="12" t="str">
        <f>IF(ISNUMBER(E16),E18-E16,"n.a.")</f>
        <v>n.a.</v>
      </c>
      <c r="F17" s="12">
        <f>IF(ISNUMBER(F16),F18-F16,"n.a.")</f>
        <v>-594</v>
      </c>
      <c r="G17" s="12">
        <f>IF(ISNUMBER(G16),G18-G16,"n.a.")</f>
        <v>-284</v>
      </c>
      <c r="H17" s="42">
        <f>IF(ISNUMBER(H16),H18-H16,"n.a.")</f>
        <v>0</v>
      </c>
      <c r="I17" s="7"/>
    </row>
    <row r="18">
      <c r="A18" s="7"/>
      <c r="B18" s="33" t="s">
        <v>182</v>
      </c>
      <c r="C18" s="72">
        <v>7654</v>
      </c>
      <c r="D18" s="72">
        <v>8344</v>
      </c>
      <c r="E18" s="35">
        <f>D18</f>
        <v>8344</v>
      </c>
      <c r="F18" s="72">
        <v>7750</v>
      </c>
      <c r="G18" s="72">
        <v>7466</v>
      </c>
      <c r="H18" s="50">
        <f>H16*(1+H21)</f>
        <v>7466</v>
      </c>
      <c r="I18" s="39" t="s">
        <v>156</v>
      </c>
    </row>
    <row r="19">
      <c r="A19" s="7"/>
      <c r="B19" s="44" t="s">
        <v>66</v>
      </c>
      <c r="C19" s="41" t="str">
        <f>IF(ISNUMBER(Inputs!C180),IF(AND(Inputs!C180&gt;0,C18&gt;=0),C18/Inputs!C180-1,"n.m."),"n.a.")</f>
        <v>n.a.</v>
      </c>
      <c r="D19" s="41" t="str">
        <f>IF(ISNUMBER(Inputs!D180),IF(AND(Inputs!D180&gt;0,D18&gt;=0),D18/Inputs!D180-1,"n.m."),"n.a.")</f>
        <v>n.a.</v>
      </c>
      <c r="E19" s="41" t="str">
        <f>IF(ISNUMBER(Inputs!E180),IF(AND(Inputs!E180&gt;0,E18&gt;=0),E18/Inputs!E180-1,"n.m."),"n.a.")</f>
        <v>n.a.</v>
      </c>
      <c r="F19" s="41" t="str">
        <f>IF(ISNUMBER(Inputs!F180),IF(AND(Inputs!F180&gt;0,F18&gt;=0),F18/Inputs!F180-1,"n.m."),"n.a.")</f>
        <v>n.a.</v>
      </c>
      <c r="G19" s="41">
        <f>IF(ISNUMBER(Inputs!G180),IF(AND(Inputs!G180&gt;0,G18&gt;=0),G18/Inputs!G180-1,"n.m."),"n.a.")</f>
        <v>0.01550598476605014</v>
      </c>
      <c r="H19" s="40">
        <f>IF(ISNUMBER(C18),IF(AND(C18&gt;0,H18&gt;=0),H18/C18-1,"n.m."),"n.a.")</f>
        <v>-0.02456232035536976</v>
      </c>
      <c r="I19" s="7"/>
    </row>
    <row r="20">
      <c r="A20" s="7"/>
      <c r="B20" s="48" t="s">
        <v>78</v>
      </c>
      <c r="C20" s="29">
        <f>IF(ISNUMBER(Inputs!G180),C18-Inputs!G180,"n.a.")</f>
        <v>302</v>
      </c>
      <c r="D20" s="12">
        <f>IF(ISNUMBER(C18),D18-C18,"n.a.")</f>
        <v>690</v>
      </c>
      <c r="E20" s="12"/>
      <c r="F20" s="12">
        <f>IF(ISNUMBER(D18),F18-D18,"n.a.")</f>
        <v>-594</v>
      </c>
      <c r="G20" s="12">
        <f>IF(ISNUMBER(F18),G18-F18,"n.a.")</f>
        <v>-284</v>
      </c>
      <c r="H20" s="42">
        <f>IF(ISNUMBER(G18),H18-G18,"n.a.")</f>
        <v>0</v>
      </c>
      <c r="I20" s="7"/>
    </row>
    <row r="21">
      <c r="A21" s="7"/>
      <c r="B21" s="44" t="s">
        <v>183</v>
      </c>
      <c r="C21" s="24">
        <f>IF(ISNUMBER(C16),C18/C16-1,"n.a.")</f>
        <v>0.04107725788900973</v>
      </c>
      <c r="D21" s="24">
        <f>IF(ISNUMBER(D16),D18/D16-1,"n.a.")</f>
        <v>0.09014894172981447</v>
      </c>
      <c r="E21" s="24" t="str">
        <f>IF(ISNUMBER(E16),E18/E16-1,"n.a.")</f>
        <v>n.a.</v>
      </c>
      <c r="F21" s="24">
        <f>IF(ISNUMBER(F16),F18/F16-1,"n.a.")</f>
        <v>-0.07118887823585807</v>
      </c>
      <c r="G21" s="24">
        <f>IF(ISNUMBER(G16),G18/G16-1,"n.a.")</f>
        <v>-0.03664516129032258</v>
      </c>
      <c r="H21" s="58">
        <v>0</v>
      </c>
      <c r="I21" s="7"/>
    </row>
    <row r="22">
      <c r="A22" s="7"/>
      <c r="B22" s="1" t="s">
        <v>236</v>
      </c>
      <c r="C22" s="31">
        <v>6604</v>
      </c>
      <c r="D22" s="31">
        <v>6719</v>
      </c>
      <c r="E22" s="31">
        <v>6730</v>
      </c>
      <c r="F22" s="31">
        <v>6747</v>
      </c>
      <c r="G22" s="31">
        <v>6672</v>
      </c>
      <c r="H22" s="42">
        <f>H13*H28</f>
        <v>6559.540690018435</v>
      </c>
      <c r="I22" s="39" t="s">
        <v>156</v>
      </c>
    </row>
    <row r="23">
      <c r="A23" s="7"/>
      <c r="B23" s="44" t="s">
        <v>66</v>
      </c>
      <c r="C23" s="41" t="str">
        <f>IF(ISNUMBER(Inputs!C181),IF(AND(Inputs!C181&gt;0,C22&gt;=0),C22/Inputs!C181-1,"n.m."),"n.a.")</f>
        <v>n.a.</v>
      </c>
      <c r="D23" s="41" t="str">
        <f>IF(ISNUMBER(Inputs!D181),IF(AND(Inputs!D181&gt;0,D22&gt;=0),D22/Inputs!D181-1,"n.m."),"n.a.")</f>
        <v>n.a.</v>
      </c>
      <c r="E23" s="41">
        <f>IF(ISNUMBER(Inputs!E181),IF(AND(Inputs!E181&gt;0,E22&gt;=0),E22/Inputs!E181-1,"n.m."),"n.a.")</f>
        <v>0.013859596263934959</v>
      </c>
      <c r="F23" s="41" t="str">
        <f>IF(ISNUMBER(Inputs!F181),IF(AND(Inputs!F181&gt;0,F22&gt;=0),F22/Inputs!F181-1,"n.m."),"n.a.")</f>
        <v>n.a.</v>
      </c>
      <c r="G23" s="41">
        <f>IF(ISNUMBER(Inputs!G181),IF(AND(Inputs!G181&gt;0,G22&gt;=0),G22/Inputs!G181-1,"n.m."),"n.a.")</f>
        <v>-0.004921700223713632</v>
      </c>
      <c r="H23" s="40">
        <f>IF(ISNUMBER(C22),IF(AND(C22&gt;0,H22&gt;=0),H22/C22-1,"n.m."),"n.a.")</f>
        <v>-0.0067321789796433995</v>
      </c>
      <c r="I23" s="7"/>
    </row>
    <row r="24">
      <c r="A24" s="7"/>
      <c r="B24" s="48" t="s">
        <v>78</v>
      </c>
      <c r="C24" s="29">
        <f>IF(ISNUMBER(Inputs!G181),C22-Inputs!G181,"n.a.")</f>
        <v>-101</v>
      </c>
      <c r="D24" s="12">
        <f>IF(ISNUMBER(C22),D22-C22,"n.a.")</f>
        <v>115</v>
      </c>
      <c r="E24" s="12"/>
      <c r="F24" s="12">
        <f>IF(ISNUMBER(D22),F22-D22,"n.a.")</f>
        <v>28</v>
      </c>
      <c r="G24" s="12">
        <f>IF(ISNUMBER(F22),G22-F22,"n.a.")</f>
        <v>-75</v>
      </c>
      <c r="H24" s="42">
        <f>IF(ISNUMBER(G22),H22-G22,"n.a.")</f>
        <v>-112.45930998156473</v>
      </c>
      <c r="I24" s="7"/>
    </row>
    <row r="25">
      <c r="A25" s="7"/>
      <c r="B25" s="1" t="s">
        <v>237</v>
      </c>
      <c r="C25" s="31">
        <v>658</v>
      </c>
      <c r="D25" s="31">
        <v>1091</v>
      </c>
      <c r="E25" s="31">
        <v>769</v>
      </c>
      <c r="F25" s="31">
        <v>1030</v>
      </c>
      <c r="G25" s="31">
        <v>922</v>
      </c>
      <c r="H25" s="42">
        <f>H13-H22</f>
        <v>906.4593099815647</v>
      </c>
      <c r="I25" s="39" t="s">
        <v>156</v>
      </c>
    </row>
    <row r="26">
      <c r="A26" s="7"/>
      <c r="B26" s="44" t="s">
        <v>66</v>
      </c>
      <c r="C26" s="41" t="str">
        <f>IF(ISNUMBER(Inputs!C182),IF(AND(Inputs!C182&gt;0,C25&gt;=0),C25/Inputs!C182-1,"n.m."),"n.a.")</f>
        <v>n.a.</v>
      </c>
      <c r="D26" s="41" t="str">
        <f>IF(ISNUMBER(Inputs!D182),IF(AND(Inputs!D182&gt;0,D25&gt;=0),D25/Inputs!D182-1,"n.m."),"n.a.")</f>
        <v>n.a.</v>
      </c>
      <c r="E26" s="41">
        <f>IF(ISNUMBER(Inputs!E182),IF(AND(Inputs!E182&gt;0,E25&gt;=0),E25/Inputs!E182-1,"n.m."),"n.a.")</f>
        <v>-0.14839424141749724</v>
      </c>
      <c r="F26" s="41" t="str">
        <f>IF(ISNUMBER(Inputs!F182),IF(AND(Inputs!F182&gt;0,F25&gt;=0),F25/Inputs!F182-1,"n.m."),"n.a.")</f>
        <v>n.a.</v>
      </c>
      <c r="G26" s="41">
        <f>IF(ISNUMBER(Inputs!G182),IF(AND(Inputs!G182&gt;0,G25&gt;=0),G25/Inputs!G182-1,"n.m."),"n.a.")</f>
        <v>0.4894991922455574</v>
      </c>
      <c r="H26" s="40">
        <f>IF(ISNUMBER(C25),IF(AND(C25&gt;0,H25&gt;=0),H25/C25-1,"n.m."),"n.a.")</f>
        <v>0.377597735534293</v>
      </c>
      <c r="I26" s="7"/>
    </row>
    <row r="27">
      <c r="A27" s="7"/>
      <c r="B27" s="48" t="s">
        <v>78</v>
      </c>
      <c r="C27" s="29">
        <f>IF(ISNUMBER(Inputs!G182),C25-Inputs!G182,"n.a.")</f>
        <v>39</v>
      </c>
      <c r="D27" s="12">
        <f>IF(ISNUMBER(C25),D25-C25,"n.a.")</f>
        <v>433</v>
      </c>
      <c r="E27" s="12"/>
      <c r="F27" s="12">
        <f>IF(ISNUMBER(D25),F25-D25,"n.a.")</f>
        <v>-61</v>
      </c>
      <c r="G27" s="12">
        <f>IF(ISNUMBER(F25),G25-F25,"n.a.")</f>
        <v>-108</v>
      </c>
      <c r="H27" s="42">
        <f>IF(ISNUMBER(G25),H25-G25,"n.a.")</f>
        <v>-15.54069001843527</v>
      </c>
      <c r="I27" s="7"/>
    </row>
    <row r="28">
      <c r="A28" s="7"/>
      <c r="B28" s="44" t="s">
        <v>238</v>
      </c>
      <c r="C28" s="24">
        <f>C22/C13</f>
        <v>0.9093913522445607</v>
      </c>
      <c r="D28" s="24">
        <f>D22/D13</f>
        <v>0.8603072983354674</v>
      </c>
      <c r="E28" s="24">
        <f>E22/E13</f>
        <v>0.8974529937324977</v>
      </c>
      <c r="F28" s="24">
        <f>F22/F13</f>
        <v>0.8675581843898675</v>
      </c>
      <c r="G28" s="24">
        <f>G22/G13</f>
        <v>0.8785883592309718</v>
      </c>
      <c r="H28" s="40">
        <f>G28</f>
        <v>0.8785883592309718</v>
      </c>
      <c r="I28" s="7"/>
    </row>
    <row r="29">
      <c r="A29" s="7"/>
      <c r="B29" s="69" t="s">
        <v>69</v>
      </c>
      <c r="C29" s="38" t="str">
        <f>"n.a."</f>
        <v>n.a.</v>
      </c>
      <c r="D29" s="38">
        <f>IF(AND(ISNUMBER(D28),ISNUMBER(C28)),(D28-C28)*10000,"n.a.")</f>
        <v>-490.8405390909332</v>
      </c>
      <c r="E29" s="38"/>
      <c r="F29" s="38">
        <f>IF(AND(ISNUMBER(F28),ISNUMBER(D28)),(F28-D28)*10000,"n.a.")</f>
        <v>72.50886054400164</v>
      </c>
      <c r="G29" s="38">
        <f>IF(AND(ISNUMBER(G28),ISNUMBER(F28)),(G28-F28)*10000,"n.a.")</f>
        <v>110.30174841104245</v>
      </c>
      <c r="H29" s="67">
        <f>IF(AND(ISNUMBER(H28),ISNUMBER(G28)),(H28-G28)*10000,"n.a.")</f>
        <v>0</v>
      </c>
      <c r="I29" s="7"/>
    </row>
    <row r="30" ht="15.75">
      <c r="A30" s="7"/>
      <c r="B30" s="28" t="s">
        <v>239</v>
      </c>
      <c r="C30" s="2">
        <f>C22+C25-C13</f>
        <v>0</v>
      </c>
      <c r="D30" s="2">
        <f>D22+D25-D13</f>
        <v>0</v>
      </c>
      <c r="E30" s="2">
        <f>E22+E25-E13</f>
        <v>0</v>
      </c>
      <c r="F30" s="2">
        <f>F22+F25-F13</f>
        <v>0</v>
      </c>
      <c r="G30" s="2">
        <f>G22+G25-G13</f>
        <v>0</v>
      </c>
      <c r="H30" s="51">
        <f>H22+H25-H13</f>
        <v>0</v>
      </c>
      <c r="I30" s="138" t="s">
        <v>240</v>
      </c>
    </row>
    <row r="31">
      <c r="A31" s="7"/>
      <c r="B31" s="7"/>
      <c r="C31" s="7"/>
      <c r="D31" s="7"/>
      <c r="E31" s="7"/>
      <c r="F31" s="7"/>
      <c r="G31" s="7"/>
      <c r="H31" s="49"/>
      <c r="I31" s="7"/>
    </row>
    <row r="32">
      <c r="A32" s="7"/>
      <c r="B32" s="34" t="s">
        <v>241</v>
      </c>
      <c r="C32" s="9"/>
      <c r="D32" s="9"/>
      <c r="E32" s="9"/>
      <c r="F32" s="9"/>
      <c r="G32" s="9"/>
      <c r="H32" s="43"/>
      <c r="I32" s="7"/>
    </row>
    <row r="33">
      <c r="A33" s="7"/>
      <c r="B33" s="28" t="s">
        <v>185</v>
      </c>
      <c r="C33" s="41">
        <f>C35/'Income Statement'!C52</f>
        <v>0.035003977724741446</v>
      </c>
      <c r="D33" s="41">
        <f>D35/'Income Statement'!D52</f>
        <v>0.03669008587041374</v>
      </c>
      <c r="E33" s="41">
        <f>E35/'Income Statement'!E52</f>
        <v>0.035463834902825085</v>
      </c>
      <c r="F33" s="41">
        <f>F35/'Income Statement'!F52</f>
        <v>0.036057692307692304</v>
      </c>
      <c r="G33" s="41">
        <f>G35/'Income Statement'!G52</f>
        <v>0.036021926389976505</v>
      </c>
      <c r="H33" s="59">
        <f>H35/'Income Statement'!H52</f>
        <v>0.036063058956188575</v>
      </c>
      <c r="I33" s="7"/>
    </row>
    <row r="34">
      <c r="A34" s="7"/>
      <c r="B34" s="44" t="s">
        <v>69</v>
      </c>
      <c r="C34" s="38" t="str">
        <f>"n.a."</f>
        <v>n.a.</v>
      </c>
      <c r="D34" s="38">
        <f>IF(AND(ISNUMBER(D33),ISNUMBER(C33)),(D33-C33)*10000,"n.a.")</f>
        <v>16.861081456722925</v>
      </c>
      <c r="E34" s="38"/>
      <c r="F34" s="38">
        <f>IF(AND(ISNUMBER(F33),ISNUMBER(D33)),(F33-D33)*10000,"n.a.")</f>
        <v>-6.323935627214339</v>
      </c>
      <c r="G34" s="38">
        <f>IF(AND(ISNUMBER(G33),ISNUMBER(F33)),(G33-F33)*10000,"n.a.")</f>
        <v>-0.3576591771579929</v>
      </c>
      <c r="H34" s="67">
        <f>IF(AND(ISNUMBER(H33),ISNUMBER(G33)),(H33-G33)*10000,"n.a.")</f>
        <v>0.41132566212069566</v>
      </c>
      <c r="I34" s="7"/>
    </row>
    <row r="35">
      <c r="A35" s="7"/>
      <c r="B35" s="34" t="s">
        <v>186</v>
      </c>
      <c r="C35" s="72">
        <v>44</v>
      </c>
      <c r="D35" s="78">
        <f>E35-Inputs!I183</f>
        <v>47</v>
      </c>
      <c r="E35" s="72">
        <v>177</v>
      </c>
      <c r="F35" s="72">
        <v>45</v>
      </c>
      <c r="G35" s="72">
        <v>46</v>
      </c>
      <c r="H35" s="50">
        <f>H9*H41*H$6/$I$6</f>
        <v>46.97054945054945</v>
      </c>
      <c r="I35" s="39" t="s">
        <v>81</v>
      </c>
    </row>
    <row r="36">
      <c r="A36" s="7"/>
      <c r="B36" s="44" t="s">
        <v>66</v>
      </c>
      <c r="C36" s="41">
        <f>IF(ISNUMBER(Inputs!C183),IF(AND(Inputs!C183&gt;0,C35&gt;=0),C35/Inputs!C183-1,"n.m."),"n.a.")</f>
        <v>0.07317073170731714</v>
      </c>
      <c r="D36" s="41">
        <f>IF(ISNUMBER(Inputs!D183),IF(AND(Inputs!D183&gt;0,D35&gt;=0),D35/Inputs!D183-1,"n.m."),"n.a.")</f>
        <v>0.14634146341463405</v>
      </c>
      <c r="E36" s="41">
        <f>IF(ISNUMBER(Inputs!E183),IF(AND(Inputs!E183&gt;0,E35&gt;=0),E35/Inputs!E183-1,"n.m."),"n.a.")</f>
        <v>0.08588957055214719</v>
      </c>
      <c r="F36" s="41">
        <f>IF(ISNUMBER(Inputs!F183),IF(AND(Inputs!F183&gt;0,F35&gt;=0),F35/Inputs!F183-1,"n.m."),"n.a.")</f>
        <v>0.04651162790697683</v>
      </c>
      <c r="G36" s="41">
        <f>IF(ISNUMBER(Inputs!G183),IF(AND(Inputs!G183&gt;0,G35&gt;=0),G35/Inputs!G183-1,"n.m."),"n.a.")</f>
        <v>0.06976744186046502</v>
      </c>
      <c r="H36" s="40">
        <f>IF(ISNUMBER(C35),IF(AND(C35&gt;0,H35&gt;=0),H35/C35-1,"n.m."),"n.a.")</f>
        <v>0.0675124875124875</v>
      </c>
      <c r="I36" s="7"/>
    </row>
    <row r="37">
      <c r="A37" s="7"/>
      <c r="B37" s="48" t="s">
        <v>78</v>
      </c>
      <c r="C37" s="29">
        <f>IF(ISNUMBER(Inputs!G183),C35-Inputs!G183,"n.a.")</f>
        <v>1</v>
      </c>
      <c r="D37" s="12">
        <f>IF(ISNUMBER(C35),D35-C35,"n.a.")</f>
        <v>3</v>
      </c>
      <c r="E37" s="12"/>
      <c r="F37" s="12">
        <f>IF(ISNUMBER(D35),F35-D35,"n.a.")</f>
        <v>-2</v>
      </c>
      <c r="G37" s="12">
        <f>IF(ISNUMBER(F35),G35-F35,"n.a.")</f>
        <v>1</v>
      </c>
      <c r="H37" s="42">
        <f>IF(ISNUMBER(G35),H35-G35,"n.a.")</f>
        <v>0.9705494505494485</v>
      </c>
      <c r="I37" s="7"/>
    </row>
    <row r="38">
      <c r="A38" s="7"/>
      <c r="B38" s="44" t="s">
        <v>70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8">
        <v>0</v>
      </c>
      <c r="I38" s="7"/>
    </row>
    <row r="39">
      <c r="A39" s="7"/>
      <c r="B39" s="44" t="s">
        <v>71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8">
        <v>0</v>
      </c>
      <c r="I39" s="7"/>
    </row>
    <row r="40">
      <c r="A40" s="7"/>
      <c r="B40" s="44" t="s">
        <v>72</v>
      </c>
      <c r="C40" s="24">
        <f>IF(AND(ISNUMBER(C36),ISNUMBER(C38),ISNUMBER(C39)),(1+C36)/((1+C38)*(1+C39))-1,"unavailable")</f>
        <v>0.07317073170731714</v>
      </c>
      <c r="D40" s="24">
        <f>IF(AND(ISNUMBER(D36),ISNUMBER(D38),ISNUMBER(D39)),(1+D36)/((1+D38)*(1+D39))-1,"unavailable")</f>
        <v>0.14634146341463405</v>
      </c>
      <c r="E40" s="24">
        <f>IF(AND(ISNUMBER(E36),ISNUMBER(E38),ISNUMBER(E39)),(1+E36)/((1+E38)*(1+E39))-1,"unavailable")</f>
        <v>0.08588957055214719</v>
      </c>
      <c r="F40" s="24">
        <f>IF(AND(ISNUMBER(F36),ISNUMBER(F38),ISNUMBER(F39)),(1+F36)/((1+F38)*(1+F39))-1,"unavailable")</f>
        <v>0.04651162790697683</v>
      </c>
      <c r="G40" s="24">
        <f>IF(AND(ISNUMBER(G36),ISNUMBER(G38),ISNUMBER(G39)),(1+G36)/((1+G38)*(1+G39))-1,"unavailable")</f>
        <v>0.06976744186046502</v>
      </c>
      <c r="H40" s="40">
        <f>IF(AND(ISNUMBER(H36),ISNUMBER(H38),ISNUMBER(H39)),(1+H36)/((1+H38)*(1+H39))-1,"unavailable")</f>
        <v>0.0675124875124875</v>
      </c>
      <c r="I40" s="7"/>
    </row>
    <row r="41">
      <c r="A41" s="7"/>
      <c r="B41" s="75" t="s">
        <v>187</v>
      </c>
      <c r="C41" s="60">
        <f>C35/C9*$I$6/C$6</f>
        <v>0.0819555011226781</v>
      </c>
      <c r="D41" s="60">
        <f>D35/D9*$I$6/D$6</f>
        <v>0.08368700912239621</v>
      </c>
      <c r="E41" s="60">
        <f>E35/E9*$I$6/E$6</f>
        <v>0.08228730822873083</v>
      </c>
      <c r="F41" s="60">
        <f>F35/F9*$I$6/F$6</f>
        <v>0.08235559566787004</v>
      </c>
      <c r="G41" s="60">
        <f>G35/G9*$I$6/G$6</f>
        <v>0.08064051333282103</v>
      </c>
      <c r="H41" s="61">
        <f>G41+H42/10000</f>
        <v>0.08064051333282103</v>
      </c>
      <c r="I41" s="7"/>
    </row>
    <row r="42">
      <c r="A42" s="7"/>
      <c r="B42" s="44" t="s">
        <v>69</v>
      </c>
      <c r="C42" s="38" t="str">
        <f>"n.a."</f>
        <v>n.a.</v>
      </c>
      <c r="D42" s="38">
        <f>IF(AND(ISNUMBER(D41),ISNUMBER(C41)),(D41-C41)*10000,"n.a.")</f>
        <v>17.315079997181073</v>
      </c>
      <c r="E42" s="38"/>
      <c r="F42" s="38">
        <f>IF(AND(ISNUMBER(F41),ISNUMBER(D41)),(F41-D41)*10000,"n.a.")</f>
        <v>-13.314134545261702</v>
      </c>
      <c r="G42" s="38">
        <f>IF(AND(ISNUMBER(G41),ISNUMBER(F41)),(G41-F41)*10000,"n.a.")</f>
        <v>-17.15082335049009</v>
      </c>
      <c r="H42" s="77">
        <v>0</v>
      </c>
      <c r="I42" s="7"/>
    </row>
    <row r="43">
      <c r="A43" s="7"/>
      <c r="B43" s="1" t="s">
        <v>188</v>
      </c>
      <c r="C43" s="31">
        <v>0</v>
      </c>
      <c r="D43" s="29">
        <f>E43-Inputs!I184</f>
        <v>1</v>
      </c>
      <c r="E43" s="31">
        <v>3</v>
      </c>
      <c r="F43" s="31">
        <v>1</v>
      </c>
      <c r="G43" s="31">
        <v>1</v>
      </c>
      <c r="H43" s="42">
        <f>H13*H47*H$6/$I$6</f>
        <v>0.9939483745119775</v>
      </c>
      <c r="I43" s="39" t="s">
        <v>81</v>
      </c>
    </row>
    <row r="44">
      <c r="A44" s="7"/>
      <c r="B44" s="44" t="s">
        <v>66</v>
      </c>
      <c r="C44" s="41" t="str">
        <f>IF(ISNUMBER(Inputs!C184),IF(AND(Inputs!C184&gt;0,C43&gt;=0),C43/Inputs!C184-1,"n.m."),"n.a.")</f>
        <v>n.m.</v>
      </c>
      <c r="D44" s="41">
        <f>IF(ISNUMBER(Inputs!D184),IF(AND(Inputs!D184&gt;0,D43&gt;=0),D43/Inputs!D184-1,"n.m."),"n.a.")</f>
        <v>0</v>
      </c>
      <c r="E44" s="41">
        <f>IF(ISNUMBER(Inputs!E184),IF(AND(Inputs!E184&gt;0,E43&gt;=0),E43/Inputs!E184-1,"n.m."),"n.a.")</f>
        <v>0</v>
      </c>
      <c r="F44" s="41">
        <f>IF(ISNUMBER(Inputs!F184),IF(AND(Inputs!F184&gt;0,F43&gt;=0),F43/Inputs!F184-1,"n.m."),"n.a.")</f>
        <v>0</v>
      </c>
      <c r="G44" s="41">
        <f>IF(ISNUMBER(Inputs!G184),IF(AND(Inputs!G184&gt;0,G43&gt;=0),G43/Inputs!G184-1,"n.m."),"n.a.")</f>
        <v>0</v>
      </c>
      <c r="H44" s="40" t="str">
        <f>IF(ISNUMBER(C43),IF(AND(C43&gt;0,H43&gt;=0),H43/C43-1,"n.m."),"n.a.")</f>
        <v>n.m.</v>
      </c>
      <c r="I44" s="7"/>
    </row>
    <row r="45">
      <c r="A45" s="7"/>
      <c r="B45" s="48" t="s">
        <v>78</v>
      </c>
      <c r="C45" s="29">
        <f>IF(ISNUMBER(Inputs!G184),C43-Inputs!G184,"n.a.")</f>
        <v>-1</v>
      </c>
      <c r="D45" s="12">
        <f>IF(ISNUMBER(C43),D43-C43,"n.a.")</f>
        <v>1</v>
      </c>
      <c r="E45" s="12"/>
      <c r="F45" s="12">
        <f>IF(ISNUMBER(D43),F43-D43,"n.a.")</f>
        <v>0</v>
      </c>
      <c r="G45" s="12">
        <f>IF(ISNUMBER(F43),G43-F43,"n.a.")</f>
        <v>0</v>
      </c>
      <c r="H45" s="42">
        <f>IF(ISNUMBER(G43),H43-G43,"n.a.")</f>
        <v>-0.006051625488022516</v>
      </c>
      <c r="I45" s="7"/>
    </row>
    <row r="46" ht="15.75">
      <c r="A46" s="7"/>
      <c r="B46" s="44" t="s">
        <v>67</v>
      </c>
      <c r="C46" s="41">
        <f>IF(ISNUMBER(Inputs!G184),IF(AND(Inputs!G184&gt;0,C43&gt;=0),C43/Inputs!G184-1,"n.m."),"n.a.")</f>
        <v>-1</v>
      </c>
      <c r="D46" s="24" t="str">
        <f>IF(ISNUMBER(C43),IF(AND(C43&gt;0,D43&gt;=0),D43/C43-1,"n.m."),"n.a.")</f>
        <v>n.m.</v>
      </c>
      <c r="E46" s="24"/>
      <c r="F46" s="24">
        <f>IF(ISNUMBER(D43),IF(AND(D43&gt;0,F43&gt;=0),F43/D43-1,"n.m."),"n.a.")</f>
        <v>0</v>
      </c>
      <c r="G46" s="24">
        <f>IF(ISNUMBER(F43),IF(AND(F43&gt;0,G43&gt;=0),G43/F43-1,"n.m."),"n.a.")</f>
        <v>0</v>
      </c>
      <c r="H46" s="40">
        <f>IF(ISNUMBER(G43),IF(AND(G43&gt;0,H43&gt;=0),H43/G43-1,"n.m."),"n.a.")</f>
        <v>-0.006051625488022516</v>
      </c>
      <c r="I46" s="142" t="s">
        <v>242</v>
      </c>
    </row>
    <row r="47" ht="54">
      <c r="A47" s="7"/>
      <c r="B47" s="44" t="s">
        <v>189</v>
      </c>
      <c r="C47" s="60">
        <f>C43/C13*$I$6/C$6</f>
        <v>0</v>
      </c>
      <c r="D47" s="60">
        <f>D43/D13*$I$6/D$6</f>
        <v>0.0005079886433223849</v>
      </c>
      <c r="E47" s="60">
        <f>E43/E13*$I$6/E$6</f>
        <v>0.00040005334044539273</v>
      </c>
      <c r="F47" s="60">
        <f>F43/F13*$I$6/F$6</f>
        <v>0.0005214807195005214</v>
      </c>
      <c r="G47" s="60">
        <f>G43/G13*$I$6/G$6</f>
        <v>0.000528178695152622</v>
      </c>
      <c r="H47" s="61">
        <f>G47+H48/10000</f>
        <v>0.000528178695152622</v>
      </c>
      <c r="I47" s="142" t="s">
        <v>243</v>
      </c>
    </row>
    <row r="48">
      <c r="A48" s="7"/>
      <c r="B48" s="69" t="s">
        <v>69</v>
      </c>
      <c r="C48" s="38" t="str">
        <f>"n.a."</f>
        <v>n.a.</v>
      </c>
      <c r="D48" s="38">
        <f>IF(AND(ISNUMBER(D47),ISNUMBER(C47)),(D47-C47)*10000,"n.a.")</f>
        <v>5.079886433223849</v>
      </c>
      <c r="E48" s="38"/>
      <c r="F48" s="38">
        <f>IF(AND(ISNUMBER(F47),ISNUMBER(D47)),(F47-D47)*10000,"n.a.")</f>
        <v>0.1349207617813654</v>
      </c>
      <c r="G48" s="38">
        <f>IF(AND(ISNUMBER(G47),ISNUMBER(F47)),(G47-F47)*10000,"n.a.")</f>
        <v>0.06697975652100621</v>
      </c>
      <c r="H48" s="77">
        <v>0</v>
      </c>
      <c r="I48" s="7"/>
    </row>
    <row r="49">
      <c r="A49" s="7"/>
      <c r="B49" s="44" t="s">
        <v>70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8">
        <v>0</v>
      </c>
      <c r="I49" s="7"/>
    </row>
    <row r="50">
      <c r="A50" s="7"/>
      <c r="B50" s="44" t="s">
        <v>71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8">
        <v>0</v>
      </c>
      <c r="I50" s="7"/>
    </row>
    <row r="51">
      <c r="A51" s="7"/>
      <c r="B51" s="44" t="s">
        <v>72</v>
      </c>
      <c r="C51" s="24" t="str">
        <f>IF(AND(ISNUMBER(C44),ISNUMBER(C49),ISNUMBER(C50)),(1+C44)/((1+C49)*(1+C50))-1,"unavailable")</f>
        <v>unavailable</v>
      </c>
      <c r="D51" s="24">
        <f>IF(AND(ISNUMBER(D44),ISNUMBER(D49),ISNUMBER(D50)),(1+D44)/((1+D49)*(1+D50))-1,"unavailable")</f>
        <v>0</v>
      </c>
      <c r="E51" s="24">
        <f>IF(AND(ISNUMBER(E44),ISNUMBER(E49),ISNUMBER(E50)),(1+E44)/((1+E49)*(1+E50))-1,"unavailable")</f>
        <v>0</v>
      </c>
      <c r="F51" s="24">
        <f>IF(AND(ISNUMBER(F44),ISNUMBER(F49),ISNUMBER(F50)),(1+F44)/((1+F49)*(1+F50))-1,"unavailable")</f>
        <v>0</v>
      </c>
      <c r="G51" s="24">
        <f>IF(AND(ISNUMBER(G44),ISNUMBER(G49),ISNUMBER(G50)),(1+G44)/((1+G49)*(1+G50))-1,"unavailable")</f>
        <v>0</v>
      </c>
      <c r="H51" s="40" t="str">
        <f>IF(AND(ISNUMBER(H44),ISNUMBER(H49),ISNUMBER(H50)),(1+H44)/((1+H49)*(1+H50))-1,"unavailable")</f>
        <v>unavailable</v>
      </c>
      <c r="I51" s="7"/>
    </row>
    <row r="52" ht="28.5">
      <c r="A52" s="7"/>
      <c r="B52" s="1" t="s">
        <v>191</v>
      </c>
      <c r="C52" s="31">
        <v>0</v>
      </c>
      <c r="D52" s="29">
        <f>E52-Inputs!I185</f>
        <v>1</v>
      </c>
      <c r="E52" s="31">
        <v>1</v>
      </c>
      <c r="F52" s="31">
        <v>0</v>
      </c>
      <c r="G52" s="31">
        <v>0</v>
      </c>
      <c r="H52" s="42">
        <f>G52*(1+H55)</f>
        <v>0</v>
      </c>
      <c r="I52" s="142" t="s">
        <v>244</v>
      </c>
    </row>
    <row r="53">
      <c r="A53" s="7"/>
      <c r="B53" s="44" t="s">
        <v>66</v>
      </c>
      <c r="C53" s="41" t="str">
        <f>IF(ISNUMBER(Inputs!C185),IF(AND(Inputs!C185&gt;0,C52&gt;=0),C52/Inputs!C185-1,"n.m."),"n.a.")</f>
        <v>n.m.</v>
      </c>
      <c r="D53" s="41" t="str">
        <f>IF(ISNUMBER(Inputs!D185),IF(AND(Inputs!D185&gt;0,D52&gt;=0),D52/Inputs!D185-1,"n.m."),"n.a.")</f>
        <v>n.m.</v>
      </c>
      <c r="E53" s="41">
        <f>IF(ISNUMBER(Inputs!E185),IF(AND(Inputs!E185&gt;0,E52&gt;=0),E52/Inputs!E185-1,"n.m."),"n.a.")</f>
        <v>0</v>
      </c>
      <c r="F53" s="41" t="str">
        <f>IF(ISNUMBER(Inputs!F185),IF(AND(Inputs!F185&gt;0,F52&gt;=0),F52/Inputs!F185-1,"n.m."),"n.a.")</f>
        <v>n.m.</v>
      </c>
      <c r="G53" s="41" t="str">
        <f>IF(ISNUMBER(Inputs!G185),IF(AND(Inputs!G185&gt;0,G52&gt;=0),G52/Inputs!G185-1,"n.m."),"n.a.")</f>
        <v>n.m.</v>
      </c>
      <c r="H53" s="40" t="str">
        <f>IF(ISNUMBER(C52),IF(AND(C52&gt;0,H52&gt;=0),H52/C52-1,"n.m."),"n.a.")</f>
        <v>n.m.</v>
      </c>
      <c r="I53" s="7"/>
    </row>
    <row r="54">
      <c r="A54" s="7"/>
      <c r="B54" s="48" t="s">
        <v>78</v>
      </c>
      <c r="C54" s="29">
        <f>IF(ISNUMBER(Inputs!G185),C52-Inputs!G185,"n.a.")</f>
        <v>0</v>
      </c>
      <c r="D54" s="12">
        <f>IF(ISNUMBER(C52),D52-C52,"n.a.")</f>
        <v>1</v>
      </c>
      <c r="E54" s="12"/>
      <c r="F54" s="12">
        <f>IF(ISNUMBER(D52),F52-D52,"n.a.")</f>
        <v>-1</v>
      </c>
      <c r="G54" s="12">
        <f>IF(ISNUMBER(F52),G52-F52,"n.a.")</f>
        <v>0</v>
      </c>
      <c r="H54" s="42">
        <f>IF(ISNUMBER(G52),H52-G52,"n.a.")</f>
        <v>0</v>
      </c>
      <c r="I54" s="7"/>
    </row>
    <row r="55" ht="15.75">
      <c r="A55" s="7"/>
      <c r="B55" s="44" t="s">
        <v>67</v>
      </c>
      <c r="C55" s="41" t="str">
        <f>IF(ISNUMBER(Inputs!G185),IF(AND(Inputs!G185&gt;0,C52&gt;=0),C52/Inputs!G185-1,"n.m."),"n.a.")</f>
        <v>n.m.</v>
      </c>
      <c r="D55" s="24" t="str">
        <f>IF(ISNUMBER(C52),IF(AND(C52&gt;0,D52&gt;=0),D52/C52-1,"n.m."),"n.a.")</f>
        <v>n.m.</v>
      </c>
      <c r="E55" s="24"/>
      <c r="F55" s="24">
        <f>IF(ISNUMBER(D52),IF(AND(D52&gt;0,F52&gt;=0),F52/D52-1,"n.m."),"n.a.")</f>
        <v>-1</v>
      </c>
      <c r="G55" s="24" t="str">
        <f>IF(ISNUMBER(F52),IF(AND(F52&gt;0,G52&gt;=0),G52/F52-1,"n.m."),"n.a.")</f>
        <v>n.m.</v>
      </c>
      <c r="H55" s="58">
        <v>0</v>
      </c>
      <c r="I55" s="142" t="s">
        <v>219</v>
      </c>
    </row>
    <row r="56">
      <c r="A56" s="7"/>
      <c r="B56" s="44" t="s">
        <v>70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8">
        <v>0</v>
      </c>
      <c r="I56" s="7"/>
    </row>
    <row r="57">
      <c r="A57" s="7"/>
      <c r="B57" s="44" t="s">
        <v>71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8">
        <v>0</v>
      </c>
      <c r="I57" s="7"/>
    </row>
    <row r="58">
      <c r="A58" s="7"/>
      <c r="B58" s="44" t="s">
        <v>72</v>
      </c>
      <c r="C58" s="24" t="str">
        <f>IF(AND(ISNUMBER(C53),ISNUMBER(C56),ISNUMBER(C57)),(1+C53)/((1+C56)*(1+C57))-1,"unavailable")</f>
        <v>unavailable</v>
      </c>
      <c r="D58" s="24" t="str">
        <f>IF(AND(ISNUMBER(D53),ISNUMBER(D56),ISNUMBER(D57)),(1+D53)/((1+D56)*(1+D57))-1,"unavailable")</f>
        <v>unavailable</v>
      </c>
      <c r="E58" s="24">
        <f>IF(AND(ISNUMBER(E53),ISNUMBER(E56),ISNUMBER(E57)),(1+E53)/((1+E56)*(1+E57))-1,"unavailable")</f>
        <v>0</v>
      </c>
      <c r="F58" s="24" t="str">
        <f>IF(AND(ISNUMBER(F53),ISNUMBER(F56),ISNUMBER(F57)),(1+F53)/((1+F56)*(1+F57))-1,"unavailable")</f>
        <v>unavailable</v>
      </c>
      <c r="G58" s="24" t="str">
        <f>IF(AND(ISNUMBER(G53),ISNUMBER(G56),ISNUMBER(G57)),(1+G53)/((1+G56)*(1+G57))-1,"unavailable")</f>
        <v>unavailable</v>
      </c>
      <c r="H58" s="40" t="str">
        <f>IF(AND(ISNUMBER(H53),ISNUMBER(H56),ISNUMBER(H57)),(1+H53)/((1+H56)*(1+H57))-1,"unavailable")</f>
        <v>unavailable</v>
      </c>
      <c r="I58" s="7"/>
    </row>
    <row r="59">
      <c r="A59" s="7"/>
      <c r="B59" s="1" t="s">
        <v>245</v>
      </c>
      <c r="C59" s="31">
        <v>91</v>
      </c>
      <c r="D59" s="29">
        <f>E59-Inputs!I186</f>
        <v>95</v>
      </c>
      <c r="E59" s="31">
        <v>362</v>
      </c>
      <c r="F59" s="31">
        <v>92</v>
      </c>
      <c r="G59" s="31">
        <v>97</v>
      </c>
      <c r="H59" s="42">
        <f>G59*(1+H62)</f>
        <v>97.97</v>
      </c>
      <c r="I59" s="39" t="s">
        <v>81</v>
      </c>
    </row>
    <row r="60">
      <c r="A60" s="7"/>
      <c r="B60" s="44" t="s">
        <v>66</v>
      </c>
      <c r="C60" s="41">
        <f>IF(ISNUMBER(Inputs!C186),IF(AND(Inputs!C186&gt;0,C59&gt;=0),C59/Inputs!C186-1,"n.m."),"n.a.")</f>
        <v>0.07058823529411762</v>
      </c>
      <c r="D60" s="41">
        <f>IF(ISNUMBER(Inputs!D186),IF(AND(Inputs!D186&gt;0,D59&gt;=0),D59/Inputs!D186-1,"n.m."),"n.a.")</f>
        <v>0.0674157303370786</v>
      </c>
      <c r="E60" s="41">
        <f>IF(ISNUMBER(Inputs!E186),IF(AND(Inputs!E186&gt;0,E59&gt;=0),E59/Inputs!E186-1,"n.m."),"n.a.")</f>
        <v>0.07100591715976323</v>
      </c>
      <c r="F60" s="41">
        <f>IF(ISNUMBER(Inputs!F186),IF(AND(Inputs!F186&gt;0,F59&gt;=0),F59/Inputs!F186-1,"n.m."),"n.a.")</f>
        <v>0.06976744186046502</v>
      </c>
      <c r="G60" s="41">
        <f>IF(ISNUMBER(Inputs!G186),IF(AND(Inputs!G186&gt;0,G59&gt;=0),G59/Inputs!G186-1,"n.m."),"n.a.")</f>
        <v>0.07777777777777772</v>
      </c>
      <c r="H60" s="40">
        <f>IF(ISNUMBER(C59),IF(AND(C59&gt;0,H59&gt;=0),H59/C59-1,"n.m."),"n.a.")</f>
        <v>0.07659340659340663</v>
      </c>
      <c r="I60" s="7"/>
    </row>
    <row r="61">
      <c r="A61" s="7"/>
      <c r="B61" s="48" t="s">
        <v>78</v>
      </c>
      <c r="C61" s="29">
        <f>IF(ISNUMBER(Inputs!G186),C59-Inputs!G186,"n.a.")</f>
        <v>1</v>
      </c>
      <c r="D61" s="12">
        <f>IF(ISNUMBER(C59),D59-C59,"n.a.")</f>
        <v>4</v>
      </c>
      <c r="E61" s="12"/>
      <c r="F61" s="12">
        <f>IF(ISNUMBER(D59),F59-D59,"n.a.")</f>
        <v>-3</v>
      </c>
      <c r="G61" s="12">
        <f>IF(ISNUMBER(F59),G59-F59,"n.a.")</f>
        <v>5</v>
      </c>
      <c r="H61" s="42">
        <f>IF(ISNUMBER(G59),H59-G59,"n.a.")</f>
        <v>0.9699999999999989</v>
      </c>
      <c r="I61" s="7"/>
    </row>
    <row r="62">
      <c r="A62" s="7"/>
      <c r="B62" s="44" t="s">
        <v>67</v>
      </c>
      <c r="C62" s="41">
        <f>IF(ISNUMBER(Inputs!G186),IF(AND(Inputs!G186&gt;0,C59&gt;=0),C59/Inputs!G186-1,"n.m."),"n.a.")</f>
        <v>0.011111111111111072</v>
      </c>
      <c r="D62" s="24">
        <f>IF(ISNUMBER(C59),IF(AND(C59&gt;0,D59&gt;=0),D59/C59-1,"n.m."),"n.a.")</f>
        <v>0.04395604395604402</v>
      </c>
      <c r="E62" s="24"/>
      <c r="F62" s="24">
        <f>IF(ISNUMBER(D59),IF(AND(D59&gt;0,F59&gt;=0),F59/D59-1,"n.m."),"n.a.")</f>
        <v>-0.03157894736842104</v>
      </c>
      <c r="G62" s="24">
        <f>IF(ISNUMBER(F59),IF(AND(F59&gt;0,G59&gt;=0),G59/F59-1,"n.m."),"n.a.")</f>
        <v>0.05434782608695654</v>
      </c>
      <c r="H62" s="58">
        <v>0.01</v>
      </c>
      <c r="I62" s="7"/>
    </row>
    <row r="63">
      <c r="A63" s="7"/>
      <c r="B63" s="44" t="s">
        <v>70</v>
      </c>
      <c r="C63" s="52">
        <v>0</v>
      </c>
      <c r="D63" s="52">
        <v>0</v>
      </c>
      <c r="E63" s="52">
        <v>0</v>
      </c>
      <c r="F63" s="52">
        <v>0</v>
      </c>
      <c r="G63" s="52">
        <v>0</v>
      </c>
      <c r="H63" s="58">
        <v>0</v>
      </c>
      <c r="I63" s="7"/>
    </row>
    <row r="64">
      <c r="A64" s="7"/>
      <c r="B64" s="44" t="s">
        <v>71</v>
      </c>
      <c r="C64" s="52">
        <v>0</v>
      </c>
      <c r="D64" s="52">
        <v>0</v>
      </c>
      <c r="E64" s="52">
        <v>0</v>
      </c>
      <c r="F64" s="52">
        <v>0</v>
      </c>
      <c r="G64" s="52">
        <v>0</v>
      </c>
      <c r="H64" s="58">
        <v>0</v>
      </c>
      <c r="I64" s="7"/>
    </row>
    <row r="65">
      <c r="A65" s="7"/>
      <c r="B65" s="44" t="s">
        <v>72</v>
      </c>
      <c r="C65" s="24">
        <f>IF(AND(ISNUMBER(C60),ISNUMBER(C63),ISNUMBER(C64)),(1+C60)/((1+C63)*(1+C64))-1,"unavailable")</f>
        <v>0.07058823529411762</v>
      </c>
      <c r="D65" s="24">
        <f>IF(AND(ISNUMBER(D60),ISNUMBER(D63),ISNUMBER(D64)),(1+D60)/((1+D63)*(1+D64))-1,"unavailable")</f>
        <v>0.0674157303370786</v>
      </c>
      <c r="E65" s="24">
        <f>IF(AND(ISNUMBER(E60),ISNUMBER(E63),ISNUMBER(E64)),(1+E60)/((1+E63)*(1+E64))-1,"unavailable")</f>
        <v>0.07100591715976323</v>
      </c>
      <c r="F65" s="24">
        <f>IF(AND(ISNUMBER(F60),ISNUMBER(F63),ISNUMBER(F64)),(1+F60)/((1+F63)*(1+F64))-1,"unavailable")</f>
        <v>0.06976744186046502</v>
      </c>
      <c r="G65" s="24">
        <f>IF(AND(ISNUMBER(G60),ISNUMBER(G63),ISNUMBER(G64)),(1+G60)/((1+G63)*(1+G64))-1,"unavailable")</f>
        <v>0.07777777777777772</v>
      </c>
      <c r="H65" s="40">
        <f>IF(AND(ISNUMBER(H60),ISNUMBER(H63),ISNUMBER(H64)),(1+H60)/((1+H63)*(1+H64))-1,"unavailable")</f>
        <v>0.07659340659340663</v>
      </c>
      <c r="I65" s="7"/>
    </row>
    <row r="66">
      <c r="A66" s="7"/>
      <c r="B66" s="1" t="s">
        <v>192</v>
      </c>
      <c r="C66" s="31">
        <v>0</v>
      </c>
      <c r="D66" s="29">
        <f>E66-Inputs!I187</f>
        <v>0</v>
      </c>
      <c r="E66" s="31">
        <v>1</v>
      </c>
      <c r="F66" s="31">
        <v>0</v>
      </c>
      <c r="G66" s="31">
        <v>0</v>
      </c>
      <c r="H66" s="71">
        <v>0</v>
      </c>
      <c r="I66" s="39" t="s">
        <v>81</v>
      </c>
    </row>
    <row r="67" ht="15.75">
      <c r="A67" s="7"/>
      <c r="B67" s="44" t="s">
        <v>66</v>
      </c>
      <c r="C67" s="41" t="str">
        <f>IF(ISNUMBER(Inputs!C187),IF(AND(Inputs!C187&gt;0,C66&gt;=0),C66/Inputs!C187-1,"n.m."),"n.a.")</f>
        <v>n.m.</v>
      </c>
      <c r="D67" s="41" t="str">
        <f>IF(ISNUMBER(Inputs!D187),IF(AND(Inputs!D187&gt;0,D66&gt;=0),D66/Inputs!D187-1,"n.m."),"n.a.")</f>
        <v>n.m.</v>
      </c>
      <c r="E67" s="41">
        <f>IF(ISNUMBER(Inputs!E187),IF(AND(Inputs!E187&gt;0,E66&gt;=0),E66/Inputs!E187-1,"n.m."),"n.a.")</f>
        <v>0</v>
      </c>
      <c r="F67" s="41">
        <f>IF(ISNUMBER(Inputs!F187),IF(AND(Inputs!F187&gt;0,F66&gt;=0),F66/Inputs!F187-1,"n.m."),"n.a.")</f>
        <v>-1</v>
      </c>
      <c r="G67" s="41" t="str">
        <f>IF(ISNUMBER(Inputs!G187),IF(AND(Inputs!G187&gt;0,G66&gt;=0),G66/Inputs!G187-1,"n.m."),"n.a.")</f>
        <v>n.m.</v>
      </c>
      <c r="H67" s="40" t="str">
        <f>IF(ISNUMBER(C66),IF(AND(C66&gt;0,H66&gt;=0),H66/C66-1,"n.m."),"n.a.")</f>
        <v>n.m.</v>
      </c>
      <c r="I67" s="142" t="s">
        <v>246</v>
      </c>
    </row>
    <row r="68">
      <c r="A68" s="7"/>
      <c r="B68" s="48" t="s">
        <v>78</v>
      </c>
      <c r="C68" s="29">
        <f>IF(ISNUMBER(Inputs!G187),C66-Inputs!G187,"n.a.")</f>
        <v>0</v>
      </c>
      <c r="D68" s="12">
        <f>IF(ISNUMBER(C66),D66-C66,"n.a.")</f>
        <v>0</v>
      </c>
      <c r="E68" s="12"/>
      <c r="F68" s="12">
        <f>IF(ISNUMBER(D66),F66-D66,"n.a.")</f>
        <v>0</v>
      </c>
      <c r="G68" s="12">
        <f>IF(ISNUMBER(F66),G66-F66,"n.a.")</f>
        <v>0</v>
      </c>
      <c r="H68" s="42">
        <f>IF(ISNUMBER(G66),H66-G66,"n.a.")</f>
        <v>0</v>
      </c>
      <c r="I68" s="7"/>
    </row>
    <row r="69">
      <c r="A69" s="7"/>
      <c r="B69" s="44" t="s">
        <v>67</v>
      </c>
      <c r="C69" s="41" t="str">
        <f>IF(ISNUMBER(Inputs!G187),IF(AND(Inputs!G187&gt;0,C66&gt;=0),C66/Inputs!G187-1,"n.m."),"n.a.")</f>
        <v>n.m.</v>
      </c>
      <c r="D69" s="24" t="str">
        <f>IF(ISNUMBER(C66),IF(AND(C66&gt;0,D66&gt;=0),D66/C66-1,"n.m."),"n.a.")</f>
        <v>n.m.</v>
      </c>
      <c r="E69" s="24"/>
      <c r="F69" s="24" t="str">
        <f>IF(ISNUMBER(D66),IF(AND(D66&gt;0,F66&gt;=0),F66/D66-1,"n.m."),"n.a.")</f>
        <v>n.m.</v>
      </c>
      <c r="G69" s="24" t="str">
        <f>IF(ISNUMBER(F66),IF(AND(F66&gt;0,G66&gt;=0),G66/F66-1,"n.m."),"n.a.")</f>
        <v>n.m.</v>
      </c>
      <c r="H69" s="40" t="str">
        <f>IF(ISNUMBER(G66),IF(AND(G66&gt;0,H66&gt;=0),H66/G66-1,"n.m."),"n.a.")</f>
        <v>n.m.</v>
      </c>
      <c r="I69" s="7"/>
    </row>
    <row r="70">
      <c r="A70" s="7"/>
      <c r="B70" s="44" t="s">
        <v>70</v>
      </c>
      <c r="C70" s="52">
        <v>0</v>
      </c>
      <c r="D70" s="52">
        <v>0</v>
      </c>
      <c r="E70" s="52">
        <v>0</v>
      </c>
      <c r="F70" s="52">
        <v>0</v>
      </c>
      <c r="G70" s="52">
        <v>0</v>
      </c>
      <c r="H70" s="58">
        <v>0</v>
      </c>
      <c r="I70" s="7"/>
    </row>
    <row r="71">
      <c r="A71" s="7"/>
      <c r="B71" s="44" t="s">
        <v>71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8">
        <v>0</v>
      </c>
      <c r="I71" s="7"/>
    </row>
    <row r="72">
      <c r="A72" s="7"/>
      <c r="B72" s="44" t="s">
        <v>72</v>
      </c>
      <c r="C72" s="24" t="str">
        <f>IF(AND(ISNUMBER(C67),ISNUMBER(C70),ISNUMBER(C71)),(1+C67)/((1+C70)*(1+C71))-1,"unavailable")</f>
        <v>unavailable</v>
      </c>
      <c r="D72" s="24" t="str">
        <f>IF(AND(ISNUMBER(D67),ISNUMBER(D70),ISNUMBER(D71)),(1+D67)/((1+D70)*(1+D71))-1,"unavailable")</f>
        <v>unavailable</v>
      </c>
      <c r="E72" s="24">
        <f>IF(AND(ISNUMBER(E67),ISNUMBER(E70),ISNUMBER(E71)),(1+E67)/((1+E70)*(1+E71))-1,"unavailable")</f>
        <v>0</v>
      </c>
      <c r="F72" s="24">
        <f>IF(AND(ISNUMBER(F67),ISNUMBER(F70),ISNUMBER(F71)),(1+F67)/((1+F70)*(1+F71))-1,"unavailable")</f>
        <v>-1</v>
      </c>
      <c r="G72" s="24" t="str">
        <f>IF(AND(ISNUMBER(G67),ISNUMBER(G70),ISNUMBER(G71)),(1+G67)/((1+G70)*(1+G71))-1,"unavailable")</f>
        <v>unavailable</v>
      </c>
      <c r="H72" s="40" t="str">
        <f>IF(AND(ISNUMBER(H67),ISNUMBER(H70),ISNUMBER(H71)),(1+H67)/((1+H70)*(1+H71))-1,"unavailable")</f>
        <v>unavailable</v>
      </c>
      <c r="I72" s="114" t="s">
        <v>247</v>
      </c>
    </row>
    <row r="73">
      <c r="A73" s="7"/>
      <c r="B73" s="1" t="s">
        <v>248</v>
      </c>
      <c r="C73" s="31">
        <v>48</v>
      </c>
      <c r="D73" s="29">
        <f>E73-Inputs!I188</f>
        <v>48</v>
      </c>
      <c r="E73" s="31">
        <v>182</v>
      </c>
      <c r="F73" s="31">
        <v>49</v>
      </c>
      <c r="G73" s="31">
        <v>53</v>
      </c>
      <c r="H73" s="42">
        <f>G73*(1+H76)</f>
        <v>53</v>
      </c>
      <c r="I73" s="39" t="s">
        <v>81</v>
      </c>
    </row>
    <row r="74">
      <c r="A74" s="7"/>
      <c r="B74" s="44" t="s">
        <v>66</v>
      </c>
      <c r="C74" s="41">
        <f>IF(ISNUMBER(Inputs!C188),IF(AND(Inputs!C188&gt;0,C73&gt;=0),C73/Inputs!C188-1,"n.m."),"n.a.")</f>
        <v>0.11627906976744184</v>
      </c>
      <c r="D74" s="41">
        <f>IF(ISNUMBER(Inputs!D188),IF(AND(Inputs!D188&gt;0,D73&gt;=0),D73/Inputs!D188-1,"n.m."),"n.a.")</f>
        <v>0.29729729729729737</v>
      </c>
      <c r="E74" s="41">
        <f>IF(ISNUMBER(Inputs!E188),IF(AND(Inputs!E188&gt;0,E73&gt;=0),E73/Inputs!E188-1,"n.m."),"n.a.")</f>
        <v>0.15923566878980888</v>
      </c>
      <c r="F74" s="41">
        <f>IF(ISNUMBER(Inputs!F188),IF(AND(Inputs!F188&gt;0,F73&gt;=0),F73/Inputs!F188-1,"n.m."),"n.a.")</f>
        <v>0.13953488372093026</v>
      </c>
      <c r="G74" s="41">
        <f>IF(ISNUMBER(Inputs!G188),IF(AND(Inputs!G188&gt;0,G73&gt;=0),G73/Inputs!G188-1,"n.m."),"n.a.")</f>
        <v>0.2325581395348837</v>
      </c>
      <c r="H74" s="40">
        <f>IF(ISNUMBER(C73),IF(AND(C73&gt;0,H73&gt;=0),H73/C73-1,"n.m."),"n.a.")</f>
        <v>0.10416666666666674</v>
      </c>
      <c r="I74" s="7"/>
    </row>
    <row r="75">
      <c r="A75" s="7"/>
      <c r="B75" s="48" t="s">
        <v>78</v>
      </c>
      <c r="C75" s="29">
        <f>IF(ISNUMBER(Inputs!G188),C73-Inputs!G188,"n.a.")</f>
        <v>5</v>
      </c>
      <c r="D75" s="12">
        <f>IF(ISNUMBER(C73),D73-C73,"n.a.")</f>
        <v>0</v>
      </c>
      <c r="E75" s="12"/>
      <c r="F75" s="12">
        <f>IF(ISNUMBER(D73),F73-D73,"n.a.")</f>
        <v>1</v>
      </c>
      <c r="G75" s="12">
        <f>IF(ISNUMBER(F73),G73-F73,"n.a.")</f>
        <v>4</v>
      </c>
      <c r="H75" s="42">
        <f>IF(ISNUMBER(G73),H73-G73,"n.a.")</f>
        <v>0</v>
      </c>
      <c r="I75" s="7"/>
    </row>
    <row r="76">
      <c r="A76" s="7"/>
      <c r="B76" s="44" t="s">
        <v>67</v>
      </c>
      <c r="C76" s="41">
        <f>IF(ISNUMBER(Inputs!G188),IF(AND(Inputs!G188&gt;0,C73&gt;=0),C73/Inputs!G188-1,"n.m."),"n.a.")</f>
        <v>0.11627906976744184</v>
      </c>
      <c r="D76" s="24">
        <f>IF(ISNUMBER(C73),IF(AND(C73&gt;0,D73&gt;=0),D73/C73-1,"n.m."),"n.a.")</f>
        <v>0</v>
      </c>
      <c r="E76" s="24"/>
      <c r="F76" s="24">
        <f>IF(ISNUMBER(D73),IF(AND(D73&gt;0,F73&gt;=0),F73/D73-1,"n.m."),"n.a.")</f>
        <v>0.02083333333333326</v>
      </c>
      <c r="G76" s="24">
        <f>IF(ISNUMBER(F73),IF(AND(F73&gt;0,G73&gt;=0),G73/F73-1,"n.m."),"n.a.")</f>
        <v>0.08163265306122458</v>
      </c>
      <c r="H76" s="58">
        <v>0</v>
      </c>
      <c r="I76" s="7"/>
    </row>
    <row r="77">
      <c r="A77" s="7"/>
      <c r="B77" s="44" t="s">
        <v>70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8">
        <v>0</v>
      </c>
      <c r="I77" s="7"/>
    </row>
    <row r="78">
      <c r="A78" s="7"/>
      <c r="B78" s="44" t="s">
        <v>71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8">
        <v>0</v>
      </c>
      <c r="I78" s="7"/>
    </row>
    <row r="79">
      <c r="A79" s="7"/>
      <c r="B79" s="44" t="s">
        <v>72</v>
      </c>
      <c r="C79" s="24">
        <f>IF(AND(ISNUMBER(C74),ISNUMBER(C77),ISNUMBER(C78)),(1+C74)/((1+C77)*(1+C78))-1,"unavailable")</f>
        <v>0.11627906976744184</v>
      </c>
      <c r="D79" s="24">
        <f>IF(AND(ISNUMBER(D74),ISNUMBER(D77),ISNUMBER(D78)),(1+D74)/((1+D77)*(1+D78))-1,"unavailable")</f>
        <v>0.29729729729729737</v>
      </c>
      <c r="E79" s="24">
        <f>IF(AND(ISNUMBER(E74),ISNUMBER(E77),ISNUMBER(E78)),(1+E74)/((1+E77)*(1+E78))-1,"unavailable")</f>
        <v>0.15923566878980888</v>
      </c>
      <c r="F79" s="24">
        <f>IF(AND(ISNUMBER(F74),ISNUMBER(F77),ISNUMBER(F78)),(1+F74)/((1+F77)*(1+F78))-1,"unavailable")</f>
        <v>0.13953488372093026</v>
      </c>
      <c r="G79" s="24">
        <f>IF(AND(ISNUMBER(G74),ISNUMBER(G77),ISNUMBER(G78)),(1+G74)/((1+G77)*(1+G78))-1,"unavailable")</f>
        <v>0.2325581395348837</v>
      </c>
      <c r="H79" s="40">
        <f>IF(AND(ISNUMBER(H74),ISNUMBER(H77),ISNUMBER(H78)),(1+H74)/((1+H77)*(1+H78))-1,"unavailable")</f>
        <v>0.10416666666666674</v>
      </c>
      <c r="I79" s="7"/>
    </row>
    <row r="80">
      <c r="A80" s="7"/>
      <c r="B80" s="1" t="s">
        <v>195</v>
      </c>
      <c r="C80" s="31">
        <v>2</v>
      </c>
      <c r="D80" s="29">
        <f>E80-Inputs!I189</f>
        <v>0</v>
      </c>
      <c r="E80" s="31">
        <v>3</v>
      </c>
      <c r="F80" s="31">
        <v>1</v>
      </c>
      <c r="G80" s="31">
        <v>2</v>
      </c>
      <c r="H80" s="42">
        <f>G80*(1+H83)</f>
        <v>2</v>
      </c>
      <c r="I80" s="39" t="s">
        <v>81</v>
      </c>
    </row>
    <row r="81" ht="28.5">
      <c r="A81" s="7"/>
      <c r="B81" s="44" t="s">
        <v>66</v>
      </c>
      <c r="C81" s="41">
        <f>IF(ISNUMBER(Inputs!C189),IF(AND(Inputs!C189&gt;0,C80&gt;=0),C80/Inputs!C189-1,"n.m."),"n.a.")</f>
        <v>0</v>
      </c>
      <c r="D81" s="41">
        <f>IF(ISNUMBER(Inputs!D189),IF(AND(Inputs!D189&gt;0,D80&gt;=0),D80/Inputs!D189-1,"n.m."),"n.a.")</f>
        <v>-1</v>
      </c>
      <c r="E81" s="41">
        <f>IF(ISNUMBER(Inputs!E189),IF(AND(Inputs!E189&gt;0,E80&gt;=0),E80/Inputs!E189-1,"n.m."),"n.a.")</f>
        <v>0.5</v>
      </c>
      <c r="F81" s="41" t="str">
        <f>IF(ISNUMBER(Inputs!F189),IF(AND(Inputs!F189&gt;0,F80&gt;=0),F80/Inputs!F189-1,"n.m."),"n.a.")</f>
        <v>n.m.</v>
      </c>
      <c r="G81" s="41">
        <f>IF(ISNUMBER(Inputs!G189),IF(AND(Inputs!G189&gt;0,G80&gt;=0),G80/Inputs!G189-1,"n.m."),"n.a.")</f>
        <v>1</v>
      </c>
      <c r="H81" s="40">
        <f>IF(ISNUMBER(C80),IF(AND(C80&gt;0,H80&gt;=0),H80/C80-1,"n.m."),"n.a.")</f>
        <v>0</v>
      </c>
      <c r="I81" s="142" t="s">
        <v>249</v>
      </c>
    </row>
    <row r="82">
      <c r="A82" s="7"/>
      <c r="B82" s="48" t="s">
        <v>78</v>
      </c>
      <c r="C82" s="29">
        <f>IF(ISNUMBER(Inputs!G189),C80-Inputs!G189,"n.a.")</f>
        <v>1</v>
      </c>
      <c r="D82" s="12">
        <f>IF(ISNUMBER(C80),D80-C80,"n.a.")</f>
        <v>-2</v>
      </c>
      <c r="E82" s="12"/>
      <c r="F82" s="12">
        <f>IF(ISNUMBER(D80),F80-D80,"n.a.")</f>
        <v>1</v>
      </c>
      <c r="G82" s="12">
        <f>IF(ISNUMBER(F80),G80-F80,"n.a.")</f>
        <v>1</v>
      </c>
      <c r="H82" s="42">
        <f>IF(ISNUMBER(G80),H80-G80,"n.a.")</f>
        <v>0</v>
      </c>
      <c r="I82" s="7"/>
    </row>
    <row r="83" ht="28.5">
      <c r="A83" s="7"/>
      <c r="B83" s="44" t="s">
        <v>67</v>
      </c>
      <c r="C83" s="41">
        <f>IF(ISNUMBER(Inputs!G189),IF(AND(Inputs!G189&gt;0,C80&gt;=0),C80/Inputs!G189-1,"n.m."),"n.a.")</f>
        <v>1</v>
      </c>
      <c r="D83" s="24">
        <f>IF(ISNUMBER(C80),IF(AND(C80&gt;0,D80&gt;=0),D80/C80-1,"n.m."),"n.a.")</f>
        <v>-1</v>
      </c>
      <c r="E83" s="24"/>
      <c r="F83" s="24" t="str">
        <f>IF(ISNUMBER(D80),IF(AND(D80&gt;0,F80&gt;=0),F80/D80-1,"n.m."),"n.a.")</f>
        <v>n.m.</v>
      </c>
      <c r="G83" s="24">
        <f>IF(ISNUMBER(F80),IF(AND(F80&gt;0,G80&gt;=0),G80/F80-1,"n.m."),"n.a.")</f>
        <v>1</v>
      </c>
      <c r="H83" s="58">
        <v>0</v>
      </c>
      <c r="I83" s="142" t="s">
        <v>250</v>
      </c>
    </row>
    <row r="84">
      <c r="A84" s="7"/>
      <c r="B84" s="44" t="s">
        <v>70</v>
      </c>
      <c r="C84" s="52">
        <v>0</v>
      </c>
      <c r="D84" s="52">
        <v>0</v>
      </c>
      <c r="E84" s="52">
        <v>0</v>
      </c>
      <c r="F84" s="52">
        <v>0</v>
      </c>
      <c r="G84" s="52">
        <v>0</v>
      </c>
      <c r="H84" s="58">
        <v>0</v>
      </c>
      <c r="I84" s="7"/>
    </row>
    <row r="85">
      <c r="A85" s="7"/>
      <c r="B85" s="44" t="s">
        <v>71</v>
      </c>
      <c r="C85" s="52">
        <v>0</v>
      </c>
      <c r="D85" s="52">
        <v>0</v>
      </c>
      <c r="E85" s="52">
        <v>0</v>
      </c>
      <c r="F85" s="52">
        <v>0</v>
      </c>
      <c r="G85" s="52">
        <v>0</v>
      </c>
      <c r="H85" s="58">
        <v>0</v>
      </c>
      <c r="I85" s="7"/>
    </row>
    <row r="86">
      <c r="A86" s="7"/>
      <c r="B86" s="44" t="s">
        <v>72</v>
      </c>
      <c r="C86" s="24">
        <f>IF(AND(ISNUMBER(C81),ISNUMBER(C84),ISNUMBER(C85)),(1+C81)/((1+C84)*(1+C85))-1,"unavailable")</f>
        <v>0</v>
      </c>
      <c r="D86" s="24">
        <f>IF(AND(ISNUMBER(D81),ISNUMBER(D84),ISNUMBER(D85)),(1+D81)/((1+D84)*(1+D85))-1,"unavailable")</f>
        <v>-1</v>
      </c>
      <c r="E86" s="24">
        <f>IF(AND(ISNUMBER(E81),ISNUMBER(E84),ISNUMBER(E85)),(1+E81)/((1+E84)*(1+E85))-1,"unavailable")</f>
        <v>0.5</v>
      </c>
      <c r="F86" s="24" t="str">
        <f>IF(AND(ISNUMBER(F81),ISNUMBER(F84),ISNUMBER(F85)),(1+F81)/((1+F84)*(1+F85))-1,"unavailable")</f>
        <v>unavailable</v>
      </c>
      <c r="G86" s="24">
        <f>IF(AND(ISNUMBER(G81),ISNUMBER(G84),ISNUMBER(G85)),(1+G81)/((1+G84)*(1+G85))-1,"unavailable")</f>
        <v>1</v>
      </c>
      <c r="H86" s="40">
        <f>IF(AND(ISNUMBER(H81),ISNUMBER(H84),ISNUMBER(H85)),(1+H81)/((1+H84)*(1+H85))-1,"unavailable")</f>
        <v>0</v>
      </c>
      <c r="I86" s="114" t="s">
        <v>251</v>
      </c>
    </row>
    <row r="87">
      <c r="A87" s="7"/>
      <c r="B87" s="34" t="s">
        <v>196</v>
      </c>
      <c r="C87" s="35">
        <f>C43+C52+C59+C66+C73+C80</f>
        <v>141</v>
      </c>
      <c r="D87" s="35">
        <f>D43+D52+D59+D66+D73+D80</f>
        <v>145</v>
      </c>
      <c r="E87" s="35">
        <f>E43+E52+E59+E66+E73+E80</f>
        <v>552</v>
      </c>
      <c r="F87" s="35">
        <f>F43+F52+F59+F66+F73+F80</f>
        <v>143</v>
      </c>
      <c r="G87" s="35">
        <f>G43+G52+G59+G66+G73+G80</f>
        <v>153</v>
      </c>
      <c r="H87" s="50">
        <f>H43+H52+H59+H66+H73+H80</f>
        <v>153.96394837451197</v>
      </c>
      <c r="I87" s="7"/>
    </row>
    <row r="88">
      <c r="A88" s="7"/>
      <c r="B88" s="44" t="s">
        <v>66</v>
      </c>
      <c r="C88" s="41">
        <f>IF(ISNUMBER(Inputs!C190),IF(AND(Inputs!C190&gt;0,C87&gt;=0),C87/Inputs!C190-1,"n.m."),"n.a.")</f>
        <v>0.08461538461538454</v>
      </c>
      <c r="D88" s="41">
        <f>IF(ISNUMBER(Inputs!D190),IF(AND(Inputs!D190&gt;0,D87&gt;=0),D87/Inputs!D190-1,"n.m."),"n.a.")</f>
        <v>0.1328125</v>
      </c>
      <c r="E88" s="41">
        <f>IF(ISNUMBER(Inputs!E190),IF(AND(Inputs!E190&gt;0,E87&gt;=0),E87/Inputs!E190-1,"n.m."),"n.a.")</f>
        <v>0.09960159362549792</v>
      </c>
      <c r="F88" s="41">
        <f>IF(ISNUMBER(Inputs!F190),IF(AND(Inputs!F190&gt;0,F87&gt;=0),F87/Inputs!F190-1,"n.m."),"n.a.")</f>
        <v>0.09160305343511443</v>
      </c>
      <c r="G88" s="41">
        <f>IF(ISNUMBER(Inputs!G190),IF(AND(Inputs!G190&gt;0,G87&gt;=0),G87/Inputs!G190-1,"n.m."),"n.a.")</f>
        <v>0.1333333333333333</v>
      </c>
      <c r="H88" s="40">
        <f>IF(ISNUMBER(C87),IF(AND(C87&gt;0,H87&gt;=0),H87/C87-1,"n.m."),"n.a.")</f>
        <v>0.09194289627313457</v>
      </c>
      <c r="I88" s="7"/>
    </row>
    <row r="89">
      <c r="A89" s="7"/>
      <c r="B89" s="48" t="s">
        <v>78</v>
      </c>
      <c r="C89" s="29">
        <f>IF(ISNUMBER(Inputs!G190),C87-Inputs!G190,"n.a.")</f>
        <v>6</v>
      </c>
      <c r="D89" s="12">
        <f>IF(ISNUMBER(C87),D87-C87,"n.a.")</f>
        <v>4</v>
      </c>
      <c r="E89" s="12"/>
      <c r="F89" s="12">
        <f>IF(ISNUMBER(D87),F87-D87,"n.a.")</f>
        <v>-2</v>
      </c>
      <c r="G89" s="12">
        <f>IF(ISNUMBER(F87),G87-F87,"n.a.")</f>
        <v>10</v>
      </c>
      <c r="H89" s="42">
        <f>IF(ISNUMBER(G87),H87-G87,"n.a.")</f>
        <v>0.9639483745119719</v>
      </c>
      <c r="I89" s="7"/>
    </row>
    <row r="90">
      <c r="A90" s="7"/>
      <c r="B90" s="44" t="s">
        <v>70</v>
      </c>
      <c r="C90" s="52">
        <v>0</v>
      </c>
      <c r="D90" s="52">
        <v>0</v>
      </c>
      <c r="E90" s="52">
        <v>0</v>
      </c>
      <c r="F90" s="52">
        <v>0</v>
      </c>
      <c r="G90" s="52">
        <v>0</v>
      </c>
      <c r="H90" s="58">
        <v>0</v>
      </c>
      <c r="I90" s="7"/>
    </row>
    <row r="91">
      <c r="A91" s="7"/>
      <c r="B91" s="44" t="s">
        <v>71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8">
        <v>0</v>
      </c>
      <c r="I91" s="7"/>
    </row>
    <row r="92">
      <c r="A92" s="7"/>
      <c r="B92" s="44" t="s">
        <v>72</v>
      </c>
      <c r="C92" s="24">
        <f>IF(AND(ISNUMBER(C88),ISNUMBER(C90),ISNUMBER(C91)),(1+C88)/((1+C90)*(1+C91))-1,"unavailable")</f>
        <v>0.08461538461538454</v>
      </c>
      <c r="D92" s="24">
        <f>IF(AND(ISNUMBER(D88),ISNUMBER(D90),ISNUMBER(D91)),(1+D88)/((1+D90)*(1+D91))-1,"unavailable")</f>
        <v>0.1328125</v>
      </c>
      <c r="E92" s="24">
        <f>IF(AND(ISNUMBER(E88),ISNUMBER(E90),ISNUMBER(E91)),(1+E88)/((1+E90)*(1+E91))-1,"unavailable")</f>
        <v>0.09960159362549792</v>
      </c>
      <c r="F92" s="24">
        <f>IF(AND(ISNUMBER(F88),ISNUMBER(F90),ISNUMBER(F91)),(1+F88)/((1+F90)*(1+F91))-1,"unavailable")</f>
        <v>0.09160305343511443</v>
      </c>
      <c r="G92" s="24">
        <f>IF(AND(ISNUMBER(G88),ISNUMBER(G90),ISNUMBER(G91)),(1+G88)/((1+G90)*(1+G91))-1,"unavailable")</f>
        <v>0.1333333333333333</v>
      </c>
      <c r="H92" s="40">
        <f>IF(AND(ISNUMBER(H88),ISNUMBER(H90),ISNUMBER(H91)),(1+H88)/((1+H90)*(1+H91))-1,"unavailable")</f>
        <v>0.09194289627313457</v>
      </c>
      <c r="I92" s="7"/>
    </row>
    <row r="93">
      <c r="A93" s="7"/>
      <c r="B93" s="34" t="s">
        <v>197</v>
      </c>
      <c r="C93" s="35">
        <f>C35+C87</f>
        <v>185</v>
      </c>
      <c r="D93" s="35">
        <f>D35+D87</f>
        <v>192</v>
      </c>
      <c r="E93" s="35">
        <f>E35+E87</f>
        <v>729</v>
      </c>
      <c r="F93" s="35">
        <f>F35+F87</f>
        <v>188</v>
      </c>
      <c r="G93" s="35">
        <f>G35+G87</f>
        <v>199</v>
      </c>
      <c r="H93" s="50">
        <f>H35+H87</f>
        <v>200.9344978250614</v>
      </c>
      <c r="I93" s="7"/>
    </row>
    <row r="94">
      <c r="A94" s="7"/>
      <c r="B94" s="44" t="s">
        <v>66</v>
      </c>
      <c r="C94" s="41">
        <f>IF(ISNUMBER(Inputs!C191),IF(AND(Inputs!C191&gt;0,C93&gt;=0),C93/Inputs!C191-1,"n.m."),"n.a.")</f>
        <v>0.08187134502923987</v>
      </c>
      <c r="D94" s="41">
        <f>IF(ISNUMBER(Inputs!D191),IF(AND(Inputs!D191&gt;0,D93&gt;=0),D93/Inputs!D191-1,"n.m."),"n.a.")</f>
        <v>0.13609467455621305</v>
      </c>
      <c r="E94" s="41">
        <f>IF(ISNUMBER(Inputs!E191),IF(AND(Inputs!E191&gt;0,E93&gt;=0),E93/Inputs!E191-1,"n.m."),"n.a.")</f>
        <v>0.09624060150375935</v>
      </c>
      <c r="F94" s="41">
        <f>IF(ISNUMBER(Inputs!F191),IF(AND(Inputs!F191&gt;0,F93&gt;=0),F93/Inputs!F191-1,"n.m."),"n.a.")</f>
        <v>0.08045977011494254</v>
      </c>
      <c r="G94" s="41">
        <f>IF(ISNUMBER(Inputs!G191),IF(AND(Inputs!G191&gt;0,G93&gt;=0),G93/Inputs!G191-1,"n.m."),"n.a.")</f>
        <v>0.1179775280898876</v>
      </c>
      <c r="H94" s="40">
        <f>IF(ISNUMBER(C93),IF(AND(C93&gt;0,H93&gt;=0),H93/C93-1,"n.m."),"n.a.")</f>
        <v>0.08613242067600768</v>
      </c>
      <c r="I94" s="7"/>
    </row>
    <row r="95">
      <c r="A95" s="7"/>
      <c r="B95" s="48" t="s">
        <v>78</v>
      </c>
      <c r="C95" s="29">
        <f>IF(ISNUMBER(Inputs!G191),C93-Inputs!G191,"n.a.")</f>
        <v>7</v>
      </c>
      <c r="D95" s="12">
        <f>IF(ISNUMBER(C93),D93-C93,"n.a.")</f>
        <v>7</v>
      </c>
      <c r="E95" s="12"/>
      <c r="F95" s="12">
        <f>IF(ISNUMBER(D93),F93-D93,"n.a.")</f>
        <v>-4</v>
      </c>
      <c r="G95" s="12">
        <f>IF(ISNUMBER(F93),G93-F93,"n.a.")</f>
        <v>11</v>
      </c>
      <c r="H95" s="42">
        <f>IF(ISNUMBER(G93),H93-G93,"n.a.")</f>
        <v>1.9344978250614133</v>
      </c>
      <c r="I95" s="7"/>
    </row>
    <row r="96">
      <c r="A96" s="7"/>
      <c r="B96" s="44" t="s">
        <v>67</v>
      </c>
      <c r="C96" s="41">
        <f>IF(ISNUMBER(Inputs!G191),IF(AND(Inputs!G191&gt;0,C93&gt;=0),C93/Inputs!G191-1,"n.m."),"n.a.")</f>
        <v>0.0393258426966292</v>
      </c>
      <c r="D96" s="24">
        <f>IF(ISNUMBER(C93),IF(AND(C93&gt;0,D93&gt;=0),D93/C93-1,"n.m."),"n.a.")</f>
        <v>0.037837837837837895</v>
      </c>
      <c r="E96" s="24"/>
      <c r="F96" s="24">
        <f>IF(ISNUMBER(D93),IF(AND(D93&gt;0,F93&gt;=0),F93/D93-1,"n.m."),"n.a.")</f>
        <v>-0.02083333333333337</v>
      </c>
      <c r="G96" s="24">
        <f>IF(ISNUMBER(F93),IF(AND(F93&gt;0,G93&gt;=0),G93/F93-1,"n.m."),"n.a.")</f>
        <v>0.0585106382978724</v>
      </c>
      <c r="H96" s="40">
        <f>IF(ISNUMBER(G93),IF(AND(G93&gt;0,H93&gt;=0),H93/G93-1,"n.m."),"n.a.")</f>
        <v>0.009721094598298619</v>
      </c>
      <c r="I96" s="7"/>
    </row>
    <row r="97">
      <c r="A97" s="7"/>
      <c r="B97" s="44" t="s">
        <v>198</v>
      </c>
      <c r="C97" s="41">
        <f>C93/'Income Statement'!C169</f>
        <v>0.0965553235908142</v>
      </c>
      <c r="D97" s="41">
        <f>D93/'Income Statement'!D169</f>
        <v>0.09994794377928162</v>
      </c>
      <c r="E97" s="41">
        <f>E93/'Income Statement'!E169</f>
        <v>0.09686420409247941</v>
      </c>
      <c r="F97" s="41">
        <f>F93/'Income Statement'!F169</f>
        <v>0.1003737319807795</v>
      </c>
      <c r="G97" s="41">
        <f>G93/'Income Statement'!G169</f>
        <v>0.10435238594651285</v>
      </c>
      <c r="H97" s="59">
        <f>H93/'Income Statement'!H169</f>
        <v>0.10217188388997488</v>
      </c>
      <c r="I97" s="7"/>
    </row>
    <row r="98">
      <c r="A98" s="7"/>
      <c r="B98" s="69" t="s">
        <v>69</v>
      </c>
      <c r="C98" s="38" t="str">
        <f>"n.a."</f>
        <v>n.a.</v>
      </c>
      <c r="D98" s="38">
        <f>IF(AND(ISNUMBER(D97),ISNUMBER(C97)),(D97-C97)*10000,"n.a.")</f>
        <v>33.926201884674214</v>
      </c>
      <c r="E98" s="38"/>
      <c r="F98" s="38">
        <f>IF(AND(ISNUMBER(F97),ISNUMBER(D97)),(F97-D97)*10000,"n.a.")</f>
        <v>4.257882014978703</v>
      </c>
      <c r="G98" s="38">
        <f>IF(AND(ISNUMBER(G97),ISNUMBER(F97)),(G97-F97)*10000,"n.a.")</f>
        <v>39.78653965733353</v>
      </c>
      <c r="H98" s="67">
        <f>IF(AND(ISNUMBER(H97),ISNUMBER(G97)),(H97-G97)*10000,"n.a.")</f>
        <v>-21.805020565379696</v>
      </c>
      <c r="I98" s="7"/>
    </row>
    <row r="99">
      <c r="A99" s="7"/>
      <c r="B99" s="44" t="s">
        <v>70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8">
        <v>0</v>
      </c>
      <c r="I99" s="7"/>
    </row>
    <row r="100">
      <c r="A100" s="7"/>
      <c r="B100" s="44" t="s">
        <v>71</v>
      </c>
      <c r="C100" s="52">
        <v>0</v>
      </c>
      <c r="D100" s="52">
        <v>0</v>
      </c>
      <c r="E100" s="52">
        <v>0</v>
      </c>
      <c r="F100" s="52">
        <v>0</v>
      </c>
      <c r="G100" s="52">
        <v>0</v>
      </c>
      <c r="H100" s="58">
        <v>0</v>
      </c>
      <c r="I100" s="7"/>
    </row>
    <row r="101">
      <c r="A101" s="7"/>
      <c r="B101" s="44" t="s">
        <v>72</v>
      </c>
      <c r="C101" s="24">
        <f>IF(AND(ISNUMBER(C94),ISNUMBER(C99),ISNUMBER(C100)),(1+C94)/((1+C99)*(1+C100))-1,"unavailable")</f>
        <v>0.08187134502923987</v>
      </c>
      <c r="D101" s="24">
        <f>IF(AND(ISNUMBER(D94),ISNUMBER(D99),ISNUMBER(D100)),(1+D94)/((1+D99)*(1+D100))-1,"unavailable")</f>
        <v>0.13609467455621305</v>
      </c>
      <c r="E101" s="24">
        <f>IF(AND(ISNUMBER(E94),ISNUMBER(E99),ISNUMBER(E100)),(1+E94)/((1+E99)*(1+E100))-1,"unavailable")</f>
        <v>0.09624060150375935</v>
      </c>
      <c r="F101" s="24">
        <f>IF(AND(ISNUMBER(F94),ISNUMBER(F99),ISNUMBER(F100)),(1+F94)/((1+F99)*(1+F100))-1,"unavailable")</f>
        <v>0.08045977011494254</v>
      </c>
      <c r="G101" s="24">
        <f>IF(AND(ISNUMBER(G94),ISNUMBER(G99),ISNUMBER(G100)),(1+G94)/((1+G99)*(1+G100))-1,"unavailable")</f>
        <v>0.1179775280898876</v>
      </c>
      <c r="H101" s="40">
        <f>IF(AND(ISNUMBER(H94),ISNUMBER(H99),ISNUMBER(H100)),(1+H94)/((1+H99)*(1+H100))-1,"unavailable")</f>
        <v>0.08613242067600768</v>
      </c>
      <c r="I101" s="7"/>
    </row>
    <row r="102">
      <c r="A102" s="7"/>
      <c r="B102" s="7"/>
      <c r="C102" s="7"/>
      <c r="D102" s="7"/>
      <c r="E102" s="7"/>
      <c r="F102" s="7"/>
      <c r="G102" s="7"/>
      <c r="H102" s="49"/>
      <c r="I102" s="7"/>
    </row>
    <row r="103">
      <c r="A103" s="7"/>
      <c r="B103" s="34" t="s">
        <v>252</v>
      </c>
      <c r="C103" s="9"/>
      <c r="D103" s="9"/>
      <c r="E103" s="9"/>
      <c r="F103" s="9"/>
      <c r="G103" s="9"/>
      <c r="H103" s="43"/>
      <c r="I103" s="7"/>
    </row>
    <row r="104">
      <c r="A104" s="7"/>
      <c r="B104" s="1" t="s">
        <v>200</v>
      </c>
      <c r="C104" s="31">
        <v>70</v>
      </c>
      <c r="D104" s="29">
        <f>E104-Inputs!I192</f>
        <v>75</v>
      </c>
      <c r="E104" s="31">
        <v>281</v>
      </c>
      <c r="F104" s="31">
        <v>76</v>
      </c>
      <c r="G104" s="31">
        <v>76</v>
      </c>
      <c r="H104" s="42">
        <f>G104*(1+H107)</f>
        <v>76.38</v>
      </c>
      <c r="I104" s="39" t="s">
        <v>81</v>
      </c>
    </row>
    <row r="105">
      <c r="A105" s="7"/>
      <c r="B105" s="44" t="s">
        <v>66</v>
      </c>
      <c r="C105" s="41">
        <f>IF(ISNUMBER(Inputs!C192),IF(AND(Inputs!C192&gt;0,C104&gt;=0),C104/Inputs!C192-1,"n.m."),"n.a.")</f>
        <v>0.06060606060606055</v>
      </c>
      <c r="D105" s="41">
        <f>IF(ISNUMBER(Inputs!D192),IF(AND(Inputs!D192&gt;0,D104&gt;=0),D104/Inputs!D192-1,"n.m."),"n.a.")</f>
        <v>0.13636363636363646</v>
      </c>
      <c r="E105" s="41">
        <f>IF(ISNUMBER(Inputs!E192),IF(AND(Inputs!E192&gt;0,E104&gt;=0),E104/Inputs!E192-1,"n.m."),"n.a.")</f>
        <v>0.0807692307692307</v>
      </c>
      <c r="F105" s="41">
        <f>IF(ISNUMBER(Inputs!F192),IF(AND(Inputs!F192&gt;0,F104&gt;=0),F104/Inputs!F192-1,"n.m."),"n.a.")</f>
        <v>0.08571428571428563</v>
      </c>
      <c r="G105" s="41">
        <f>IF(ISNUMBER(Inputs!G192),IF(AND(Inputs!G192&gt;0,G104&gt;=0),G104/Inputs!G192-1,"n.m."),"n.a.")</f>
        <v>0.13432835820895517</v>
      </c>
      <c r="H105" s="40">
        <f>IF(ISNUMBER(C104),IF(AND(C104&gt;0,H104&gt;=0),H104/C104-1,"n.m."),"n.a.")</f>
        <v>0.09114285714285697</v>
      </c>
      <c r="I105" s="7"/>
    </row>
    <row r="106">
      <c r="A106" s="7"/>
      <c r="B106" s="48" t="s">
        <v>78</v>
      </c>
      <c r="C106" s="29">
        <f>IF(ISNUMBER(Inputs!G192),C104-Inputs!G192,"n.a.")</f>
        <v>3</v>
      </c>
      <c r="D106" s="12">
        <f>IF(ISNUMBER(C104),D104-C104,"n.a.")</f>
        <v>5</v>
      </c>
      <c r="E106" s="12"/>
      <c r="F106" s="12">
        <f>IF(ISNUMBER(D104),F104-D104,"n.a.")</f>
        <v>1</v>
      </c>
      <c r="G106" s="12">
        <f>IF(ISNUMBER(F104),G104-F104,"n.a.")</f>
        <v>0</v>
      </c>
      <c r="H106" s="42">
        <f>IF(ISNUMBER(G104),H104-G104,"n.a.")</f>
        <v>0.37999999999999545</v>
      </c>
      <c r="I106" s="7"/>
    </row>
    <row r="107">
      <c r="A107" s="7"/>
      <c r="B107" s="44" t="s">
        <v>67</v>
      </c>
      <c r="C107" s="41">
        <f>IF(ISNUMBER(Inputs!G192),IF(AND(Inputs!G192&gt;0,C104&gt;=0),C104/Inputs!G192-1,"n.m."),"n.a.")</f>
        <v>0.04477611940298498</v>
      </c>
      <c r="D107" s="24">
        <f>IF(ISNUMBER(C104),IF(AND(C104&gt;0,D104&gt;=0),D104/C104-1,"n.m."),"n.a.")</f>
        <v>0.0714285714285714</v>
      </c>
      <c r="E107" s="24"/>
      <c r="F107" s="24">
        <f>IF(ISNUMBER(D104),IF(AND(D104&gt;0,F104&gt;=0),F104/D104-1,"n.m."),"n.a.")</f>
        <v>0.01333333333333342</v>
      </c>
      <c r="G107" s="24">
        <f>IF(ISNUMBER(F104),IF(AND(F104&gt;0,G104&gt;=0),G104/F104-1,"n.m."),"n.a.")</f>
        <v>0</v>
      </c>
      <c r="H107" s="58">
        <v>0.005</v>
      </c>
      <c r="I107" s="7"/>
    </row>
    <row r="108">
      <c r="A108" s="7"/>
      <c r="B108" s="1" t="s">
        <v>201</v>
      </c>
      <c r="C108" s="31">
        <v>0</v>
      </c>
      <c r="D108" s="29">
        <f>E108-Inputs!I193</f>
        <v>0</v>
      </c>
      <c r="E108" s="31">
        <v>2</v>
      </c>
      <c r="F108" s="31">
        <v>1</v>
      </c>
      <c r="G108" s="31">
        <v>1</v>
      </c>
      <c r="H108" s="42">
        <f>G108*(1+H111)</f>
        <v>1</v>
      </c>
      <c r="I108" s="39" t="s">
        <v>81</v>
      </c>
    </row>
    <row r="109" ht="28.5">
      <c r="A109" s="7"/>
      <c r="B109" s="44" t="s">
        <v>66</v>
      </c>
      <c r="C109" s="41" t="str">
        <f>IF(ISNUMBER(Inputs!C193),IF(AND(Inputs!C193&gt;0,C108&gt;=0),C108/Inputs!C193-1,"n.m."),"n.a.")</f>
        <v>n.m.</v>
      </c>
      <c r="D109" s="41">
        <f>IF(ISNUMBER(Inputs!D193),IF(AND(Inputs!D193&gt;0,D108&gt;=0),D108/Inputs!D193-1,"n.m."),"n.a.")</f>
        <v>-1</v>
      </c>
      <c r="E109" s="41">
        <f>IF(ISNUMBER(Inputs!E193),IF(AND(Inputs!E193&gt;0,E108&gt;=0),E108/Inputs!E193-1,"n.m."),"n.a.")</f>
        <v>-0.33333333333333337</v>
      </c>
      <c r="F109" s="41" t="str">
        <f>IF(ISNUMBER(Inputs!F193),IF(AND(Inputs!F193&gt;0,F108&gt;=0),F108/Inputs!F193-1,"n.m."),"n.a.")</f>
        <v>n.m.</v>
      </c>
      <c r="G109" s="41">
        <f>IF(ISNUMBER(Inputs!G193),IF(AND(Inputs!G193&gt;0,G108&gt;=0),G108/Inputs!G193-1,"n.m."),"n.a.")</f>
        <v>0</v>
      </c>
      <c r="H109" s="40" t="str">
        <f>IF(ISNUMBER(C108),IF(AND(C108&gt;0,H108&gt;=0),H108/C108-1,"n.m."),"n.a.")</f>
        <v>n.m.</v>
      </c>
      <c r="I109" s="142" t="s">
        <v>253</v>
      </c>
    </row>
    <row r="110">
      <c r="A110" s="7"/>
      <c r="B110" s="48" t="s">
        <v>78</v>
      </c>
      <c r="C110" s="29">
        <f>IF(ISNUMBER(Inputs!G193),C108-Inputs!G193,"n.a.")</f>
        <v>-1</v>
      </c>
      <c r="D110" s="12">
        <f>IF(ISNUMBER(C108),D108-C108,"n.a.")</f>
        <v>0</v>
      </c>
      <c r="E110" s="12"/>
      <c r="F110" s="12">
        <f>IF(ISNUMBER(D108),F108-D108,"n.a.")</f>
        <v>1</v>
      </c>
      <c r="G110" s="12">
        <f>IF(ISNUMBER(F108),G108-F108,"n.a.")</f>
        <v>0</v>
      </c>
      <c r="H110" s="42">
        <f>IF(ISNUMBER(G108),H108-G108,"n.a.")</f>
        <v>0</v>
      </c>
      <c r="I110" s="7"/>
    </row>
    <row r="111" ht="15.75">
      <c r="A111" s="7"/>
      <c r="B111" s="44" t="s">
        <v>67</v>
      </c>
      <c r="C111" s="41">
        <f>IF(ISNUMBER(Inputs!G193),IF(AND(Inputs!G193&gt;0,C108&gt;=0),C108/Inputs!G193-1,"n.m."),"n.a.")</f>
        <v>-1</v>
      </c>
      <c r="D111" s="24" t="str">
        <f>IF(ISNUMBER(C108),IF(AND(C108&gt;0,D108&gt;=0),D108/C108-1,"n.m."),"n.a.")</f>
        <v>n.m.</v>
      </c>
      <c r="E111" s="24"/>
      <c r="F111" s="24" t="str">
        <f>IF(ISNUMBER(D108),IF(AND(D108&gt;0,F108&gt;=0),F108/D108-1,"n.m."),"n.a.")</f>
        <v>n.m.</v>
      </c>
      <c r="G111" s="24">
        <f>IF(ISNUMBER(F108),IF(AND(F108&gt;0,G108&gt;=0),G108/F108-1,"n.m."),"n.a.")</f>
        <v>0</v>
      </c>
      <c r="H111" s="58">
        <v>0</v>
      </c>
      <c r="I111" s="142" t="s">
        <v>254</v>
      </c>
    </row>
    <row r="112">
      <c r="A112" s="7"/>
      <c r="B112" s="1" t="s">
        <v>202</v>
      </c>
      <c r="C112" s="31">
        <v>3</v>
      </c>
      <c r="D112" s="29">
        <f>E112-Inputs!I194</f>
        <v>3</v>
      </c>
      <c r="E112" s="31">
        <v>12</v>
      </c>
      <c r="F112" s="31">
        <v>3</v>
      </c>
      <c r="G112" s="31">
        <v>3</v>
      </c>
      <c r="H112" s="42">
        <f>G112*(1+H115)</f>
        <v>3</v>
      </c>
      <c r="I112" s="39" t="s">
        <v>81</v>
      </c>
    </row>
    <row r="113">
      <c r="A113" s="7"/>
      <c r="B113" s="44" t="s">
        <v>66</v>
      </c>
      <c r="C113" s="41">
        <f>IF(ISNUMBER(Inputs!C194),IF(AND(Inputs!C194&gt;0,C112&gt;=0),C112/Inputs!C194-1,"n.m."),"n.a.")</f>
        <v>0</v>
      </c>
      <c r="D113" s="41">
        <f>IF(ISNUMBER(Inputs!D194),IF(AND(Inputs!D194&gt;0,D112&gt;=0),D112/Inputs!D194-1,"n.m."),"n.a.")</f>
        <v>0</v>
      </c>
      <c r="E113" s="41">
        <f>IF(ISNUMBER(Inputs!E194),IF(AND(Inputs!E194&gt;0,E112&gt;=0),E112/Inputs!E194-1,"n.m."),"n.a.")</f>
        <v>0</v>
      </c>
      <c r="F113" s="41">
        <f>IF(ISNUMBER(Inputs!F194),IF(AND(Inputs!F194&gt;0,F112&gt;=0),F112/Inputs!F194-1,"n.m."),"n.a.")</f>
        <v>0</v>
      </c>
      <c r="G113" s="41">
        <f>IF(ISNUMBER(Inputs!G194),IF(AND(Inputs!G194&gt;0,G112&gt;=0),G112/Inputs!G194-1,"n.m."),"n.a.")</f>
        <v>0</v>
      </c>
      <c r="H113" s="40">
        <f>IF(ISNUMBER(C112),IF(AND(C112&gt;0,H112&gt;=0),H112/C112-1,"n.m."),"n.a.")</f>
        <v>0</v>
      </c>
      <c r="I113" s="7"/>
    </row>
    <row r="114">
      <c r="A114" s="7"/>
      <c r="B114" s="48" t="s">
        <v>78</v>
      </c>
      <c r="C114" s="29">
        <f>IF(ISNUMBER(Inputs!G194),C112-Inputs!G194,"n.a.")</f>
        <v>0</v>
      </c>
      <c r="D114" s="12">
        <f>IF(ISNUMBER(C112),D112-C112,"n.a.")</f>
        <v>0</v>
      </c>
      <c r="E114" s="12"/>
      <c r="F114" s="12">
        <f>IF(ISNUMBER(D112),F112-D112,"n.a.")</f>
        <v>0</v>
      </c>
      <c r="G114" s="12">
        <f>IF(ISNUMBER(F112),G112-F112,"n.a.")</f>
        <v>0</v>
      </c>
      <c r="H114" s="42">
        <f>IF(ISNUMBER(G112),H112-G112,"n.a.")</f>
        <v>0</v>
      </c>
      <c r="I114" s="7"/>
    </row>
    <row r="115">
      <c r="A115" s="7"/>
      <c r="B115" s="44" t="s">
        <v>67</v>
      </c>
      <c r="C115" s="41">
        <f>IF(ISNUMBER(Inputs!G194),IF(AND(Inputs!G194&gt;0,C112&gt;=0),C112/Inputs!G194-1,"n.m."),"n.a.")</f>
        <v>0</v>
      </c>
      <c r="D115" s="24">
        <f>IF(ISNUMBER(C112),IF(AND(C112&gt;0,D112&gt;=0),D112/C112-1,"n.m."),"n.a.")</f>
        <v>0</v>
      </c>
      <c r="E115" s="24"/>
      <c r="F115" s="24">
        <f>IF(ISNUMBER(D112),IF(AND(D112&gt;0,F112&gt;=0),F112/D112-1,"n.m."),"n.a.")</f>
        <v>0</v>
      </c>
      <c r="G115" s="24">
        <f>IF(ISNUMBER(F112),IF(AND(F112&gt;0,G112&gt;=0),G112/F112-1,"n.m."),"n.a.")</f>
        <v>0</v>
      </c>
      <c r="H115" s="58">
        <v>0</v>
      </c>
      <c r="I115" s="7"/>
    </row>
    <row r="116">
      <c r="A116" s="7"/>
      <c r="B116" s="1" t="s">
        <v>203</v>
      </c>
      <c r="C116" s="31">
        <v>49</v>
      </c>
      <c r="D116" s="29">
        <f>E116-Inputs!I195</f>
        <v>45</v>
      </c>
      <c r="E116" s="31">
        <v>188</v>
      </c>
      <c r="F116" s="31">
        <v>50</v>
      </c>
      <c r="G116" s="31">
        <v>48</v>
      </c>
      <c r="H116" s="42">
        <f>G116*(1+H119)</f>
        <v>48</v>
      </c>
      <c r="I116" s="39" t="s">
        <v>81</v>
      </c>
    </row>
    <row r="117">
      <c r="A117" s="7"/>
      <c r="B117" s="44" t="s">
        <v>66</v>
      </c>
      <c r="C117" s="41">
        <f>IF(ISNUMBER(Inputs!C195),IF(AND(Inputs!C195&gt;0,C116&gt;=0),C116/Inputs!C195-1,"n.m."),"n.a.")</f>
        <v>0.0888888888888888</v>
      </c>
      <c r="D117" s="41">
        <f>IF(ISNUMBER(Inputs!D195),IF(AND(Inputs!D195&gt;0,D116&gt;=0),D116/Inputs!D195-1,"n.m."),"n.a.")</f>
        <v>-0.09999999999999998</v>
      </c>
      <c r="E117" s="41">
        <f>IF(ISNUMBER(Inputs!E195),IF(AND(Inputs!E195&gt;0,E116&gt;=0),E116/Inputs!E195-1,"n.m."),"n.a.")</f>
        <v>0.05617977528089879</v>
      </c>
      <c r="F117" s="41">
        <f>IF(ISNUMBER(Inputs!F195),IF(AND(Inputs!F195&gt;0,F116&gt;=0),F116/Inputs!F195-1,"n.m."),"n.a.")</f>
        <v>0.04166666666666674</v>
      </c>
      <c r="G117" s="41">
        <f>IF(ISNUMBER(Inputs!G195),IF(AND(Inputs!G195&gt;0,G116&gt;=0),G116/Inputs!G195-1,"n.m."),"n.a.")</f>
        <v>-0.05882352941176472</v>
      </c>
      <c r="H117" s="40">
        <f>IF(ISNUMBER(C116),IF(AND(C116&gt;0,H116&gt;=0),H116/C116-1,"n.m."),"n.a.")</f>
        <v>-0.020408163265306145</v>
      </c>
      <c r="I117" s="7"/>
    </row>
    <row r="118">
      <c r="A118" s="7"/>
      <c r="B118" s="48" t="s">
        <v>78</v>
      </c>
      <c r="C118" s="29">
        <f>IF(ISNUMBER(Inputs!G195),C116-Inputs!G195,"n.a.")</f>
        <v>-2</v>
      </c>
      <c r="D118" s="12">
        <f>IF(ISNUMBER(C116),D116-C116,"n.a.")</f>
        <v>-4</v>
      </c>
      <c r="E118" s="12"/>
      <c r="F118" s="12">
        <f>IF(ISNUMBER(D116),F116-D116,"n.a.")</f>
        <v>5</v>
      </c>
      <c r="G118" s="12">
        <f>IF(ISNUMBER(F116),G116-F116,"n.a.")</f>
        <v>-2</v>
      </c>
      <c r="H118" s="42">
        <f>IF(ISNUMBER(G116),H116-G116,"n.a.")</f>
        <v>0</v>
      </c>
      <c r="I118" s="7"/>
    </row>
    <row r="119">
      <c r="A119" s="7"/>
      <c r="B119" s="44" t="s">
        <v>67</v>
      </c>
      <c r="C119" s="41">
        <f>IF(ISNUMBER(Inputs!G195),IF(AND(Inputs!G195&gt;0,C116&gt;=0),C116/Inputs!G195-1,"n.m."),"n.a.")</f>
        <v>-0.039215686274509776</v>
      </c>
      <c r="D119" s="24">
        <f>IF(ISNUMBER(C116),IF(AND(C116&gt;0,D116&gt;=0),D116/C116-1,"n.m."),"n.a.")</f>
        <v>-0.08163265306122447</v>
      </c>
      <c r="E119" s="24"/>
      <c r="F119" s="24">
        <f>IF(ISNUMBER(D116),IF(AND(D116&gt;0,F116&gt;=0),F116/D116-1,"n.m."),"n.a.")</f>
        <v>0.11111111111111116</v>
      </c>
      <c r="G119" s="24">
        <f>IF(ISNUMBER(F116),IF(AND(F116&gt;0,G116&gt;=0),G116/F116-1,"n.m."),"n.a.")</f>
        <v>-0.040000000000000036</v>
      </c>
      <c r="H119" s="58">
        <v>0</v>
      </c>
      <c r="I119" s="7"/>
    </row>
    <row r="120">
      <c r="A120" s="7"/>
      <c r="B120" s="34" t="s">
        <v>204</v>
      </c>
      <c r="C120" s="35">
        <f>C104+C108+C112+C116</f>
        <v>122</v>
      </c>
      <c r="D120" s="35">
        <f>D104+D108+D112+D116</f>
        <v>123</v>
      </c>
      <c r="E120" s="35">
        <f>E104+E108+E112+E116</f>
        <v>483</v>
      </c>
      <c r="F120" s="35">
        <f>F104+F108+F112+F116</f>
        <v>130</v>
      </c>
      <c r="G120" s="35">
        <f>G104+G108+G112+G116</f>
        <v>128</v>
      </c>
      <c r="H120" s="50">
        <f>H104+H108+H112+H116</f>
        <v>128.38</v>
      </c>
      <c r="I120" s="7"/>
    </row>
    <row r="121">
      <c r="A121" s="7"/>
      <c r="B121" s="44" t="s">
        <v>66</v>
      </c>
      <c r="C121" s="41">
        <f>IF(ISNUMBER(Inputs!C196),IF(AND(Inputs!C196&gt;0,C120&gt;=0),C120/Inputs!C196-1,"n.m."),"n.a.")</f>
        <v>0.07017543859649122</v>
      </c>
      <c r="D121" s="41">
        <f>IF(ISNUMBER(Inputs!D196),IF(AND(Inputs!D196&gt;0,D120&gt;=0),D120/Inputs!D196-1,"n.m."),"n.a.")</f>
        <v>0.02499999999999991</v>
      </c>
      <c r="E121" s="41">
        <f>IF(ISNUMBER(Inputs!E196),IF(AND(Inputs!E196&gt;0,E120&gt;=0),E120/Inputs!E196-1,"n.m."),"n.a.")</f>
        <v>0.0662251655629138</v>
      </c>
      <c r="F121" s="41">
        <f>IF(ISNUMBER(Inputs!F196),IF(AND(Inputs!F196&gt;0,F120&gt;=0),F120/Inputs!F196-1,"n.m."),"n.a.")</f>
        <v>0.07438016528925617</v>
      </c>
      <c r="G121" s="41">
        <f>IF(ISNUMBER(Inputs!G196),IF(AND(Inputs!G196&gt;0,G120&gt;=0),G120/Inputs!G196-1,"n.m."),"n.a.")</f>
        <v>0.049180327868852514</v>
      </c>
      <c r="H121" s="40">
        <f>IF(ISNUMBER(C120),IF(AND(C120&gt;0,H120&gt;=0),H120/C120-1,"n.m."),"n.a.")</f>
        <v>0.052295081967213</v>
      </c>
      <c r="I121" s="7"/>
    </row>
    <row r="122">
      <c r="A122" s="7"/>
      <c r="B122" s="48" t="s">
        <v>78</v>
      </c>
      <c r="C122" s="29">
        <f>IF(ISNUMBER(Inputs!G196),C120-Inputs!G196,"n.a.")</f>
        <v>0</v>
      </c>
      <c r="D122" s="12">
        <f>IF(ISNUMBER(C120),D120-C120,"n.a.")</f>
        <v>1</v>
      </c>
      <c r="E122" s="12"/>
      <c r="F122" s="12">
        <f>IF(ISNUMBER(D120),F120-D120,"n.a.")</f>
        <v>7</v>
      </c>
      <c r="G122" s="12">
        <f>IF(ISNUMBER(F120),G120-F120,"n.a.")</f>
        <v>-2</v>
      </c>
      <c r="H122" s="42">
        <f>IF(ISNUMBER(G120),H120-G120,"n.a.")</f>
        <v>0.37999999999999545</v>
      </c>
      <c r="I122" s="7"/>
    </row>
    <row r="123">
      <c r="A123" s="7"/>
      <c r="B123" s="75" t="s">
        <v>205</v>
      </c>
      <c r="C123" s="24">
        <f>C120/C93</f>
        <v>0.6594594594594595</v>
      </c>
      <c r="D123" s="24">
        <f>D120/D93</f>
        <v>0.640625</v>
      </c>
      <c r="E123" s="24">
        <f>E120/E93</f>
        <v>0.6625514403292181</v>
      </c>
      <c r="F123" s="24">
        <f>F120/F93</f>
        <v>0.6914893617021277</v>
      </c>
      <c r="G123" s="24">
        <f>G120/G93</f>
        <v>0.6432160804020101</v>
      </c>
      <c r="H123" s="40">
        <f>H120/H93</f>
        <v>0.6389146781145109</v>
      </c>
      <c r="I123" s="7"/>
    </row>
    <row r="124">
      <c r="A124" s="7"/>
      <c r="B124" s="44" t="s">
        <v>69</v>
      </c>
      <c r="C124" s="38" t="str">
        <f>"n.a."</f>
        <v>n.a.</v>
      </c>
      <c r="D124" s="38">
        <f>IF(AND(ISNUMBER(D123),ISNUMBER(C123)),(D123-C123)*10000,"n.a.")</f>
        <v>-188.34459459459495</v>
      </c>
      <c r="E124" s="38"/>
      <c r="F124" s="38">
        <f>IF(AND(ISNUMBER(F123),ISNUMBER(D123)),(F123-D123)*10000,"n.a.")</f>
        <v>508.6436170212771</v>
      </c>
      <c r="G124" s="38">
        <f>IF(AND(ISNUMBER(G123),ISNUMBER(F123)),(G123-F123)*10000,"n.a.")</f>
        <v>-482.73281300117657</v>
      </c>
      <c r="H124" s="67">
        <f>IF(AND(ISNUMBER(H123),ISNUMBER(G123)),(H123-G123)*10000,"n.a.")</f>
        <v>-43.01402287499201</v>
      </c>
      <c r="I124" s="7"/>
    </row>
    <row r="125">
      <c r="A125" s="7"/>
      <c r="B125" s="34" t="s">
        <v>206</v>
      </c>
      <c r="C125" s="35">
        <f>C93-C120</f>
        <v>63</v>
      </c>
      <c r="D125" s="35">
        <f>D93-D120</f>
        <v>69</v>
      </c>
      <c r="E125" s="35">
        <f>E93-E120</f>
        <v>246</v>
      </c>
      <c r="F125" s="35">
        <f>F93-F120</f>
        <v>58</v>
      </c>
      <c r="G125" s="35">
        <f>G93-G120</f>
        <v>71</v>
      </c>
      <c r="H125" s="50">
        <f>H93-H120</f>
        <v>72.55449782506142</v>
      </c>
      <c r="I125" s="7"/>
    </row>
    <row r="126">
      <c r="A126" s="7"/>
      <c r="B126" s="44" t="s">
        <v>66</v>
      </c>
      <c r="C126" s="41">
        <f>IF(ISNUMBER(Inputs!C197),IF(AND(Inputs!C197&gt;0,C125&gt;=0),C125/Inputs!C197-1,"n.m."),"n.a.")</f>
        <v>0.10526315789473695</v>
      </c>
      <c r="D126" s="41">
        <f>IF(ISNUMBER(Inputs!D197),IF(AND(Inputs!D197&gt;0,D125&gt;=0),D125/Inputs!D197-1,"n.m."),"n.a.")</f>
        <v>0.40816326530612246</v>
      </c>
      <c r="E126" s="41">
        <f>IF(ISNUMBER(Inputs!E197),IF(AND(Inputs!E197&gt;0,E125&gt;=0),E125/Inputs!E197-1,"n.m."),"n.a.")</f>
        <v>0.1603773584905661</v>
      </c>
      <c r="F126" s="41">
        <f>IF(ISNUMBER(Inputs!F197),IF(AND(Inputs!F197&gt;0,F125&gt;=0),F125/Inputs!F197-1,"n.m."),"n.a.")</f>
        <v>0.09433962264150941</v>
      </c>
      <c r="G126" s="41">
        <f>IF(ISNUMBER(Inputs!G197),IF(AND(Inputs!G197&gt;0,G125&gt;=0),G125/Inputs!G197-1,"n.m."),"n.a.")</f>
        <v>0.2678571428571428</v>
      </c>
      <c r="H126" s="40">
        <f>IF(ISNUMBER(C125),IF(AND(C125&gt;0,H125&gt;=0),H125/C125-1,"n.m."),"n.a.")</f>
        <v>0.15165869563589562</v>
      </c>
      <c r="I126" s="7"/>
    </row>
    <row r="127">
      <c r="A127" s="7"/>
      <c r="B127" s="48" t="s">
        <v>78</v>
      </c>
      <c r="C127" s="29">
        <f>IF(ISNUMBER(Inputs!G197),C125-Inputs!G197,"n.a.")</f>
        <v>7</v>
      </c>
      <c r="D127" s="12">
        <f>IF(ISNUMBER(C125),D125-C125,"n.a.")</f>
        <v>6</v>
      </c>
      <c r="E127" s="12"/>
      <c r="F127" s="12">
        <f>IF(ISNUMBER(D125),F125-D125,"n.a.")</f>
        <v>-11</v>
      </c>
      <c r="G127" s="12">
        <f>IF(ISNUMBER(F125),G125-F125,"n.a.")</f>
        <v>13</v>
      </c>
      <c r="H127" s="42">
        <f>IF(ISNUMBER(G125),H125-G125,"n.a.")</f>
        <v>1.5544978250614179</v>
      </c>
      <c r="I127" s="7"/>
    </row>
    <row r="128">
      <c r="A128" s="7"/>
      <c r="B128" s="1" t="s">
        <v>207</v>
      </c>
      <c r="C128" s="31">
        <v>2</v>
      </c>
      <c r="D128" s="29">
        <f>E128-Inputs!I198</f>
        <v>2</v>
      </c>
      <c r="E128" s="31">
        <v>7</v>
      </c>
      <c r="F128" s="31">
        <v>0</v>
      </c>
      <c r="G128" s="31">
        <v>0</v>
      </c>
      <c r="H128" s="42">
        <f>H131*H9*H$6/$I$6</f>
        <v>0</v>
      </c>
      <c r="I128" s="39" t="s">
        <v>81</v>
      </c>
    </row>
    <row r="129" ht="15.75">
      <c r="A129" s="7"/>
      <c r="B129" s="44" t="s">
        <v>66</v>
      </c>
      <c r="C129" s="41">
        <f>IF(ISNUMBER(Inputs!C198),IF(AND(Inputs!C198&gt;0,C128&gt;=0),C128/Inputs!C198-1,"n.m."),"n.a.")</f>
        <v>0</v>
      </c>
      <c r="D129" s="41">
        <f>IF(ISNUMBER(Inputs!D198),IF(AND(Inputs!D198&gt;0,D128&gt;=0),D128/Inputs!D198-1,"n.m."),"n.a.")</f>
        <v>0</v>
      </c>
      <c r="E129" s="41">
        <f>IF(ISNUMBER(Inputs!E198),IF(AND(Inputs!E198&gt;0,E128&gt;=0),E128/Inputs!E198-1,"n.m."),"n.a.")</f>
        <v>-0.125</v>
      </c>
      <c r="F129" s="41" t="str">
        <f>IF(ISNUMBER(Inputs!F198),IF(AND(Inputs!F198&gt;0,F128&gt;=0),F128/Inputs!F198-1,"n.m."),"n.a.")</f>
        <v>n.m.</v>
      </c>
      <c r="G129" s="41" t="str">
        <f>IF(ISNUMBER(Inputs!G198),IF(AND(Inputs!G198&gt;0,G128&gt;=0),G128/Inputs!G198-1,"n.m."),"n.a.")</f>
        <v>n.m.</v>
      </c>
      <c r="H129" s="40">
        <f>IF(ISNUMBER(C128),IF(AND(C128&gt;0,H128&gt;=0),H128/C128-1,"n.m."),"n.a.")</f>
        <v>-1</v>
      </c>
      <c r="I129" s="142" t="s">
        <v>255</v>
      </c>
    </row>
    <row r="130">
      <c r="A130" s="7"/>
      <c r="B130" s="48" t="s">
        <v>78</v>
      </c>
      <c r="C130" s="29">
        <f>IF(ISNUMBER(Inputs!G198),C128-Inputs!G198,"n.a.")</f>
        <v>2</v>
      </c>
      <c r="D130" s="12">
        <f>IF(ISNUMBER(C128),D128-C128,"n.a.")</f>
        <v>0</v>
      </c>
      <c r="E130" s="12"/>
      <c r="F130" s="12">
        <f>IF(ISNUMBER(D128),F128-D128,"n.a.")</f>
        <v>-2</v>
      </c>
      <c r="G130" s="12">
        <f>IF(ISNUMBER(F128),G128-F128,"n.a.")</f>
        <v>0</v>
      </c>
      <c r="H130" s="42">
        <f>IF(ISNUMBER(G128),H128-G128,"n.a.")</f>
        <v>0</v>
      </c>
      <c r="I130" s="7"/>
    </row>
    <row r="131">
      <c r="A131" s="7"/>
      <c r="B131" s="44" t="s">
        <v>208</v>
      </c>
      <c r="C131" s="60">
        <f>C128/C9*$I$6/C$6</f>
        <v>0.0037252500510308226</v>
      </c>
      <c r="D131" s="60">
        <f>D128/D9*$I$6/D$6</f>
        <v>0.003561149324357286</v>
      </c>
      <c r="E131" s="60">
        <f>E128/E9*$I$6/E$6</f>
        <v>0.0032543003254300326</v>
      </c>
      <c r="F131" s="60">
        <f>F128/F9*$I$6/F$6</f>
        <v>0</v>
      </c>
      <c r="G131" s="60">
        <f>G128/G9*$I$6/G$6</f>
        <v>0</v>
      </c>
      <c r="H131" s="66">
        <v>0</v>
      </c>
      <c r="I131" s="7"/>
    </row>
    <row r="132">
      <c r="A132" s="7"/>
      <c r="B132" s="69" t="s">
        <v>69</v>
      </c>
      <c r="C132" s="38" t="str">
        <f>"n.a."</f>
        <v>n.a.</v>
      </c>
      <c r="D132" s="38">
        <f>IF(AND(ISNUMBER(D131),ISNUMBER(C131)),(D131-C131)*10000,"n.a.")</f>
        <v>-1.6410072667353681</v>
      </c>
      <c r="E132" s="38"/>
      <c r="F132" s="38">
        <f>IF(AND(ISNUMBER(F131),ISNUMBER(D131)),(F131-D131)*10000,"n.a.")</f>
        <v>-35.61149324357286</v>
      </c>
      <c r="G132" s="38">
        <f>IF(AND(ISNUMBER(G131),ISNUMBER(F131)),(G131-F131)*10000,"n.a.")</f>
        <v>0</v>
      </c>
      <c r="H132" s="67">
        <f>IF(AND(ISNUMBER(H131),ISNUMBER(G131)),(H131-G131)*10000,"n.a.")</f>
        <v>0</v>
      </c>
      <c r="I132" s="7"/>
    </row>
    <row r="133">
      <c r="A133" s="7"/>
      <c r="B133" s="34" t="s">
        <v>209</v>
      </c>
      <c r="C133" s="35">
        <f>C125-C128</f>
        <v>61</v>
      </c>
      <c r="D133" s="35">
        <f>D125-D128</f>
        <v>67</v>
      </c>
      <c r="E133" s="35">
        <f>E125-E128</f>
        <v>239</v>
      </c>
      <c r="F133" s="35">
        <f>F125-F128</f>
        <v>58</v>
      </c>
      <c r="G133" s="35">
        <f>G125-G128</f>
        <v>71</v>
      </c>
      <c r="H133" s="50">
        <f>H125-H128</f>
        <v>72.55449782506142</v>
      </c>
      <c r="I133" s="7"/>
    </row>
    <row r="134">
      <c r="A134" s="7"/>
      <c r="B134" s="44" t="s">
        <v>66</v>
      </c>
      <c r="C134" s="41">
        <f>IF(ISNUMBER(Inputs!C199),IF(AND(Inputs!C199&gt;0,C133&gt;=0),C133/Inputs!C199-1,"n.m."),"n.a.")</f>
        <v>0.10909090909090913</v>
      </c>
      <c r="D134" s="41">
        <f>IF(ISNUMBER(Inputs!D199),IF(AND(Inputs!D199&gt;0,D133&gt;=0),D133/Inputs!D199-1,"n.m."),"n.a.")</f>
        <v>0.42553191489361697</v>
      </c>
      <c r="E134" s="41">
        <f>IF(ISNUMBER(Inputs!E199),IF(AND(Inputs!E199&gt;0,E133&gt;=0),E133/Inputs!E199-1,"n.m."),"n.a.")</f>
        <v>0.17156862745098045</v>
      </c>
      <c r="F134" s="41">
        <f>IF(ISNUMBER(Inputs!F199),IF(AND(Inputs!F199&gt;0,F133&gt;=0),F133/Inputs!F199-1,"n.m."),"n.a.")</f>
        <v>0.09433962264150941</v>
      </c>
      <c r="G134" s="41">
        <f>IF(ISNUMBER(Inputs!G199),IF(AND(Inputs!G199&gt;0,G133&gt;=0),G133/Inputs!G199-1,"n.m."),"n.a.")</f>
        <v>0.2678571428571428</v>
      </c>
      <c r="H134" s="40">
        <f>IF(ISNUMBER(C133),IF(AND(C133&gt;0,H133&gt;=0),H133/C133-1,"n.m."),"n.a.")</f>
        <v>0.18941799713215435</v>
      </c>
      <c r="I134" s="7"/>
    </row>
    <row r="135">
      <c r="A135" s="7"/>
      <c r="B135" s="1" t="s">
        <v>210</v>
      </c>
      <c r="C135" s="31">
        <v>15</v>
      </c>
      <c r="D135" s="29">
        <f>E135-Inputs!I200</f>
        <v>17</v>
      </c>
      <c r="E135" s="31">
        <v>60</v>
      </c>
      <c r="F135" s="31">
        <v>15</v>
      </c>
      <c r="G135" s="31">
        <v>18</v>
      </c>
      <c r="H135" s="42">
        <f>H133*H137</f>
        <v>18.138624456265354</v>
      </c>
      <c r="I135" s="39" t="s">
        <v>81</v>
      </c>
    </row>
    <row r="136">
      <c r="A136" s="7"/>
      <c r="B136" s="44" t="s">
        <v>66</v>
      </c>
      <c r="C136" s="41">
        <f>IF(ISNUMBER(Inputs!C200),IF(AND(Inputs!C200&gt;0,C135&gt;=0),C135/Inputs!C200-1,"n.m."),"n.a.")</f>
        <v>0.15384615384615374</v>
      </c>
      <c r="D136" s="41">
        <f>IF(ISNUMBER(Inputs!D200),IF(AND(Inputs!D200&gt;0,D135&gt;=0),D135/Inputs!D200-1,"n.m."),"n.a.")</f>
        <v>0.5454545454545454</v>
      </c>
      <c r="E136" s="41">
        <f>IF(ISNUMBER(Inputs!E200),IF(AND(Inputs!E200&gt;0,E135&gt;=0),E135/Inputs!E200-1,"n.m."),"n.a.")</f>
        <v>0.17647058823529416</v>
      </c>
      <c r="F136" s="41">
        <f>IF(ISNUMBER(Inputs!F200),IF(AND(Inputs!F200&gt;0,F135&gt;=0),F135/Inputs!F200-1,"n.m."),"n.a.")</f>
        <v>0.15384615384615374</v>
      </c>
      <c r="G136" s="41">
        <f>IF(ISNUMBER(Inputs!G200),IF(AND(Inputs!G200&gt;0,G135&gt;=0),G135/Inputs!G200-1,"n.m."),"n.a.")</f>
        <v>0.3846153846153846</v>
      </c>
      <c r="H136" s="40">
        <f>IF(ISNUMBER(C135),IF(AND(C135&gt;0,H135&gt;=0),H135/C135-1,"n.m."),"n.a.")</f>
        <v>0.20924163041769028</v>
      </c>
      <c r="I136" s="7"/>
    </row>
    <row r="137">
      <c r="A137" s="7"/>
      <c r="B137" s="44" t="s">
        <v>211</v>
      </c>
      <c r="C137" s="24">
        <f>C135/C133</f>
        <v>0.2459016393442623</v>
      </c>
      <c r="D137" s="24">
        <f>D135/D133</f>
        <v>0.2537313432835821</v>
      </c>
      <c r="E137" s="24">
        <f>E135/E133</f>
        <v>0.2510460251046025</v>
      </c>
      <c r="F137" s="24">
        <f>F135/F133</f>
        <v>0.25862068965517243</v>
      </c>
      <c r="G137" s="24">
        <f>G135/G133</f>
        <v>0.2535211267605634</v>
      </c>
      <c r="H137" s="58">
        <v>0.25</v>
      </c>
      <c r="I137" s="7"/>
    </row>
    <row r="138">
      <c r="A138" s="7"/>
      <c r="B138" s="69" t="s">
        <v>69</v>
      </c>
      <c r="C138" s="38" t="str">
        <f>"n.a."</f>
        <v>n.a.</v>
      </c>
      <c r="D138" s="38">
        <f>IF(AND(ISNUMBER(D137),ISNUMBER(C137)),(D137-C137)*10000,"n.a.")</f>
        <v>78.2970393931981</v>
      </c>
      <c r="E138" s="38"/>
      <c r="F138" s="38">
        <f>IF(AND(ISNUMBER(F137),ISNUMBER(D137)),(F137-D137)*10000,"n.a.")</f>
        <v>48.89346371590331</v>
      </c>
      <c r="G138" s="38">
        <f>IF(AND(ISNUMBER(G137),ISNUMBER(F137)),(G137-F137)*10000,"n.a.")</f>
        <v>-50.995628946090555</v>
      </c>
      <c r="H138" s="67">
        <f>IF(AND(ISNUMBER(H137),ISNUMBER(G137)),(H137-G137)*10000,"n.a.")</f>
        <v>-35.21126760563376</v>
      </c>
      <c r="I138" s="7"/>
    </row>
    <row r="139">
      <c r="A139" s="7"/>
      <c r="B139" s="34" t="s">
        <v>212</v>
      </c>
      <c r="C139" s="35">
        <f>C133-C135</f>
        <v>46</v>
      </c>
      <c r="D139" s="35">
        <f>D133-D135</f>
        <v>50</v>
      </c>
      <c r="E139" s="35">
        <f>E133-E135</f>
        <v>179</v>
      </c>
      <c r="F139" s="35">
        <f>F133-F135</f>
        <v>43</v>
      </c>
      <c r="G139" s="35">
        <f>G133-G135</f>
        <v>53</v>
      </c>
      <c r="H139" s="50">
        <f>H133-H135</f>
        <v>54.41587336879606</v>
      </c>
      <c r="I139" s="7"/>
    </row>
    <row r="140">
      <c r="A140" s="7"/>
      <c r="B140" s="44" t="s">
        <v>66</v>
      </c>
      <c r="C140" s="41">
        <f>IF(ISNUMBER(Inputs!C201),IF(AND(Inputs!C201&gt;0,C139&gt;=0),C139/Inputs!C201-1,"n.m."),"n.a.")</f>
        <v>0.09523809523809534</v>
      </c>
      <c r="D140" s="41">
        <f>IF(ISNUMBER(Inputs!D201),IF(AND(Inputs!D201&gt;0,D139&gt;=0),D139/Inputs!D201-1,"n.m."),"n.a.")</f>
        <v>0.38888888888888884</v>
      </c>
      <c r="E140" s="41">
        <f>IF(ISNUMBER(Inputs!E201),IF(AND(Inputs!E201&gt;0,E139&gt;=0),E139/Inputs!E201-1,"n.m."),"n.a.")</f>
        <v>0.16993464052287588</v>
      </c>
      <c r="F140" s="41">
        <f>IF(ISNUMBER(Inputs!F201),IF(AND(Inputs!F201&gt;0,F139&gt;=0),F139/Inputs!F201-1,"n.m."),"n.a.")</f>
        <v>0.07499999999999996</v>
      </c>
      <c r="G140" s="41">
        <f>IF(ISNUMBER(Inputs!G201),IF(AND(Inputs!G201&gt;0,G139&gt;=0),G139/Inputs!G201-1,"n.m."),"n.a.")</f>
        <v>0.2325581395348837</v>
      </c>
      <c r="H140" s="40">
        <f>IF(ISNUMBER(C139),IF(AND(C139&gt;0,H139&gt;=0),H139/C139-1,"n.m."),"n.a.")</f>
        <v>0.18295376888687098</v>
      </c>
      <c r="I140" s="7"/>
    </row>
    <row r="141">
      <c r="A141" s="7"/>
      <c r="B141" s="48" t="s">
        <v>78</v>
      </c>
      <c r="C141" s="29">
        <f>IF(ISNUMBER(Inputs!G201),C139-Inputs!G201,"n.a.")</f>
        <v>3</v>
      </c>
      <c r="D141" s="12">
        <f>IF(ISNUMBER(C139),D139-C139,"n.a.")</f>
        <v>4</v>
      </c>
      <c r="E141" s="12"/>
      <c r="F141" s="12">
        <f>IF(ISNUMBER(D139),F139-D139,"n.a.")</f>
        <v>-7</v>
      </c>
      <c r="G141" s="12">
        <f>IF(ISNUMBER(F139),G139-F139,"n.a.")</f>
        <v>10</v>
      </c>
      <c r="H141" s="42">
        <f>IF(ISNUMBER(G139),H139-G139,"n.a.")</f>
        <v>1.4158733687960634</v>
      </c>
      <c r="I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</row>
    <row r="143" ht="79.5">
      <c r="A143" s="7"/>
      <c r="B143" s="139" t="s">
        <v>213</v>
      </c>
      <c r="C143" s="7"/>
      <c r="D143" s="7"/>
      <c r="E143" s="7"/>
      <c r="F143" s="7"/>
      <c r="G143" s="7"/>
      <c r="H143" s="7"/>
      <c r="I143" s="7"/>
    </row>
  </sheetData>
  <mergeCells count="1">
    <mergeCell ref="B143:I143"/>
  </mergeCell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21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256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 ht="28.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143" t="s">
        <v>63</v>
      </c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27">
        <v>365</v>
      </c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257</v>
      </c>
      <c r="C8" s="9"/>
      <c r="D8" s="9"/>
      <c r="E8" s="9"/>
      <c r="F8" s="9"/>
      <c r="G8" s="9"/>
      <c r="H8" s="43"/>
      <c r="I8" s="7"/>
    </row>
    <row r="9" ht="41.25">
      <c r="A9" s="7"/>
      <c r="B9" s="1" t="s">
        <v>258</v>
      </c>
      <c r="C9" s="29">
        <f>'Revenue summary'!C274-'Revenue summary'!C414</f>
        <v>1386</v>
      </c>
      <c r="D9" s="29">
        <f>'Revenue summary'!D274-'Revenue summary'!D414</f>
        <v>1358</v>
      </c>
      <c r="E9" s="29">
        <f>'Revenue summary'!E274-'Revenue summary'!E414</f>
        <v>5463</v>
      </c>
      <c r="F9" s="29">
        <f>'Revenue summary'!F274-'Revenue summary'!F414</f>
        <v>1313</v>
      </c>
      <c r="G9" s="29">
        <f>'Revenue summary'!G274-'Revenue summary'!G414</f>
        <v>1351</v>
      </c>
      <c r="H9" s="32">
        <f>'Revenue summary'!H274-'Revenue summary'!H414</f>
        <v>1380.5062351032807</v>
      </c>
      <c r="I9" s="142" t="s">
        <v>259</v>
      </c>
    </row>
    <row r="10">
      <c r="A10" s="7"/>
      <c r="B10" s="44" t="s">
        <v>66</v>
      </c>
      <c r="C10" s="41">
        <f>IF(ISNUMBER(Inputs!C278),IF(AND(Inputs!C278&gt;0,C9&gt;=0),C9/Inputs!C278-1,"n.m."),"n.a.")</f>
        <v>-0.052631578947368474</v>
      </c>
      <c r="D10" s="41">
        <f>IF(ISNUMBER(Inputs!D278),IF(AND(Inputs!D278&gt;0,D9&gt;=0),D9/Inputs!D278-1,"n.m."),"n.a.")</f>
        <v>-0.04096045197740117</v>
      </c>
      <c r="E10" s="41">
        <f>IF(ISNUMBER(Inputs!E278),IF(AND(Inputs!E278&gt;0,E9&gt;=0),E9/Inputs!E278-1,"n.m."),"n.a.")</f>
        <v>-0.046929518492672684</v>
      </c>
      <c r="F10" s="41">
        <f>IF(ISNUMBER(Inputs!F278),IF(AND(Inputs!F278&gt;0,F9&gt;=0),F9/Inputs!F278-1,"n.m."),"n.a.")</f>
        <v>-0.0216095380029806</v>
      </c>
      <c r="G10" s="41">
        <f>IF(ISNUMBER(Inputs!G278),IF(AND(Inputs!G278&gt;0,G9&gt;=0),G9/Inputs!G278-1,"n.m."),"n.a.")</f>
        <v>-0.01888162672476401</v>
      </c>
      <c r="H10" s="40">
        <f>IF(ISNUMBER(C9),IF(AND(C9&gt;0,H9&gt;=0),H9/C9-1,"n.m."),"n.a.")</f>
        <v>-0.003963755336738317</v>
      </c>
      <c r="I10" s="7"/>
    </row>
    <row r="11">
      <c r="A11" s="7"/>
      <c r="B11" s="48" t="s">
        <v>78</v>
      </c>
      <c r="C11" s="29">
        <f>IF(ISNUMBER(Inputs!G278),C9-Inputs!G278,"n.a.")</f>
        <v>9</v>
      </c>
      <c r="D11" s="12">
        <f>IF(ISNUMBER(C9),D9-C9,"n.a.")</f>
        <v>-28</v>
      </c>
      <c r="E11" s="12"/>
      <c r="F11" s="12">
        <f>IF(ISNUMBER(D9),F9-D9,"n.a.")</f>
        <v>-45</v>
      </c>
      <c r="G11" s="12">
        <f>IF(ISNUMBER(F9),G9-F9,"n.a.")</f>
        <v>38</v>
      </c>
      <c r="H11" s="42">
        <f>IF(ISNUMBER(G9),H9-G9,"n.a.")</f>
        <v>29.506235103280687</v>
      </c>
      <c r="I11" s="7"/>
    </row>
    <row r="12">
      <c r="A12" s="7"/>
      <c r="B12" s="44" t="s">
        <v>70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8">
        <v>0</v>
      </c>
      <c r="I12" s="7"/>
    </row>
    <row r="13">
      <c r="A13" s="7"/>
      <c r="B13" s="44" t="s">
        <v>71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8">
        <v>0</v>
      </c>
      <c r="I13" s="7"/>
    </row>
    <row r="14">
      <c r="A14" s="7"/>
      <c r="B14" s="44" t="s">
        <v>72</v>
      </c>
      <c r="C14" s="24">
        <f>IF(AND(ISNUMBER(C10),ISNUMBER(C12),ISNUMBER(C13)),(1+C10)/((1+C12)*(1+C13))-1,"unavailable")</f>
        <v>-0.052631578947368474</v>
      </c>
      <c r="D14" s="24">
        <f>IF(AND(ISNUMBER(D10),ISNUMBER(D12),ISNUMBER(D13)),(1+D10)/((1+D12)*(1+D13))-1,"unavailable")</f>
        <v>-0.04096045197740117</v>
      </c>
      <c r="E14" s="24">
        <f>IF(AND(ISNUMBER(E10),ISNUMBER(E12),ISNUMBER(E13)),(1+E10)/((1+E12)*(1+E13))-1,"unavailable")</f>
        <v>-0.046929518492672684</v>
      </c>
      <c r="F14" s="24">
        <f>IF(AND(ISNUMBER(F10),ISNUMBER(F12),ISNUMBER(F13)),(1+F10)/((1+F12)*(1+F13))-1,"unavailable")</f>
        <v>-0.0216095380029806</v>
      </c>
      <c r="G14" s="24">
        <f>IF(AND(ISNUMBER(G10),ISNUMBER(G12),ISNUMBER(G13)),(1+G10)/((1+G12)*(1+G13))-1,"unavailable")</f>
        <v>-0.01888162672476401</v>
      </c>
      <c r="H14" s="40">
        <f>IF(AND(ISNUMBER(H10),ISNUMBER(H12),ISNUMBER(H13)),(1+H10)/((1+H12)*(1+H13))-1,"unavailable")</f>
        <v>-0.003963755336738317</v>
      </c>
      <c r="I14" s="7"/>
    </row>
    <row r="15">
      <c r="A15" s="7"/>
      <c r="B15" s="1" t="s">
        <v>111</v>
      </c>
      <c r="C15" s="29">
        <f>'Revenue summary'!C140</f>
        <v>293</v>
      </c>
      <c r="D15" s="29">
        <f>'Revenue summary'!D140</f>
        <v>300</v>
      </c>
      <c r="E15" s="29">
        <f>'Revenue summary'!E140</f>
        <v>1145</v>
      </c>
      <c r="F15" s="29">
        <f>'Revenue summary'!F140</f>
        <v>298</v>
      </c>
      <c r="G15" s="29">
        <f>'Revenue summary'!G140</f>
        <v>305</v>
      </c>
      <c r="H15" s="32">
        <f>'Revenue summary'!H140</f>
        <v>313.385585885895</v>
      </c>
      <c r="I15" s="7"/>
    </row>
    <row r="16">
      <c r="A16" s="7"/>
      <c r="B16" s="44" t="s">
        <v>66</v>
      </c>
      <c r="C16" s="41">
        <f>IF(ISNUMBER(Inputs!C279),IF(AND(Inputs!C279&gt;0,C15&gt;=0),C15/Inputs!C279-1,"n.m."),"n.a.")</f>
        <v>0.21576763485477168</v>
      </c>
      <c r="D16" s="41">
        <f>IF(ISNUMBER(Inputs!D279),IF(AND(Inputs!D279&gt;0,D15&gt;=0),D15/Inputs!D279-1,"n.m."),"n.a.")</f>
        <v>0.171875</v>
      </c>
      <c r="E16" s="41">
        <f>IF(ISNUMBER(Inputs!E279),IF(AND(Inputs!E279&gt;0,E15&gt;=0),E15/Inputs!E279-1,"n.m."),"n.a.")</f>
        <v>0.23783783783783785</v>
      </c>
      <c r="F16" s="41">
        <f>IF(ISNUMBER(Inputs!F279),IF(AND(Inputs!F279&gt;0,F15&gt;=0),F15/Inputs!F279-1,"n.m."),"n.a.")</f>
        <v>0.12030075187969924</v>
      </c>
      <c r="G16" s="41">
        <f>IF(ISNUMBER(Inputs!G279),IF(AND(Inputs!G279&gt;0,G15&gt;=0),G15/Inputs!G279-1,"n.m."),"n.a.")</f>
        <v>0.06643356643356646</v>
      </c>
      <c r="H16" s="40">
        <f>IF(ISNUMBER(C15),IF(AND(C15&gt;0,H15&gt;=0),H15/C15-1,"n.m."),"n.a.")</f>
        <v>0.0695753784501536</v>
      </c>
      <c r="I16" s="7"/>
    </row>
    <row r="17">
      <c r="A17" s="7"/>
      <c r="B17" s="48" t="s">
        <v>78</v>
      </c>
      <c r="C17" s="29">
        <f>IF(ISNUMBER(Inputs!G279),C15-Inputs!G279,"n.a.")</f>
        <v>7</v>
      </c>
      <c r="D17" s="12">
        <f>IF(ISNUMBER(C15),D15-C15,"n.a.")</f>
        <v>7</v>
      </c>
      <c r="E17" s="12"/>
      <c r="F17" s="12">
        <f>IF(ISNUMBER(D15),F15-D15,"n.a.")</f>
        <v>-2</v>
      </c>
      <c r="G17" s="12">
        <f>IF(ISNUMBER(F15),G15-F15,"n.a.")</f>
        <v>7</v>
      </c>
      <c r="H17" s="42">
        <f>IF(ISNUMBER(G15),H15-G15,"n.a.")</f>
        <v>8.385585885895011</v>
      </c>
      <c r="I17" s="7"/>
    </row>
    <row r="18">
      <c r="A18" s="7"/>
      <c r="B18" s="44" t="s">
        <v>70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8">
        <v>0</v>
      </c>
      <c r="I18" s="7"/>
    </row>
    <row r="19">
      <c r="A19" s="7"/>
      <c r="B19" s="44" t="s">
        <v>71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8">
        <v>0</v>
      </c>
      <c r="I19" s="7"/>
    </row>
    <row r="20">
      <c r="A20" s="7"/>
      <c r="B20" s="44" t="s">
        <v>72</v>
      </c>
      <c r="C20" s="24">
        <f>IF(AND(ISNUMBER(C16),ISNUMBER(C18),ISNUMBER(C19)),(1+C16)/((1+C18)*(1+C19))-1,"unavailable")</f>
        <v>0.21576763485477168</v>
      </c>
      <c r="D20" s="24">
        <f>IF(AND(ISNUMBER(D16),ISNUMBER(D18),ISNUMBER(D19)),(1+D16)/((1+D18)*(1+D19))-1,"unavailable")</f>
        <v>0.171875</v>
      </c>
      <c r="E20" s="24">
        <f>IF(AND(ISNUMBER(E16),ISNUMBER(E18),ISNUMBER(E19)),(1+E16)/((1+E18)*(1+E19))-1,"unavailable")</f>
        <v>0.23783783783783785</v>
      </c>
      <c r="F20" s="24">
        <f>IF(AND(ISNUMBER(F16),ISNUMBER(F18),ISNUMBER(F19)),(1+F16)/((1+F18)*(1+F19))-1,"unavailable")</f>
        <v>0.12030075187969924</v>
      </c>
      <c r="G20" s="24">
        <f>IF(AND(ISNUMBER(G16),ISNUMBER(G18),ISNUMBER(G19)),(1+G16)/((1+G18)*(1+G19))-1,"unavailable")</f>
        <v>0.06643356643356646</v>
      </c>
      <c r="H20" s="40">
        <f>IF(AND(ISNUMBER(H16),ISNUMBER(H18),ISNUMBER(H19)),(1+H16)/((1+H18)*(1+H19))-1,"unavailable")</f>
        <v>0.0695753784501536</v>
      </c>
      <c r="I20" s="7"/>
    </row>
    <row r="21">
      <c r="A21" s="7"/>
      <c r="B21" s="1" t="s">
        <v>112</v>
      </c>
      <c r="C21" s="29">
        <f>'Revenue summary'!C150</f>
        <v>9</v>
      </c>
      <c r="D21" s="29">
        <f>'Revenue summary'!D150</f>
        <v>9</v>
      </c>
      <c r="E21" s="29">
        <f>'Revenue summary'!E150</f>
        <v>35</v>
      </c>
      <c r="F21" s="29">
        <f>'Revenue summary'!F150</f>
        <v>8</v>
      </c>
      <c r="G21" s="29">
        <f>'Revenue summary'!G150</f>
        <v>8</v>
      </c>
      <c r="H21" s="32">
        <f>'Revenue summary'!H150</f>
        <v>8.492307692307692</v>
      </c>
      <c r="I21" s="7"/>
    </row>
    <row r="22">
      <c r="A22" s="7"/>
      <c r="B22" s="44" t="s">
        <v>66</v>
      </c>
      <c r="C22" s="41">
        <f>IF(ISNUMBER(Inputs!C280),IF(AND(Inputs!C280&gt;0,C21&gt;=0),C21/Inputs!C280-1,"n.m."),"n.a.")</f>
        <v>-0.18181818181818177</v>
      </c>
      <c r="D22" s="41">
        <f>IF(ISNUMBER(Inputs!D280),IF(AND(Inputs!D280&gt;0,D21&gt;=0),D21/Inputs!D280-1,"n.m."),"n.a.")</f>
        <v>-0.18181818181818177</v>
      </c>
      <c r="E22" s="41">
        <f>IF(ISNUMBER(Inputs!E280),IF(AND(Inputs!E280&gt;0,E21&gt;=0),E21/Inputs!E280-1,"n.m."),"n.a.")</f>
        <v>-0.10256410256410253</v>
      </c>
      <c r="F22" s="41">
        <f>IF(ISNUMBER(Inputs!F280),IF(AND(Inputs!F280&gt;0,F21&gt;=0),F21/Inputs!F280-1,"n.m."),"n.a.")</f>
        <v>0</v>
      </c>
      <c r="G22" s="41">
        <f>IF(ISNUMBER(Inputs!G280),IF(AND(Inputs!G280&gt;0,G21&gt;=0),G21/Inputs!G280-1,"n.m."),"n.a.")</f>
        <v>-0.11111111111111116</v>
      </c>
      <c r="H22" s="40">
        <f>IF(ISNUMBER(C21),IF(AND(C21&gt;0,H21&gt;=0),H21/C21-1,"n.m."),"n.a.")</f>
        <v>-0.05641025641025643</v>
      </c>
      <c r="I22" s="7"/>
    </row>
    <row r="23">
      <c r="A23" s="7"/>
      <c r="B23" s="48" t="s">
        <v>78</v>
      </c>
      <c r="C23" s="29">
        <f>IF(ISNUMBER(Inputs!G280),C21-Inputs!G280,"n.a.")</f>
        <v>0</v>
      </c>
      <c r="D23" s="12">
        <f>IF(ISNUMBER(C21),D21-C21,"n.a.")</f>
        <v>0</v>
      </c>
      <c r="E23" s="12"/>
      <c r="F23" s="12">
        <f>IF(ISNUMBER(D21),F21-D21,"n.a.")</f>
        <v>-1</v>
      </c>
      <c r="G23" s="12">
        <f>IF(ISNUMBER(F21),G21-F21,"n.a.")</f>
        <v>0</v>
      </c>
      <c r="H23" s="42">
        <f>IF(ISNUMBER(G21),H21-G21,"n.a.")</f>
        <v>0.49230769230769234</v>
      </c>
      <c r="I23" s="7"/>
    </row>
    <row r="24">
      <c r="A24" s="7"/>
      <c r="B24" s="44" t="s">
        <v>70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8">
        <v>0</v>
      </c>
      <c r="I24" s="7"/>
    </row>
    <row r="25">
      <c r="A25" s="7"/>
      <c r="B25" s="44" t="s">
        <v>71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8">
        <v>0</v>
      </c>
      <c r="I25" s="7"/>
    </row>
    <row r="26">
      <c r="A26" s="7"/>
      <c r="B26" s="44" t="s">
        <v>72</v>
      </c>
      <c r="C26" s="24">
        <f>IF(AND(ISNUMBER(C22),ISNUMBER(C24),ISNUMBER(C25)),(1+C22)/((1+C24)*(1+C25))-1,"unavailable")</f>
        <v>-0.18181818181818177</v>
      </c>
      <c r="D26" s="24">
        <f>IF(AND(ISNUMBER(D22),ISNUMBER(D24),ISNUMBER(D25)),(1+D22)/((1+D24)*(1+D25))-1,"unavailable")</f>
        <v>-0.18181818181818177</v>
      </c>
      <c r="E26" s="24">
        <f>IF(AND(ISNUMBER(E22),ISNUMBER(E24),ISNUMBER(E25)),(1+E22)/((1+E24)*(1+E25))-1,"unavailable")</f>
        <v>-0.10256410256410253</v>
      </c>
      <c r="F26" s="24">
        <f>IF(AND(ISNUMBER(F22),ISNUMBER(F24),ISNUMBER(F25)),(1+F22)/((1+F24)*(1+F25))-1,"unavailable")</f>
        <v>0</v>
      </c>
      <c r="G26" s="24">
        <f>IF(AND(ISNUMBER(G22),ISNUMBER(G24),ISNUMBER(G25)),(1+G22)/((1+G24)*(1+G25))-1,"unavailable")</f>
        <v>-0.11111111111111116</v>
      </c>
      <c r="H26" s="40">
        <f>IF(AND(ISNUMBER(H22),ISNUMBER(H24),ISNUMBER(H25)),(1+H22)/((1+H24)*(1+H25))-1,"unavailable")</f>
        <v>-0.05641025641025643</v>
      </c>
      <c r="I26" s="7"/>
    </row>
    <row r="27">
      <c r="A27" s="7"/>
      <c r="B27" s="1" t="s">
        <v>132</v>
      </c>
      <c r="C27" s="29">
        <f>'Revenue summary'!C284+'Revenue summary'!C294+'Revenue summary'!C130</f>
        <v>108</v>
      </c>
      <c r="D27" s="29">
        <f>'Revenue summary'!D284+'Revenue summary'!D294+'Revenue summary'!D130</f>
        <v>101</v>
      </c>
      <c r="E27" s="29">
        <f>'Revenue summary'!E284+'Revenue summary'!E294+'Revenue summary'!E130</f>
        <v>430</v>
      </c>
      <c r="F27" s="29">
        <f>'Revenue summary'!F284+'Revenue summary'!F294+'Revenue summary'!F130</f>
        <v>83</v>
      </c>
      <c r="G27" s="29">
        <f>'Revenue summary'!G284+'Revenue summary'!G294+'Revenue summary'!G130</f>
        <v>84</v>
      </c>
      <c r="H27" s="32">
        <f>'Revenue summary'!H284+'Revenue summary'!H294+'Revenue summary'!H130</f>
        <v>82.11056666626524</v>
      </c>
      <c r="I27" s="7"/>
    </row>
    <row r="28">
      <c r="A28" s="7"/>
      <c r="B28" s="44" t="s">
        <v>66</v>
      </c>
      <c r="C28" s="41">
        <f>IF(ISNUMBER(Inputs!C281),IF(AND(Inputs!C281&gt;0,C27&gt;=0),C27/Inputs!C281-1,"n.m."),"n.a.")</f>
        <v>0.02857142857142847</v>
      </c>
      <c r="D28" s="41">
        <f>IF(ISNUMBER(Inputs!D281),IF(AND(Inputs!D281&gt;0,D27&gt;=0),D27/Inputs!D281-1,"n.m."),"n.a.")</f>
        <v>-0.1512605042016807</v>
      </c>
      <c r="E28" s="41">
        <f>IF(ISNUMBER(Inputs!E281),IF(AND(Inputs!E281&gt;0,E27&gt;=0),E27/Inputs!E281-1,"n.m."),"n.a.")</f>
        <v>0.043689320388349495</v>
      </c>
      <c r="F28" s="41">
        <f>IF(ISNUMBER(Inputs!F281),IF(AND(Inputs!F281&gt;0,F27&gt;=0),F27/Inputs!F281-1,"n.m."),"n.a.")</f>
        <v>-0.23853211009174313</v>
      </c>
      <c r="G28" s="41">
        <f>IF(ISNUMBER(Inputs!G281),IF(AND(Inputs!G281&gt;0,G27&gt;=0),G27/Inputs!G281-1,"n.m."),"n.a.")</f>
        <v>-0.25</v>
      </c>
      <c r="H28" s="40">
        <f>IF(ISNUMBER(C27),IF(AND(C27&gt;0,H27&gt;=0),H27/C27-1,"n.m."),"n.a.")</f>
        <v>-0.23971697531235892</v>
      </c>
      <c r="I28" s="7"/>
    </row>
    <row r="29">
      <c r="A29" s="7"/>
      <c r="B29" s="48" t="s">
        <v>78</v>
      </c>
      <c r="C29" s="29">
        <f>IF(ISNUMBER(Inputs!G281),C27-Inputs!G281,"n.a.")</f>
        <v>-4</v>
      </c>
      <c r="D29" s="12">
        <f>IF(ISNUMBER(C27),D27-C27,"n.a.")</f>
        <v>-7</v>
      </c>
      <c r="E29" s="12"/>
      <c r="F29" s="12">
        <f>IF(ISNUMBER(D27),F27-D27,"n.a.")</f>
        <v>-18</v>
      </c>
      <c r="G29" s="12">
        <f>IF(ISNUMBER(F27),G27-F27,"n.a.")</f>
        <v>1</v>
      </c>
      <c r="H29" s="42">
        <f>IF(ISNUMBER(G27),H27-G27,"n.a.")</f>
        <v>-1.8894333337347575</v>
      </c>
      <c r="I29" s="7"/>
    </row>
    <row r="30">
      <c r="A30" s="7"/>
      <c r="B30" s="44" t="s">
        <v>70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8">
        <v>0</v>
      </c>
      <c r="I30" s="7"/>
    </row>
    <row r="31">
      <c r="A31" s="7"/>
      <c r="B31" s="44" t="s">
        <v>71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8">
        <v>0</v>
      </c>
      <c r="I31" s="7"/>
    </row>
    <row r="32">
      <c r="A32" s="7"/>
      <c r="B32" s="44" t="s">
        <v>72</v>
      </c>
      <c r="C32" s="24">
        <f>IF(AND(ISNUMBER(C28),ISNUMBER(C30),ISNUMBER(C31)),(1+C28)/((1+C30)*(1+C31))-1,"unavailable")</f>
        <v>0.02857142857142847</v>
      </c>
      <c r="D32" s="24">
        <f>IF(AND(ISNUMBER(D28),ISNUMBER(D30),ISNUMBER(D31)),(1+D28)/((1+D30)*(1+D31))-1,"unavailable")</f>
        <v>-0.1512605042016807</v>
      </c>
      <c r="E32" s="24">
        <f>IF(AND(ISNUMBER(E28),ISNUMBER(E30),ISNUMBER(E31)),(1+E28)/((1+E30)*(1+E31))-1,"unavailable")</f>
        <v>0.043689320388349495</v>
      </c>
      <c r="F32" s="24">
        <f>IF(AND(ISNUMBER(F28),ISNUMBER(F30),ISNUMBER(F31)),(1+F28)/((1+F30)*(1+F31))-1,"unavailable")</f>
        <v>-0.23853211009174313</v>
      </c>
      <c r="G32" s="24">
        <f>IF(AND(ISNUMBER(G28),ISNUMBER(G30),ISNUMBER(G31)),(1+G28)/((1+G30)*(1+G31))-1,"unavailable")</f>
        <v>-0.25</v>
      </c>
      <c r="H32" s="40">
        <f>IF(AND(ISNUMBER(H28),ISNUMBER(H30),ISNUMBER(H31)),(1+H28)/((1+H30)*(1+H31))-1,"unavailable")</f>
        <v>-0.23971697531235892</v>
      </c>
      <c r="I32" s="7"/>
    </row>
    <row r="33">
      <c r="A33" s="7"/>
      <c r="B33" s="34" t="s">
        <v>260</v>
      </c>
      <c r="C33" s="35">
        <f>C9+C15+C21+C27</f>
        <v>1796</v>
      </c>
      <c r="D33" s="35">
        <f>D9+D15+D21+D27</f>
        <v>1768</v>
      </c>
      <c r="E33" s="35">
        <f>E9+E15+E21+E27</f>
        <v>7073</v>
      </c>
      <c r="F33" s="35">
        <f>F9+F15+F21+F27</f>
        <v>1702</v>
      </c>
      <c r="G33" s="35">
        <f>G9+G15+G21+G27</f>
        <v>1748</v>
      </c>
      <c r="H33" s="50">
        <f>H9+H15+H21+H27</f>
        <v>1784.4946953477488</v>
      </c>
      <c r="I33" s="7"/>
    </row>
    <row r="34">
      <c r="A34" s="7"/>
      <c r="B34" s="44" t="s">
        <v>66</v>
      </c>
      <c r="C34" s="41">
        <f>IF(ISNUMBER(Inputs!C282),IF(AND(Inputs!C282&gt;0,C33&gt;=0),C33/Inputs!C282-1,"n.m."),"n.a.")</f>
        <v>-0.01318681318681314</v>
      </c>
      <c r="D34" s="41">
        <f>IF(ISNUMBER(Inputs!D282),IF(AND(Inputs!D282&gt;0,D33&gt;=0),D33/Inputs!D282-1,"n.m."),"n.a.")</f>
        <v>-0.018867924528301883</v>
      </c>
      <c r="E34" s="41">
        <f>IF(ISNUMBER(Inputs!E282),IF(AND(Inputs!E282&gt;0,E33&gt;=0),E33/Inputs!E282-1,"n.m."),"n.a.")</f>
        <v>-0.004924029262802443</v>
      </c>
      <c r="F34" s="41">
        <f>IF(ISNUMBER(Inputs!F282),IF(AND(Inputs!F282&gt;0,F33&gt;=0),F33/Inputs!F282-1,"n.m."),"n.a.")</f>
        <v>-0.013333333333333308</v>
      </c>
      <c r="G34" s="41">
        <f>IF(ISNUMBER(Inputs!G282),IF(AND(Inputs!G282&gt;0,G33&gt;=0),G33/Inputs!G282-1,"n.m."),"n.a.")</f>
        <v>-0.020179372197309364</v>
      </c>
      <c r="H34" s="40">
        <f>IF(ISNUMBER(C33),IF(AND(C33&gt;0,H33&gt;=0),H33/C33-1,"n.m."),"n.a.")</f>
        <v>-0.006406071632656607</v>
      </c>
      <c r="I34" s="7"/>
    </row>
    <row r="35">
      <c r="A35" s="7"/>
      <c r="B35" s="48" t="s">
        <v>78</v>
      </c>
      <c r="C35" s="29">
        <f>IF(ISNUMBER(Inputs!G282),C33-Inputs!G282,"n.a.")</f>
        <v>12</v>
      </c>
      <c r="D35" s="12">
        <f>IF(ISNUMBER(C33),D33-C33,"n.a.")</f>
        <v>-28</v>
      </c>
      <c r="E35" s="12"/>
      <c r="F35" s="12">
        <f>IF(ISNUMBER(D33),F33-D33,"n.a.")</f>
        <v>-66</v>
      </c>
      <c r="G35" s="12">
        <f>IF(ISNUMBER(F33),G33-F33,"n.a.")</f>
        <v>46</v>
      </c>
      <c r="H35" s="42">
        <f>IF(ISNUMBER(G33),H33-G33,"n.a.")</f>
        <v>36.4946953477488</v>
      </c>
      <c r="I35" s="7"/>
    </row>
    <row r="36">
      <c r="A36" s="7"/>
      <c r="B36" s="44" t="s">
        <v>70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8">
        <v>0</v>
      </c>
      <c r="I36" s="7"/>
    </row>
    <row r="37">
      <c r="A37" s="7"/>
      <c r="B37" s="44" t="s">
        <v>71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8">
        <v>0</v>
      </c>
      <c r="I37" s="7"/>
    </row>
    <row r="38">
      <c r="A38" s="7"/>
      <c r="B38" s="44" t="s">
        <v>72</v>
      </c>
      <c r="C38" s="24">
        <f>IF(AND(ISNUMBER(C34),ISNUMBER(C36),ISNUMBER(C37)),(1+C34)/((1+C36)*(1+C37))-1,"unavailable")</f>
        <v>-0.01318681318681314</v>
      </c>
      <c r="D38" s="24">
        <f>IF(AND(ISNUMBER(D34),ISNUMBER(D36),ISNUMBER(D37)),(1+D34)/((1+D36)*(1+D37))-1,"unavailable")</f>
        <v>-0.018867924528301883</v>
      </c>
      <c r="E38" s="24">
        <f>IF(AND(ISNUMBER(E34),ISNUMBER(E36),ISNUMBER(E37)),(1+E34)/((1+E36)*(1+E37))-1,"unavailable")</f>
        <v>-0.004924029262802443</v>
      </c>
      <c r="F38" s="24">
        <f>IF(AND(ISNUMBER(F34),ISNUMBER(F36),ISNUMBER(F37)),(1+F34)/((1+F36)*(1+F37))-1,"unavailable")</f>
        <v>-0.013333333333333308</v>
      </c>
      <c r="G38" s="24">
        <f>IF(AND(ISNUMBER(G34),ISNUMBER(G36),ISNUMBER(G37)),(1+G34)/((1+G36)*(1+G37))-1,"unavailable")</f>
        <v>-0.020179372197309364</v>
      </c>
      <c r="H38" s="40">
        <f>IF(AND(ISNUMBER(H34),ISNUMBER(H36),ISNUMBER(H37)),(1+H34)/((1+H36)*(1+H37))-1,"unavailable")</f>
        <v>-0.006406071632656607</v>
      </c>
      <c r="I38" s="7"/>
    </row>
    <row r="39">
      <c r="A39" s="7"/>
      <c r="B39" s="34" t="s">
        <v>261</v>
      </c>
      <c r="C39" s="9"/>
      <c r="D39" s="9"/>
      <c r="E39" s="9"/>
      <c r="F39" s="9"/>
      <c r="G39" s="9"/>
      <c r="H39" s="43"/>
      <c r="I39" s="7"/>
    </row>
    <row r="40">
      <c r="A40" s="7"/>
      <c r="B40" s="1" t="s">
        <v>262</v>
      </c>
      <c r="C40" s="29">
        <f>'Revenue summary'!C353</f>
        <v>456</v>
      </c>
      <c r="D40" s="29">
        <f>'Revenue summary'!D353</f>
        <v>421</v>
      </c>
      <c r="E40" s="29">
        <f>'Revenue summary'!E353</f>
        <v>1766</v>
      </c>
      <c r="F40" s="29">
        <f>'Revenue summary'!F353</f>
        <v>385</v>
      </c>
      <c r="G40" s="29">
        <f>'Revenue summary'!G353</f>
        <v>385</v>
      </c>
      <c r="H40" s="32">
        <f>'Revenue summary'!H353</f>
        <v>384.8415310793316</v>
      </c>
      <c r="I40" s="7"/>
    </row>
    <row r="41">
      <c r="A41" s="7"/>
      <c r="B41" s="44" t="s">
        <v>66</v>
      </c>
      <c r="C41" s="41">
        <f>IF(ISNUMBER(Inputs!C283),IF(AND(Inputs!C283&gt;0,C40&gt;=0),C40/Inputs!C283-1,"n.m."),"n.a.")</f>
        <v>-0.10059171597633132</v>
      </c>
      <c r="D41" s="41">
        <f>IF(ISNUMBER(Inputs!D283),IF(AND(Inputs!D283&gt;0,D40&gt;=0),D40/Inputs!D283-1,"n.m."),"n.a.")</f>
        <v>-0.09850107066381153</v>
      </c>
      <c r="E41" s="41">
        <f>IF(ISNUMBER(Inputs!E283),IF(AND(Inputs!E283&gt;0,E40&gt;=0),E40/Inputs!E283-1,"n.m."),"n.a.")</f>
        <v>-0.1040081177067479</v>
      </c>
      <c r="F41" s="41">
        <f>IF(ISNUMBER(Inputs!F283),IF(AND(Inputs!F283&gt;0,F40&gt;=0),F40/Inputs!F283-1,"n.m."),"n.a.")</f>
        <v>-0.12895927601809953</v>
      </c>
      <c r="G41" s="41">
        <f>IF(ISNUMBER(Inputs!G283),IF(AND(Inputs!G283&gt;0,G40&gt;=0),G40/Inputs!G283-1,"n.m."),"n.a.")</f>
        <v>-0.13870246085011184</v>
      </c>
      <c r="H41" s="40">
        <f>IF(ISNUMBER(C40),IF(AND(C40&gt;0,H40&gt;=0),H40/C40-1,"n.m."),"n.a.")</f>
        <v>-0.15604927394883417</v>
      </c>
      <c r="I41" s="7"/>
    </row>
    <row r="42">
      <c r="A42" s="7"/>
      <c r="B42" s="48" t="s">
        <v>78</v>
      </c>
      <c r="C42" s="29">
        <f>IF(ISNUMBER(Inputs!G283),C40-Inputs!G283,"n.a.")</f>
        <v>9</v>
      </c>
      <c r="D42" s="12">
        <f>IF(ISNUMBER(C40),D40-C40,"n.a.")</f>
        <v>-35</v>
      </c>
      <c r="E42" s="12"/>
      <c r="F42" s="12">
        <f>IF(ISNUMBER(D40),F40-D40,"n.a.")</f>
        <v>-36</v>
      </c>
      <c r="G42" s="12">
        <f>IF(ISNUMBER(F40),G40-F40,"n.a.")</f>
        <v>0</v>
      </c>
      <c r="H42" s="42">
        <f>IF(ISNUMBER(G40),H40-G40,"n.a.")</f>
        <v>-0.15846892066838336</v>
      </c>
      <c r="I42" s="7"/>
    </row>
    <row r="43">
      <c r="A43" s="7"/>
      <c r="B43" s="1" t="s">
        <v>263</v>
      </c>
      <c r="C43" s="29">
        <f>'Revenue summary'!C363+'Revenue summary'!C373</f>
        <v>8</v>
      </c>
      <c r="D43" s="29">
        <f>'Revenue summary'!D363+'Revenue summary'!D373</f>
        <v>4</v>
      </c>
      <c r="E43" s="29">
        <f>'Revenue summary'!E363+'Revenue summary'!E373</f>
        <v>17</v>
      </c>
      <c r="F43" s="29">
        <f>'Revenue summary'!F363+'Revenue summary'!F373</f>
        <v>17</v>
      </c>
      <c r="G43" s="29">
        <f>'Revenue summary'!G363+'Revenue summary'!G373</f>
        <v>34</v>
      </c>
      <c r="H43" s="32">
        <f>'Revenue summary'!H363+'Revenue summary'!H373</f>
        <v>32.16815091013096</v>
      </c>
      <c r="I43" s="7"/>
    </row>
    <row r="44" ht="41.25">
      <c r="A44" s="7"/>
      <c r="B44" s="44" t="s">
        <v>66</v>
      </c>
      <c r="C44" s="41">
        <f>IF(ISNUMBER(Inputs!C284),IF(AND(Inputs!C284&gt;0,C43&gt;=0),C43/Inputs!C284-1,"n.m."),"n.a.")</f>
        <v>-0.19999999999999996</v>
      </c>
      <c r="D44" s="41">
        <f>IF(ISNUMBER(Inputs!D284),IF(AND(Inputs!D284&gt;0,D43&gt;=0),D43/Inputs!D284-1,"n.m."),"n.a.")</f>
        <v>-0.75</v>
      </c>
      <c r="E44" s="41">
        <f>IF(ISNUMBER(Inputs!E284),IF(AND(Inputs!E284&gt;0,E43&gt;=0),E43/Inputs!E284-1,"n.m."),"n.a.")</f>
        <v>-0.575</v>
      </c>
      <c r="F44" s="41">
        <f>IF(ISNUMBER(Inputs!F284),IF(AND(Inputs!F284&gt;0,F43&gt;=0),F43/Inputs!F284-1,"n.m."),"n.a.")</f>
        <v>3.25</v>
      </c>
      <c r="G44" s="41">
        <f>IF(ISNUMBER(Inputs!G284),IF(AND(Inputs!G284&gt;0,G43&gt;=0),G43/Inputs!G284-1,"n.m."),"n.a.")</f>
        <v>33</v>
      </c>
      <c r="H44" s="40">
        <f>IF(ISNUMBER(C43),IF(AND(C43&gt;0,H43&gt;=0),H43/C43-1,"n.m."),"n.a.")</f>
        <v>3.02101886376637</v>
      </c>
      <c r="I44" s="142" t="s">
        <v>264</v>
      </c>
    </row>
    <row r="45">
      <c r="A45" s="7"/>
      <c r="B45" s="48" t="s">
        <v>78</v>
      </c>
      <c r="C45" s="29">
        <f>IF(ISNUMBER(Inputs!G284),C43-Inputs!G284,"n.a.")</f>
        <v>7</v>
      </c>
      <c r="D45" s="12">
        <f>IF(ISNUMBER(C43),D43-C43,"n.a.")</f>
        <v>-4</v>
      </c>
      <c r="E45" s="12"/>
      <c r="F45" s="12">
        <f>IF(ISNUMBER(D43),F43-D43,"n.a.")</f>
        <v>13</v>
      </c>
      <c r="G45" s="12">
        <f>IF(ISNUMBER(F43),G43-F43,"n.a.")</f>
        <v>17</v>
      </c>
      <c r="H45" s="42">
        <f>IF(ISNUMBER(G43),H43-G43,"n.a.")</f>
        <v>-1.8318490898690385</v>
      </c>
      <c r="I45" s="7"/>
    </row>
    <row r="46">
      <c r="A46" s="7"/>
      <c r="B46" s="1" t="s">
        <v>148</v>
      </c>
      <c r="C46" s="29">
        <f>'Revenue summary'!C383</f>
        <v>75</v>
      </c>
      <c r="D46" s="29">
        <f>'Revenue summary'!D383</f>
        <v>62</v>
      </c>
      <c r="E46" s="29">
        <f>'Revenue summary'!E383</f>
        <v>299</v>
      </c>
      <c r="F46" s="29">
        <f>'Revenue summary'!F383</f>
        <v>52</v>
      </c>
      <c r="G46" s="29">
        <f>'Revenue summary'!G383</f>
        <v>52</v>
      </c>
      <c r="H46" s="32">
        <f>'Revenue summary'!H383</f>
        <v>65.02895971037182</v>
      </c>
      <c r="I46" s="7"/>
    </row>
    <row r="47">
      <c r="A47" s="7"/>
      <c r="B47" s="44" t="s">
        <v>66</v>
      </c>
      <c r="C47" s="41">
        <f>IF(ISNUMBER(Inputs!C285),IF(AND(Inputs!C285&gt;0,C46&gt;=0),C46/Inputs!C285-1,"n.m."),"n.a.")</f>
        <v>-0.11764705882352944</v>
      </c>
      <c r="D47" s="41">
        <f>IF(ISNUMBER(Inputs!D285),IF(AND(Inputs!D285&gt;0,D46&gt;=0),D46/Inputs!D285-1,"n.m."),"n.a.")</f>
        <v>-0.3033707865168539</v>
      </c>
      <c r="E47" s="41">
        <f>IF(ISNUMBER(Inputs!E285),IF(AND(Inputs!E285&gt;0,E46&gt;=0),E46/Inputs!E285-1,"n.m."),"n.a.")</f>
        <v>0.07168458781362008</v>
      </c>
      <c r="F47" s="41">
        <f>IF(ISNUMBER(Inputs!F285),IF(AND(Inputs!F285&gt;0,F46&gt;=0),F46/Inputs!F285-1,"n.m."),"n.a.")</f>
        <v>-0.388235294117647</v>
      </c>
      <c r="G47" s="41">
        <f>IF(ISNUMBER(Inputs!G285),IF(AND(Inputs!G285&gt;0,G46&gt;=0),G46/Inputs!G285-1,"n.m."),"n.a.")</f>
        <v>-0.3246753246753247</v>
      </c>
      <c r="H47" s="40">
        <f>IF(ISNUMBER(C46),IF(AND(C46&gt;0,H46&gt;=0),H46/C46-1,"n.m."),"n.a.")</f>
        <v>-0.132947203861709</v>
      </c>
      <c r="I47" s="7"/>
    </row>
    <row r="48">
      <c r="A48" s="7"/>
      <c r="B48" s="48" t="s">
        <v>78</v>
      </c>
      <c r="C48" s="29">
        <f>IF(ISNUMBER(Inputs!G285),C46-Inputs!G285,"n.a.")</f>
        <v>-2</v>
      </c>
      <c r="D48" s="12">
        <f>IF(ISNUMBER(C46),D46-C46,"n.a.")</f>
        <v>-13</v>
      </c>
      <c r="E48" s="12"/>
      <c r="F48" s="12">
        <f>IF(ISNUMBER(D46),F46-D46,"n.a.")</f>
        <v>-10</v>
      </c>
      <c r="G48" s="12">
        <f>IF(ISNUMBER(F46),G46-F46,"n.a.")</f>
        <v>0</v>
      </c>
      <c r="H48" s="42">
        <f>IF(ISNUMBER(G46),H46-G46,"n.a.")</f>
        <v>13.028959710371822</v>
      </c>
      <c r="I48" s="7"/>
    </row>
    <row r="49">
      <c r="A49" s="7"/>
      <c r="B49" s="34" t="s">
        <v>265</v>
      </c>
      <c r="C49" s="35">
        <f>C40+C43+C46</f>
        <v>539</v>
      </c>
      <c r="D49" s="35">
        <f>D40+D43+D46</f>
        <v>487</v>
      </c>
      <c r="E49" s="35">
        <f>E40+E43+E46</f>
        <v>2082</v>
      </c>
      <c r="F49" s="35">
        <f>F40+F43+F46</f>
        <v>454</v>
      </c>
      <c r="G49" s="35">
        <f>G40+G43+G46</f>
        <v>471</v>
      </c>
      <c r="H49" s="50">
        <f>H40+H43+H46</f>
        <v>482.03864169983444</v>
      </c>
      <c r="I49" s="7"/>
    </row>
    <row r="50">
      <c r="A50" s="7"/>
      <c r="B50" s="44" t="s">
        <v>66</v>
      </c>
      <c r="C50" s="41">
        <f>IF(ISNUMBER(Inputs!C286),IF(AND(Inputs!C286&gt;0,C49&gt;=0),C49/Inputs!C286-1,"n.m."),"n.a.")</f>
        <v>-0.10465116279069764</v>
      </c>
      <c r="D50" s="41">
        <f>IF(ISNUMBER(Inputs!D286),IF(AND(Inputs!D286&gt;0,D49&gt;=0),D49/Inputs!D286-1,"n.m."),"n.a.")</f>
        <v>-0.14860139860139865</v>
      </c>
      <c r="E50" s="41">
        <f>IF(ISNUMBER(Inputs!E286),IF(AND(Inputs!E286&gt;0,E49&gt;=0),E49/Inputs!E286-1,"n.m."),"n.a.")</f>
        <v>-0.09082969432314414</v>
      </c>
      <c r="F50" s="41">
        <f>IF(ISNUMBER(Inputs!F286),IF(AND(Inputs!F286&gt;0,F49&gt;=0),F49/Inputs!F286-1,"n.m."),"n.a.")</f>
        <v>-0.14500941619585683</v>
      </c>
      <c r="G50" s="41">
        <f>IF(ISNUMBER(Inputs!G286),IF(AND(Inputs!G286&gt;0,G49&gt;=0),G49/Inputs!G286-1,"n.m."),"n.a.")</f>
        <v>-0.10285714285714287</v>
      </c>
      <c r="H50" s="40">
        <f>IF(ISNUMBER(C49),IF(AND(C49&gt;0,H49&gt;=0),H49/C49-1,"n.m."),"n.a.")</f>
        <v>-0.10567970000030713</v>
      </c>
      <c r="I50" s="7"/>
    </row>
    <row r="51">
      <c r="A51" s="7"/>
      <c r="B51" s="48" t="s">
        <v>78</v>
      </c>
      <c r="C51" s="29">
        <f>IF(ISNUMBER(Inputs!G286),C49-Inputs!G286,"n.a.")</f>
        <v>14</v>
      </c>
      <c r="D51" s="12">
        <f>IF(ISNUMBER(C49),D49-C49,"n.a.")</f>
        <v>-52</v>
      </c>
      <c r="E51" s="12"/>
      <c r="F51" s="12">
        <f>IF(ISNUMBER(D49),F49-D49,"n.a.")</f>
        <v>-33</v>
      </c>
      <c r="G51" s="12">
        <f>IF(ISNUMBER(F49),G49-F49,"n.a.")</f>
        <v>17</v>
      </c>
      <c r="H51" s="42">
        <f>IF(ISNUMBER(G49),H49-G49,"n.a.")</f>
        <v>11.038641699834443</v>
      </c>
      <c r="I51" s="7"/>
    </row>
    <row r="52">
      <c r="A52" s="7"/>
      <c r="B52" s="34" t="s">
        <v>186</v>
      </c>
      <c r="C52" s="35">
        <f>C33-C49</f>
        <v>1257</v>
      </c>
      <c r="D52" s="35">
        <f>D33-D49</f>
        <v>1281</v>
      </c>
      <c r="E52" s="35">
        <f>E33-E49</f>
        <v>4991</v>
      </c>
      <c r="F52" s="35">
        <f>F33-F49</f>
        <v>1248</v>
      </c>
      <c r="G52" s="35">
        <f>G33-G49</f>
        <v>1277</v>
      </c>
      <c r="H52" s="50">
        <f>H33-H49</f>
        <v>1302.4560536479144</v>
      </c>
      <c r="I52" s="7"/>
    </row>
    <row r="53">
      <c r="A53" s="7"/>
      <c r="B53" s="44" t="s">
        <v>66</v>
      </c>
      <c r="C53" s="41">
        <f>IF(ISNUMBER(Inputs!C287),IF(AND(Inputs!C287&gt;0,C52&gt;=0),C52/Inputs!C287-1,"n.m."),"n.a.")</f>
        <v>0.03201970443349755</v>
      </c>
      <c r="D53" s="41">
        <f>IF(ISNUMBER(Inputs!D287),IF(AND(Inputs!D287&gt;0,D52&gt;=0),D52/Inputs!D287-1,"n.m."),"n.a.")</f>
        <v>0.04146341463414638</v>
      </c>
      <c r="E53" s="41">
        <f>IF(ISNUMBER(Inputs!E287),IF(AND(Inputs!E287&gt;0,E52&gt;=0),E52/Inputs!E287-1,"n.m."),"n.a.")</f>
        <v>0.03590701535907015</v>
      </c>
      <c r="F53" s="41">
        <f>IF(ISNUMBER(Inputs!F287),IF(AND(Inputs!F287&gt;0,F52&gt;=0),F52/Inputs!F287-1,"n.m."),"n.a.")</f>
        <v>0.045226130653266416</v>
      </c>
      <c r="G53" s="41">
        <f>IF(ISNUMBER(Inputs!G287),IF(AND(Inputs!G287&gt;0,G52&gt;=0),G52/Inputs!G287-1,"n.m."),"n.a.")</f>
        <v>0.01429706115965046</v>
      </c>
      <c r="H53" s="40">
        <f>IF(ISNUMBER(C52),IF(AND(C52&gt;0,H52&gt;=0),H52/C52-1,"n.m."),"n.a.")</f>
        <v>0.03616233384877843</v>
      </c>
      <c r="I53" s="7"/>
    </row>
    <row r="54">
      <c r="A54" s="7"/>
      <c r="B54" s="44" t="s">
        <v>67</v>
      </c>
      <c r="C54" s="41">
        <f>IF(ISNUMBER(Inputs!G287),IF(AND(Inputs!G287&gt;0,C52&gt;=0),C52/Inputs!G287-1,"n.m."),"n.a.")</f>
        <v>-0.001588562351072298</v>
      </c>
      <c r="D54" s="24">
        <f>IF(ISNUMBER(C52),IF(AND(C52&gt;0,D52&gt;=0),D52/C52-1,"n.m."),"n.a.")</f>
        <v>0.019093078758949833</v>
      </c>
      <c r="E54" s="24"/>
      <c r="F54" s="24">
        <f>IF(ISNUMBER(D52),IF(AND(D52&gt;0,F52&gt;=0),F52/D52-1,"n.m."),"n.a.")</f>
        <v>-0.025761124121779888</v>
      </c>
      <c r="G54" s="24">
        <f>IF(ISNUMBER(F52),IF(AND(F52&gt;0,G52&gt;=0),G52/F52-1,"n.m."),"n.a.")</f>
        <v>0.023237179487179516</v>
      </c>
      <c r="H54" s="40">
        <f>IF(ISNUMBER(G52),IF(AND(G52&gt;0,H52&gt;=0),H52/G52-1,"n.m."),"n.a.")</f>
        <v>0.019934262840966666</v>
      </c>
      <c r="I54" s="7"/>
    </row>
    <row r="55">
      <c r="A55" s="7"/>
      <c r="B55" s="48" t="s">
        <v>78</v>
      </c>
      <c r="C55" s="29">
        <f>IF(ISNUMBER(Inputs!G287),C52-Inputs!G287,"n.a.")</f>
        <v>-2</v>
      </c>
      <c r="D55" s="12">
        <f>IF(ISNUMBER(C52),D52-C52,"n.a.")</f>
        <v>24</v>
      </c>
      <c r="E55" s="12"/>
      <c r="F55" s="12">
        <f>IF(ISNUMBER(D52),F52-D52,"n.a.")</f>
        <v>-33</v>
      </c>
      <c r="G55" s="12">
        <f>IF(ISNUMBER(F52),G52-F52,"n.a.")</f>
        <v>29</v>
      </c>
      <c r="H55" s="42">
        <f>IF(ISNUMBER(G52),H52-G52,"n.a.")</f>
        <v>25.45605364791436</v>
      </c>
      <c r="I55" s="7"/>
    </row>
    <row r="56">
      <c r="A56" s="7"/>
      <c r="B56" s="44" t="s">
        <v>70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8">
        <v>0</v>
      </c>
      <c r="I56" s="7"/>
    </row>
    <row r="57">
      <c r="A57" s="7"/>
      <c r="B57" s="44" t="s">
        <v>71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8">
        <v>0</v>
      </c>
      <c r="I57" s="7"/>
    </row>
    <row r="58">
      <c r="A58" s="7"/>
      <c r="B58" s="44" t="s">
        <v>72</v>
      </c>
      <c r="C58" s="24">
        <f>IF(AND(ISNUMBER(C53),ISNUMBER(C56),ISNUMBER(C57)),(1+C53)/((1+C56)*(1+C57))-1,"unavailable")</f>
        <v>0.03201970443349755</v>
      </c>
      <c r="D58" s="24">
        <f>IF(AND(ISNUMBER(D53),ISNUMBER(D56),ISNUMBER(D57)),(1+D53)/((1+D56)*(1+D57))-1,"unavailable")</f>
        <v>0.04146341463414638</v>
      </c>
      <c r="E58" s="24">
        <f>IF(AND(ISNUMBER(E53),ISNUMBER(E56),ISNUMBER(E57)),(1+E53)/((1+E56)*(1+E57))-1,"unavailable")</f>
        <v>0.03590701535907015</v>
      </c>
      <c r="F58" s="24">
        <f>IF(AND(ISNUMBER(F53),ISNUMBER(F56),ISNUMBER(F57)),(1+F53)/((1+F56)*(1+F57))-1,"unavailable")</f>
        <v>0.045226130653266416</v>
      </c>
      <c r="G58" s="24">
        <f>IF(AND(ISNUMBER(G53),ISNUMBER(G56),ISNUMBER(G57)),(1+G53)/((1+G56)*(1+G57))-1,"unavailable")</f>
        <v>0.01429706115965046</v>
      </c>
      <c r="H58" s="40">
        <f>IF(AND(ISNUMBER(H53),ISNUMBER(H56),ISNUMBER(H57)),(1+H53)/((1+H56)*(1+H57))-1,"unavailable")</f>
        <v>0.03616233384877843</v>
      </c>
      <c r="I58" s="7"/>
    </row>
    <row r="59">
      <c r="A59" s="7"/>
      <c r="B59" s="1" t="s">
        <v>96</v>
      </c>
      <c r="C59" s="29">
        <f>'Revenue summary'!C414</f>
        <v>12</v>
      </c>
      <c r="D59" s="29">
        <f>'Revenue summary'!D414</f>
        <v>13</v>
      </c>
      <c r="E59" s="29">
        <f>'Revenue summary'!E414</f>
        <v>49</v>
      </c>
      <c r="F59" s="29">
        <f>'Revenue summary'!F414</f>
        <v>13</v>
      </c>
      <c r="G59" s="29">
        <f>'Revenue summary'!G414</f>
        <v>14</v>
      </c>
      <c r="H59" s="32">
        <f>'Revenue summary'!H414</f>
        <v>14</v>
      </c>
      <c r="I59" s="7"/>
    </row>
    <row r="60">
      <c r="A60" s="7"/>
      <c r="B60" s="1" t="s">
        <v>266</v>
      </c>
      <c r="C60" s="12">
        <f>C52+C59</f>
        <v>1269</v>
      </c>
      <c r="D60" s="12">
        <f>D52+D59</f>
        <v>1294</v>
      </c>
      <c r="E60" s="12">
        <f>E52+E59</f>
        <v>5040</v>
      </c>
      <c r="F60" s="12">
        <f>F52+F59</f>
        <v>1261</v>
      </c>
      <c r="G60" s="12">
        <f>G52+G59</f>
        <v>1291</v>
      </c>
      <c r="H60" s="42">
        <f>H52+H59</f>
        <v>1316.4560536479144</v>
      </c>
      <c r="I60" s="7"/>
    </row>
    <row r="61">
      <c r="A61" s="7"/>
      <c r="B61" s="44" t="s">
        <v>66</v>
      </c>
      <c r="C61" s="41" t="str">
        <f>IF(ISNUMBER(Inputs!C288),IF(AND(Inputs!C288&gt;0,C60&gt;=0),C60/Inputs!C288-1,"n.m."),"n.a.")</f>
        <v>n.a.</v>
      </c>
      <c r="D61" s="41">
        <f>IF(ISNUMBER(Inputs!D288),IF(AND(Inputs!D288&gt;0,D60&gt;=0),D60/Inputs!D288-1,"n.m."),"n.a.")</f>
        <v>0.04102976669348357</v>
      </c>
      <c r="E61" s="41">
        <f>IF(ISNUMBER(Inputs!E288),IF(AND(Inputs!E288&gt;0,E60&gt;=0),E60/Inputs!E288-1,"n.m."),"n.a.")</f>
        <v>0.03533278553820862</v>
      </c>
      <c r="F61" s="41">
        <f>IF(ISNUMBER(Inputs!F288),IF(AND(Inputs!F288&gt;0,F60&gt;=0),F60/Inputs!F288-1,"n.m."),"n.a.")</f>
        <v>0.04560530679933672</v>
      </c>
      <c r="G61" s="41">
        <f>IF(ISNUMBER(Inputs!G288),IF(AND(Inputs!G288&gt;0,G60&gt;=0),G60/Inputs!G288-1,"n.m."),"n.a.")</f>
        <v>0.015735641227379915</v>
      </c>
      <c r="H61" s="40">
        <f>IF(ISNUMBER(C60),IF(AND(C60&gt;0,H60&gt;=0),H60/C60-1,"n.m."),"n.a.")</f>
        <v>0.03739641737424293</v>
      </c>
      <c r="I61" s="7"/>
    </row>
    <row r="62">
      <c r="A62" s="7"/>
      <c r="B62" s="48" t="s">
        <v>78</v>
      </c>
      <c r="C62" s="29">
        <f>IF(ISNUMBER(Inputs!G288),C60-Inputs!G288,"n.a.")</f>
        <v>-2</v>
      </c>
      <c r="D62" s="12">
        <f>IF(ISNUMBER(C60),D60-C60,"n.a.")</f>
        <v>25</v>
      </c>
      <c r="E62" s="12"/>
      <c r="F62" s="12">
        <f>IF(ISNUMBER(D60),F60-D60,"n.a.")</f>
        <v>-33</v>
      </c>
      <c r="G62" s="12">
        <f>IF(ISNUMBER(F60),G60-F60,"n.a.")</f>
        <v>30</v>
      </c>
      <c r="H62" s="42">
        <f>IF(ISNUMBER(G60),H60-G60,"n.a.")</f>
        <v>25.45605364791436</v>
      </c>
      <c r="I62" s="7"/>
    </row>
    <row r="63">
      <c r="A63" s="7"/>
      <c r="B63" s="44" t="s">
        <v>70</v>
      </c>
      <c r="C63" s="52">
        <v>0</v>
      </c>
      <c r="D63" s="52">
        <v>0</v>
      </c>
      <c r="E63" s="52">
        <v>0</v>
      </c>
      <c r="F63" s="52">
        <v>0</v>
      </c>
      <c r="G63" s="52">
        <v>0</v>
      </c>
      <c r="H63" s="58">
        <v>0</v>
      </c>
      <c r="I63" s="7"/>
    </row>
    <row r="64">
      <c r="A64" s="7"/>
      <c r="B64" s="44" t="s">
        <v>71</v>
      </c>
      <c r="C64" s="52">
        <v>0</v>
      </c>
      <c r="D64" s="52">
        <v>0</v>
      </c>
      <c r="E64" s="52">
        <v>0</v>
      </c>
      <c r="F64" s="52">
        <v>0</v>
      </c>
      <c r="G64" s="52">
        <v>0</v>
      </c>
      <c r="H64" s="58">
        <v>0</v>
      </c>
      <c r="I64" s="7"/>
    </row>
    <row r="65">
      <c r="A65" s="7"/>
      <c r="B65" s="44" t="s">
        <v>72</v>
      </c>
      <c r="C65" s="24" t="str">
        <f>IF(AND(ISNUMBER(C61),ISNUMBER(C63),ISNUMBER(C64)),(1+C61)/((1+C63)*(1+C64))-1,"unavailable")</f>
        <v>unavailable</v>
      </c>
      <c r="D65" s="24">
        <f>IF(AND(ISNUMBER(D61),ISNUMBER(D63),ISNUMBER(D64)),(1+D61)/((1+D63)*(1+D64))-1,"unavailable")</f>
        <v>0.04102976669348357</v>
      </c>
      <c r="E65" s="24">
        <f>IF(AND(ISNUMBER(E61),ISNUMBER(E63),ISNUMBER(E64)),(1+E61)/((1+E63)*(1+E64))-1,"unavailable")</f>
        <v>0.03533278553820862</v>
      </c>
      <c r="F65" s="24">
        <f>IF(AND(ISNUMBER(F61),ISNUMBER(F63),ISNUMBER(F64)),(1+F61)/((1+F63)*(1+F64))-1,"unavailable")</f>
        <v>0.04560530679933672</v>
      </c>
      <c r="G65" s="24">
        <f>IF(AND(ISNUMBER(G61),ISNUMBER(G63),ISNUMBER(G64)),(1+G61)/((1+G63)*(1+G64))-1,"unavailable")</f>
        <v>0.015735641227379915</v>
      </c>
      <c r="H65" s="40">
        <f>IF(AND(ISNUMBER(H61),ISNUMBER(H63),ISNUMBER(H64)),(1+H61)/((1+H63)*(1+H64))-1,"unavailable")</f>
        <v>0.03739641737424293</v>
      </c>
      <c r="I65" s="7"/>
    </row>
    <row r="66">
      <c r="A66" s="7"/>
      <c r="B66" s="7"/>
      <c r="C66" s="7"/>
      <c r="D66" s="7"/>
      <c r="E66" s="7"/>
      <c r="F66" s="7"/>
      <c r="G66" s="7"/>
      <c r="H66" s="49"/>
      <c r="I66" s="7"/>
    </row>
    <row r="67">
      <c r="A67" s="7"/>
      <c r="B67" s="34" t="s">
        <v>267</v>
      </c>
      <c r="C67" s="9"/>
      <c r="D67" s="9"/>
      <c r="E67" s="9"/>
      <c r="F67" s="9"/>
      <c r="G67" s="9"/>
      <c r="H67" s="43"/>
      <c r="I67" s="7"/>
    </row>
    <row r="68">
      <c r="A68" s="7"/>
      <c r="B68" s="1" t="s">
        <v>268</v>
      </c>
      <c r="C68" s="31">
        <v>135</v>
      </c>
      <c r="D68" s="31">
        <v>142</v>
      </c>
      <c r="E68" s="31">
        <v>513</v>
      </c>
      <c r="F68" s="31">
        <v>130</v>
      </c>
      <c r="G68" s="31">
        <v>102</v>
      </c>
      <c r="H68" s="32">
        <f>H71*'Revenue summary'!H271*H$6/$I$6</f>
        <v>107.89948380712329</v>
      </c>
      <c r="I68" s="39" t="s">
        <v>106</v>
      </c>
    </row>
    <row r="69">
      <c r="A69" s="7"/>
      <c r="B69" s="44" t="s">
        <v>66</v>
      </c>
      <c r="C69" s="41" t="str">
        <f>IF(ISNUMBER(Inputs!C289),IF(AND(Inputs!C289&gt;0,C68&gt;=0),C68/Inputs!C289-1,"n.m."),"n.a.")</f>
        <v>n.a.</v>
      </c>
      <c r="D69" s="41">
        <f>IF(ISNUMBER(Inputs!D289),IF(AND(Inputs!D289&gt;0,D68&gt;=0),D68/Inputs!D289-1,"n.m."),"n.a.")</f>
        <v>0.19327731092436973</v>
      </c>
      <c r="E69" s="41">
        <f>IF(ISNUMBER(Inputs!E289),IF(AND(Inputs!E289&gt;0,E68&gt;=0),E68/Inputs!E289-1,"n.m."),"n.a.")</f>
        <v>0.12008733624454138</v>
      </c>
      <c r="F69" s="41">
        <f>IF(ISNUMBER(Inputs!F289),IF(AND(Inputs!F289&gt;0,F68&gt;=0),F68/Inputs!F289-1,"n.m."),"n.a.")</f>
        <v>0.05691056910569103</v>
      </c>
      <c r="G69" s="41">
        <f>IF(ISNUMBER(Inputs!G289),IF(AND(Inputs!G289&gt;0,G68&gt;=0),G68/Inputs!G289-1,"n.m."),"n.a.")</f>
        <v>-0.09734513274336287</v>
      </c>
      <c r="H69" s="40">
        <f>IF(ISNUMBER(C68),IF(AND(C68&gt;0,H68&gt;=0),H68/C68-1,"n.m."),"n.a.")</f>
        <v>-0.20074456439167931</v>
      </c>
      <c r="I69" s="7"/>
    </row>
    <row r="70">
      <c r="A70" s="7"/>
      <c r="B70" s="48" t="s">
        <v>78</v>
      </c>
      <c r="C70" s="29">
        <f>IF(ISNUMBER(Inputs!G289),C68-Inputs!G289,"n.a.")</f>
        <v>22</v>
      </c>
      <c r="D70" s="12">
        <f>IF(ISNUMBER(C68),D68-C68,"n.a.")</f>
        <v>7</v>
      </c>
      <c r="E70" s="12"/>
      <c r="F70" s="12">
        <f>IF(ISNUMBER(D68),F68-D68,"n.a.")</f>
        <v>-12</v>
      </c>
      <c r="G70" s="12">
        <f>IF(ISNUMBER(F68),G68-F68,"n.a.")</f>
        <v>-28</v>
      </c>
      <c r="H70" s="42">
        <f>IF(ISNUMBER(G68),H68-G68,"n.a.")</f>
        <v>5.899483807123289</v>
      </c>
      <c r="I70" s="7"/>
    </row>
    <row r="71">
      <c r="A71" s="7"/>
      <c r="B71" s="44" t="s">
        <v>269</v>
      </c>
      <c r="C71" s="62">
        <f>C68*$I$6/C$6/'Revenue summary'!C271</f>
        <v>0.00554179463498046</v>
      </c>
      <c r="D71" s="62">
        <f>D68*$I$6/D$6/'Revenue summary'!D271</f>
        <v>0.005889845011734235</v>
      </c>
      <c r="E71" s="62">
        <f>E68*$I$6/E$6/'Revenue summary'!E271</f>
        <v>0.00533685656027631</v>
      </c>
      <c r="F71" s="62">
        <f>F68*$I$6/F$6/'Revenue summary'!F271</f>
        <v>0.005467805629592755</v>
      </c>
      <c r="G71" s="62">
        <f>G68*$I$6/G$6/'Revenue summary'!G271</f>
        <v>0.004144171300428264</v>
      </c>
      <c r="H71" s="66">
        <v>0.0043</v>
      </c>
      <c r="I71" s="7"/>
    </row>
    <row r="72">
      <c r="A72" s="7"/>
      <c r="B72" s="44" t="s">
        <v>69</v>
      </c>
      <c r="C72" s="38" t="str">
        <f>"n.a."</f>
        <v>n.a.</v>
      </c>
      <c r="D72" s="38">
        <f>IF(AND(ISNUMBER(D71),ISNUMBER(C71)),(D71-C71)*10000,"n.a.")</f>
        <v>3.480503767537748</v>
      </c>
      <c r="E72" s="38"/>
      <c r="F72" s="38">
        <f>IF(AND(ISNUMBER(F71),ISNUMBER(D71)),(F71-D71)*10000,"n.a.")</f>
        <v>-4.220393821414798</v>
      </c>
      <c r="G72" s="38">
        <f>IF(AND(ISNUMBER(G71),ISNUMBER(F71)),(G71-F71)*10000,"n.a.")</f>
        <v>-13.236343291644905</v>
      </c>
      <c r="H72" s="67">
        <f>IF(AND(ISNUMBER(H71),ISNUMBER(G71)),(H71-G71)*10000,"n.a.")</f>
        <v>1.5582869957173582</v>
      </c>
      <c r="I72" s="7"/>
    </row>
    <row r="73">
      <c r="A73" s="7"/>
      <c r="B73" s="1" t="s">
        <v>270</v>
      </c>
      <c r="C73" s="12">
        <f>C76-C68</f>
        <v>-30</v>
      </c>
      <c r="D73" s="12">
        <f>D76-D68</f>
        <v>-27</v>
      </c>
      <c r="E73" s="12">
        <f>E76-E68</f>
        <v>-43</v>
      </c>
      <c r="F73" s="12">
        <f>F76-F68</f>
        <v>-39</v>
      </c>
      <c r="G73" s="12">
        <f>G76-G68</f>
        <v>-34</v>
      </c>
      <c r="H73" s="71">
        <v>-8</v>
      </c>
      <c r="I73" s="7"/>
    </row>
    <row r="74">
      <c r="A74" s="7"/>
      <c r="B74" s="48" t="s">
        <v>271</v>
      </c>
      <c r="C74" s="29" t="str">
        <f>IF(ISNUMBER(Inputs!C290),C73-Inputs!C290,"n.a.")</f>
        <v>n.a.</v>
      </c>
      <c r="D74" s="29">
        <f>IF(ISNUMBER(Inputs!D290),D73-Inputs!D290,"n.a.")</f>
        <v>-28</v>
      </c>
      <c r="E74" s="29">
        <f>IF(ISNUMBER(Inputs!E290),E73-Inputs!E290,"n.a.")</f>
        <v>-72</v>
      </c>
      <c r="F74" s="29">
        <f>IF(ISNUMBER(Inputs!F290),F73-Inputs!F290,"n.a.")</f>
        <v>-40</v>
      </c>
      <c r="G74" s="29">
        <f>IF(ISNUMBER(Inputs!G290),G73-Inputs!G290,"n.a.")</f>
        <v>-47</v>
      </c>
      <c r="H74" s="42">
        <f>IF(ISNUMBER(C73),H73-C73,"n.a.")</f>
        <v>22</v>
      </c>
      <c r="I74" s="7"/>
    </row>
    <row r="75">
      <c r="A75" s="7"/>
      <c r="B75" s="48" t="s">
        <v>78</v>
      </c>
      <c r="C75" s="29">
        <f>IF(ISNUMBER(Inputs!G290),C73-Inputs!G290,"n.a.")</f>
        <v>-43</v>
      </c>
      <c r="D75" s="12">
        <f>IF(ISNUMBER(C73),D73-C73,"n.a.")</f>
        <v>3</v>
      </c>
      <c r="E75" s="12"/>
      <c r="F75" s="12">
        <f>IF(ISNUMBER(D73),F73-D73,"n.a.")</f>
        <v>-12</v>
      </c>
      <c r="G75" s="12">
        <f>IF(ISNUMBER(F73),G73-F73,"n.a.")</f>
        <v>5</v>
      </c>
      <c r="H75" s="42">
        <f>IF(ISNUMBER(G73),H73-G73,"n.a.")</f>
        <v>26</v>
      </c>
      <c r="I75" s="7"/>
    </row>
    <row r="76">
      <c r="A76" s="7"/>
      <c r="B76" s="34" t="s">
        <v>207</v>
      </c>
      <c r="C76" s="72">
        <v>105</v>
      </c>
      <c r="D76" s="72">
        <v>115</v>
      </c>
      <c r="E76" s="72">
        <v>470</v>
      </c>
      <c r="F76" s="72">
        <v>91</v>
      </c>
      <c r="G76" s="72">
        <v>68</v>
      </c>
      <c r="H76" s="50">
        <f>H68+H73</f>
        <v>99.89948380712329</v>
      </c>
      <c r="I76" s="39" t="s">
        <v>106</v>
      </c>
    </row>
    <row r="77">
      <c r="A77" s="7"/>
      <c r="B77" s="44" t="s">
        <v>66</v>
      </c>
      <c r="C77" s="41">
        <f>IF(ISNUMBER(Inputs!C291),IF(AND(Inputs!C291&gt;0,C76&gt;=0),C76/Inputs!C291-1,"n.m."),"n.a.")</f>
        <v>-0.07079646017699115</v>
      </c>
      <c r="D77" s="41">
        <f>IF(ISNUMBER(Inputs!D291),IF(AND(Inputs!D291&gt;0,D76&gt;=0),D76/Inputs!D291-1,"n.m."),"n.a.")</f>
        <v>-0.04166666666666663</v>
      </c>
      <c r="E77" s="41">
        <f>IF(ISNUMBER(Inputs!E291),IF(AND(Inputs!E291&gt;0,E76&gt;=0),E76/Inputs!E291-1,"n.m."),"n.a.")</f>
        <v>-0.03490759753593431</v>
      </c>
      <c r="F77" s="41">
        <f>IF(ISNUMBER(Inputs!F291),IF(AND(Inputs!F291&gt;0,F76&gt;=0),F76/Inputs!F291-1,"n.m."),"n.a.")</f>
        <v>-0.2661290322580645</v>
      </c>
      <c r="G77" s="41">
        <f>IF(ISNUMBER(Inputs!G291),IF(AND(Inputs!G291&gt;0,G76&gt;=0),G76/Inputs!G291-1,"n.m."),"n.a.")</f>
        <v>-0.46031746031746035</v>
      </c>
      <c r="H77" s="40">
        <f>IF(ISNUMBER(C76),IF(AND(C76&gt;0,H76&gt;=0),H76/C76-1,"n.m."),"n.a.")</f>
        <v>-0.04857634469406391</v>
      </c>
      <c r="I77" s="7"/>
    </row>
    <row r="78">
      <c r="A78" s="7"/>
      <c r="B78" s="48" t="s">
        <v>78</v>
      </c>
      <c r="C78" s="29">
        <f>IF(ISNUMBER(Inputs!G291),C76-Inputs!G291,"n.a.")</f>
        <v>-21</v>
      </c>
      <c r="D78" s="12">
        <f>IF(ISNUMBER(C76),D76-C76,"n.a.")</f>
        <v>10</v>
      </c>
      <c r="E78" s="12"/>
      <c r="F78" s="12">
        <f>IF(ISNUMBER(D76),F76-D76,"n.a.")</f>
        <v>-24</v>
      </c>
      <c r="G78" s="12">
        <f>IF(ISNUMBER(F76),G76-F76,"n.a.")</f>
        <v>-23</v>
      </c>
      <c r="H78" s="42">
        <f>IF(ISNUMBER(G76),H76-G76,"n.a.")</f>
        <v>31.89948380712329</v>
      </c>
      <c r="I78" s="7"/>
    </row>
    <row r="79">
      <c r="A79" s="7"/>
      <c r="B79" s="34" t="s">
        <v>272</v>
      </c>
      <c r="C79" s="35">
        <f>C52-C76</f>
        <v>1152</v>
      </c>
      <c r="D79" s="35">
        <f>D52-D76</f>
        <v>1166</v>
      </c>
      <c r="E79" s="35">
        <f>E52-E76</f>
        <v>4521</v>
      </c>
      <c r="F79" s="35">
        <f>F52-F76</f>
        <v>1157</v>
      </c>
      <c r="G79" s="35">
        <f>G52-G76</f>
        <v>1209</v>
      </c>
      <c r="H79" s="50">
        <f>H52-H76</f>
        <v>1202.556569840791</v>
      </c>
      <c r="I79" s="7"/>
    </row>
    <row r="80">
      <c r="A80" s="7"/>
      <c r="B80" s="44" t="s">
        <v>66</v>
      </c>
      <c r="C80" s="41">
        <f>IF(ISNUMBER(Inputs!C292),IF(AND(Inputs!C292&gt;0,C79&gt;=0),C79/Inputs!C292-1,"n.m."),"n.a.")</f>
        <v>0.04253393665158378</v>
      </c>
      <c r="D80" s="41">
        <f>IF(ISNUMBER(Inputs!D292),IF(AND(Inputs!D292&gt;0,D79&gt;=0),D79/Inputs!D292-1,"n.m."),"n.a.")</f>
        <v>0.05045045045045038</v>
      </c>
      <c r="E80" s="41">
        <f>IF(ISNUMBER(Inputs!E292),IF(AND(Inputs!E292&gt;0,E79&gt;=0),E79/Inputs!E292-1,"n.m."),"n.a.")</f>
        <v>0.04386977603324871</v>
      </c>
      <c r="F80" s="41">
        <f>IF(ISNUMBER(Inputs!F292),IF(AND(Inputs!F292&gt;0,F79&gt;=0),F79/Inputs!F292-1,"n.m."),"n.a.")</f>
        <v>0.08130841121495336</v>
      </c>
      <c r="G80" s="41">
        <f>IF(ISNUMBER(Inputs!G292),IF(AND(Inputs!G292&gt;0,G79&gt;=0),G79/Inputs!G292-1,"n.m."),"n.a.")</f>
        <v>0.06707855251544581</v>
      </c>
      <c r="H80" s="40">
        <f>IF(ISNUMBER(C79),IF(AND(C79&gt;0,H79&gt;=0),H79/C79-1,"n.m."),"n.a.")</f>
        <v>0.04388591132013109</v>
      </c>
      <c r="I80" s="7"/>
    </row>
    <row r="81">
      <c r="A81" s="7"/>
      <c r="B81" s="48" t="s">
        <v>78</v>
      </c>
      <c r="C81" s="29">
        <f>IF(ISNUMBER(Inputs!G292),C79-Inputs!G292,"n.a.")</f>
        <v>19</v>
      </c>
      <c r="D81" s="12">
        <f>IF(ISNUMBER(C79),D79-C79,"n.a.")</f>
        <v>14</v>
      </c>
      <c r="E81" s="12"/>
      <c r="F81" s="12">
        <f>IF(ISNUMBER(D79),F79-D79,"n.a.")</f>
        <v>-9</v>
      </c>
      <c r="G81" s="12">
        <f>IF(ISNUMBER(F79),G79-F79,"n.a.")</f>
        <v>52</v>
      </c>
      <c r="H81" s="42">
        <f>IF(ISNUMBER(G79),H79-G79,"n.a.")</f>
        <v>-6.443430159208901</v>
      </c>
      <c r="I81" s="7"/>
    </row>
    <row r="82">
      <c r="A82" s="7"/>
      <c r="B82" s="1" t="s">
        <v>273</v>
      </c>
      <c r="C82" s="31">
        <v>1713</v>
      </c>
      <c r="D82" s="31">
        <v>1686</v>
      </c>
      <c r="E82" s="12">
        <f>D82</f>
        <v>1686</v>
      </c>
      <c r="F82" s="31">
        <v>1647</v>
      </c>
      <c r="G82" s="31">
        <v>1613</v>
      </c>
      <c r="H82" s="42">
        <f>G82+H76-H68</f>
        <v>1605</v>
      </c>
      <c r="I82" s="39" t="s">
        <v>156</v>
      </c>
    </row>
    <row r="83">
      <c r="A83" s="7"/>
      <c r="B83" s="48" t="s">
        <v>78</v>
      </c>
      <c r="C83" s="12" t="str">
        <f>"n.a."</f>
        <v>n.a.</v>
      </c>
      <c r="D83" s="12">
        <f>IF(ISNUMBER(C82),D82-C82,"n.a.")</f>
        <v>-27</v>
      </c>
      <c r="E83" s="12"/>
      <c r="F83" s="12">
        <f>IF(ISNUMBER(D82),F82-D82,"n.a.")</f>
        <v>-39</v>
      </c>
      <c r="G83" s="12">
        <f>IF(ISNUMBER(F82),G82-F82,"n.a.")</f>
        <v>-34</v>
      </c>
      <c r="H83" s="42">
        <f>IF(ISNUMBER(G82),H82-G82,"n.a.")</f>
        <v>-8</v>
      </c>
      <c r="I83" s="7"/>
    </row>
    <row r="84">
      <c r="A84" s="7"/>
      <c r="B84" s="44" t="s">
        <v>274</v>
      </c>
      <c r="C84" s="62">
        <f>C82/'Balance Sheet'!C14</f>
        <v>0.017820546163849156</v>
      </c>
      <c r="D84" s="62">
        <f>D82/'Balance Sheet'!D14</f>
        <v>0.0176291602622416</v>
      </c>
      <c r="E84" s="62">
        <f>E82/'Balance Sheet'!E14</f>
        <v>0.0176291602622416</v>
      </c>
      <c r="F84" s="62">
        <f>F82/'Balance Sheet'!F14</f>
        <v>0.016818822376079897</v>
      </c>
      <c r="G84" s="62">
        <f>G82/'Balance Sheet'!G14</f>
        <v>0.01626008064516129</v>
      </c>
      <c r="H84" s="56">
        <f>H82/'Balance Sheet'!H14</f>
        <v>0.01605102726574501</v>
      </c>
      <c r="I84" s="7"/>
    </row>
    <row r="85">
      <c r="A85" s="7"/>
      <c r="B85" s="44" t="s">
        <v>69</v>
      </c>
      <c r="C85" s="38" t="str">
        <f>"n.a."</f>
        <v>n.a.</v>
      </c>
      <c r="D85" s="38">
        <f>IF(AND(ISNUMBER(D84),ISNUMBER(C84)),(D84-C84)*10000,"n.a.")</f>
        <v>-1.9138590160755475</v>
      </c>
      <c r="E85" s="38"/>
      <c r="F85" s="38">
        <f>IF(AND(ISNUMBER(F84),ISNUMBER(D84)),(F84-D84)*10000,"n.a.")</f>
        <v>-8.103378861617044</v>
      </c>
      <c r="G85" s="38">
        <f>IF(AND(ISNUMBER(G84),ISNUMBER(F84)),(G84-F84)*10000,"n.a.")</f>
        <v>-5.587417309186084</v>
      </c>
      <c r="H85" s="67">
        <f>IF(AND(ISNUMBER(H84),ISNUMBER(G84)),(H84-G84)*10000,"n.a.")</f>
        <v>-2.0905337941628037</v>
      </c>
      <c r="I85" s="7"/>
    </row>
    <row r="86">
      <c r="A86" s="7"/>
      <c r="B86" s="7"/>
      <c r="C86" s="7"/>
      <c r="D86" s="7"/>
      <c r="E86" s="7"/>
      <c r="F86" s="7"/>
      <c r="G86" s="7"/>
      <c r="H86" s="49"/>
      <c r="I86" s="7"/>
    </row>
    <row r="87">
      <c r="A87" s="7"/>
      <c r="B87" s="34" t="s">
        <v>275</v>
      </c>
      <c r="C87" s="9"/>
      <c r="D87" s="9"/>
      <c r="E87" s="9"/>
      <c r="F87" s="9"/>
      <c r="G87" s="9"/>
      <c r="H87" s="43"/>
      <c r="I87" s="7"/>
    </row>
    <row r="88">
      <c r="A88" s="7"/>
      <c r="B88" s="1" t="s">
        <v>188</v>
      </c>
      <c r="C88" s="29">
        <f>'Segment - Corporate Bank'!C34+'Segment - Consumer Bank'!C34+'Segment - Wealth Management'!C43+'Revenue summary'!C42</f>
        <v>160</v>
      </c>
      <c r="D88" s="29">
        <f>'Segment - Corporate Bank'!D34+'Segment - Consumer Bank'!D34+'Segment - Wealth Management'!D43+'Revenue summary'!D42</f>
        <v>163</v>
      </c>
      <c r="E88" s="29">
        <f>'Segment - Corporate Bank'!E34+'Segment - Consumer Bank'!E34+'Segment - Wealth Management'!E43+'Revenue summary'!E42</f>
        <v>635</v>
      </c>
      <c r="F88" s="29">
        <f>'Segment - Corporate Bank'!F34+'Segment - Consumer Bank'!F34+'Segment - Wealth Management'!F43+'Revenue summary'!F42</f>
        <v>163</v>
      </c>
      <c r="G88" s="29">
        <f>'Segment - Corporate Bank'!G34+'Segment - Consumer Bank'!G34+'Segment - Wealth Management'!G43+'Revenue summary'!G42</f>
        <v>167</v>
      </c>
      <c r="H88" s="32">
        <f>'Segment - Corporate Bank'!H34+'Segment - Consumer Bank'!H34+'Segment - Wealth Management'!H43+'Revenue summary'!H42</f>
        <v>169.07436200993172</v>
      </c>
      <c r="I88" s="39" t="s">
        <v>276</v>
      </c>
    </row>
    <row r="89">
      <c r="A89" s="7"/>
      <c r="B89" s="44" t="s">
        <v>66</v>
      </c>
      <c r="C89" s="41">
        <f>IF(ISNUMBER(Inputs!C293),IF(AND(Inputs!C293&gt;0,C88&gt;=0),C88/Inputs!C293-1,"n.m."),"n.a.")</f>
        <v>0.012658227848101333</v>
      </c>
      <c r="D89" s="41">
        <f>IF(ISNUMBER(Inputs!D293),IF(AND(Inputs!D293&gt;0,D88&gt;=0),D88/Inputs!D293-1,"n.m."),"n.a.")</f>
        <v>0.05161290322580636</v>
      </c>
      <c r="E89" s="41">
        <f>IF(ISNUMBER(Inputs!E293),IF(AND(Inputs!E293&gt;0,E88&gt;=0),E88/Inputs!E293-1,"n.m."),"n.a.")</f>
        <v>0.03758169934640532</v>
      </c>
      <c r="F89" s="41">
        <f>IF(ISNUMBER(Inputs!F293),IF(AND(Inputs!F293&gt;0,F88&gt;=0),F88/Inputs!F293-1,"n.m."),"n.a.")</f>
        <v>0.012422360248447228</v>
      </c>
      <c r="G89" s="41">
        <f>IF(ISNUMBER(Inputs!G293),IF(AND(Inputs!G293&gt;0,G88&gt;=0),G88/Inputs!G293-1,"n.m."),"n.a.")</f>
        <v>0.10596026490066235</v>
      </c>
      <c r="H89" s="40">
        <f>IF(ISNUMBER(C88),IF(AND(C88&gt;0,H88&gt;=0),H88/C88-1,"n.m."),"n.a.")</f>
        <v>0.056714762562073195</v>
      </c>
      <c r="I89" s="7"/>
    </row>
    <row r="90">
      <c r="A90" s="7"/>
      <c r="B90" s="48" t="s">
        <v>78</v>
      </c>
      <c r="C90" s="29">
        <f>IF(ISNUMBER(Inputs!G293),C88-Inputs!G293,"n.a.")</f>
        <v>9</v>
      </c>
      <c r="D90" s="12">
        <f>IF(ISNUMBER(C88),D88-C88,"n.a.")</f>
        <v>3</v>
      </c>
      <c r="E90" s="12"/>
      <c r="F90" s="12">
        <f>IF(ISNUMBER(D88),F88-D88,"n.a.")</f>
        <v>0</v>
      </c>
      <c r="G90" s="12">
        <f>IF(ISNUMBER(F88),G88-F88,"n.a.")</f>
        <v>4</v>
      </c>
      <c r="H90" s="42">
        <f>IF(ISNUMBER(G88),H88-G88,"n.a.")</f>
        <v>2.0743620099317184</v>
      </c>
      <c r="I90" s="7"/>
    </row>
    <row r="91">
      <c r="A91" s="7"/>
      <c r="B91" s="44" t="s">
        <v>70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8">
        <v>0</v>
      </c>
      <c r="I91" s="7"/>
    </row>
    <row r="92">
      <c r="A92" s="7"/>
      <c r="B92" s="44" t="s">
        <v>71</v>
      </c>
      <c r="C92" s="52">
        <v>0</v>
      </c>
      <c r="D92" s="52">
        <v>0</v>
      </c>
      <c r="E92" s="52">
        <v>0</v>
      </c>
      <c r="F92" s="52">
        <v>0</v>
      </c>
      <c r="G92" s="52">
        <v>0</v>
      </c>
      <c r="H92" s="58">
        <v>0</v>
      </c>
      <c r="I92" s="7"/>
    </row>
    <row r="93">
      <c r="A93" s="7"/>
      <c r="B93" s="44" t="s">
        <v>72</v>
      </c>
      <c r="C93" s="24">
        <f>IF(AND(ISNUMBER(C89),ISNUMBER(C91),ISNUMBER(C92)),(1+C89)/((1+C91)*(1+C92))-1,"unavailable")</f>
        <v>0.012658227848101333</v>
      </c>
      <c r="D93" s="24">
        <f>IF(AND(ISNUMBER(D89),ISNUMBER(D91),ISNUMBER(D92)),(1+D89)/((1+D91)*(1+D92))-1,"unavailable")</f>
        <v>0.05161290322580636</v>
      </c>
      <c r="E93" s="24">
        <f>IF(AND(ISNUMBER(E89),ISNUMBER(E91),ISNUMBER(E92)),(1+E89)/((1+E91)*(1+E92))-1,"unavailable")</f>
        <v>0.03758169934640532</v>
      </c>
      <c r="F93" s="24">
        <f>IF(AND(ISNUMBER(F89),ISNUMBER(F91),ISNUMBER(F92)),(1+F89)/((1+F91)*(1+F92))-1,"unavailable")</f>
        <v>0.012422360248447228</v>
      </c>
      <c r="G93" s="24">
        <f>IF(AND(ISNUMBER(G89),ISNUMBER(G91),ISNUMBER(G92)),(1+G89)/((1+G91)*(1+G92))-1,"unavailable")</f>
        <v>0.10596026490066235</v>
      </c>
      <c r="H93" s="40">
        <f>IF(AND(ISNUMBER(H89),ISNUMBER(H91),ISNUMBER(H92)),(1+H89)/((1+H91)*(1+H92))-1,"unavailable")</f>
        <v>0.056714762562073195</v>
      </c>
      <c r="I93" s="7"/>
    </row>
    <row r="94">
      <c r="A94" s="7"/>
      <c r="B94" s="1" t="s">
        <v>191</v>
      </c>
      <c r="C94" s="29">
        <f>'Segment - Corporate Bank'!C43+'Segment - Consumer Bank'!C43+'Segment - Wealth Management'!C52+'Revenue summary'!C49</f>
        <v>122</v>
      </c>
      <c r="D94" s="29">
        <f>'Segment - Corporate Bank'!D43+'Segment - Consumer Bank'!D43+'Segment - Wealth Management'!D52+'Revenue summary'!D49</f>
        <v>123</v>
      </c>
      <c r="E94" s="29">
        <f>'Segment - Corporate Bank'!E43+'Segment - Consumer Bank'!E43+'Segment - Wealth Management'!E52+'Revenue summary'!E49</f>
        <v>487</v>
      </c>
      <c r="F94" s="29">
        <f>'Segment - Corporate Bank'!F43+'Segment - Consumer Bank'!F43+'Segment - Wealth Management'!F52+'Revenue summary'!F49</f>
        <v>117</v>
      </c>
      <c r="G94" s="29">
        <f>'Segment - Corporate Bank'!G43+'Segment - Consumer Bank'!G43+'Segment - Wealth Management'!G52+'Revenue summary'!G49</f>
        <v>126</v>
      </c>
      <c r="H94" s="32">
        <f>'Segment - Corporate Bank'!H43+'Segment - Consumer Bank'!H43+'Segment - Wealth Management'!H52+'Revenue summary'!H49</f>
        <v>125.9471995388569</v>
      </c>
      <c r="I94" s="39" t="s">
        <v>276</v>
      </c>
    </row>
    <row r="95">
      <c r="A95" s="7"/>
      <c r="B95" s="44" t="s">
        <v>66</v>
      </c>
      <c r="C95" s="41">
        <f>IF(ISNUMBER(Inputs!C294),IF(AND(Inputs!C294&gt;0,C94&gt;=0),C94/Inputs!C294-1,"n.m."),"n.a.")</f>
        <v>0.03389830508474567</v>
      </c>
      <c r="D95" s="41">
        <f>IF(ISNUMBER(Inputs!D294),IF(AND(Inputs!D294&gt;0,D94&gt;=0),D94/Inputs!D294-1,"n.m."),"n.a.")</f>
        <v>0.08849557522123885</v>
      </c>
      <c r="E95" s="41">
        <f>IF(ISNUMBER(Inputs!E294),IF(AND(Inputs!E294&gt;0,E94&gt;=0),E94/Inputs!E294-1,"n.m."),"n.a.")</f>
        <v>0.04282655246252687</v>
      </c>
      <c r="F95" s="41">
        <f>IF(ISNUMBER(Inputs!F294),IF(AND(Inputs!F294&gt;0,F94&gt;=0),F94/Inputs!F294-1,"n.m."),"n.a.")</f>
        <v>0</v>
      </c>
      <c r="G95" s="41">
        <f>IF(ISNUMBER(Inputs!G294),IF(AND(Inputs!G294&gt;0,G94&gt;=0),G94/Inputs!G294-1,"n.m."),"n.a.")</f>
        <v>0.008000000000000007</v>
      </c>
      <c r="H95" s="40">
        <f>IF(ISNUMBER(C94),IF(AND(C94&gt;0,H94&gt;=0),H94/C94-1,"n.m."),"n.a.")</f>
        <v>0.0323540945807943</v>
      </c>
      <c r="I95" s="7"/>
    </row>
    <row r="96">
      <c r="A96" s="7"/>
      <c r="B96" s="48" t="s">
        <v>78</v>
      </c>
      <c r="C96" s="29">
        <f>IF(ISNUMBER(Inputs!G294),C94-Inputs!G294,"n.a.")</f>
        <v>-3</v>
      </c>
      <c r="D96" s="12">
        <f>IF(ISNUMBER(C94),D94-C94,"n.a.")</f>
        <v>1</v>
      </c>
      <c r="E96" s="12"/>
      <c r="F96" s="12">
        <f>IF(ISNUMBER(D94),F94-D94,"n.a.")</f>
        <v>-6</v>
      </c>
      <c r="G96" s="12">
        <f>IF(ISNUMBER(F94),G94-F94,"n.a.")</f>
        <v>9</v>
      </c>
      <c r="H96" s="42">
        <f>IF(ISNUMBER(G94),H94-G94,"n.a.")</f>
        <v>-0.052800461143093</v>
      </c>
      <c r="I96" s="7"/>
    </row>
    <row r="97">
      <c r="A97" s="7"/>
      <c r="B97" s="44" t="s">
        <v>70</v>
      </c>
      <c r="C97" s="52">
        <v>0</v>
      </c>
      <c r="D97" s="52">
        <v>0</v>
      </c>
      <c r="E97" s="52">
        <v>0</v>
      </c>
      <c r="F97" s="52">
        <v>0</v>
      </c>
      <c r="G97" s="52">
        <v>0</v>
      </c>
      <c r="H97" s="58">
        <v>0</v>
      </c>
      <c r="I97" s="7"/>
    </row>
    <row r="98">
      <c r="A98" s="7"/>
      <c r="B98" s="44" t="s">
        <v>71</v>
      </c>
      <c r="C98" s="52">
        <v>0</v>
      </c>
      <c r="D98" s="52">
        <v>0</v>
      </c>
      <c r="E98" s="52">
        <v>0</v>
      </c>
      <c r="F98" s="52">
        <v>0</v>
      </c>
      <c r="G98" s="52">
        <v>0</v>
      </c>
      <c r="H98" s="58">
        <v>0</v>
      </c>
      <c r="I98" s="7"/>
    </row>
    <row r="99">
      <c r="A99" s="7"/>
      <c r="B99" s="44" t="s">
        <v>72</v>
      </c>
      <c r="C99" s="24">
        <f>IF(AND(ISNUMBER(C95),ISNUMBER(C97),ISNUMBER(C98)),(1+C95)/((1+C97)*(1+C98))-1,"unavailable")</f>
        <v>0.03389830508474567</v>
      </c>
      <c r="D99" s="24">
        <f>IF(AND(ISNUMBER(D95),ISNUMBER(D97),ISNUMBER(D98)),(1+D95)/((1+D97)*(1+D98))-1,"unavailable")</f>
        <v>0.08849557522123885</v>
      </c>
      <c r="E99" s="24">
        <f>IF(AND(ISNUMBER(E95),ISNUMBER(E97),ISNUMBER(E98)),(1+E95)/((1+E97)*(1+E98))-1,"unavailable")</f>
        <v>0.04282655246252687</v>
      </c>
      <c r="F99" s="24">
        <f>IF(AND(ISNUMBER(F95),ISNUMBER(F97),ISNUMBER(F98)),(1+F95)/((1+F97)*(1+F98))-1,"unavailable")</f>
        <v>0</v>
      </c>
      <c r="G99" s="24">
        <f>IF(AND(ISNUMBER(G95),ISNUMBER(G97),ISNUMBER(G98)),(1+G95)/((1+G97)*(1+G98))-1,"unavailable")</f>
        <v>0.008000000000000007</v>
      </c>
      <c r="H99" s="40">
        <f>IF(AND(ISNUMBER(H95),ISNUMBER(H97),ISNUMBER(H98)),(1+H95)/((1+H97)*(1+H98))-1,"unavailable")</f>
        <v>0.0323540945807943</v>
      </c>
      <c r="I99" s="7"/>
    </row>
    <row r="100">
      <c r="A100" s="7"/>
      <c r="B100" s="1" t="s">
        <v>277</v>
      </c>
      <c r="C100" s="29">
        <f>'Segment - Wealth Management'!C59+'Segment - Wealth Management'!C73</f>
        <v>139</v>
      </c>
      <c r="D100" s="29">
        <f>'Segment - Wealth Management'!D59+'Segment - Wealth Management'!D73</f>
        <v>143</v>
      </c>
      <c r="E100" s="29">
        <f>'Segment - Wealth Management'!E59+'Segment - Wealth Management'!E73</f>
        <v>544</v>
      </c>
      <c r="F100" s="29">
        <f>'Segment - Wealth Management'!F59+'Segment - Wealth Management'!F73</f>
        <v>141</v>
      </c>
      <c r="G100" s="29">
        <f>'Segment - Wealth Management'!G59+'Segment - Wealth Management'!G73</f>
        <v>150</v>
      </c>
      <c r="H100" s="32">
        <f>'Segment - Wealth Management'!H59+'Segment - Wealth Management'!H73</f>
        <v>150.97</v>
      </c>
      <c r="I100" s="39" t="s">
        <v>276</v>
      </c>
    </row>
    <row r="101">
      <c r="A101" s="7"/>
      <c r="B101" s="44" t="s">
        <v>66</v>
      </c>
      <c r="C101" s="41">
        <f>IF(ISNUMBER(Inputs!C295),IF(AND(Inputs!C295&gt;0,C100&gt;=0),C100/Inputs!C295-1,"n.m."),"n.a.")</f>
        <v>0.0859375</v>
      </c>
      <c r="D101" s="41">
        <f>IF(ISNUMBER(Inputs!D295),IF(AND(Inputs!D295&gt;0,D100&gt;=0),D100/Inputs!D295-1,"n.m."),"n.a.")</f>
        <v>0.13492063492063489</v>
      </c>
      <c r="E101" s="41">
        <f>IF(ISNUMBER(Inputs!E295),IF(AND(Inputs!E295&gt;0,E100&gt;=0),E100/Inputs!E295-1,"n.m."),"n.a.")</f>
        <v>0.09898989898989896</v>
      </c>
      <c r="F101" s="41">
        <f>IF(ISNUMBER(Inputs!F295),IF(AND(Inputs!F295&gt;0,F100&gt;=0),F100/Inputs!F295-1,"n.m."),"n.a.")</f>
        <v>0.09302325581395343</v>
      </c>
      <c r="G101" s="41">
        <f>IF(ISNUMBER(Inputs!G295),IF(AND(Inputs!G295&gt;0,G100&gt;=0),G100/Inputs!G295-1,"n.m."),"n.a.")</f>
        <v>0.1278195488721805</v>
      </c>
      <c r="H101" s="40">
        <f>IF(ISNUMBER(C100),IF(AND(C100&gt;0,H100&gt;=0),H100/C100-1,"n.m."),"n.a.")</f>
        <v>0.08611510791366905</v>
      </c>
      <c r="I101" s="7"/>
    </row>
    <row r="102">
      <c r="A102" s="7"/>
      <c r="B102" s="48" t="s">
        <v>78</v>
      </c>
      <c r="C102" s="29">
        <f>IF(ISNUMBER(Inputs!G295),C100-Inputs!G295,"n.a.")</f>
        <v>6</v>
      </c>
      <c r="D102" s="12">
        <f>IF(ISNUMBER(C100),D100-C100,"n.a.")</f>
        <v>4</v>
      </c>
      <c r="E102" s="12"/>
      <c r="F102" s="12">
        <f>IF(ISNUMBER(D100),F100-D100,"n.a.")</f>
        <v>-2</v>
      </c>
      <c r="G102" s="12">
        <f>IF(ISNUMBER(F100),G100-F100,"n.a.")</f>
        <v>9</v>
      </c>
      <c r="H102" s="42">
        <f>IF(ISNUMBER(G100),H100-G100,"n.a.")</f>
        <v>0.9699999999999989</v>
      </c>
      <c r="I102" s="7"/>
    </row>
    <row r="103">
      <c r="A103" s="7"/>
      <c r="B103" s="44" t="s">
        <v>70</v>
      </c>
      <c r="C103" s="52">
        <v>0</v>
      </c>
      <c r="D103" s="52">
        <v>0</v>
      </c>
      <c r="E103" s="52">
        <v>0</v>
      </c>
      <c r="F103" s="52">
        <v>0</v>
      </c>
      <c r="G103" s="52">
        <v>0</v>
      </c>
      <c r="H103" s="58">
        <v>0</v>
      </c>
      <c r="I103" s="7"/>
    </row>
    <row r="104">
      <c r="A104" s="7"/>
      <c r="B104" s="44" t="s">
        <v>71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8">
        <v>0</v>
      </c>
      <c r="I104" s="7"/>
    </row>
    <row r="105">
      <c r="A105" s="7"/>
      <c r="B105" s="44" t="s">
        <v>72</v>
      </c>
      <c r="C105" s="24">
        <f>IF(AND(ISNUMBER(C101),ISNUMBER(C103),ISNUMBER(C104)),(1+C101)/((1+C103)*(1+C104))-1,"unavailable")</f>
        <v>0.0859375</v>
      </c>
      <c r="D105" s="24">
        <f>IF(AND(ISNUMBER(D101),ISNUMBER(D103),ISNUMBER(D104)),(1+D101)/((1+D103)*(1+D104))-1,"unavailable")</f>
        <v>0.13492063492063489</v>
      </c>
      <c r="E105" s="24">
        <f>IF(AND(ISNUMBER(E101),ISNUMBER(E103),ISNUMBER(E104)),(1+E101)/((1+E103)*(1+E104))-1,"unavailable")</f>
        <v>0.09898989898989896</v>
      </c>
      <c r="F105" s="24">
        <f>IF(AND(ISNUMBER(F101),ISNUMBER(F103),ISNUMBER(F104)),(1+F101)/((1+F103)*(1+F104))-1,"unavailable")</f>
        <v>0.09302325581395343</v>
      </c>
      <c r="G105" s="24">
        <f>IF(AND(ISNUMBER(G101),ISNUMBER(G103),ISNUMBER(G104)),(1+G101)/((1+G103)*(1+G104))-1,"unavailable")</f>
        <v>0.1278195488721805</v>
      </c>
      <c r="H105" s="40">
        <f>IF(AND(ISNUMBER(H101),ISNUMBER(H103),ISNUMBER(H104)),(1+H101)/((1+H103)*(1+H104))-1,"unavailable")</f>
        <v>0.08611510791366905</v>
      </c>
      <c r="I105" s="7"/>
    </row>
    <row r="106">
      <c r="A106" s="7"/>
      <c r="B106" s="1" t="s">
        <v>192</v>
      </c>
      <c r="C106" s="29">
        <f>'Segment - Corporate Bank'!C52+'Segment - Consumer Bank'!C52+'Segment - Wealth Management'!C66</f>
        <v>104</v>
      </c>
      <c r="D106" s="29">
        <f>'Segment - Corporate Bank'!D52+'Segment - Consumer Bank'!D52+'Segment - Wealth Management'!D66</f>
        <v>80</v>
      </c>
      <c r="E106" s="29">
        <f>'Segment - Corporate Bank'!E52+'Segment - Consumer Bank'!E52+'Segment - Wealth Management'!E66</f>
        <v>347</v>
      </c>
      <c r="F106" s="29">
        <f>'Segment - Corporate Bank'!F52+'Segment - Consumer Bank'!F52+'Segment - Wealth Management'!F66</f>
        <v>84</v>
      </c>
      <c r="G106" s="29">
        <f>'Segment - Corporate Bank'!G52+'Segment - Consumer Bank'!G52+'Segment - Wealth Management'!G66</f>
        <v>84</v>
      </c>
      <c r="H106" s="32">
        <f>'Segment - Corporate Bank'!H52+'Segment - Consumer Bank'!H52+'Segment - Wealth Management'!H66</f>
        <v>88</v>
      </c>
      <c r="I106" s="39" t="s">
        <v>276</v>
      </c>
    </row>
    <row r="107">
      <c r="A107" s="7"/>
      <c r="B107" s="44" t="s">
        <v>66</v>
      </c>
      <c r="C107" s="41">
        <f>IF(ISNUMBER(Inputs!C296),IF(AND(Inputs!C296&gt;0,C106&gt;=0),C106/Inputs!C296-1,"n.m."),"n.a.")</f>
        <v>0.13043478260869557</v>
      </c>
      <c r="D107" s="41">
        <f>IF(ISNUMBER(Inputs!D296),IF(AND(Inputs!D296&gt;0,D106&gt;=0),D106/Inputs!D296-1,"n.m."),"n.a.")</f>
        <v>-0.17525773195876293</v>
      </c>
      <c r="E107" s="41">
        <f>IF(ISNUMBER(Inputs!E296),IF(AND(Inputs!E296&gt;0,E106&gt;=0),E106/Inputs!E296-1,"n.m."),"n.a.")</f>
        <v>-0.002873563218390829</v>
      </c>
      <c r="F107" s="41">
        <f>IF(ISNUMBER(Inputs!F296),IF(AND(Inputs!F296&gt;0,F106&gt;=0),F106/Inputs!F296-1,"n.m."),"n.a.")</f>
        <v>0.050000000000000044</v>
      </c>
      <c r="G107" s="41">
        <f>IF(ISNUMBER(Inputs!G296),IF(AND(Inputs!G296&gt;0,G106&gt;=0),G106/Inputs!G296-1,"n.m."),"n.a.")</f>
        <v>0.012048192771084265</v>
      </c>
      <c r="H107" s="40">
        <f>IF(ISNUMBER(C106),IF(AND(C106&gt;0,H106&gt;=0),H106/C106-1,"n.m."),"n.a.")</f>
        <v>-0.15384615384615385</v>
      </c>
      <c r="I107" s="7"/>
    </row>
    <row r="108">
      <c r="A108" s="7"/>
      <c r="B108" s="48" t="s">
        <v>78</v>
      </c>
      <c r="C108" s="29">
        <f>IF(ISNUMBER(Inputs!G296),C106-Inputs!G296,"n.a.")</f>
        <v>21</v>
      </c>
      <c r="D108" s="12">
        <f>IF(ISNUMBER(C106),D106-C106,"n.a.")</f>
        <v>-24</v>
      </c>
      <c r="E108" s="12"/>
      <c r="F108" s="12">
        <f>IF(ISNUMBER(D106),F106-D106,"n.a.")</f>
        <v>4</v>
      </c>
      <c r="G108" s="12">
        <f>IF(ISNUMBER(F106),G106-F106,"n.a.")</f>
        <v>0</v>
      </c>
      <c r="H108" s="42">
        <f>IF(ISNUMBER(G106),H106-G106,"n.a.")</f>
        <v>4</v>
      </c>
      <c r="I108" s="7"/>
    </row>
    <row r="109">
      <c r="A109" s="7"/>
      <c r="B109" s="44" t="s">
        <v>70</v>
      </c>
      <c r="C109" s="52">
        <v>0</v>
      </c>
      <c r="D109" s="52">
        <v>0</v>
      </c>
      <c r="E109" s="52">
        <v>0</v>
      </c>
      <c r="F109" s="52">
        <v>0</v>
      </c>
      <c r="G109" s="52">
        <v>0</v>
      </c>
      <c r="H109" s="40" t="str">
        <f>"unavailable"</f>
        <v>unavailable</v>
      </c>
      <c r="I109" s="7"/>
    </row>
    <row r="110">
      <c r="A110" s="7"/>
      <c r="B110" s="44" t="s">
        <v>71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8">
        <v>0</v>
      </c>
      <c r="I110" s="7"/>
    </row>
    <row r="111">
      <c r="A111" s="7"/>
      <c r="B111" s="44" t="s">
        <v>72</v>
      </c>
      <c r="C111" s="24">
        <f>IF(AND(ISNUMBER(C107),ISNUMBER(C109),ISNUMBER(C110)),(1+C107)/((1+C109)*(1+C110))-1,"unavailable")</f>
        <v>0.13043478260869557</v>
      </c>
      <c r="D111" s="24">
        <f>IF(AND(ISNUMBER(D107),ISNUMBER(D109),ISNUMBER(D110)),(1+D107)/((1+D109)*(1+D110))-1,"unavailable")</f>
        <v>-0.17525773195876293</v>
      </c>
      <c r="E111" s="24">
        <f>IF(AND(ISNUMBER(E107),ISNUMBER(E109),ISNUMBER(E110)),(1+E107)/((1+E109)*(1+E110))-1,"unavailable")</f>
        <v>-0.002873563218390829</v>
      </c>
      <c r="F111" s="24">
        <f>IF(AND(ISNUMBER(F107),ISNUMBER(F109),ISNUMBER(F110)),(1+F107)/((1+F109)*(1+F110))-1,"unavailable")</f>
        <v>0.050000000000000044</v>
      </c>
      <c r="G111" s="24">
        <f>IF(AND(ISNUMBER(G107),ISNUMBER(G109),ISNUMBER(G110)),(1+G107)/((1+G109)*(1+G110))-1,"unavailable")</f>
        <v>0.012048192771084265</v>
      </c>
      <c r="H111" s="40" t="str">
        <f>IF(AND(ISNUMBER(H107),ISNUMBER(H109),ISNUMBER(H110)),(1+H107)/((1+H109)*(1+H110))-1,"unavailable")</f>
        <v>unavailable</v>
      </c>
      <c r="I111" s="7"/>
    </row>
    <row r="112">
      <c r="A112" s="7"/>
      <c r="B112" s="1" t="s">
        <v>232</v>
      </c>
      <c r="C112" s="29">
        <f>'Segment - Consumer Bank'!C88</f>
        <v>38</v>
      </c>
      <c r="D112" s="29">
        <f>'Segment - Consumer Bank'!D88</f>
        <v>32</v>
      </c>
      <c r="E112" s="29">
        <f>'Segment - Consumer Bank'!E88</f>
        <v>158</v>
      </c>
      <c r="F112" s="29">
        <f>'Segment - Consumer Bank'!F88</f>
        <v>32</v>
      </c>
      <c r="G112" s="29">
        <f>'Segment - Consumer Bank'!G88</f>
        <v>33</v>
      </c>
      <c r="H112" s="32">
        <f>'Segment - Consumer Bank'!H88</f>
        <v>32.150000000000006</v>
      </c>
      <c r="I112" s="39" t="s">
        <v>276</v>
      </c>
    </row>
    <row r="113">
      <c r="A113" s="7"/>
      <c r="B113" s="44" t="s">
        <v>66</v>
      </c>
      <c r="C113" s="41">
        <f>IF(ISNUMBER(Inputs!C297),IF(AND(Inputs!C297&gt;0,C112&gt;=0),C112/Inputs!C297-1,"n.m."),"n.a.")</f>
        <v>0.05555555555555558</v>
      </c>
      <c r="D113" s="41">
        <f>IF(ISNUMBER(Inputs!D297),IF(AND(Inputs!D297&gt;0,D112&gt;=0),D112/Inputs!D297-1,"n.m."),"n.a.")</f>
        <v>-0.08571428571428574</v>
      </c>
      <c r="E113" s="41">
        <f>IF(ISNUMBER(Inputs!E297),IF(AND(Inputs!E297&gt;0,E112&gt;=0),E112/Inputs!E297-1,"n.m."),"n.a.")</f>
        <v>0.08219178082191791</v>
      </c>
      <c r="F113" s="41">
        <f>IF(ISNUMBER(Inputs!F297),IF(AND(Inputs!F297&gt;0,F112&gt;=0),F112/Inputs!F297-1,"n.m."),"n.a.")</f>
        <v>-0.19999999999999996</v>
      </c>
      <c r="G113" s="41">
        <f>IF(ISNUMBER(Inputs!G297),IF(AND(Inputs!G297&gt;0,G112&gt;=0),G112/Inputs!G297-1,"n.m."),"n.a.")</f>
        <v>-0.3125</v>
      </c>
      <c r="H113" s="40">
        <f>IF(ISNUMBER(C112),IF(AND(C112&gt;0,H112&gt;=0),H112/C112-1,"n.m."),"n.a.")</f>
        <v>-0.1539473684210525</v>
      </c>
      <c r="I113" s="7"/>
    </row>
    <row r="114">
      <c r="A114" s="7"/>
      <c r="B114" s="48" t="s">
        <v>78</v>
      </c>
      <c r="C114" s="29">
        <f>IF(ISNUMBER(Inputs!G297),C112-Inputs!G297,"n.a.")</f>
        <v>-10</v>
      </c>
      <c r="D114" s="12">
        <f>IF(ISNUMBER(C112),D112-C112,"n.a.")</f>
        <v>-6</v>
      </c>
      <c r="E114" s="12"/>
      <c r="F114" s="12">
        <f>IF(ISNUMBER(D112),F112-D112,"n.a.")</f>
        <v>0</v>
      </c>
      <c r="G114" s="12">
        <f>IF(ISNUMBER(F112),G112-F112,"n.a.")</f>
        <v>1</v>
      </c>
      <c r="H114" s="42">
        <f>IF(ISNUMBER(G112),H112-G112,"n.a.")</f>
        <v>-0.8499999999999943</v>
      </c>
      <c r="I114" s="7"/>
    </row>
    <row r="115">
      <c r="A115" s="7"/>
      <c r="B115" s="44" t="s">
        <v>70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8">
        <v>0</v>
      </c>
      <c r="I115" s="7"/>
    </row>
    <row r="116">
      <c r="A116" s="7"/>
      <c r="B116" s="44" t="s">
        <v>71</v>
      </c>
      <c r="C116" s="52">
        <v>0</v>
      </c>
      <c r="D116" s="52">
        <v>0</v>
      </c>
      <c r="E116" s="52">
        <v>0</v>
      </c>
      <c r="F116" s="52">
        <v>0</v>
      </c>
      <c r="G116" s="52">
        <v>0</v>
      </c>
      <c r="H116" s="58">
        <v>0</v>
      </c>
      <c r="I116" s="7"/>
    </row>
    <row r="117">
      <c r="A117" s="7"/>
      <c r="B117" s="44" t="s">
        <v>72</v>
      </c>
      <c r="C117" s="24">
        <f>IF(AND(ISNUMBER(C113),ISNUMBER(C115),ISNUMBER(C116)),(1+C113)/((1+C115)*(1+C116))-1,"unavailable")</f>
        <v>0.05555555555555558</v>
      </c>
      <c r="D117" s="24">
        <f>IF(AND(ISNUMBER(D113),ISNUMBER(D115),ISNUMBER(D116)),(1+D113)/((1+D115)*(1+D116))-1,"unavailable")</f>
        <v>-0.08571428571428574</v>
      </c>
      <c r="E117" s="24">
        <f>IF(AND(ISNUMBER(E113),ISNUMBER(E115),ISNUMBER(E116)),(1+E113)/((1+E115)*(1+E116))-1,"unavailable")</f>
        <v>0.08219178082191791</v>
      </c>
      <c r="F117" s="24">
        <f>IF(AND(ISNUMBER(F113),ISNUMBER(F115),ISNUMBER(F116)),(1+F113)/((1+F115)*(1+F116))-1,"unavailable")</f>
        <v>-0.19999999999999996</v>
      </c>
      <c r="G117" s="24">
        <f>IF(AND(ISNUMBER(G113),ISNUMBER(G115),ISNUMBER(G116)),(1+G113)/((1+G115)*(1+G116))-1,"unavailable")</f>
        <v>-0.3125</v>
      </c>
      <c r="H117" s="40">
        <f>IF(AND(ISNUMBER(H113),ISNUMBER(H115),ISNUMBER(H116)),(1+H113)/((1+H115)*(1+H116))-1,"unavailable")</f>
        <v>-0.1539473684210525</v>
      </c>
      <c r="I117" s="7"/>
    </row>
    <row r="118">
      <c r="A118" s="7"/>
      <c r="B118" s="1" t="s">
        <v>193</v>
      </c>
      <c r="C118" s="29">
        <f>'Segment - Corporate Bank'!C59</f>
        <v>28</v>
      </c>
      <c r="D118" s="29">
        <f>'Segment - Corporate Bank'!D59</f>
        <v>30</v>
      </c>
      <c r="E118" s="29">
        <f>'Segment - Corporate Bank'!E59</f>
        <v>114</v>
      </c>
      <c r="F118" s="29">
        <f>'Segment - Corporate Bank'!F59</f>
        <v>30</v>
      </c>
      <c r="G118" s="29">
        <f>'Segment - Corporate Bank'!G59</f>
        <v>28</v>
      </c>
      <c r="H118" s="32">
        <f>'Segment - Corporate Bank'!H59</f>
        <v>29.092399159030556</v>
      </c>
      <c r="I118" s="39" t="s">
        <v>276</v>
      </c>
    </row>
    <row r="119">
      <c r="A119" s="7"/>
      <c r="B119" s="44" t="s">
        <v>66</v>
      </c>
      <c r="C119" s="41">
        <f>IF(ISNUMBER(Inputs!C298),IF(AND(Inputs!C298&gt;0,C118&gt;=0),C118/Inputs!C298-1,"n.m."),"n.a.")</f>
        <v>0</v>
      </c>
      <c r="D119" s="41">
        <f>IF(ISNUMBER(Inputs!D298),IF(AND(Inputs!D298&gt;0,D118&gt;=0),D118/Inputs!D298-1,"n.m."),"n.a.")</f>
        <v>0.0714285714285714</v>
      </c>
      <c r="E119" s="41">
        <f>IF(ISNUMBER(Inputs!E298),IF(AND(Inputs!E298&gt;0,E118&gt;=0),E118/Inputs!E298-1,"n.m."),"n.a.")</f>
        <v>0.027027027027026973</v>
      </c>
      <c r="F119" s="41">
        <f>IF(ISNUMBER(Inputs!F298),IF(AND(Inputs!F298&gt;0,F118&gt;=0),F118/Inputs!F298-1,"n.m."),"n.a.")</f>
        <v>0.11111111111111116</v>
      </c>
      <c r="G119" s="41">
        <f>IF(ISNUMBER(Inputs!G298),IF(AND(Inputs!G298&gt;0,G118&gt;=0),G118/Inputs!G298-1,"n.m."),"n.a.")</f>
        <v>-0.03448275862068961</v>
      </c>
      <c r="H119" s="40">
        <f>IF(ISNUMBER(C118),IF(AND(C118&gt;0,H118&gt;=0),H118/C118-1,"n.m."),"n.a.")</f>
        <v>0.03901425567966266</v>
      </c>
      <c r="I119" s="7"/>
    </row>
    <row r="120">
      <c r="A120" s="7"/>
      <c r="B120" s="48" t="s">
        <v>78</v>
      </c>
      <c r="C120" s="29">
        <f>IF(ISNUMBER(Inputs!G298),C118-Inputs!G298,"n.a.")</f>
        <v>-1</v>
      </c>
      <c r="D120" s="12">
        <f>IF(ISNUMBER(C118),D118-C118,"n.a.")</f>
        <v>2</v>
      </c>
      <c r="E120" s="12"/>
      <c r="F120" s="12">
        <f>IF(ISNUMBER(D118),F118-D118,"n.a.")</f>
        <v>0</v>
      </c>
      <c r="G120" s="12">
        <f>IF(ISNUMBER(F118),G118-F118,"n.a.")</f>
        <v>-2</v>
      </c>
      <c r="H120" s="42">
        <f>IF(ISNUMBER(G118),H118-G118,"n.a.")</f>
        <v>1.0923991590305562</v>
      </c>
      <c r="I120" s="7"/>
    </row>
    <row r="121">
      <c r="A121" s="7"/>
      <c r="B121" s="44" t="s">
        <v>70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8">
        <v>0</v>
      </c>
      <c r="I121" s="7"/>
    </row>
    <row r="122">
      <c r="A122" s="7"/>
      <c r="B122" s="44" t="s">
        <v>71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8">
        <v>0</v>
      </c>
      <c r="I122" s="7"/>
    </row>
    <row r="123">
      <c r="A123" s="7"/>
      <c r="B123" s="44" t="s">
        <v>72</v>
      </c>
      <c r="C123" s="24">
        <f>IF(AND(ISNUMBER(C119),ISNUMBER(C121),ISNUMBER(C122)),(1+C119)/((1+C121)*(1+C122))-1,"unavailable")</f>
        <v>0</v>
      </c>
      <c r="D123" s="24">
        <f>IF(AND(ISNUMBER(D119),ISNUMBER(D121),ISNUMBER(D122)),(1+D119)/((1+D121)*(1+D122))-1,"unavailable")</f>
        <v>0.0714285714285714</v>
      </c>
      <c r="E123" s="24">
        <f>IF(AND(ISNUMBER(E119),ISNUMBER(E121),ISNUMBER(E122)),(1+E119)/((1+E121)*(1+E122))-1,"unavailable")</f>
        <v>0.027027027027026973</v>
      </c>
      <c r="F123" s="24">
        <f>IF(AND(ISNUMBER(F119),ISNUMBER(F121),ISNUMBER(F122)),(1+F119)/((1+F121)*(1+F122))-1,"unavailable")</f>
        <v>0.11111111111111116</v>
      </c>
      <c r="G123" s="24">
        <f>IF(AND(ISNUMBER(G119),ISNUMBER(G121),ISNUMBER(G122)),(1+G119)/((1+G121)*(1+G122))-1,"unavailable")</f>
        <v>-0.03448275862068961</v>
      </c>
      <c r="H123" s="40">
        <f>IF(AND(ISNUMBER(H119),ISNUMBER(H121),ISNUMBER(H122)),(1+H119)/((1+H121)*(1+H122))-1,"unavailable")</f>
        <v>0.03901425567966266</v>
      </c>
      <c r="I123" s="7"/>
    </row>
    <row r="124">
      <c r="A124" s="7"/>
      <c r="B124" s="1" t="s">
        <v>278</v>
      </c>
      <c r="C124" s="29">
        <f>'Revenue summary'!C56</f>
        <v>25</v>
      </c>
      <c r="D124" s="29">
        <f>'Revenue summary'!D56</f>
        <v>23</v>
      </c>
      <c r="E124" s="29">
        <f>'Revenue summary'!E56</f>
        <v>95</v>
      </c>
      <c r="F124" s="29">
        <f>'Revenue summary'!F56</f>
        <v>30</v>
      </c>
      <c r="G124" s="29">
        <f>'Revenue summary'!G56</f>
        <v>24</v>
      </c>
      <c r="H124" s="32">
        <f>'Revenue summary'!H56</f>
        <v>24.96</v>
      </c>
      <c r="I124" s="39" t="s">
        <v>276</v>
      </c>
    </row>
    <row r="125">
      <c r="A125" s="7"/>
      <c r="B125" s="44" t="s">
        <v>66</v>
      </c>
      <c r="C125" s="41">
        <f>IF(ISNUMBER(Inputs!C299),IF(AND(Inputs!C299&gt;0,C124&gt;=0),C124/Inputs!C299-1,"n.m."),"n.a.")</f>
        <v>-0.1071428571428571</v>
      </c>
      <c r="D125" s="41">
        <f>IF(ISNUMBER(Inputs!D299),IF(AND(Inputs!D299&gt;0,D124&gt;=0),D124/Inputs!D299-1,"n.m."),"n.a.")</f>
        <v>0.09523809523809534</v>
      </c>
      <c r="E125" s="41">
        <f>IF(ISNUMBER(Inputs!E299),IF(AND(Inputs!E299&gt;0,E124&gt;=0),E124/Inputs!E299-1,"n.m."),"n.a.")</f>
        <v>-0.06862745098039214</v>
      </c>
      <c r="F125" s="41">
        <f>IF(ISNUMBER(Inputs!F299),IF(AND(Inputs!F299&gt;0,F124&gt;=0),F124/Inputs!F299-1,"n.m."),"n.a.")</f>
        <v>0.30434782608695654</v>
      </c>
      <c r="G125" s="41">
        <f>IF(ISNUMBER(Inputs!G299),IF(AND(Inputs!G299&gt;0,G124&gt;=0),G124/Inputs!G299-1,"n.m."),"n.a.")</f>
        <v>0</v>
      </c>
      <c r="H125" s="40">
        <f>IF(ISNUMBER(C124),IF(AND(C124&gt;0,H124&gt;=0),H124/C124-1,"n.m."),"n.a.")</f>
        <v>-0.0015999999999999348</v>
      </c>
      <c r="I125" s="7"/>
    </row>
    <row r="126">
      <c r="A126" s="7"/>
      <c r="B126" s="48" t="s">
        <v>78</v>
      </c>
      <c r="C126" s="29">
        <f>IF(ISNUMBER(Inputs!G299),C124-Inputs!G299,"n.a.")</f>
        <v>1</v>
      </c>
      <c r="D126" s="12">
        <f>IF(ISNUMBER(C124),D124-C124,"n.a.")</f>
        <v>-2</v>
      </c>
      <c r="E126" s="12"/>
      <c r="F126" s="12">
        <f>IF(ISNUMBER(D124),F124-D124,"n.a.")</f>
        <v>7</v>
      </c>
      <c r="G126" s="12">
        <f>IF(ISNUMBER(F124),G124-F124,"n.a.")</f>
        <v>-6</v>
      </c>
      <c r="H126" s="42">
        <f>IF(ISNUMBER(G124),H124-G124,"n.a.")</f>
        <v>0.9600000000000009</v>
      </c>
      <c r="I126" s="7"/>
    </row>
    <row r="127">
      <c r="A127" s="7"/>
      <c r="B127" s="44" t="s">
        <v>70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8">
        <v>0</v>
      </c>
      <c r="I127" s="7"/>
    </row>
    <row r="128">
      <c r="A128" s="7"/>
      <c r="B128" s="44" t="s">
        <v>71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8">
        <v>0</v>
      </c>
      <c r="I128" s="7"/>
    </row>
    <row r="129">
      <c r="A129" s="7"/>
      <c r="B129" s="44" t="s">
        <v>72</v>
      </c>
      <c r="C129" s="24">
        <f>IF(AND(ISNUMBER(C125),ISNUMBER(C127),ISNUMBER(C128)),(1+C125)/((1+C127)*(1+C128))-1,"unavailable")</f>
        <v>-0.1071428571428571</v>
      </c>
      <c r="D129" s="24">
        <f>IF(AND(ISNUMBER(D125),ISNUMBER(D127),ISNUMBER(D128)),(1+D125)/((1+D127)*(1+D128))-1,"unavailable")</f>
        <v>0.09523809523809534</v>
      </c>
      <c r="E129" s="24">
        <f>IF(AND(ISNUMBER(E125),ISNUMBER(E127),ISNUMBER(E128)),(1+E125)/((1+E127)*(1+E128))-1,"unavailable")</f>
        <v>-0.06862745098039214</v>
      </c>
      <c r="F129" s="24">
        <f>IF(AND(ISNUMBER(F125),ISNUMBER(F127),ISNUMBER(F128)),(1+F125)/((1+F127)*(1+F128))-1,"unavailable")</f>
        <v>0.30434782608695654</v>
      </c>
      <c r="G129" s="24">
        <f>IF(AND(ISNUMBER(G125),ISNUMBER(G127),ISNUMBER(G128)),(1+G125)/((1+G127)*(1+G128))-1,"unavailable")</f>
        <v>0</v>
      </c>
      <c r="H129" s="40">
        <f>IF(AND(ISNUMBER(H125),ISNUMBER(H127),ISNUMBER(H128)),(1+H125)/((1+H127)*(1+H128))-1,"unavailable")</f>
        <v>-0.0015999999999999348</v>
      </c>
      <c r="I129" s="7"/>
    </row>
    <row r="130">
      <c r="A130" s="7"/>
      <c r="B130" s="1" t="s">
        <v>279</v>
      </c>
      <c r="C130" s="29">
        <f>'Revenue summary'!C70</f>
        <v>12</v>
      </c>
      <c r="D130" s="29">
        <f>'Revenue summary'!D70</f>
        <v>-5</v>
      </c>
      <c r="E130" s="29">
        <f>'Revenue summary'!E70</f>
        <v>20</v>
      </c>
      <c r="F130" s="29">
        <f>'Revenue summary'!F70</f>
        <v>-5</v>
      </c>
      <c r="G130" s="29">
        <f>'Revenue summary'!G70</f>
        <v>24</v>
      </c>
      <c r="H130" s="32">
        <f>'Revenue summary'!H70</f>
        <v>4</v>
      </c>
      <c r="I130" s="39" t="s">
        <v>276</v>
      </c>
    </row>
    <row r="131">
      <c r="A131" s="7"/>
      <c r="B131" s="44" t="s">
        <v>66</v>
      </c>
      <c r="C131" s="41">
        <f>IF(ISNUMBER(Inputs!C300),IF(AND(Inputs!C300&gt;0,C130&gt;=0),C130/Inputs!C300-1,"n.m."),"n.a.")</f>
        <v>-0.07692307692307687</v>
      </c>
      <c r="D131" s="41" t="str">
        <f>IF(ISNUMBER(Inputs!D300),IF(AND(Inputs!D300&gt;0,D130&gt;=0),D130/Inputs!D300-1,"n.m."),"n.a.")</f>
        <v>n.m.</v>
      </c>
      <c r="E131" s="41">
        <f>IF(ISNUMBER(Inputs!E300),IF(AND(Inputs!E300&gt;0,E130&gt;=0),E130/Inputs!E300-1,"n.m."),"n.a.")</f>
        <v>-0.19999999999999996</v>
      </c>
      <c r="F131" s="41" t="str">
        <f>IF(ISNUMBER(Inputs!F300),IF(AND(Inputs!F300&gt;0,F130&gt;=0),F130/Inputs!F300-1,"n.m."),"n.a.")</f>
        <v>n.m.</v>
      </c>
      <c r="G131" s="41">
        <f>IF(ISNUMBER(Inputs!G300),IF(AND(Inputs!G300&gt;0,G130&gt;=0),G130/Inputs!G300-1,"n.m."),"n.a.")</f>
        <v>0.5</v>
      </c>
      <c r="H131" s="40">
        <f>IF(ISNUMBER(C130),IF(AND(C130&gt;0,H130&gt;=0),H130/C130-1,"n.m."),"n.a.")</f>
        <v>-0.6666666666666667</v>
      </c>
      <c r="I131" s="7"/>
    </row>
    <row r="132">
      <c r="A132" s="7"/>
      <c r="B132" s="48" t="s">
        <v>78</v>
      </c>
      <c r="C132" s="29">
        <f>IF(ISNUMBER(Inputs!G300),C130-Inputs!G300,"n.a.")</f>
        <v>-4</v>
      </c>
      <c r="D132" s="12">
        <f>IF(ISNUMBER(C130),D130-C130,"n.a.")</f>
        <v>-17</v>
      </c>
      <c r="E132" s="12"/>
      <c r="F132" s="12">
        <f>IF(ISNUMBER(D130),F130-D130,"n.a.")</f>
        <v>0</v>
      </c>
      <c r="G132" s="12">
        <f>IF(ISNUMBER(F130),G130-F130,"n.a.")</f>
        <v>29</v>
      </c>
      <c r="H132" s="42">
        <f>IF(ISNUMBER(G130),H130-G130,"n.a.")</f>
        <v>-20</v>
      </c>
      <c r="I132" s="7"/>
    </row>
    <row r="133">
      <c r="A133" s="7"/>
      <c r="B133" s="44" t="s">
        <v>70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8">
        <v>0</v>
      </c>
      <c r="I133" s="7"/>
    </row>
    <row r="134">
      <c r="A134" s="7"/>
      <c r="B134" s="44" t="s">
        <v>71</v>
      </c>
      <c r="C134" s="52">
        <v>0</v>
      </c>
      <c r="D134" s="52">
        <v>0</v>
      </c>
      <c r="E134" s="52">
        <v>0</v>
      </c>
      <c r="F134" s="52">
        <v>0</v>
      </c>
      <c r="G134" s="52">
        <v>0</v>
      </c>
      <c r="H134" s="58">
        <v>0</v>
      </c>
      <c r="I134" s="7"/>
    </row>
    <row r="135">
      <c r="A135" s="7"/>
      <c r="B135" s="44" t="s">
        <v>72</v>
      </c>
      <c r="C135" s="24">
        <f>IF(AND(ISNUMBER(C131),ISNUMBER(C133),ISNUMBER(C134)),(1+C131)/((1+C133)*(1+C134))-1,"unavailable")</f>
        <v>-0.07692307692307687</v>
      </c>
      <c r="D135" s="24" t="str">
        <f>IF(AND(ISNUMBER(D131),ISNUMBER(D133),ISNUMBER(D134)),(1+D131)/((1+D133)*(1+D134))-1,"unavailable")</f>
        <v>unavailable</v>
      </c>
      <c r="E135" s="24">
        <f>IF(AND(ISNUMBER(E131),ISNUMBER(E133),ISNUMBER(E134)),(1+E131)/((1+E133)*(1+E134))-1,"unavailable")</f>
        <v>-0.19999999999999996</v>
      </c>
      <c r="F135" s="24" t="str">
        <f>IF(AND(ISNUMBER(F131),ISNUMBER(F133),ISNUMBER(F134)),(1+F131)/((1+F133)*(1+F134))-1,"unavailable")</f>
        <v>unavailable</v>
      </c>
      <c r="G135" s="24">
        <f>IF(AND(ISNUMBER(G131),ISNUMBER(G133),ISNUMBER(G134)),(1+G131)/((1+G133)*(1+G134))-1,"unavailable")</f>
        <v>0.5</v>
      </c>
      <c r="H135" s="40">
        <f>IF(AND(ISNUMBER(H131),ISNUMBER(H133),ISNUMBER(H134)),(1+H131)/((1+H133)*(1+H134))-1,"unavailable")</f>
        <v>-0.6666666666666667</v>
      </c>
      <c r="I135" s="7"/>
    </row>
    <row r="136">
      <c r="A136" s="7"/>
      <c r="B136" s="1" t="s">
        <v>280</v>
      </c>
      <c r="C136" s="29">
        <f>'Revenue summary'!C63</f>
        <v>-27</v>
      </c>
      <c r="D136" s="29">
        <f>'Revenue summary'!D63</f>
        <v>0</v>
      </c>
      <c r="E136" s="29">
        <f>'Revenue summary'!E63</f>
        <v>-53</v>
      </c>
      <c r="F136" s="29">
        <f>'Revenue summary'!F63</f>
        <v>-3</v>
      </c>
      <c r="G136" s="29">
        <f>'Revenue summary'!G63</f>
        <v>-41</v>
      </c>
      <c r="H136" s="32">
        <f>'Revenue summary'!H63</f>
        <v>0</v>
      </c>
      <c r="I136" s="39" t="s">
        <v>276</v>
      </c>
    </row>
    <row r="137">
      <c r="A137" s="7"/>
      <c r="B137" s="44" t="s">
        <v>66</v>
      </c>
      <c r="C137" s="41" t="str">
        <f>IF(ISNUMBER(Inputs!C301),IF(AND(Inputs!C301&gt;0,C136&gt;=0),C136/Inputs!C301-1,"n.m."),"n.a.")</f>
        <v>n.m.</v>
      </c>
      <c r="D137" s="41" t="str">
        <f>IF(ISNUMBER(Inputs!D301),IF(AND(Inputs!D301&gt;0,D136&gt;=0),D136/Inputs!D301-1,"n.m."),"n.a.")</f>
        <v>n.m.</v>
      </c>
      <c r="E137" s="41" t="str">
        <f>IF(ISNUMBER(Inputs!E301),IF(AND(Inputs!E301&gt;0,E136&gt;=0),E136/Inputs!E301-1,"n.m."),"n.a.")</f>
        <v>n.m.</v>
      </c>
      <c r="F137" s="41" t="str">
        <f>IF(ISNUMBER(Inputs!F301),IF(AND(Inputs!F301&gt;0,F136&gt;=0),F136/Inputs!F301-1,"n.m."),"n.a.")</f>
        <v>n.m.</v>
      </c>
      <c r="G137" s="41" t="str">
        <f>IF(ISNUMBER(Inputs!G301),IF(AND(Inputs!G301&gt;0,G136&gt;=0),G136/Inputs!G301-1,"n.m."),"n.a.")</f>
        <v>n.m.</v>
      </c>
      <c r="H137" s="40" t="str">
        <f>IF(ISNUMBER(C136),IF(AND(C136&gt;0,H136&gt;=0),H136/C136-1,"n.m."),"n.a.")</f>
        <v>n.m.</v>
      </c>
      <c r="I137" s="7"/>
    </row>
    <row r="138">
      <c r="A138" s="7"/>
      <c r="B138" s="48" t="s">
        <v>78</v>
      </c>
      <c r="C138" s="29">
        <f>IF(ISNUMBER(Inputs!G301),C136-Inputs!G301,"n.a.")</f>
        <v>-26</v>
      </c>
      <c r="D138" s="12">
        <f>IF(ISNUMBER(C136),D136-C136,"n.a.")</f>
        <v>27</v>
      </c>
      <c r="E138" s="12"/>
      <c r="F138" s="12">
        <f>IF(ISNUMBER(D136),F136-D136,"n.a.")</f>
        <v>-3</v>
      </c>
      <c r="G138" s="12">
        <f>IF(ISNUMBER(F136),G136-F136,"n.a.")</f>
        <v>-38</v>
      </c>
      <c r="H138" s="42">
        <f>IF(ISNUMBER(G136),H136-G136,"n.a.")</f>
        <v>41</v>
      </c>
      <c r="I138" s="7"/>
    </row>
    <row r="139">
      <c r="A139" s="7"/>
      <c r="B139" s="44" t="s">
        <v>70</v>
      </c>
      <c r="C139" s="52">
        <v>0</v>
      </c>
      <c r="D139" s="52">
        <v>0</v>
      </c>
      <c r="E139" s="52">
        <v>0</v>
      </c>
      <c r="F139" s="52">
        <v>0</v>
      </c>
      <c r="G139" s="52">
        <v>0</v>
      </c>
      <c r="H139" s="58">
        <v>0</v>
      </c>
      <c r="I139" s="7"/>
    </row>
    <row r="140">
      <c r="A140" s="7"/>
      <c r="B140" s="44" t="s">
        <v>71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8">
        <v>0</v>
      </c>
      <c r="I140" s="7"/>
    </row>
    <row r="141">
      <c r="A141" s="7"/>
      <c r="B141" s="44" t="s">
        <v>72</v>
      </c>
      <c r="C141" s="24" t="str">
        <f>IF(AND(ISNUMBER(C137),ISNUMBER(C139),ISNUMBER(C140)),(1+C137)/((1+C139)*(1+C140))-1,"unavailable")</f>
        <v>unavailable</v>
      </c>
      <c r="D141" s="24" t="str">
        <f>IF(AND(ISNUMBER(D137),ISNUMBER(D139),ISNUMBER(D140)),(1+D137)/((1+D139)*(1+D140))-1,"unavailable")</f>
        <v>unavailable</v>
      </c>
      <c r="E141" s="24" t="str">
        <f>IF(AND(ISNUMBER(E137),ISNUMBER(E139),ISNUMBER(E140)),(1+E137)/((1+E139)*(1+E140))-1,"unavailable")</f>
        <v>unavailable</v>
      </c>
      <c r="F141" s="24" t="str">
        <f>IF(AND(ISNUMBER(F137),ISNUMBER(F139),ISNUMBER(F140)),(1+F137)/((1+F139)*(1+F140))-1,"unavailable")</f>
        <v>unavailable</v>
      </c>
      <c r="G141" s="24" t="str">
        <f>IF(AND(ISNUMBER(G137),ISNUMBER(G139),ISNUMBER(G140)),(1+G137)/((1+G139)*(1+G140))-1,"unavailable")</f>
        <v>unavailable</v>
      </c>
      <c r="H141" s="40" t="str">
        <f>IF(AND(ISNUMBER(H137),ISNUMBER(H139),ISNUMBER(H140)),(1+H137)/((1+H139)*(1+H140))-1,"unavailable")</f>
        <v>unavailable</v>
      </c>
      <c r="I141" s="7"/>
    </row>
    <row r="142">
      <c r="A142" s="7"/>
      <c r="B142" s="1" t="s">
        <v>195</v>
      </c>
      <c r="C142" s="29">
        <f>'Segment - Corporate Bank'!C68+'Segment - Consumer Bank'!C95+'Segment - Wealth Management'!C80+'Revenue summary'!C77</f>
        <v>58</v>
      </c>
      <c r="D142" s="29">
        <f>'Segment - Corporate Bank'!D68+'Segment - Consumer Bank'!D95+'Segment - Wealth Management'!D80+'Revenue summary'!D77</f>
        <v>51</v>
      </c>
      <c r="E142" s="29">
        <f>'Segment - Corporate Bank'!E68+'Segment - Consumer Bank'!E95+'Segment - Wealth Management'!E80+'Revenue summary'!E77</f>
        <v>188</v>
      </c>
      <c r="F142" s="29">
        <f>'Segment - Corporate Bank'!F68+'Segment - Consumer Bank'!F95+'Segment - Wealth Management'!F80+'Revenue summary'!F77</f>
        <v>36</v>
      </c>
      <c r="G142" s="29">
        <f>'Segment - Corporate Bank'!G68+'Segment - Consumer Bank'!G95+'Segment - Wealth Management'!G80+'Revenue summary'!G77</f>
        <v>35</v>
      </c>
      <c r="H142" s="32">
        <f>'Segment - Corporate Bank'!H68+'Segment - Consumer Bank'!H95+'Segment - Wealth Management'!H80+'Revenue summary'!H77</f>
        <v>39.982</v>
      </c>
      <c r="I142" s="39" t="s">
        <v>276</v>
      </c>
    </row>
    <row r="143">
      <c r="A143" s="7"/>
      <c r="B143" s="44" t="s">
        <v>66</v>
      </c>
      <c r="C143" s="41">
        <f>IF(ISNUMBER(Inputs!C302),IF(AND(Inputs!C302&gt;0,C142&gt;=0),C142/Inputs!C302-1,"n.m."),"n.a.")</f>
        <v>0.18367346938775508</v>
      </c>
      <c r="D143" s="41">
        <f>IF(ISNUMBER(Inputs!D302),IF(AND(Inputs!D302&gt;0,D142&gt;=0),D142/Inputs!D302-1,"n.m."),"n.a.")</f>
        <v>0.1333333333333333</v>
      </c>
      <c r="E143" s="41">
        <f>IF(ISNUMBER(Inputs!E302),IF(AND(Inputs!E302&gt;0,E142&gt;=0),E142/Inputs!E302-1,"n.m."),"n.a.")</f>
        <v>0.12574850299401197</v>
      </c>
      <c r="F143" s="41">
        <f>IF(ISNUMBER(Inputs!F302),IF(AND(Inputs!F302&gt;0,F142&gt;=0),F142/Inputs!F302-1,"n.m."),"n.a.")</f>
        <v>-0.12195121951219512</v>
      </c>
      <c r="G143" s="41">
        <f>IF(ISNUMBER(Inputs!G302),IF(AND(Inputs!G302&gt;0,G142&gt;=0),G142/Inputs!G302-1,"n.m."),"n.a.")</f>
        <v>-0.07894736842105265</v>
      </c>
      <c r="H143" s="40">
        <f>IF(ISNUMBER(C142),IF(AND(C142&gt;0,H142&gt;=0),H142/C142-1,"n.m."),"n.a.")</f>
        <v>-0.31065517241379315</v>
      </c>
      <c r="I143" s="7"/>
    </row>
    <row r="144">
      <c r="A144" s="7"/>
      <c r="B144" s="48" t="s">
        <v>78</v>
      </c>
      <c r="C144" s="29">
        <f>IF(ISNUMBER(Inputs!G302),C142-Inputs!G302,"n.a.")</f>
        <v>20</v>
      </c>
      <c r="D144" s="12">
        <f>IF(ISNUMBER(C142),D142-C142,"n.a.")</f>
        <v>-7</v>
      </c>
      <c r="E144" s="12"/>
      <c r="F144" s="12">
        <f>IF(ISNUMBER(D142),F142-D142,"n.a.")</f>
        <v>-15</v>
      </c>
      <c r="G144" s="12">
        <f>IF(ISNUMBER(F142),G142-F142,"n.a.")</f>
        <v>-1</v>
      </c>
      <c r="H144" s="42">
        <f>IF(ISNUMBER(G142),H142-G142,"n.a.")</f>
        <v>4.981999999999999</v>
      </c>
      <c r="I144" s="7"/>
    </row>
    <row r="145">
      <c r="A145" s="7"/>
      <c r="B145" s="44" t="s">
        <v>70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8">
        <v>0</v>
      </c>
      <c r="I145" s="7"/>
    </row>
    <row r="146">
      <c r="A146" s="7"/>
      <c r="B146" s="44" t="s">
        <v>71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8">
        <v>0</v>
      </c>
      <c r="I146" s="7"/>
    </row>
    <row r="147">
      <c r="A147" s="7"/>
      <c r="B147" s="44" t="s">
        <v>72</v>
      </c>
      <c r="C147" s="24">
        <f>IF(AND(ISNUMBER(C143),ISNUMBER(C145),ISNUMBER(C146)),(1+C143)/((1+C145)*(1+C146))-1,"unavailable")</f>
        <v>0.18367346938775508</v>
      </c>
      <c r="D147" s="24">
        <f>IF(AND(ISNUMBER(D143),ISNUMBER(D145),ISNUMBER(D146)),(1+D143)/((1+D145)*(1+D146))-1,"unavailable")</f>
        <v>0.1333333333333333</v>
      </c>
      <c r="E147" s="24">
        <f>IF(AND(ISNUMBER(E143),ISNUMBER(E145),ISNUMBER(E146)),(1+E143)/((1+E145)*(1+E146))-1,"unavailable")</f>
        <v>0.12574850299401197</v>
      </c>
      <c r="F147" s="24">
        <f>IF(AND(ISNUMBER(F143),ISNUMBER(F145),ISNUMBER(F146)),(1+F143)/((1+F145)*(1+F146))-1,"unavailable")</f>
        <v>-0.12195121951219512</v>
      </c>
      <c r="G147" s="24">
        <f>IF(AND(ISNUMBER(G143),ISNUMBER(G145),ISNUMBER(G146)),(1+G143)/((1+G145)*(1+G146))-1,"unavailable")</f>
        <v>-0.07894736842105265</v>
      </c>
      <c r="H147" s="40">
        <f>IF(AND(ISNUMBER(H143),ISNUMBER(H145),ISNUMBER(H146)),(1+H143)/((1+H145)*(1+H146))-1,"unavailable")</f>
        <v>-0.31065517241379315</v>
      </c>
      <c r="I147" s="7"/>
    </row>
    <row r="148">
      <c r="A148" s="7"/>
      <c r="B148" s="1" t="s">
        <v>281</v>
      </c>
      <c r="C148" s="31">
        <v>0</v>
      </c>
      <c r="D148" s="31">
        <v>0</v>
      </c>
      <c r="E148" s="31">
        <v>-3</v>
      </c>
      <c r="F148" s="31">
        <v>1</v>
      </c>
      <c r="G148" s="31">
        <v>-2</v>
      </c>
      <c r="H148" s="71">
        <v>0</v>
      </c>
      <c r="I148" s="39" t="s">
        <v>276</v>
      </c>
    </row>
    <row r="149">
      <c r="A149" s="7"/>
      <c r="B149" s="44" t="s">
        <v>66</v>
      </c>
      <c r="C149" s="41" t="str">
        <f>IF(ISNUMBER(Inputs!C303),IF(AND(Inputs!C303&gt;0,C148&gt;=0),C148/Inputs!C303-1,"n.m."),"n.a.")</f>
        <v>n.a.</v>
      </c>
      <c r="D149" s="41" t="str">
        <f>IF(ISNUMBER(Inputs!D303),IF(AND(Inputs!D303&gt;0,D148&gt;=0),D148/Inputs!D303-1,"n.m."),"n.a.")</f>
        <v>n.m.</v>
      </c>
      <c r="E149" s="41" t="str">
        <f>IF(ISNUMBER(Inputs!E303),IF(AND(Inputs!E303&gt;0,E148&gt;=0),E148/Inputs!E303-1,"n.m."),"n.a.")</f>
        <v>n.m.</v>
      </c>
      <c r="F149" s="41" t="str">
        <f>IF(ISNUMBER(Inputs!F303),IF(AND(Inputs!F303&gt;0,F148&gt;=0),F148/Inputs!F303-1,"n.m."),"n.a.")</f>
        <v>n.m.</v>
      </c>
      <c r="G149" s="41" t="str">
        <f>IF(ISNUMBER(Inputs!G303),IF(AND(Inputs!G303&gt;0,G148&gt;=0),G148/Inputs!G303-1,"n.m."),"n.a.")</f>
        <v>n.m.</v>
      </c>
      <c r="H149" s="40" t="str">
        <f>IF(ISNUMBER(C148),IF(AND(C148&gt;0,H148&gt;=0),H148/C148-1,"n.m."),"n.a.")</f>
        <v>n.m.</v>
      </c>
      <c r="I149" s="7"/>
    </row>
    <row r="150">
      <c r="A150" s="7"/>
      <c r="B150" s="48" t="s">
        <v>78</v>
      </c>
      <c r="C150" s="29">
        <f>IF(ISNUMBER(Inputs!G303),C148-Inputs!G303,"n.a.")</f>
        <v>2</v>
      </c>
      <c r="D150" s="12">
        <f>IF(ISNUMBER(C148),D148-C148,"n.a.")</f>
        <v>0</v>
      </c>
      <c r="E150" s="12"/>
      <c r="F150" s="12">
        <f>IF(ISNUMBER(D148),F148-D148,"n.a.")</f>
        <v>1</v>
      </c>
      <c r="G150" s="12">
        <f>IF(ISNUMBER(F148),G148-F148,"n.a.")</f>
        <v>-3</v>
      </c>
      <c r="H150" s="42">
        <f>IF(ISNUMBER(G148),H148-G148,"n.a.")</f>
        <v>2</v>
      </c>
      <c r="I150" s="7"/>
    </row>
    <row r="151">
      <c r="A151" s="7"/>
      <c r="B151" s="1" t="s">
        <v>282</v>
      </c>
      <c r="C151" s="12">
        <f>C106-C148</f>
        <v>104</v>
      </c>
      <c r="D151" s="12">
        <f>D106-D148</f>
        <v>80</v>
      </c>
      <c r="E151" s="12">
        <f>E106-E148</f>
        <v>350</v>
      </c>
      <c r="F151" s="12">
        <f>F106-F148</f>
        <v>83</v>
      </c>
      <c r="G151" s="12">
        <f>G106-G148</f>
        <v>86</v>
      </c>
      <c r="H151" s="42">
        <f>H106-H148</f>
        <v>88</v>
      </c>
      <c r="I151" s="7"/>
    </row>
    <row r="152">
      <c r="A152" s="7"/>
      <c r="B152" s="44" t="s">
        <v>66</v>
      </c>
      <c r="C152" s="41" t="str">
        <f>IF(ISNUMBER(Inputs!C304),IF(AND(Inputs!C304&gt;0,C151&gt;=0),C151/Inputs!C304-1,"n.m."),"n.a.")</f>
        <v>n.a.</v>
      </c>
      <c r="D152" s="41">
        <f>IF(ISNUMBER(Inputs!D304),IF(AND(Inputs!D304&gt;0,D151&gt;=0),D151/Inputs!D304-1,"n.m."),"n.a.")</f>
        <v>-0.18367346938775508</v>
      </c>
      <c r="E152" s="41">
        <f>IF(ISNUMBER(Inputs!E304),IF(AND(Inputs!E304&gt;0,E151&gt;=0),E151/Inputs!E304-1,"n.m."),"n.a.")</f>
        <v>-0.011299435028248594</v>
      </c>
      <c r="F152" s="41">
        <f>IF(ISNUMBER(Inputs!F304),IF(AND(Inputs!F304&gt;0,F151&gt;=0),F151/Inputs!F304-1,"n.m."),"n.a.")</f>
        <v>0.024691358024691468</v>
      </c>
      <c r="G152" s="41">
        <f>IF(ISNUMBER(Inputs!G304),IF(AND(Inputs!G304&gt;0,G151&gt;=0),G151/Inputs!G304-1,"n.m."),"n.a.")</f>
        <v>0.0117647058823529</v>
      </c>
      <c r="H152" s="40">
        <f>IF(ISNUMBER(C151),IF(AND(C151&gt;0,H151&gt;=0),H151/C151-1,"n.m."),"n.a.")</f>
        <v>-0.15384615384615385</v>
      </c>
      <c r="I152" s="7"/>
    </row>
    <row r="153">
      <c r="A153" s="7"/>
      <c r="B153" s="48" t="s">
        <v>78</v>
      </c>
      <c r="C153" s="29">
        <f>IF(ISNUMBER(Inputs!G304),C151-Inputs!G304,"n.a.")</f>
        <v>19</v>
      </c>
      <c r="D153" s="12">
        <f>IF(ISNUMBER(C151),D151-C151,"n.a.")</f>
        <v>-24</v>
      </c>
      <c r="E153" s="12"/>
      <c r="F153" s="12">
        <f>IF(ISNUMBER(D151),F151-D151,"n.a.")</f>
        <v>3</v>
      </c>
      <c r="G153" s="12">
        <f>IF(ISNUMBER(F151),G151-F151,"n.a.")</f>
        <v>3</v>
      </c>
      <c r="H153" s="42">
        <f>IF(ISNUMBER(G151),H151-G151,"n.a.")</f>
        <v>2</v>
      </c>
      <c r="I153" s="7"/>
    </row>
    <row r="154">
      <c r="A154" s="7"/>
      <c r="B154" s="44" t="s">
        <v>70</v>
      </c>
      <c r="C154" s="52">
        <v>0</v>
      </c>
      <c r="D154" s="52">
        <v>0</v>
      </c>
      <c r="E154" s="52">
        <v>0</v>
      </c>
      <c r="F154" s="52">
        <v>0</v>
      </c>
      <c r="G154" s="52">
        <v>0</v>
      </c>
      <c r="H154" s="40" t="str">
        <f>"unavailable"</f>
        <v>unavailable</v>
      </c>
      <c r="I154" s="7"/>
    </row>
    <row r="155">
      <c r="A155" s="7"/>
      <c r="B155" s="44" t="s">
        <v>71</v>
      </c>
      <c r="C155" s="52">
        <v>0</v>
      </c>
      <c r="D155" s="52">
        <v>0</v>
      </c>
      <c r="E155" s="52">
        <v>0</v>
      </c>
      <c r="F155" s="52">
        <v>0</v>
      </c>
      <c r="G155" s="52">
        <v>0</v>
      </c>
      <c r="H155" s="58">
        <v>0</v>
      </c>
      <c r="I155" s="7"/>
    </row>
    <row r="156">
      <c r="A156" s="7"/>
      <c r="B156" s="44" t="s">
        <v>72</v>
      </c>
      <c r="C156" s="24" t="str">
        <f>IF(AND(ISNUMBER(C152),ISNUMBER(C154),ISNUMBER(C155)),(1+C152)/((1+C154)*(1+C155))-1,"unavailable")</f>
        <v>unavailable</v>
      </c>
      <c r="D156" s="24">
        <f>IF(AND(ISNUMBER(D152),ISNUMBER(D154),ISNUMBER(D155)),(1+D152)/((1+D154)*(1+D155))-1,"unavailable")</f>
        <v>-0.18367346938775508</v>
      </c>
      <c r="E156" s="24">
        <f>IF(AND(ISNUMBER(E152),ISNUMBER(E154),ISNUMBER(E155)),(1+E152)/((1+E154)*(1+E155))-1,"unavailable")</f>
        <v>-0.011299435028248594</v>
      </c>
      <c r="F156" s="24">
        <f>IF(AND(ISNUMBER(F152),ISNUMBER(F154),ISNUMBER(F155)),(1+F152)/((1+F154)*(1+F155))-1,"unavailable")</f>
        <v>0.024691358024691468</v>
      </c>
      <c r="G156" s="24">
        <f>IF(AND(ISNUMBER(G152),ISNUMBER(G154),ISNUMBER(G155)),(1+G152)/((1+G154)*(1+G155))-1,"unavailable")</f>
        <v>0.0117647058823529</v>
      </c>
      <c r="H156" s="40" t="str">
        <f>IF(AND(ISNUMBER(H152),ISNUMBER(H154),ISNUMBER(H155)),(1+H152)/((1+H154)*(1+H155))-1,"unavailable")</f>
        <v>unavailable</v>
      </c>
      <c r="I156" s="7"/>
    </row>
    <row r="157">
      <c r="A157" s="7"/>
      <c r="B157" s="34" t="s">
        <v>196</v>
      </c>
      <c r="C157" s="35">
        <f>C88+C94+C100+C106+C112+C118+C124+C130+C136+C142</f>
        <v>659</v>
      </c>
      <c r="D157" s="35">
        <f>D88+D94+D100+D106+D112+D118+D124+D130+D136+D142</f>
        <v>640</v>
      </c>
      <c r="E157" s="35">
        <f>E88+E94+E100+E106+E112+E118+E124+E130+E136+E142</f>
        <v>2535</v>
      </c>
      <c r="F157" s="35">
        <f>F88+F94+F100+F106+F112+F118+F124+F130+F136+F142</f>
        <v>625</v>
      </c>
      <c r="G157" s="35">
        <f>G88+G94+G100+G106+G112+G118+G124+G130+G136+G142</f>
        <v>630</v>
      </c>
      <c r="H157" s="50">
        <f>H88+H94+H100+H106+H112+H118+H124+H130+H136+H142</f>
        <v>664.1759607078192</v>
      </c>
      <c r="I157" s="7"/>
    </row>
    <row r="158">
      <c r="A158" s="7"/>
      <c r="B158" s="44" t="s">
        <v>66</v>
      </c>
      <c r="C158" s="41">
        <f>IF(ISNUMBER(Inputs!C305),IF(AND(Inputs!C305&gt;0,C157&gt;=0),C157/Inputs!C305-1,"n.m."),"n.a.")</f>
        <v>0.15209790209790208</v>
      </c>
      <c r="D158" s="41">
        <f>IF(ISNUMBER(Inputs!D305),IF(AND(Inputs!D305&gt;0,D157&gt;=0),D157/Inputs!D305-1,"n.m."),"n.a.")</f>
        <v>0.09401709401709413</v>
      </c>
      <c r="E158" s="41">
        <f>IF(ISNUMBER(Inputs!E305),IF(AND(Inputs!E305&gt;0,E157&gt;=0),E157/Inputs!E305-1,"n.m."),"n.a.")</f>
        <v>0.11920529801324498</v>
      </c>
      <c r="F158" s="41">
        <f>IF(ISNUMBER(Inputs!F305),IF(AND(Inputs!F305&gt;0,F157&gt;=0),F157/Inputs!F305-1,"n.m."),"n.a.")</f>
        <v>0.05932203389830515</v>
      </c>
      <c r="G158" s="41">
        <f>IF(ISNUMBER(Inputs!G305),IF(AND(Inputs!G305&gt;0,G157&gt;=0),G157/Inputs!G305-1,"n.m."),"n.a.")</f>
        <v>-0.024767801857585092</v>
      </c>
      <c r="H158" s="40">
        <f>IF(ISNUMBER(C157),IF(AND(C157&gt;0,H157&gt;=0),H157/C157-1,"n.m."),"n.a.")</f>
        <v>0.007854265110499581</v>
      </c>
      <c r="I158" s="7"/>
    </row>
    <row r="159">
      <c r="A159" s="7"/>
      <c r="B159" s="48" t="s">
        <v>78</v>
      </c>
      <c r="C159" s="29">
        <f>IF(ISNUMBER(Inputs!G305),C157-Inputs!G305,"n.a.")</f>
        <v>13</v>
      </c>
      <c r="D159" s="12">
        <f>IF(ISNUMBER(C157),D157-C157,"n.a.")</f>
        <v>-19</v>
      </c>
      <c r="E159" s="12"/>
      <c r="F159" s="12">
        <f>IF(ISNUMBER(D157),F157-D157,"n.a.")</f>
        <v>-15</v>
      </c>
      <c r="G159" s="12">
        <f>IF(ISNUMBER(F157),G157-F157,"n.a.")</f>
        <v>5</v>
      </c>
      <c r="H159" s="42">
        <f>IF(ISNUMBER(G157),H157-G157,"n.a.")</f>
        <v>34.17596070781917</v>
      </c>
      <c r="I159" s="7"/>
    </row>
    <row r="160">
      <c r="A160" s="7"/>
      <c r="B160" s="44" t="s">
        <v>70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40" t="str">
        <f>"unavailable"</f>
        <v>unavailable</v>
      </c>
      <c r="I160" s="7"/>
    </row>
    <row r="161">
      <c r="A161" s="7"/>
      <c r="B161" s="44" t="s">
        <v>71</v>
      </c>
      <c r="C161" s="52">
        <v>0</v>
      </c>
      <c r="D161" s="52">
        <v>0</v>
      </c>
      <c r="E161" s="52">
        <v>0</v>
      </c>
      <c r="F161" s="52">
        <v>0</v>
      </c>
      <c r="G161" s="52">
        <v>0</v>
      </c>
      <c r="H161" s="58">
        <v>0</v>
      </c>
      <c r="I161" s="7"/>
    </row>
    <row r="162">
      <c r="A162" s="7"/>
      <c r="B162" s="44" t="s">
        <v>72</v>
      </c>
      <c r="C162" s="24">
        <f>IF(AND(ISNUMBER(C158),ISNUMBER(C160),ISNUMBER(C161)),(1+C158)/((1+C160)*(1+C161))-1,"unavailable")</f>
        <v>0.15209790209790208</v>
      </c>
      <c r="D162" s="24">
        <f>IF(AND(ISNUMBER(D158),ISNUMBER(D160),ISNUMBER(D161)),(1+D158)/((1+D160)*(1+D161))-1,"unavailable")</f>
        <v>0.09401709401709413</v>
      </c>
      <c r="E162" s="24">
        <f>IF(AND(ISNUMBER(E158),ISNUMBER(E160),ISNUMBER(E161)),(1+E158)/((1+E160)*(1+E161))-1,"unavailable")</f>
        <v>0.11920529801324498</v>
      </c>
      <c r="F162" s="24">
        <f>IF(AND(ISNUMBER(F158),ISNUMBER(F160),ISNUMBER(F161)),(1+F158)/((1+F160)*(1+F161))-1,"unavailable")</f>
        <v>0.05932203389830515</v>
      </c>
      <c r="G162" s="24">
        <f>IF(AND(ISNUMBER(G158),ISNUMBER(G160),ISNUMBER(G161)),(1+G158)/((1+G160)*(1+G161))-1,"unavailable")</f>
        <v>-0.024767801857585092</v>
      </c>
      <c r="H162" s="40" t="str">
        <f>IF(AND(ISNUMBER(H158),ISNUMBER(H160),ISNUMBER(H161)),(1+H158)/((1+H160)*(1+H161))-1,"unavailable")</f>
        <v>unavailable</v>
      </c>
      <c r="I162" s="7"/>
    </row>
    <row r="163">
      <c r="A163" s="7"/>
      <c r="B163" s="1" t="s">
        <v>283</v>
      </c>
      <c r="C163" s="12">
        <f>C157+C289</f>
        <v>684</v>
      </c>
      <c r="D163" s="12">
        <f>D157+D289</f>
        <v>640</v>
      </c>
      <c r="E163" s="12">
        <f>E157+E289</f>
        <v>2585</v>
      </c>
      <c r="F163" s="12">
        <f>F157+F289</f>
        <v>625</v>
      </c>
      <c r="G163" s="12">
        <f>G157+G289</f>
        <v>670</v>
      </c>
      <c r="H163" s="42">
        <f>H157+H289</f>
        <v>664.1759607078192</v>
      </c>
      <c r="I163" s="7"/>
    </row>
    <row r="164">
      <c r="A164" s="7"/>
      <c r="B164" s="44" t="s">
        <v>66</v>
      </c>
      <c r="C164" s="41" t="str">
        <f>IF(ISNUMBER(Inputs!C306),IF(AND(Inputs!C306&gt;0,C163&gt;=0),C163/Inputs!C306-1,"n.m."),"n.a.")</f>
        <v>n.a.</v>
      </c>
      <c r="D164" s="41">
        <f>IF(ISNUMBER(Inputs!D306),IF(AND(Inputs!D306&gt;0,D163&gt;=0),D163/Inputs!D306-1,"n.m."),"n.a.")</f>
        <v>0.04065040650406515</v>
      </c>
      <c r="E164" s="41">
        <f>IF(ISNUMBER(Inputs!E306),IF(AND(Inputs!E306&gt;0,E163&gt;=0),E163/Inputs!E306-1,"n.m."),"n.a.")</f>
        <v>0.04528912252325101</v>
      </c>
      <c r="F164" s="41">
        <f>IF(ISNUMBER(Inputs!F306),IF(AND(Inputs!F306&gt;0,F163&gt;=0),F163/Inputs!F306-1,"n.m."),"n.a.")</f>
        <v>0.016260162601626105</v>
      </c>
      <c r="G164" s="41">
        <f>IF(ISNUMBER(Inputs!G306),IF(AND(Inputs!G306&gt;0,G163&gt;=0),G163/Inputs!G306-1,"n.m."),"n.a.")</f>
        <v>0.037151702786377694</v>
      </c>
      <c r="H164" s="40">
        <f>IF(ISNUMBER(C163),IF(AND(C163&gt;0,H163&gt;=0),H163/C163-1,"n.m."),"n.a.")</f>
        <v>-0.028982513585059655</v>
      </c>
      <c r="I164" s="7"/>
    </row>
    <row r="165">
      <c r="A165" s="7"/>
      <c r="B165" s="44" t="s">
        <v>67</v>
      </c>
      <c r="C165" s="41">
        <f>IF(ISNUMBER(Inputs!G306),IF(AND(Inputs!G306&gt;0,C163&gt;=0),C163/Inputs!G306-1,"n.m."),"n.a.")</f>
        <v>0.05882352941176472</v>
      </c>
      <c r="D165" s="24">
        <f>IF(ISNUMBER(C163),IF(AND(C163&gt;0,D163&gt;=0),D163/C163-1,"n.m."),"n.a.")</f>
        <v>-0.06432748538011701</v>
      </c>
      <c r="E165" s="24"/>
      <c r="F165" s="24">
        <f>IF(ISNUMBER(D163),IF(AND(D163&gt;0,F163&gt;=0),F163/D163-1,"n.m."),"n.a.")</f>
        <v>-0.0234375</v>
      </c>
      <c r="G165" s="24">
        <f>IF(ISNUMBER(F163),IF(AND(F163&gt;0,G163&gt;=0),G163/F163-1,"n.m."),"n.a.")</f>
        <v>0.07200000000000006</v>
      </c>
      <c r="H165" s="40">
        <f>IF(ISNUMBER(G163),IF(AND(G163&gt;0,H163&gt;=0),H163/G163-1,"n.m."),"n.a.")</f>
        <v>-0.008692595958478821</v>
      </c>
      <c r="I165" s="7"/>
    </row>
    <row r="166">
      <c r="A166" s="7"/>
      <c r="B166" s="44" t="s">
        <v>70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40" t="str">
        <f>"unavailable"</f>
        <v>unavailable</v>
      </c>
      <c r="I166" s="7"/>
    </row>
    <row r="167">
      <c r="A167" s="7"/>
      <c r="B167" s="44" t="s">
        <v>71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8">
        <v>0</v>
      </c>
      <c r="I167" s="7"/>
    </row>
    <row r="168">
      <c r="A168" s="7"/>
      <c r="B168" s="44" t="s">
        <v>72</v>
      </c>
      <c r="C168" s="24" t="str">
        <f>IF(AND(ISNUMBER(C164),ISNUMBER(C166),ISNUMBER(C167)),(1+C164)/((1+C166)*(1+C167))-1,"unavailable")</f>
        <v>unavailable</v>
      </c>
      <c r="D168" s="24">
        <f>IF(AND(ISNUMBER(D164),ISNUMBER(D166),ISNUMBER(D167)),(1+D164)/((1+D166)*(1+D167))-1,"unavailable")</f>
        <v>0.04065040650406515</v>
      </c>
      <c r="E168" s="24">
        <f>IF(AND(ISNUMBER(E164),ISNUMBER(E166),ISNUMBER(E167)),(1+E164)/((1+E166)*(1+E167))-1,"unavailable")</f>
        <v>0.04528912252325101</v>
      </c>
      <c r="F168" s="24">
        <f>IF(AND(ISNUMBER(F164),ISNUMBER(F166),ISNUMBER(F167)),(1+F164)/((1+F166)*(1+F167))-1,"unavailable")</f>
        <v>0.016260162601626105</v>
      </c>
      <c r="G168" s="24">
        <f>IF(AND(ISNUMBER(G164),ISNUMBER(G166),ISNUMBER(G167)),(1+G164)/((1+G166)*(1+G167))-1,"unavailable")</f>
        <v>0.037151702786377694</v>
      </c>
      <c r="H168" s="40" t="str">
        <f>IF(AND(ISNUMBER(H164),ISNUMBER(H166),ISNUMBER(H167)),(1+H164)/((1+H166)*(1+H167))-1,"unavailable")</f>
        <v>unavailable</v>
      </c>
      <c r="I168" s="7"/>
    </row>
    <row r="169">
      <c r="A169" s="7"/>
      <c r="B169" s="34" t="s">
        <v>93</v>
      </c>
      <c r="C169" s="35">
        <f>C52+C157</f>
        <v>1916</v>
      </c>
      <c r="D169" s="35">
        <f>D52+D157</f>
        <v>1921</v>
      </c>
      <c r="E169" s="35">
        <f>E52+E157</f>
        <v>7526</v>
      </c>
      <c r="F169" s="35">
        <f>F52+F157</f>
        <v>1873</v>
      </c>
      <c r="G169" s="35">
        <f>G52+G157</f>
        <v>1907</v>
      </c>
      <c r="H169" s="50">
        <f>H52+H157</f>
        <v>1966.6320143557336</v>
      </c>
      <c r="I169" s="7"/>
    </row>
    <row r="170">
      <c r="A170" s="7"/>
      <c r="B170" s="44" t="s">
        <v>66</v>
      </c>
      <c r="C170" s="41">
        <f>IF(ISNUMBER(Inputs!C307),IF(AND(Inputs!C307&gt;0,C169&gt;=0),C169/Inputs!C307-1,"n.m."),"n.a.")</f>
        <v>0.07039106145251406</v>
      </c>
      <c r="D170" s="41">
        <f>IF(ISNUMBER(Inputs!D307),IF(AND(Inputs!D307&gt;0,D169&gt;=0),D169/Inputs!D307-1,"n.m."),"n.a.")</f>
        <v>0.058402203856749324</v>
      </c>
      <c r="E170" s="41">
        <f>IF(ISNUMBER(Inputs!E307),IF(AND(Inputs!E307&gt;0,E169&gt;=0),E169/Inputs!E307-1,"n.m."),"n.a.")</f>
        <v>0.062544119723281</v>
      </c>
      <c r="F170" s="41">
        <f>IF(ISNUMBER(Inputs!F307),IF(AND(Inputs!F307&gt;0,F169&gt;=0),F169/Inputs!F307-1,"n.m."),"n.a.")</f>
        <v>0.049887892376681675</v>
      </c>
      <c r="G170" s="41">
        <f>IF(ISNUMBER(Inputs!G307),IF(AND(Inputs!G307&gt;0,G169&gt;=0),G169/Inputs!G307-1,"n.m."),"n.a.")</f>
        <v>0.0010498687664042272</v>
      </c>
      <c r="H170" s="40">
        <f>IF(ISNUMBER(C169),IF(AND(C169&gt;0,H169&gt;=0),H169/C169-1,"n.m."),"n.a.")</f>
        <v>0.02642589475768986</v>
      </c>
      <c r="I170" s="7"/>
    </row>
    <row r="171">
      <c r="A171" s="7"/>
      <c r="B171" s="44" t="s">
        <v>67</v>
      </c>
      <c r="C171" s="41">
        <f>IF(ISNUMBER(Inputs!G307),IF(AND(Inputs!G307&gt;0,C169&gt;=0),C169/Inputs!G307-1,"n.m."),"n.a.")</f>
        <v>0.005774278215223028</v>
      </c>
      <c r="D171" s="24">
        <f>IF(ISNUMBER(C169),IF(AND(C169&gt;0,D169&gt;=0),D169/C169-1,"n.m."),"n.a.")</f>
        <v>0.0026096033402922547</v>
      </c>
      <c r="E171" s="24"/>
      <c r="F171" s="24">
        <f>IF(ISNUMBER(D169),IF(AND(D169&gt;0,F169&gt;=0),F169/D169-1,"n.m."),"n.a.")</f>
        <v>-0.024986985944820406</v>
      </c>
      <c r="G171" s="24">
        <f>IF(ISNUMBER(F169),IF(AND(F169&gt;0,G169&gt;=0),G169/F169-1,"n.m."),"n.a.")</f>
        <v>0.018152696209289942</v>
      </c>
      <c r="H171" s="40">
        <f>IF(ISNUMBER(G169),IF(AND(G169&gt;0,H169&gt;=0),H169/G169-1,"n.m."),"n.a.")</f>
        <v>0.03127006521013831</v>
      </c>
      <c r="I171" s="7"/>
    </row>
    <row r="172">
      <c r="A172" s="7"/>
      <c r="B172" s="48" t="s">
        <v>78</v>
      </c>
      <c r="C172" s="29">
        <f>IF(ISNUMBER(Inputs!G307),C169-Inputs!G307,"n.a.")</f>
        <v>11</v>
      </c>
      <c r="D172" s="12">
        <f>IF(ISNUMBER(C169),D169-C169,"n.a.")</f>
        <v>5</v>
      </c>
      <c r="E172" s="12"/>
      <c r="F172" s="12">
        <f>IF(ISNUMBER(D169),F169-D169,"n.a.")</f>
        <v>-48</v>
      </c>
      <c r="G172" s="12">
        <f>IF(ISNUMBER(F169),G169-F169,"n.a.")</f>
        <v>34</v>
      </c>
      <c r="H172" s="42">
        <f>IF(ISNUMBER(G169),H169-G169,"n.a.")</f>
        <v>59.632014355733645</v>
      </c>
      <c r="I172" s="7"/>
    </row>
    <row r="173">
      <c r="A173" s="7"/>
      <c r="B173" s="44" t="s">
        <v>70</v>
      </c>
      <c r="C173" s="52">
        <v>0</v>
      </c>
      <c r="D173" s="52">
        <v>0</v>
      </c>
      <c r="E173" s="52">
        <v>0</v>
      </c>
      <c r="F173" s="52">
        <v>0</v>
      </c>
      <c r="G173" s="52">
        <v>0</v>
      </c>
      <c r="H173" s="40" t="str">
        <f>"unavailable"</f>
        <v>unavailable</v>
      </c>
      <c r="I173" s="7"/>
    </row>
    <row r="174">
      <c r="A174" s="7"/>
      <c r="B174" s="44" t="s">
        <v>71</v>
      </c>
      <c r="C174" s="52">
        <v>0</v>
      </c>
      <c r="D174" s="52">
        <v>0</v>
      </c>
      <c r="E174" s="52">
        <v>0</v>
      </c>
      <c r="F174" s="52">
        <v>0</v>
      </c>
      <c r="G174" s="52">
        <v>0</v>
      </c>
      <c r="H174" s="58">
        <v>0</v>
      </c>
      <c r="I174" s="7"/>
    </row>
    <row r="175">
      <c r="A175" s="7"/>
      <c r="B175" s="44" t="s">
        <v>72</v>
      </c>
      <c r="C175" s="24">
        <f>IF(AND(ISNUMBER(C170),ISNUMBER(C173),ISNUMBER(C174)),(1+C170)/((1+C173)*(1+C174))-1,"unavailable")</f>
        <v>0.07039106145251406</v>
      </c>
      <c r="D175" s="24">
        <f>IF(AND(ISNUMBER(D170),ISNUMBER(D173),ISNUMBER(D174)),(1+D170)/((1+D173)*(1+D174))-1,"unavailable")</f>
        <v>0.058402203856749324</v>
      </c>
      <c r="E175" s="24">
        <f>IF(AND(ISNUMBER(E170),ISNUMBER(E173),ISNUMBER(E174)),(1+E170)/((1+E173)*(1+E174))-1,"unavailable")</f>
        <v>0.062544119723281</v>
      </c>
      <c r="F175" s="24">
        <f>IF(AND(ISNUMBER(F170),ISNUMBER(F173),ISNUMBER(F174)),(1+F170)/((1+F173)*(1+F174))-1,"unavailable")</f>
        <v>0.049887892376681675</v>
      </c>
      <c r="G175" s="24">
        <f>IF(AND(ISNUMBER(G170),ISNUMBER(G173),ISNUMBER(G174)),(1+G170)/((1+G173)*(1+G174))-1,"unavailable")</f>
        <v>0.0010498687664042272</v>
      </c>
      <c r="H175" s="40" t="str">
        <f>IF(AND(ISNUMBER(H170),ISNUMBER(H173),ISNUMBER(H174)),(1+H170)/((1+H173)*(1+H174))-1,"unavailable")</f>
        <v>unavailable</v>
      </c>
      <c r="I175" s="7"/>
    </row>
    <row r="176">
      <c r="A176" s="7"/>
      <c r="B176" s="34" t="s">
        <v>284</v>
      </c>
      <c r="C176" s="35">
        <f>C169+C59</f>
        <v>1928</v>
      </c>
      <c r="D176" s="35">
        <f>D169+D59</f>
        <v>1934</v>
      </c>
      <c r="E176" s="35">
        <f>E169+E59</f>
        <v>7575</v>
      </c>
      <c r="F176" s="35">
        <f>F169+F59</f>
        <v>1886</v>
      </c>
      <c r="G176" s="35">
        <f>G169+G59</f>
        <v>1921</v>
      </c>
      <c r="H176" s="50">
        <f>H169+H59</f>
        <v>1980.6320143557336</v>
      </c>
      <c r="I176" s="7"/>
    </row>
    <row r="177">
      <c r="A177" s="7"/>
      <c r="B177" s="44" t="s">
        <v>66</v>
      </c>
      <c r="C177" s="41" t="str">
        <f>IF(ISNUMBER(Inputs!C308),IF(AND(Inputs!C308&gt;0,C176&gt;=0),C176/Inputs!C308-1,"n.m."),"n.a.")</f>
        <v>n.a.</v>
      </c>
      <c r="D177" s="41">
        <f>IF(ISNUMBER(Inputs!D308),IF(AND(Inputs!D308&gt;0,D176&gt;=0),D176/Inputs!D308-1,"n.m."),"n.a.")</f>
        <v>0.057986870897155374</v>
      </c>
      <c r="E177" s="41">
        <f>IF(ISNUMBER(Inputs!E308),IF(AND(Inputs!E308&gt;0,E176&gt;=0),E176/Inputs!E308-1,"n.m."),"n.a.")</f>
        <v>0.06196551240712189</v>
      </c>
      <c r="F177" s="41">
        <f>IF(ISNUMBER(Inputs!F308),IF(AND(Inputs!F308&gt;0,F176&gt;=0),F176/Inputs!F308-1,"n.m."),"n.a.")</f>
        <v>0.05011135857461024</v>
      </c>
      <c r="G177" s="41">
        <f>IF(ISNUMBER(Inputs!G308),IF(AND(Inputs!G308&gt;0,G176&gt;=0),G176/Inputs!G308-1,"n.m."),"n.a.")</f>
        <v>0.0020865936358893666</v>
      </c>
      <c r="H177" s="40">
        <f>IF(ISNUMBER(C176),IF(AND(C176&gt;0,H176&gt;=0),H176/C176-1,"n.m."),"n.a.")</f>
        <v>0.02729876263264197</v>
      </c>
      <c r="I177" s="7"/>
    </row>
    <row r="178">
      <c r="A178" s="7"/>
      <c r="B178" s="44" t="s">
        <v>67</v>
      </c>
      <c r="C178" s="41">
        <f>IF(ISNUMBER(Inputs!G308),IF(AND(Inputs!G308&gt;0,C176&gt;=0),C176/Inputs!G308-1,"n.m."),"n.a.")</f>
        <v>0.005738132498695814</v>
      </c>
      <c r="D178" s="24">
        <f>IF(ISNUMBER(C176),IF(AND(C176&gt;0,D176&gt;=0),D176/C176-1,"n.m."),"n.a.")</f>
        <v>0.003112033195020736</v>
      </c>
      <c r="E178" s="24"/>
      <c r="F178" s="24">
        <f>IF(ISNUMBER(D176),IF(AND(D176&gt;0,F176&gt;=0),F176/D176-1,"n.m."),"n.a.")</f>
        <v>-0.024819027921406445</v>
      </c>
      <c r="G178" s="24">
        <f>IF(ISNUMBER(F176),IF(AND(F176&gt;0,G176&gt;=0),G176/F176-1,"n.m."),"n.a.")</f>
        <v>0.01855779427359483</v>
      </c>
      <c r="H178" s="40">
        <f>IF(ISNUMBER(G176),IF(AND(G176&gt;0,H176&gt;=0),H176/G176-1,"n.m."),"n.a.")</f>
        <v>0.031042173011834207</v>
      </c>
      <c r="I178" s="7"/>
    </row>
    <row r="179">
      <c r="A179" s="7"/>
      <c r="B179" s="48" t="s">
        <v>78</v>
      </c>
      <c r="C179" s="29">
        <f>IF(ISNUMBER(Inputs!G308),C176-Inputs!G308,"n.a.")</f>
        <v>11</v>
      </c>
      <c r="D179" s="12">
        <f>IF(ISNUMBER(C176),D176-C176,"n.a.")</f>
        <v>6</v>
      </c>
      <c r="E179" s="12"/>
      <c r="F179" s="12">
        <f>IF(ISNUMBER(D176),F176-D176,"n.a.")</f>
        <v>-48</v>
      </c>
      <c r="G179" s="12">
        <f>IF(ISNUMBER(F176),G176-F176,"n.a.")</f>
        <v>35</v>
      </c>
      <c r="H179" s="42">
        <f>IF(ISNUMBER(G176),H176-G176,"n.a.")</f>
        <v>59.632014355733645</v>
      </c>
      <c r="I179" s="7"/>
    </row>
    <row r="180">
      <c r="A180" s="7"/>
      <c r="B180" s="44" t="s">
        <v>70</v>
      </c>
      <c r="C180" s="52">
        <v>0</v>
      </c>
      <c r="D180" s="52">
        <v>0</v>
      </c>
      <c r="E180" s="52">
        <v>0</v>
      </c>
      <c r="F180" s="52">
        <v>0</v>
      </c>
      <c r="G180" s="52">
        <v>0</v>
      </c>
      <c r="H180" s="40" t="str">
        <f>"unavailable"</f>
        <v>unavailable</v>
      </c>
      <c r="I180" s="7"/>
    </row>
    <row r="181">
      <c r="A181" s="7"/>
      <c r="B181" s="44" t="s">
        <v>71</v>
      </c>
      <c r="C181" s="52">
        <v>0</v>
      </c>
      <c r="D181" s="52">
        <v>0</v>
      </c>
      <c r="E181" s="52">
        <v>0</v>
      </c>
      <c r="F181" s="52">
        <v>0</v>
      </c>
      <c r="G181" s="52">
        <v>0</v>
      </c>
      <c r="H181" s="58">
        <v>0</v>
      </c>
      <c r="I181" s="7"/>
    </row>
    <row r="182">
      <c r="A182" s="7"/>
      <c r="B182" s="44" t="s">
        <v>72</v>
      </c>
      <c r="C182" s="24" t="str">
        <f>IF(AND(ISNUMBER(C177),ISNUMBER(C180),ISNUMBER(C181)),(1+C177)/((1+C180)*(1+C181))-1,"unavailable")</f>
        <v>unavailable</v>
      </c>
      <c r="D182" s="24">
        <f>IF(AND(ISNUMBER(D177),ISNUMBER(D180),ISNUMBER(D181)),(1+D177)/((1+D180)*(1+D181))-1,"unavailable")</f>
        <v>0.057986870897155374</v>
      </c>
      <c r="E182" s="24">
        <f>IF(AND(ISNUMBER(E177),ISNUMBER(E180),ISNUMBER(E181)),(1+E177)/((1+E180)*(1+E181))-1,"unavailable")</f>
        <v>0.06196551240712189</v>
      </c>
      <c r="F182" s="24">
        <f>IF(AND(ISNUMBER(F177),ISNUMBER(F180),ISNUMBER(F181)),(1+F177)/((1+F180)*(1+F181))-1,"unavailable")</f>
        <v>0.05011135857461024</v>
      </c>
      <c r="G182" s="24">
        <f>IF(AND(ISNUMBER(G177),ISNUMBER(G180),ISNUMBER(G181)),(1+G177)/((1+G180)*(1+G181))-1,"unavailable")</f>
        <v>0.0020865936358893666</v>
      </c>
      <c r="H182" s="40" t="str">
        <f>IF(AND(ISNUMBER(H177),ISNUMBER(H180),ISNUMBER(H181)),(1+H177)/((1+H180)*(1+H181))-1,"unavailable")</f>
        <v>unavailable</v>
      </c>
      <c r="I182" s="7"/>
    </row>
    <row r="183">
      <c r="A183" s="7"/>
      <c r="B183" s="7"/>
      <c r="C183" s="7"/>
      <c r="D183" s="7"/>
      <c r="E183" s="7"/>
      <c r="F183" s="7"/>
      <c r="G183" s="7"/>
      <c r="H183" s="49"/>
      <c r="I183" s="7"/>
    </row>
    <row r="184">
      <c r="A184" s="7"/>
      <c r="B184" s="34" t="s">
        <v>285</v>
      </c>
      <c r="C184" s="9"/>
      <c r="D184" s="9"/>
      <c r="E184" s="9"/>
      <c r="F184" s="9"/>
      <c r="G184" s="9"/>
      <c r="H184" s="43"/>
      <c r="I184" s="7"/>
    </row>
    <row r="185">
      <c r="A185" s="7"/>
      <c r="B185" s="1" t="s">
        <v>200</v>
      </c>
      <c r="C185" s="31">
        <v>671</v>
      </c>
      <c r="D185" s="31">
        <v>662</v>
      </c>
      <c r="E185" s="31">
        <v>2616</v>
      </c>
      <c r="F185" s="31">
        <v>659</v>
      </c>
      <c r="G185" s="31">
        <v>697</v>
      </c>
      <c r="H185" s="42">
        <f>G185*(1+H188)</f>
        <v>682.0145</v>
      </c>
      <c r="I185" s="39" t="s">
        <v>286</v>
      </c>
    </row>
    <row r="186">
      <c r="A186" s="7"/>
      <c r="B186" s="44" t="s">
        <v>66</v>
      </c>
      <c r="C186" s="41">
        <f>IF(ISNUMBER(Inputs!C309),IF(AND(Inputs!C309&gt;0,C185&gt;=0),C185/Inputs!C309-1,"n.m."),"n.a.")</f>
        <v>0.04031007751937987</v>
      </c>
      <c r="D186" s="41">
        <f>IF(ISNUMBER(Inputs!D309),IF(AND(Inputs!D309&gt;0,D185&gt;=0),D185/Inputs!D309-1,"n.m."),"n.a.")</f>
        <v>0.072933549432739</v>
      </c>
      <c r="E186" s="41">
        <f>IF(ISNUMBER(Inputs!E309),IF(AND(Inputs!E309&gt;0,E185&gt;=0),E185/Inputs!E309-1,"n.m."),"n.a.")</f>
        <v>0.03440094899169632</v>
      </c>
      <c r="F186" s="41">
        <f>IF(ISNUMBER(Inputs!F309),IF(AND(Inputs!F309&gt;0,F185&gt;=0),F185/Inputs!F309-1,"n.m."),"n.a.")</f>
        <v>0.054400000000000004</v>
      </c>
      <c r="G186" s="41">
        <f>IF(ISNUMBER(Inputs!G309),IF(AND(Inputs!G309&gt;0,G185&gt;=0),G185/Inputs!G309-1,"n.m."),"n.a.")</f>
        <v>0.059270516717325306</v>
      </c>
      <c r="H186" s="40">
        <f>IF(ISNUMBER(C185),IF(AND(C185&gt;0,H185&gt;=0),H185/C185-1,"n.m."),"n.a.")</f>
        <v>0.016415052160953847</v>
      </c>
      <c r="I186" s="7"/>
    </row>
    <row r="187">
      <c r="A187" s="7"/>
      <c r="B187" s="48" t="s">
        <v>78</v>
      </c>
      <c r="C187" s="29">
        <f>IF(ISNUMBER(Inputs!G309),C185-Inputs!G309,"n.a.")</f>
        <v>13</v>
      </c>
      <c r="D187" s="12">
        <f>IF(ISNUMBER(C185),D185-C185,"n.a.")</f>
        <v>-9</v>
      </c>
      <c r="E187" s="12"/>
      <c r="F187" s="12">
        <f>IF(ISNUMBER(D185),F185-D185,"n.a.")</f>
        <v>-3</v>
      </c>
      <c r="G187" s="12">
        <f>IF(ISNUMBER(F185),G185-F185,"n.a.")</f>
        <v>38</v>
      </c>
      <c r="H187" s="42">
        <f>IF(ISNUMBER(G185),H185-G185,"n.a.")</f>
        <v>-14.985500000000002</v>
      </c>
      <c r="I187" s="7"/>
    </row>
    <row r="188">
      <c r="A188" s="7"/>
      <c r="B188" s="44" t="s">
        <v>67</v>
      </c>
      <c r="C188" s="41">
        <f>IF(ISNUMBER(Inputs!G309),IF(AND(Inputs!G309&gt;0,C185&gt;=0),C185/Inputs!G309-1,"n.m."),"n.a.")</f>
        <v>0.019756838905775176</v>
      </c>
      <c r="D188" s="24">
        <f>IF(ISNUMBER(C185),IF(AND(C185&gt;0,D185&gt;=0),D185/C185-1,"n.m."),"n.a.")</f>
        <v>-0.01341281669150518</v>
      </c>
      <c r="E188" s="24"/>
      <c r="F188" s="24">
        <f>IF(ISNUMBER(D185),IF(AND(D185&gt;0,F185&gt;=0),F185/D185-1,"n.m."),"n.a.")</f>
        <v>-0.004531722054380682</v>
      </c>
      <c r="G188" s="24">
        <f>IF(ISNUMBER(F185),IF(AND(F185&gt;0,G185&gt;=0),G185/F185-1,"n.m."),"n.a.")</f>
        <v>0.05766312594840661</v>
      </c>
      <c r="H188" s="58">
        <v>-0.0215</v>
      </c>
      <c r="I188" s="7"/>
    </row>
    <row r="189">
      <c r="A189" s="7"/>
      <c r="B189" s="1" t="s">
        <v>201</v>
      </c>
      <c r="C189" s="31">
        <v>106</v>
      </c>
      <c r="D189" s="31">
        <v>112</v>
      </c>
      <c r="E189" s="31">
        <v>421</v>
      </c>
      <c r="F189" s="31">
        <v>108</v>
      </c>
      <c r="G189" s="31">
        <v>107</v>
      </c>
      <c r="H189" s="42">
        <f>G189*(1+H192)</f>
        <v>109.03299999999999</v>
      </c>
      <c r="I189" s="39" t="s">
        <v>286</v>
      </c>
    </row>
    <row r="190">
      <c r="A190" s="7"/>
      <c r="B190" s="44" t="s">
        <v>66</v>
      </c>
      <c r="C190" s="41">
        <f>IF(ISNUMBER(Inputs!C310),IF(AND(Inputs!C310&gt;0,C189&gt;=0),C189/Inputs!C310-1,"n.m."),"n.a.")</f>
        <v>0.04950495049504955</v>
      </c>
      <c r="D190" s="41">
        <f>IF(ISNUMBER(Inputs!D310),IF(AND(Inputs!D310&gt;0,D189&gt;=0),D189/Inputs!D310-1,"n.m."),"n.a.")</f>
        <v>0.07692307692307687</v>
      </c>
      <c r="E190" s="41">
        <f>IF(ISNUMBER(Inputs!E310),IF(AND(Inputs!E310&gt;0,E189&gt;=0),E189/Inputs!E310-1,"n.m."),"n.a.")</f>
        <v>0.03694581280788167</v>
      </c>
      <c r="F190" s="41">
        <f>IF(ISNUMBER(Inputs!F310),IF(AND(Inputs!F310&gt;0,F189&gt;=0),F189/Inputs!F310-1,"n.m."),"n.a.")</f>
        <v>0.09090909090909083</v>
      </c>
      <c r="G190" s="41">
        <f>IF(ISNUMBER(Inputs!G310),IF(AND(Inputs!G310&gt;0,G189&gt;=0),G189/Inputs!G310-1,"n.m."),"n.a.")</f>
        <v>0.028846153846153744</v>
      </c>
      <c r="H190" s="40">
        <f>IF(ISNUMBER(C189),IF(AND(C189&gt;0,H189&gt;=0),H189/C189-1,"n.m."),"n.a.")</f>
        <v>0.028613207547169672</v>
      </c>
      <c r="I190" s="7"/>
    </row>
    <row r="191">
      <c r="A191" s="7"/>
      <c r="B191" s="48" t="s">
        <v>78</v>
      </c>
      <c r="C191" s="29">
        <f>IF(ISNUMBER(Inputs!G310),C189-Inputs!G310,"n.a.")</f>
        <v>2</v>
      </c>
      <c r="D191" s="12">
        <f>IF(ISNUMBER(C189),D189-C189,"n.a.")</f>
        <v>6</v>
      </c>
      <c r="E191" s="12"/>
      <c r="F191" s="12">
        <f>IF(ISNUMBER(D189),F189-D189,"n.a.")</f>
        <v>-4</v>
      </c>
      <c r="G191" s="12">
        <f>IF(ISNUMBER(F189),G189-F189,"n.a.")</f>
        <v>-1</v>
      </c>
      <c r="H191" s="42">
        <f>IF(ISNUMBER(G189),H189-G189,"n.a.")</f>
        <v>2.032999999999987</v>
      </c>
      <c r="I191" s="7"/>
    </row>
    <row r="192">
      <c r="A192" s="7"/>
      <c r="B192" s="44" t="s">
        <v>67</v>
      </c>
      <c r="C192" s="41">
        <f>IF(ISNUMBER(Inputs!G310),IF(AND(Inputs!G310&gt;0,C189&gt;=0),C189/Inputs!G310-1,"n.m."),"n.a.")</f>
        <v>0.019230769230769162</v>
      </c>
      <c r="D192" s="24">
        <f>IF(ISNUMBER(C189),IF(AND(C189&gt;0,D189&gt;=0),D189/C189-1,"n.m."),"n.a.")</f>
        <v>0.05660377358490565</v>
      </c>
      <c r="E192" s="24"/>
      <c r="F192" s="24">
        <f>IF(ISNUMBER(D189),IF(AND(D189&gt;0,F189&gt;=0),F189/D189-1,"n.m."),"n.a.")</f>
        <v>-0.0357142857142857</v>
      </c>
      <c r="G192" s="24">
        <f>IF(ISNUMBER(F189),IF(AND(F189&gt;0,G189&gt;=0),G189/F189-1,"n.m."),"n.a.")</f>
        <v>-0.0092592592592593</v>
      </c>
      <c r="H192" s="58">
        <v>0.019</v>
      </c>
      <c r="I192" s="7"/>
    </row>
    <row r="193">
      <c r="A193" s="7"/>
      <c r="B193" s="1" t="s">
        <v>202</v>
      </c>
      <c r="C193" s="31">
        <v>72</v>
      </c>
      <c r="D193" s="31">
        <v>74</v>
      </c>
      <c r="E193" s="31">
        <v>288</v>
      </c>
      <c r="F193" s="31">
        <v>72</v>
      </c>
      <c r="G193" s="31">
        <v>73</v>
      </c>
      <c r="H193" s="42">
        <f>G193*(1+H196)</f>
        <v>74.022</v>
      </c>
      <c r="I193" s="39" t="s">
        <v>286</v>
      </c>
    </row>
    <row r="194">
      <c r="A194" s="7"/>
      <c r="B194" s="44" t="s">
        <v>66</v>
      </c>
      <c r="C194" s="41">
        <f>IF(ISNUMBER(Inputs!C311),IF(AND(Inputs!C311&gt;0,C193&gt;=0),C193/Inputs!C311-1,"n.m."),"n.a.")</f>
        <v>0.04347826086956519</v>
      </c>
      <c r="D194" s="41">
        <f>IF(ISNUMBER(Inputs!D311),IF(AND(Inputs!D311&gt;0,D193&gt;=0),D193/Inputs!D311-1,"n.m."),"n.a.")</f>
        <v>0.10447761194029859</v>
      </c>
      <c r="E194" s="41">
        <f>IF(ISNUMBER(Inputs!E311),IF(AND(Inputs!E311&gt;0,E193&gt;=0),E193/Inputs!E311-1,"n.m."),"n.a.")</f>
        <v>0.03597122302158273</v>
      </c>
      <c r="F194" s="41">
        <f>IF(ISNUMBER(Inputs!F311),IF(AND(Inputs!F311&gt;0,F193&gt;=0),F193/Inputs!F311-1,"n.m."),"n.a.")</f>
        <v>0.02857142857142847</v>
      </c>
      <c r="G194" s="41">
        <f>IF(ISNUMBER(Inputs!G311),IF(AND(Inputs!G311&gt;0,G193&gt;=0),G193/Inputs!G311-1,"n.m."),"n.a.")</f>
        <v>0.01388888888888884</v>
      </c>
      <c r="H194" s="40">
        <f>IF(ISNUMBER(C193),IF(AND(C193&gt;0,H193&gt;=0),H193/C193-1,"n.m."),"n.a.")</f>
        <v>0.02808333333333346</v>
      </c>
      <c r="I194" s="7"/>
    </row>
    <row r="195">
      <c r="A195" s="7"/>
      <c r="B195" s="48" t="s">
        <v>78</v>
      </c>
      <c r="C195" s="29">
        <f>IF(ISNUMBER(Inputs!G311),C193-Inputs!G311,"n.a.")</f>
        <v>0</v>
      </c>
      <c r="D195" s="12">
        <f>IF(ISNUMBER(C193),D193-C193,"n.a.")</f>
        <v>2</v>
      </c>
      <c r="E195" s="12"/>
      <c r="F195" s="12">
        <f>IF(ISNUMBER(D193),F193-D193,"n.a.")</f>
        <v>-2</v>
      </c>
      <c r="G195" s="12">
        <f>IF(ISNUMBER(F193),G193-F193,"n.a.")</f>
        <v>1</v>
      </c>
      <c r="H195" s="42">
        <f>IF(ISNUMBER(G193),H193-G193,"n.a.")</f>
        <v>1.0220000000000056</v>
      </c>
      <c r="I195" s="7"/>
    </row>
    <row r="196">
      <c r="A196" s="7"/>
      <c r="B196" s="44" t="s">
        <v>67</v>
      </c>
      <c r="C196" s="41">
        <f>IF(ISNUMBER(Inputs!G311),IF(AND(Inputs!G311&gt;0,C193&gt;=0),C193/Inputs!G311-1,"n.m."),"n.a.")</f>
        <v>0</v>
      </c>
      <c r="D196" s="24">
        <f>IF(ISNUMBER(C193),IF(AND(C193&gt;0,D193&gt;=0),D193/C193-1,"n.m."),"n.a.")</f>
        <v>0.02777777777777768</v>
      </c>
      <c r="E196" s="24"/>
      <c r="F196" s="24">
        <f>IF(ISNUMBER(D193),IF(AND(D193&gt;0,F193&gt;=0),F193/D193-1,"n.m."),"n.a.")</f>
        <v>-0.027027027027026973</v>
      </c>
      <c r="G196" s="24">
        <f>IF(ISNUMBER(F193),IF(AND(F193&gt;0,G193&gt;=0),G193/F193-1,"n.m."),"n.a.")</f>
        <v>0.01388888888888884</v>
      </c>
      <c r="H196" s="58">
        <v>0.014</v>
      </c>
      <c r="I196" s="7"/>
    </row>
    <row r="197">
      <c r="A197" s="7"/>
      <c r="B197" s="1" t="s">
        <v>287</v>
      </c>
      <c r="C197" s="31">
        <v>42</v>
      </c>
      <c r="D197" s="31">
        <v>45</v>
      </c>
      <c r="E197" s="31">
        <v>166</v>
      </c>
      <c r="F197" s="31">
        <v>42</v>
      </c>
      <c r="G197" s="31">
        <v>47</v>
      </c>
      <c r="H197" s="42">
        <f>G197*(1+H200)</f>
        <v>46.013</v>
      </c>
      <c r="I197" s="39" t="s">
        <v>286</v>
      </c>
    </row>
    <row r="198">
      <c r="A198" s="7"/>
      <c r="B198" s="44" t="s">
        <v>66</v>
      </c>
      <c r="C198" s="41" t="str">
        <f>IF(ISNUMBER(Inputs!C312),IF(AND(Inputs!C312&gt;0,C197&gt;=0),C197/Inputs!C312-1,"n.m."),"n.a.")</f>
        <v>n.a.</v>
      </c>
      <c r="D198" s="41">
        <f>IF(ISNUMBER(Inputs!D312),IF(AND(Inputs!D312&gt;0,D197&gt;=0),D197/Inputs!D312-1,"n.m."),"n.a.")</f>
        <v>0.0714285714285714</v>
      </c>
      <c r="E198" s="41">
        <f>IF(ISNUMBER(Inputs!E312),IF(AND(Inputs!E312&gt;0,E197&gt;=0),E197/Inputs!E312-1,"n.m."),"n.a.")</f>
        <v>0.024691358024691468</v>
      </c>
      <c r="F198" s="41">
        <f>IF(ISNUMBER(Inputs!F312),IF(AND(Inputs!F312&gt;0,F197&gt;=0),F197/Inputs!F312-1,"n.m."),"n.a.")</f>
        <v>0.050000000000000044</v>
      </c>
      <c r="G198" s="41">
        <f>IF(ISNUMBER(Inputs!G312),IF(AND(Inputs!G312&gt;0,G197&gt;=0),G197/Inputs!G312-1,"n.m."),"n.a.")</f>
        <v>0.20512820512820507</v>
      </c>
      <c r="H198" s="40">
        <f>IF(ISNUMBER(C197),IF(AND(C197&gt;0,H197&gt;=0),H197/C197-1,"n.m."),"n.a.")</f>
        <v>0.09554761904761899</v>
      </c>
      <c r="I198" s="7"/>
    </row>
    <row r="199">
      <c r="A199" s="7"/>
      <c r="B199" s="48" t="s">
        <v>78</v>
      </c>
      <c r="C199" s="29">
        <f>IF(ISNUMBER(Inputs!G312),C197-Inputs!G312,"n.a.")</f>
        <v>3</v>
      </c>
      <c r="D199" s="12">
        <f>IF(ISNUMBER(C197),D197-C197,"n.a.")</f>
        <v>3</v>
      </c>
      <c r="E199" s="12"/>
      <c r="F199" s="12">
        <f>IF(ISNUMBER(D197),F197-D197,"n.a.")</f>
        <v>-3</v>
      </c>
      <c r="G199" s="12">
        <f>IF(ISNUMBER(F197),G197-F197,"n.a.")</f>
        <v>5</v>
      </c>
      <c r="H199" s="42">
        <f>IF(ISNUMBER(G197),H197-G197,"n.a.")</f>
        <v>-0.9870000000000019</v>
      </c>
      <c r="I199" s="7"/>
    </row>
    <row r="200">
      <c r="A200" s="7"/>
      <c r="B200" s="44" t="s">
        <v>67</v>
      </c>
      <c r="C200" s="41">
        <f>IF(ISNUMBER(Inputs!G312),IF(AND(Inputs!G312&gt;0,C197&gt;=0),C197/Inputs!G312-1,"n.m."),"n.a.")</f>
        <v>0.07692307692307687</v>
      </c>
      <c r="D200" s="24">
        <f>IF(ISNUMBER(C197),IF(AND(C197&gt;0,D197&gt;=0),D197/C197-1,"n.m."),"n.a.")</f>
        <v>0.0714285714285714</v>
      </c>
      <c r="E200" s="24"/>
      <c r="F200" s="24">
        <f>IF(ISNUMBER(D197),IF(AND(D197&gt;0,F197&gt;=0),F197/D197-1,"n.m."),"n.a.")</f>
        <v>-0.06666666666666665</v>
      </c>
      <c r="G200" s="24">
        <f>IF(ISNUMBER(F197),IF(AND(F197&gt;0,G197&gt;=0),G197/F197-1,"n.m."),"n.a.")</f>
        <v>0.11904761904761907</v>
      </c>
      <c r="H200" s="58">
        <v>-0.021</v>
      </c>
      <c r="I200" s="7"/>
    </row>
    <row r="201">
      <c r="A201" s="7"/>
      <c r="B201" s="1" t="s">
        <v>288</v>
      </c>
      <c r="C201" s="31">
        <v>28</v>
      </c>
      <c r="D201" s="31">
        <v>29</v>
      </c>
      <c r="E201" s="31">
        <v>113</v>
      </c>
      <c r="F201" s="31">
        <v>29</v>
      </c>
      <c r="G201" s="31">
        <v>28</v>
      </c>
      <c r="H201" s="42">
        <f>G201*(1+H204)</f>
        <v>29.008000000000003</v>
      </c>
      <c r="I201" s="39" t="s">
        <v>286</v>
      </c>
    </row>
    <row r="202">
      <c r="A202" s="7"/>
      <c r="B202" s="44" t="s">
        <v>66</v>
      </c>
      <c r="C202" s="41" t="str">
        <f>IF(ISNUMBER(Inputs!C313),IF(AND(Inputs!C313&gt;0,C201&gt;=0),C201/Inputs!C313-1,"n.m."),"n.a.")</f>
        <v>n.a.</v>
      </c>
      <c r="D202" s="41">
        <f>IF(ISNUMBER(Inputs!D313),IF(AND(Inputs!D313&gt;0,D201&gt;=0),D201/Inputs!D313-1,"n.m."),"n.a.")</f>
        <v>0.03571428571428581</v>
      </c>
      <c r="E202" s="41">
        <f>IF(ISNUMBER(Inputs!E313),IF(AND(Inputs!E313&gt;0,E201&gt;=0),E201/Inputs!E313-1,"n.m."),"n.a.")</f>
        <v>0.027272727272727337</v>
      </c>
      <c r="F202" s="41">
        <f>IF(ISNUMBER(Inputs!F313),IF(AND(Inputs!F313&gt;0,F201&gt;=0),F201/Inputs!F313-1,"n.m."),"n.a.")</f>
        <v>-0.033333333333333326</v>
      </c>
      <c r="G202" s="41">
        <f>IF(ISNUMBER(Inputs!G313),IF(AND(Inputs!G313&gt;0,G201&gt;=0),G201/Inputs!G313-1,"n.m."),"n.a.")</f>
        <v>0.07692307692307687</v>
      </c>
      <c r="H202" s="40">
        <f>IF(ISNUMBER(C201),IF(AND(C201&gt;0,H201&gt;=0),H201/C201-1,"n.m."),"n.a.")</f>
        <v>0.03600000000000003</v>
      </c>
      <c r="I202" s="7"/>
    </row>
    <row r="203">
      <c r="A203" s="7"/>
      <c r="B203" s="48" t="s">
        <v>78</v>
      </c>
      <c r="C203" s="29">
        <f>IF(ISNUMBER(Inputs!G313),C201-Inputs!G313,"n.a.")</f>
        <v>2</v>
      </c>
      <c r="D203" s="12">
        <f>IF(ISNUMBER(C201),D201-C201,"n.a.")</f>
        <v>1</v>
      </c>
      <c r="E203" s="12"/>
      <c r="F203" s="12">
        <f>IF(ISNUMBER(D201),F201-D201,"n.a.")</f>
        <v>0</v>
      </c>
      <c r="G203" s="12">
        <f>IF(ISNUMBER(F201),G201-F201,"n.a.")</f>
        <v>-1</v>
      </c>
      <c r="H203" s="42">
        <f>IF(ISNUMBER(G201),H201-G201,"n.a.")</f>
        <v>1.0080000000000027</v>
      </c>
      <c r="I203" s="7"/>
    </row>
    <row r="204">
      <c r="A204" s="7"/>
      <c r="B204" s="44" t="s">
        <v>67</v>
      </c>
      <c r="C204" s="41">
        <f>IF(ISNUMBER(Inputs!G313),IF(AND(Inputs!G313&gt;0,C201&gt;=0),C201/Inputs!G313-1,"n.m."),"n.a.")</f>
        <v>0.07692307692307687</v>
      </c>
      <c r="D204" s="24">
        <f>IF(ISNUMBER(C201),IF(AND(C201&gt;0,D201&gt;=0),D201/C201-1,"n.m."),"n.a.")</f>
        <v>0.03571428571428581</v>
      </c>
      <c r="E204" s="24"/>
      <c r="F204" s="24">
        <f>IF(ISNUMBER(D201),IF(AND(D201&gt;0,F201&gt;=0),F201/D201-1,"n.m."),"n.a.")</f>
        <v>0</v>
      </c>
      <c r="G204" s="24">
        <f>IF(ISNUMBER(F201),IF(AND(F201&gt;0,G201&gt;=0),G201/F201-1,"n.m."),"n.a.")</f>
        <v>-0.03448275862068961</v>
      </c>
      <c r="H204" s="58">
        <v>0.036</v>
      </c>
      <c r="I204" s="7"/>
    </row>
    <row r="205">
      <c r="A205" s="7"/>
      <c r="B205" s="1" t="s">
        <v>289</v>
      </c>
      <c r="C205" s="31">
        <v>30</v>
      </c>
      <c r="D205" s="31">
        <v>30</v>
      </c>
      <c r="E205" s="31">
        <v>111</v>
      </c>
      <c r="F205" s="31">
        <v>28</v>
      </c>
      <c r="G205" s="31">
        <v>28</v>
      </c>
      <c r="H205" s="42">
        <f>G205*(1+H208)</f>
        <v>29.008000000000003</v>
      </c>
      <c r="I205" s="39" t="s">
        <v>286</v>
      </c>
    </row>
    <row r="206">
      <c r="A206" s="7"/>
      <c r="B206" s="44" t="s">
        <v>66</v>
      </c>
      <c r="C206" s="41" t="str">
        <f>IF(ISNUMBER(Inputs!C314),IF(AND(Inputs!C314&gt;0,C205&gt;=0),C205/Inputs!C314-1,"n.m."),"n.a.")</f>
        <v>n.a.</v>
      </c>
      <c r="D206" s="41">
        <f>IF(ISNUMBER(Inputs!D314),IF(AND(Inputs!D314&gt;0,D205&gt;=0),D205/Inputs!D314-1,"n.m."),"n.a.")</f>
        <v>0.5</v>
      </c>
      <c r="E206" s="41">
        <f>IF(ISNUMBER(Inputs!E314),IF(AND(Inputs!E314&gt;0,E205&gt;=0),E205/Inputs!E314-1,"n.m."),"n.a.")</f>
        <v>0.18085106382978733</v>
      </c>
      <c r="F206" s="41">
        <f>IF(ISNUMBER(Inputs!F314),IF(AND(Inputs!F314&gt;0,F205&gt;=0),F205/Inputs!F314-1,"n.m."),"n.a.")</f>
        <v>0.21739130434782616</v>
      </c>
      <c r="G206" s="41">
        <f>IF(ISNUMBER(Inputs!G314),IF(AND(Inputs!G314&gt;0,G205&gt;=0),G205/Inputs!G314-1,"n.m."),"n.a.")</f>
        <v>0</v>
      </c>
      <c r="H206" s="40">
        <f>IF(ISNUMBER(C205),IF(AND(C205&gt;0,H205&gt;=0),H205/C205-1,"n.m."),"n.a.")</f>
        <v>-0.03306666666666658</v>
      </c>
      <c r="I206" s="7"/>
    </row>
    <row r="207">
      <c r="A207" s="7"/>
      <c r="B207" s="48" t="s">
        <v>78</v>
      </c>
      <c r="C207" s="29">
        <f>IF(ISNUMBER(Inputs!G314),C205-Inputs!G314,"n.a.")</f>
        <v>2</v>
      </c>
      <c r="D207" s="12">
        <f>IF(ISNUMBER(C205),D205-C205,"n.a.")</f>
        <v>0</v>
      </c>
      <c r="E207" s="12"/>
      <c r="F207" s="12">
        <f>IF(ISNUMBER(D205),F205-D205,"n.a.")</f>
        <v>-2</v>
      </c>
      <c r="G207" s="12">
        <f>IF(ISNUMBER(F205),G205-F205,"n.a.")</f>
        <v>0</v>
      </c>
      <c r="H207" s="42">
        <f>IF(ISNUMBER(G205),H205-G205,"n.a.")</f>
        <v>1.0080000000000027</v>
      </c>
      <c r="I207" s="7"/>
    </row>
    <row r="208">
      <c r="A208" s="7"/>
      <c r="B208" s="44" t="s">
        <v>67</v>
      </c>
      <c r="C208" s="41">
        <f>IF(ISNUMBER(Inputs!G314),IF(AND(Inputs!G314&gt;0,C205&gt;=0),C205/Inputs!G314-1,"n.m."),"n.a.")</f>
        <v>0.0714285714285714</v>
      </c>
      <c r="D208" s="24">
        <f>IF(ISNUMBER(C205),IF(AND(C205&gt;0,D205&gt;=0),D205/C205-1,"n.m."),"n.a.")</f>
        <v>0</v>
      </c>
      <c r="E208" s="24"/>
      <c r="F208" s="24">
        <f>IF(ISNUMBER(D205),IF(AND(D205&gt;0,F205&gt;=0),F205/D205-1,"n.m."),"n.a.")</f>
        <v>-0.06666666666666665</v>
      </c>
      <c r="G208" s="24">
        <f>IF(ISNUMBER(F205),IF(AND(F205&gt;0,G205&gt;=0),G205/F205-1,"n.m."),"n.a.")</f>
        <v>0</v>
      </c>
      <c r="H208" s="58">
        <v>0.036</v>
      </c>
      <c r="I208" s="7"/>
    </row>
    <row r="209">
      <c r="A209" s="7"/>
      <c r="B209" s="1" t="s">
        <v>290</v>
      </c>
      <c r="C209" s="31">
        <v>15</v>
      </c>
      <c r="D209" s="31">
        <v>18</v>
      </c>
      <c r="E209" s="31">
        <v>64</v>
      </c>
      <c r="F209" s="31">
        <v>14</v>
      </c>
      <c r="G209" s="31">
        <v>16</v>
      </c>
      <c r="H209" s="42">
        <f>G209*(1+H212)</f>
        <v>16</v>
      </c>
      <c r="I209" s="39" t="s">
        <v>286</v>
      </c>
    </row>
    <row r="210">
      <c r="A210" s="7"/>
      <c r="B210" s="44" t="s">
        <v>66</v>
      </c>
      <c r="C210" s="41" t="str">
        <f>IF(ISNUMBER(Inputs!C315),IF(AND(Inputs!C315&gt;0,C209&gt;=0),C209/Inputs!C315-1,"n.m."),"n.a.")</f>
        <v>n.a.</v>
      </c>
      <c r="D210" s="41">
        <f>IF(ISNUMBER(Inputs!D315),IF(AND(Inputs!D315&gt;0,D209&gt;=0),D209/Inputs!D315-1,"n.m."),"n.a.")</f>
        <v>0.125</v>
      </c>
      <c r="E210" s="41">
        <f>IF(ISNUMBER(Inputs!E315),IF(AND(Inputs!E315&gt;0,E209&gt;=0),E209/Inputs!E315-1,"n.m."),"n.a.")</f>
        <v>0.0847457627118644</v>
      </c>
      <c r="F210" s="41">
        <f>IF(ISNUMBER(Inputs!F315),IF(AND(Inputs!F315&gt;0,F209&gt;=0),F209/Inputs!F315-1,"n.m."),"n.a.")</f>
        <v>-0.06666666666666665</v>
      </c>
      <c r="G210" s="41">
        <f>IF(ISNUMBER(Inputs!G315),IF(AND(Inputs!G315&gt;0,G209&gt;=0),G209/Inputs!G315-1,"n.m."),"n.a.")</f>
        <v>0</v>
      </c>
      <c r="H210" s="40">
        <f>IF(ISNUMBER(C209),IF(AND(C209&gt;0,H209&gt;=0),H209/C209-1,"n.m."),"n.a.")</f>
        <v>0.06666666666666665</v>
      </c>
      <c r="I210" s="7"/>
    </row>
    <row r="211">
      <c r="A211" s="7"/>
      <c r="B211" s="48" t="s">
        <v>78</v>
      </c>
      <c r="C211" s="29">
        <f>IF(ISNUMBER(Inputs!G315),C209-Inputs!G315,"n.a.")</f>
        <v>-1</v>
      </c>
      <c r="D211" s="12">
        <f>IF(ISNUMBER(C209),D209-C209,"n.a.")</f>
        <v>3</v>
      </c>
      <c r="E211" s="12"/>
      <c r="F211" s="12">
        <f>IF(ISNUMBER(D209),F209-D209,"n.a.")</f>
        <v>-4</v>
      </c>
      <c r="G211" s="12">
        <f>IF(ISNUMBER(F209),G209-F209,"n.a.")</f>
        <v>2</v>
      </c>
      <c r="H211" s="42">
        <f>IF(ISNUMBER(G209),H209-G209,"n.a.")</f>
        <v>0</v>
      </c>
      <c r="I211" s="7"/>
    </row>
    <row r="212">
      <c r="A212" s="7"/>
      <c r="B212" s="44" t="s">
        <v>67</v>
      </c>
      <c r="C212" s="41">
        <f>IF(ISNUMBER(Inputs!G315),IF(AND(Inputs!G315&gt;0,C209&gt;=0),C209/Inputs!G315-1,"n.m."),"n.a.")</f>
        <v>-0.0625</v>
      </c>
      <c r="D212" s="24">
        <f>IF(ISNUMBER(C209),IF(AND(C209&gt;0,D209&gt;=0),D209/C209-1,"n.m."),"n.a.")</f>
        <v>0.19999999999999996</v>
      </c>
      <c r="E212" s="24"/>
      <c r="F212" s="24">
        <f>IF(ISNUMBER(D209),IF(AND(D209&gt;0,F209&gt;=0),F209/D209-1,"n.m."),"n.a.")</f>
        <v>-0.2222222222222222</v>
      </c>
      <c r="G212" s="24">
        <f>IF(ISNUMBER(F209),IF(AND(F209&gt;0,G209&gt;=0),G209/F209-1,"n.m."),"n.a.")</f>
        <v>0.1428571428571428</v>
      </c>
      <c r="H212" s="58">
        <v>0</v>
      </c>
      <c r="I212" s="7"/>
    </row>
    <row r="213">
      <c r="A213" s="7"/>
      <c r="B213" s="1" t="s">
        <v>291</v>
      </c>
      <c r="C213" s="31">
        <v>15</v>
      </c>
      <c r="D213" s="31">
        <v>3</v>
      </c>
      <c r="E213" s="31">
        <v>58</v>
      </c>
      <c r="F213" s="31">
        <v>19</v>
      </c>
      <c r="G213" s="31">
        <v>17</v>
      </c>
      <c r="H213" s="42">
        <f>G213*(1+H216)</f>
        <v>19.005999999999997</v>
      </c>
      <c r="I213" s="39" t="s">
        <v>286</v>
      </c>
    </row>
    <row r="214">
      <c r="A214" s="7"/>
      <c r="B214" s="44" t="s">
        <v>66</v>
      </c>
      <c r="C214" s="41" t="str">
        <f>IF(ISNUMBER(Inputs!C316),IF(AND(Inputs!C316&gt;0,C213&gt;=0),C213/Inputs!C316-1,"n.m."),"n.a.")</f>
        <v>n.a.</v>
      </c>
      <c r="D214" s="41">
        <f>IF(ISNUMBER(Inputs!D316),IF(AND(Inputs!D316&gt;0,D213&gt;=0),D213/Inputs!D316-1,"n.m."),"n.a.")</f>
        <v>-0.85</v>
      </c>
      <c r="E214" s="41">
        <f>IF(ISNUMBER(Inputs!E316),IF(AND(Inputs!E316&gt;0,E213&gt;=0),E213/Inputs!E316-1,"n.m."),"n.a.")</f>
        <v>-0.4678899082568807</v>
      </c>
      <c r="F214" s="41">
        <f>IF(ISNUMBER(Inputs!F316),IF(AND(Inputs!F316&gt;0,F213&gt;=0),F213/Inputs!F316-1,"n.m."),"n.a.")</f>
        <v>-0.050000000000000044</v>
      </c>
      <c r="G214" s="41">
        <f>IF(ISNUMBER(Inputs!G316),IF(AND(Inputs!G316&gt;0,G213&gt;=0),G213/Inputs!G316-1,"n.m."),"n.a.")</f>
        <v>-0.15000000000000002</v>
      </c>
      <c r="H214" s="40">
        <f>IF(ISNUMBER(C213),IF(AND(C213&gt;0,H213&gt;=0),H213/C213-1,"n.m."),"n.a.")</f>
        <v>0.26706666666666634</v>
      </c>
      <c r="I214" s="7"/>
    </row>
    <row r="215">
      <c r="A215" s="7"/>
      <c r="B215" s="48" t="s">
        <v>78</v>
      </c>
      <c r="C215" s="29">
        <f>IF(ISNUMBER(Inputs!G316),C213-Inputs!G316,"n.a.")</f>
        <v>-5</v>
      </c>
      <c r="D215" s="12">
        <f>IF(ISNUMBER(C213),D213-C213,"n.a.")</f>
        <v>-12</v>
      </c>
      <c r="E215" s="12"/>
      <c r="F215" s="12">
        <f>IF(ISNUMBER(D213),F213-D213,"n.a.")</f>
        <v>16</v>
      </c>
      <c r="G215" s="12">
        <f>IF(ISNUMBER(F213),G213-F213,"n.a.")</f>
        <v>-2</v>
      </c>
      <c r="H215" s="42">
        <f>IF(ISNUMBER(G213),H213-G213,"n.a.")</f>
        <v>2.0059999999999967</v>
      </c>
      <c r="I215" s="7"/>
    </row>
    <row r="216" ht="28.5">
      <c r="A216" s="7"/>
      <c r="B216" s="44" t="s">
        <v>67</v>
      </c>
      <c r="C216" s="41">
        <f>IF(ISNUMBER(Inputs!G316),IF(AND(Inputs!G316&gt;0,C213&gt;=0),C213/Inputs!G316-1,"n.m."),"n.a.")</f>
        <v>-0.25</v>
      </c>
      <c r="D216" s="24">
        <f>IF(ISNUMBER(C213),IF(AND(C213&gt;0,D213&gt;=0),D213/C213-1,"n.m."),"n.a.")</f>
        <v>-0.8</v>
      </c>
      <c r="E216" s="24"/>
      <c r="F216" s="24">
        <f>IF(ISNUMBER(D213),IF(AND(D213&gt;0,F213&gt;=0),F213/D213-1,"n.m."),"n.a.")</f>
        <v>5.333333333333333</v>
      </c>
      <c r="G216" s="24">
        <f>IF(ISNUMBER(F213),IF(AND(F213&gt;0,G213&gt;=0),G213/F213-1,"n.m."),"n.a.")</f>
        <v>-0.10526315789473684</v>
      </c>
      <c r="H216" s="58">
        <v>0.118</v>
      </c>
      <c r="I216" s="144" t="s">
        <v>292</v>
      </c>
    </row>
    <row r="217">
      <c r="A217" s="7"/>
      <c r="B217" s="1" t="s">
        <v>293</v>
      </c>
      <c r="C217" s="31">
        <v>8</v>
      </c>
      <c r="D217" s="31">
        <v>8</v>
      </c>
      <c r="E217" s="31">
        <v>27</v>
      </c>
      <c r="F217" s="31">
        <v>1</v>
      </c>
      <c r="G217" s="31">
        <v>2</v>
      </c>
      <c r="H217" s="42">
        <f>G217*(1+H220)</f>
        <v>3</v>
      </c>
      <c r="I217" s="39" t="s">
        <v>286</v>
      </c>
    </row>
    <row r="218">
      <c r="A218" s="7"/>
      <c r="B218" s="44" t="s">
        <v>66</v>
      </c>
      <c r="C218" s="41" t="str">
        <f>IF(ISNUMBER(Inputs!C317),IF(AND(Inputs!C317&gt;0,C217&gt;=0),C217/Inputs!C317-1,"n.m."),"n.a.")</f>
        <v>n.a.</v>
      </c>
      <c r="D218" s="41">
        <f>IF(ISNUMBER(Inputs!D317),IF(AND(Inputs!D317&gt;0,D217&gt;=0),D217/Inputs!D317-1,"n.m."),"n.a.")</f>
        <v>0.33333333333333326</v>
      </c>
      <c r="E218" s="41">
        <f>IF(ISNUMBER(Inputs!E317),IF(AND(Inputs!E317&gt;0,E217&gt;=0),E217/Inputs!E317-1,"n.m."),"n.a.")</f>
        <v>-0.15625</v>
      </c>
      <c r="F218" s="41">
        <f>IF(ISNUMBER(Inputs!F317),IF(AND(Inputs!F317&gt;0,F217&gt;=0),F217/Inputs!F317-1,"n.m."),"n.a.")</f>
        <v>-0.8571428571428572</v>
      </c>
      <c r="G218" s="41">
        <f>IF(ISNUMBER(Inputs!G317),IF(AND(Inputs!G317&gt;0,G217&gt;=0),G217/Inputs!G317-1,"n.m."),"n.a.")</f>
        <v>-0.5</v>
      </c>
      <c r="H218" s="40">
        <f>IF(ISNUMBER(C217),IF(AND(C217&gt;0,H217&gt;=0),H217/C217-1,"n.m."),"n.a.")</f>
        <v>-0.625</v>
      </c>
      <c r="I218" s="7"/>
    </row>
    <row r="219">
      <c r="A219" s="7"/>
      <c r="B219" s="48" t="s">
        <v>78</v>
      </c>
      <c r="C219" s="29">
        <f>IF(ISNUMBER(Inputs!G317),C217-Inputs!G317,"n.a.")</f>
        <v>4</v>
      </c>
      <c r="D219" s="12">
        <f>IF(ISNUMBER(C217),D217-C217,"n.a.")</f>
        <v>0</v>
      </c>
      <c r="E219" s="12"/>
      <c r="F219" s="12">
        <f>IF(ISNUMBER(D217),F217-D217,"n.a.")</f>
        <v>-7</v>
      </c>
      <c r="G219" s="12">
        <f>IF(ISNUMBER(F217),G217-F217,"n.a.")</f>
        <v>1</v>
      </c>
      <c r="H219" s="42">
        <f>IF(ISNUMBER(G217),H217-G217,"n.a.")</f>
        <v>1</v>
      </c>
      <c r="I219" s="7"/>
    </row>
    <row r="220" ht="15.75">
      <c r="A220" s="7"/>
      <c r="B220" s="44" t="s">
        <v>67</v>
      </c>
      <c r="C220" s="41">
        <f>IF(ISNUMBER(Inputs!G317),IF(AND(Inputs!G317&gt;0,C217&gt;=0),C217/Inputs!G317-1,"n.m."),"n.a.")</f>
        <v>1</v>
      </c>
      <c r="D220" s="24">
        <f>IF(ISNUMBER(C217),IF(AND(C217&gt;0,D217&gt;=0),D217/C217-1,"n.m."),"n.a.")</f>
        <v>0</v>
      </c>
      <c r="E220" s="24"/>
      <c r="F220" s="24">
        <f>IF(ISNUMBER(D217),IF(AND(D217&gt;0,F217&gt;=0),F217/D217-1,"n.m."),"n.a.")</f>
        <v>-0.875</v>
      </c>
      <c r="G220" s="24">
        <f>IF(ISNUMBER(F217),IF(AND(F217&gt;0,G217&gt;=0),G217/F217-1,"n.m."),"n.a.")</f>
        <v>1</v>
      </c>
      <c r="H220" s="58">
        <v>0.5</v>
      </c>
      <c r="I220" s="144" t="s">
        <v>294</v>
      </c>
    </row>
    <row r="221">
      <c r="A221" s="7"/>
      <c r="B221" s="1" t="s">
        <v>295</v>
      </c>
      <c r="C221" s="31">
        <v>18</v>
      </c>
      <c r="D221" s="31">
        <v>9</v>
      </c>
      <c r="E221" s="31">
        <v>53</v>
      </c>
      <c r="F221" s="31">
        <v>10</v>
      </c>
      <c r="G221" s="31">
        <v>8</v>
      </c>
      <c r="H221" s="42">
        <f>G221*(1+H224)</f>
        <v>12</v>
      </c>
      <c r="I221" s="39" t="s">
        <v>286</v>
      </c>
    </row>
    <row r="222">
      <c r="A222" s="7"/>
      <c r="B222" s="44" t="s">
        <v>66</v>
      </c>
      <c r="C222" s="41" t="str">
        <f>IF(ISNUMBER(Inputs!C318),IF(AND(Inputs!C318&gt;0,C221&gt;=0),C221/Inputs!C318-1,"n.m."),"n.a.")</f>
        <v>n.a.</v>
      </c>
      <c r="D222" s="41">
        <f>IF(ISNUMBER(Inputs!D318),IF(AND(Inputs!D318&gt;0,D221&gt;=0),D221/Inputs!D318-1,"n.m."),"n.a.")</f>
        <v>-0.4375</v>
      </c>
      <c r="E222" s="41">
        <f>IF(ISNUMBER(Inputs!E318),IF(AND(Inputs!E318&gt;0,E221&gt;=0),E221/Inputs!E318-1,"n.m."),"n.a.")</f>
        <v>-0.4421052631578948</v>
      </c>
      <c r="F222" s="41">
        <f>IF(ISNUMBER(Inputs!F318),IF(AND(Inputs!F318&gt;0,F221&gt;=0),F221/Inputs!F318-1,"n.m."),"n.a.")</f>
        <v>-0.23076923076923073</v>
      </c>
      <c r="G222" s="41">
        <f>IF(ISNUMBER(Inputs!G318),IF(AND(Inputs!G318&gt;0,G221&gt;=0),G221/Inputs!G318-1,"n.m."),"n.a.")</f>
        <v>-0.3846153846153846</v>
      </c>
      <c r="H222" s="40">
        <f>IF(ISNUMBER(C221),IF(AND(C221&gt;0,H221&gt;=0),H221/C221-1,"n.m."),"n.a.")</f>
        <v>-0.33333333333333337</v>
      </c>
      <c r="I222" s="7"/>
    </row>
    <row r="223">
      <c r="A223" s="7"/>
      <c r="B223" s="48" t="s">
        <v>78</v>
      </c>
      <c r="C223" s="29">
        <f>IF(ISNUMBER(Inputs!G318),C221-Inputs!G318,"n.a.")</f>
        <v>5</v>
      </c>
      <c r="D223" s="12">
        <f>IF(ISNUMBER(C221),D221-C221,"n.a.")</f>
        <v>-9</v>
      </c>
      <c r="E223" s="12"/>
      <c r="F223" s="12">
        <f>IF(ISNUMBER(D221),F221-D221,"n.a.")</f>
        <v>1</v>
      </c>
      <c r="G223" s="12">
        <f>IF(ISNUMBER(F221),G221-F221,"n.a.")</f>
        <v>-2</v>
      </c>
      <c r="H223" s="42">
        <f>IF(ISNUMBER(G221),H221-G221,"n.a.")</f>
        <v>4</v>
      </c>
      <c r="I223" s="7"/>
    </row>
    <row r="224">
      <c r="A224" s="7"/>
      <c r="B224" s="44" t="s">
        <v>67</v>
      </c>
      <c r="C224" s="41">
        <f>IF(ISNUMBER(Inputs!G318),IF(AND(Inputs!G318&gt;0,C221&gt;=0),C221/Inputs!G318-1,"n.m."),"n.a.")</f>
        <v>0.3846153846153846</v>
      </c>
      <c r="D224" s="24">
        <f>IF(ISNUMBER(C221),IF(AND(C221&gt;0,D221&gt;=0),D221/C221-1,"n.m."),"n.a.")</f>
        <v>-0.5</v>
      </c>
      <c r="E224" s="24"/>
      <c r="F224" s="24">
        <f>IF(ISNUMBER(D221),IF(AND(D221&gt;0,F221&gt;=0),F221/D221-1,"n.m."),"n.a.")</f>
        <v>0.11111111111111116</v>
      </c>
      <c r="G224" s="24">
        <f>IF(ISNUMBER(F221),IF(AND(F221&gt;0,G221&gt;=0),G221/F221-1,"n.m."),"n.a.")</f>
        <v>-0.19999999999999996</v>
      </c>
      <c r="H224" s="58">
        <v>0.5</v>
      </c>
      <c r="I224" s="7"/>
    </row>
    <row r="225">
      <c r="A225" s="7"/>
      <c r="B225" s="1" t="s">
        <v>296</v>
      </c>
      <c r="C225" s="31">
        <v>-5</v>
      </c>
      <c r="D225" s="31">
        <v>0</v>
      </c>
      <c r="E225" s="31">
        <v>-5</v>
      </c>
      <c r="F225" s="31">
        <v>0</v>
      </c>
      <c r="G225" s="31">
        <v>5</v>
      </c>
      <c r="H225" s="71">
        <v>0</v>
      </c>
      <c r="I225" s="39" t="s">
        <v>286</v>
      </c>
    </row>
    <row r="226" ht="15.75">
      <c r="A226" s="7"/>
      <c r="B226" s="44" t="s">
        <v>66</v>
      </c>
      <c r="C226" s="41" t="str">
        <f>IF(ISNUMBER(Inputs!C319),IF(AND(Inputs!C319&gt;0,C225&gt;=0),C225/Inputs!C319-1,"n.m."),"n.a.")</f>
        <v>n.a.</v>
      </c>
      <c r="D226" s="41">
        <f>IF(ISNUMBER(Inputs!D319),IF(AND(Inputs!D319&gt;0,D225&gt;=0),D225/Inputs!D319-1,"n.m."),"n.a.")</f>
        <v>-1</v>
      </c>
      <c r="E226" s="41" t="str">
        <f>IF(ISNUMBER(Inputs!E319),IF(AND(Inputs!E319&gt;0,E225&gt;=0),E225/Inputs!E319-1,"n.m."),"n.a.")</f>
        <v>n.m.</v>
      </c>
      <c r="F226" s="41" t="str">
        <f>IF(ISNUMBER(Inputs!F319),IF(AND(Inputs!F319&gt;0,F225&gt;=0),F225/Inputs!F319-1,"n.m."),"n.a.")</f>
        <v>n.m.</v>
      </c>
      <c r="G226" s="41" t="str">
        <f>IF(ISNUMBER(Inputs!G319),IF(AND(Inputs!G319&gt;0,G225&gt;=0),G225/Inputs!G319-1,"n.m."),"n.a.")</f>
        <v>n.m.</v>
      </c>
      <c r="H226" s="40" t="str">
        <f>IF(ISNUMBER(C225),IF(AND(C225&gt;0,H225&gt;=0),H225/C225-1,"n.m."),"n.a.")</f>
        <v>n.m.</v>
      </c>
      <c r="I226" s="142" t="s">
        <v>297</v>
      </c>
    </row>
    <row r="227">
      <c r="A227" s="7"/>
      <c r="B227" s="48" t="s">
        <v>78</v>
      </c>
      <c r="C227" s="29">
        <f>IF(ISNUMBER(Inputs!G319),C225-Inputs!G319,"n.a.")</f>
        <v>-5</v>
      </c>
      <c r="D227" s="12">
        <f>IF(ISNUMBER(C225),D225-C225,"n.a.")</f>
        <v>5</v>
      </c>
      <c r="E227" s="12"/>
      <c r="F227" s="12">
        <f>IF(ISNUMBER(D225),F225-D225,"n.a.")</f>
        <v>0</v>
      </c>
      <c r="G227" s="12">
        <f>IF(ISNUMBER(F225),G225-F225,"n.a.")</f>
        <v>5</v>
      </c>
      <c r="H227" s="42">
        <f>IF(ISNUMBER(G225),H225-G225,"n.a.")</f>
        <v>-5</v>
      </c>
      <c r="I227" s="7"/>
    </row>
    <row r="228" ht="28.5">
      <c r="A228" s="7"/>
      <c r="B228" s="44" t="s">
        <v>67</v>
      </c>
      <c r="C228" s="41" t="str">
        <f>IF(ISNUMBER(Inputs!G319),IF(AND(Inputs!G319&gt;0,C225&gt;=0),C225/Inputs!G319-1,"n.m."),"n.a.")</f>
        <v>n.m.</v>
      </c>
      <c r="D228" s="24" t="str">
        <f>IF(ISNUMBER(C225),IF(AND(C225&gt;0,D225&gt;=0),D225/C225-1,"n.m."),"n.a.")</f>
        <v>n.m.</v>
      </c>
      <c r="E228" s="24"/>
      <c r="F228" s="24" t="str">
        <f>IF(ISNUMBER(D225),IF(AND(D225&gt;0,F225&gt;=0),F225/D225-1,"n.m."),"n.a.")</f>
        <v>n.m.</v>
      </c>
      <c r="G228" s="24" t="str">
        <f>IF(ISNUMBER(F225),IF(AND(F225&gt;0,G225&gt;=0),G225/F225-1,"n.m."),"n.a.")</f>
        <v>n.m.</v>
      </c>
      <c r="H228" s="40">
        <f>IF(ISNUMBER(G225),IF(AND(G225&gt;0,H225&gt;=0),H225/G225-1,"n.m."),"n.a.")</f>
        <v>-1</v>
      </c>
      <c r="I228" s="144" t="s">
        <v>298</v>
      </c>
    </row>
    <row r="229">
      <c r="A229" s="7"/>
      <c r="B229" s="1" t="s">
        <v>299</v>
      </c>
      <c r="C229" s="31">
        <v>103</v>
      </c>
      <c r="D229" s="31">
        <v>108</v>
      </c>
      <c r="E229" s="31">
        <v>401</v>
      </c>
      <c r="F229" s="31">
        <v>86</v>
      </c>
      <c r="G229" s="31">
        <v>93</v>
      </c>
      <c r="H229" s="42">
        <f>G229*(1+H232)</f>
        <v>99.975</v>
      </c>
      <c r="I229" s="39" t="s">
        <v>286</v>
      </c>
    </row>
    <row r="230">
      <c r="A230" s="7"/>
      <c r="B230" s="44" t="s">
        <v>66</v>
      </c>
      <c r="C230" s="41" t="str">
        <f>IF(ISNUMBER(Inputs!C320),IF(AND(Inputs!C320&gt;0,C229&gt;=0),C229/Inputs!C320-1,"n.m."),"n.a.")</f>
        <v>n.a.</v>
      </c>
      <c r="D230" s="41">
        <f>IF(ISNUMBER(Inputs!D320),IF(AND(Inputs!D320&gt;0,D229&gt;=0),D229/Inputs!D320-1,"n.m."),"n.a.")</f>
        <v>0.06930693069306937</v>
      </c>
      <c r="E230" s="41">
        <f>IF(ISNUMBER(Inputs!E320),IF(AND(Inputs!E320&gt;0,E229&gt;=0),E229/Inputs!E320-1,"n.m."),"n.a.")</f>
        <v>0.09863013698630141</v>
      </c>
      <c r="F230" s="41">
        <f>IF(ISNUMBER(Inputs!F320),IF(AND(Inputs!F320&gt;0,F229&gt;=0),F229/Inputs!F320-1,"n.m."),"n.a.")</f>
        <v>-0.11340206185567014</v>
      </c>
      <c r="G230" s="41">
        <f>IF(ISNUMBER(Inputs!G320),IF(AND(Inputs!G320&gt;0,G229&gt;=0),G229/Inputs!G320-1,"n.m."),"n.a.")</f>
        <v>0</v>
      </c>
      <c r="H230" s="40">
        <f>IF(ISNUMBER(C229),IF(AND(C229&gt;0,H229&gt;=0),H229/C229-1,"n.m."),"n.a.")</f>
        <v>-0.02936893203883506</v>
      </c>
      <c r="I230" s="7"/>
    </row>
    <row r="231">
      <c r="A231" s="7"/>
      <c r="B231" s="48" t="s">
        <v>78</v>
      </c>
      <c r="C231" s="29">
        <f>IF(ISNUMBER(Inputs!G320),C229-Inputs!G320,"n.a.")</f>
        <v>10</v>
      </c>
      <c r="D231" s="12">
        <f>IF(ISNUMBER(C229),D229-C229,"n.a.")</f>
        <v>5</v>
      </c>
      <c r="E231" s="12"/>
      <c r="F231" s="12">
        <f>IF(ISNUMBER(D229),F229-D229,"n.a.")</f>
        <v>-22</v>
      </c>
      <c r="G231" s="12">
        <f>IF(ISNUMBER(F229),G229-F229,"n.a.")</f>
        <v>7</v>
      </c>
      <c r="H231" s="42">
        <f>IF(ISNUMBER(G229),H229-G229,"n.a.")</f>
        <v>6.974999999999994</v>
      </c>
      <c r="I231" s="7"/>
    </row>
    <row r="232">
      <c r="A232" s="7"/>
      <c r="B232" s="44" t="s">
        <v>67</v>
      </c>
      <c r="C232" s="41">
        <f>IF(ISNUMBER(Inputs!G320),IF(AND(Inputs!G320&gt;0,C229&gt;=0),C229/Inputs!G320-1,"n.m."),"n.a.")</f>
        <v>0.10752688172043001</v>
      </c>
      <c r="D232" s="24">
        <f>IF(ISNUMBER(C229),IF(AND(C229&gt;0,D229&gt;=0),D229/C229-1,"n.m."),"n.a.")</f>
        <v>0.04854368932038833</v>
      </c>
      <c r="E232" s="24"/>
      <c r="F232" s="24">
        <f>IF(ISNUMBER(D229),IF(AND(D229&gt;0,F229&gt;=0),F229/D229-1,"n.m."),"n.a.")</f>
        <v>-0.20370370370370372</v>
      </c>
      <c r="G232" s="24">
        <f>IF(ISNUMBER(F229),IF(AND(F229&gt;0,G229&gt;=0),G229/F229-1,"n.m."),"n.a.")</f>
        <v>0.08139534883720922</v>
      </c>
      <c r="H232" s="58">
        <v>0.075</v>
      </c>
      <c r="I232" s="7"/>
    </row>
    <row r="233">
      <c r="A233" s="7"/>
      <c r="B233" s="34" t="s">
        <v>204</v>
      </c>
      <c r="C233" s="35">
        <f>C185+C189+C193+C197+C201+C205+C209+C213+C217+C221+C225+C229</f>
        <v>1103</v>
      </c>
      <c r="D233" s="35">
        <f>D185+D189+D193+D197+D201+D205+D209+D213+D217+D221+D225+D229</f>
        <v>1098</v>
      </c>
      <c r="E233" s="35">
        <f>E185+E189+E193+E197+E201+E205+E209+E213+E217+E221+E225+E229</f>
        <v>4313</v>
      </c>
      <c r="F233" s="35">
        <f>F185+F189+F193+F197+F201+F205+F209+F213+F217+F221+F225+F229</f>
        <v>1068</v>
      </c>
      <c r="G233" s="35">
        <f>G185+G189+G193+G197+G201+G205+G209+G213+G217+G221+G225+G229</f>
        <v>1121</v>
      </c>
      <c r="H233" s="50">
        <f>H185+H189+H193+H197+H201+H205+H209+H213+H217+H221+H225+H229</f>
        <v>1119.0795</v>
      </c>
      <c r="I233" s="7"/>
    </row>
    <row r="234">
      <c r="A234" s="7"/>
      <c r="B234" s="44" t="s">
        <v>66</v>
      </c>
      <c r="C234" s="41">
        <f>IF(ISNUMBER(Inputs!C321),IF(AND(Inputs!C321&gt;0,C233&gt;=0),C233/Inputs!C321-1,"n.m."),"n.a.")</f>
        <v>0.031805425631431294</v>
      </c>
      <c r="D234" s="41">
        <f>IF(ISNUMBER(Inputs!D321),IF(AND(Inputs!D321&gt;0,D233&gt;=0),D233/Inputs!D321-1,"n.m."),"n.a.")</f>
        <v>0.05780346820809257</v>
      </c>
      <c r="E234" s="41">
        <f>IF(ISNUMBER(Inputs!E321),IF(AND(Inputs!E321&gt;0,E233&gt;=0),E233/Inputs!E321-1,"n.m."),"n.a.")</f>
        <v>0.01673738802451674</v>
      </c>
      <c r="F234" s="41">
        <f>IF(ISNUMBER(Inputs!F321),IF(AND(Inputs!F321&gt;0,F233&gt;=0),F233/Inputs!F321-1,"n.m."),"n.a.")</f>
        <v>0.02791145332050049</v>
      </c>
      <c r="G234" s="41">
        <f>IF(ISNUMBER(Inputs!G321),IF(AND(Inputs!G321&gt;0,G233&gt;=0),G233/Inputs!G321-1,"n.m."),"n.a.")</f>
        <v>0.04473438956197584</v>
      </c>
      <c r="H234" s="40">
        <f>IF(ISNUMBER(C233),IF(AND(C233&gt;0,H233&gt;=0),H233/C233-1,"n.m."),"n.a.")</f>
        <v>0.014577969174977445</v>
      </c>
      <c r="I234" s="7"/>
    </row>
    <row r="235">
      <c r="A235" s="7"/>
      <c r="B235" s="44" t="s">
        <v>67</v>
      </c>
      <c r="C235" s="41">
        <f>IF(ISNUMBER(Inputs!G321),IF(AND(Inputs!G321&gt;0,C233&gt;=0),C233/Inputs!G321-1,"n.m."),"n.a.")</f>
        <v>0.02795899347623476</v>
      </c>
      <c r="D235" s="24">
        <f>IF(ISNUMBER(C233),IF(AND(C233&gt;0,D233&gt;=0),D233/C233-1,"n.m."),"n.a.")</f>
        <v>-0.004533091568449721</v>
      </c>
      <c r="E235" s="24"/>
      <c r="F235" s="24">
        <f>IF(ISNUMBER(D233),IF(AND(D233&gt;0,F233&gt;=0),F233/D233-1,"n.m."),"n.a.")</f>
        <v>-0.02732240437158473</v>
      </c>
      <c r="G235" s="24">
        <f>IF(ISNUMBER(F233),IF(AND(F233&gt;0,G233&gt;=0),G233/F233-1,"n.m."),"n.a.")</f>
        <v>0.04962546816479407</v>
      </c>
      <c r="H235" s="40">
        <f>IF(ISNUMBER(G233),IF(AND(G233&gt;0,H233&gt;=0),H233/G233-1,"n.m."),"n.a.")</f>
        <v>-0.0017132024977698501</v>
      </c>
      <c r="I235" s="7"/>
    </row>
    <row r="236">
      <c r="A236" s="7"/>
      <c r="B236" s="48" t="s">
        <v>78</v>
      </c>
      <c r="C236" s="29">
        <f>IF(ISNUMBER(Inputs!G321),C233-Inputs!G321,"n.a.")</f>
        <v>30</v>
      </c>
      <c r="D236" s="12">
        <f>IF(ISNUMBER(C233),D233-C233,"n.a.")</f>
        <v>-5</v>
      </c>
      <c r="E236" s="12"/>
      <c r="F236" s="12">
        <f>IF(ISNUMBER(D233),F233-D233,"n.a.")</f>
        <v>-30</v>
      </c>
      <c r="G236" s="12">
        <f>IF(ISNUMBER(F233),G233-F233,"n.a.")</f>
        <v>53</v>
      </c>
      <c r="H236" s="42">
        <f>IF(ISNUMBER(G233),H233-G233,"n.a.")</f>
        <v>-1.9204999999999472</v>
      </c>
      <c r="I236" s="7"/>
    </row>
    <row r="237">
      <c r="A237" s="7"/>
      <c r="B237" s="1" t="s">
        <v>300</v>
      </c>
      <c r="C237" s="12">
        <f>C233-(C290+C291+C292+C293)</f>
        <v>1111</v>
      </c>
      <c r="D237" s="12">
        <f>D233-(D290+D291+D292+D293)</f>
        <v>1112</v>
      </c>
      <c r="E237" s="12">
        <f>E233-(E290+E291+E292+E293)</f>
        <v>4331</v>
      </c>
      <c r="F237" s="12">
        <f>F233-(F290+F291+F292+F293)</f>
        <v>1068</v>
      </c>
      <c r="G237" s="12">
        <f>G233-(G290+G291+G292+G293)</f>
        <v>1116</v>
      </c>
      <c r="H237" s="42">
        <f>H233-(H290+H291+H292+H293)</f>
        <v>1119.0795</v>
      </c>
      <c r="I237" s="7"/>
    </row>
    <row r="238">
      <c r="A238" s="7"/>
      <c r="B238" s="44" t="s">
        <v>66</v>
      </c>
      <c r="C238" s="41" t="str">
        <f>IF(ISNUMBER(Inputs!C322),IF(AND(Inputs!C322&gt;0,C237&gt;=0),C237/Inputs!C322-1,"n.m."),"n.a.")</f>
        <v>n.a.</v>
      </c>
      <c r="D238" s="41">
        <f>IF(ISNUMBER(Inputs!D322),IF(AND(Inputs!D322&gt;0,D237&gt;=0),D237/Inputs!D322-1,"n.m."),"n.a.")</f>
        <v>0.08171206225680927</v>
      </c>
      <c r="E238" s="41">
        <f>IF(ISNUMBER(Inputs!E322),IF(AND(Inputs!E322&gt;0,E237&gt;=0),E237/Inputs!E322-1,"n.m."),"n.a.")</f>
        <v>0.024603737875561915</v>
      </c>
      <c r="F238" s="41">
        <f>IF(ISNUMBER(Inputs!F322),IF(AND(Inputs!F322&gt;0,F237&gt;=0),F237/Inputs!F322-1,"n.m."),"n.a.")</f>
        <v>0.03188405797101446</v>
      </c>
      <c r="G238" s="41">
        <f>IF(ISNUMBER(Inputs!G322),IF(AND(Inputs!G322&gt;0,G237&gt;=0),G237/Inputs!G322-1,"n.m."),"n.a.")</f>
        <v>0.040074557315936676</v>
      </c>
      <c r="H238" s="40">
        <f>IF(ISNUMBER(C237),IF(AND(C237&gt;0,H237&gt;=0),H237/C237-1,"n.m."),"n.a.")</f>
        <v>0.007272277227722723</v>
      </c>
      <c r="I238" s="7"/>
    </row>
    <row r="239">
      <c r="A239" s="7"/>
      <c r="B239" s="44" t="s">
        <v>67</v>
      </c>
      <c r="C239" s="41">
        <f>IF(ISNUMBER(Inputs!G322),IF(AND(Inputs!G322&gt;0,C237&gt;=0),C237/Inputs!G322-1,"n.m."),"n.a.")</f>
        <v>0.03541472506989751</v>
      </c>
      <c r="D239" s="24">
        <f>IF(ISNUMBER(C237),IF(AND(C237&gt;0,D237&gt;=0),D237/C237-1,"n.m."),"n.a.")</f>
        <v>0.0009000900090008201</v>
      </c>
      <c r="E239" s="24"/>
      <c r="F239" s="24">
        <f>IF(ISNUMBER(D237),IF(AND(D237&gt;0,F237&gt;=0),F237/D237-1,"n.m."),"n.a.")</f>
        <v>-0.03956834532374098</v>
      </c>
      <c r="G239" s="24">
        <f>IF(ISNUMBER(F237),IF(AND(F237&gt;0,G237&gt;=0),G237/F237-1,"n.m."),"n.a.")</f>
        <v>0.04494382022471921</v>
      </c>
      <c r="H239" s="40">
        <f>IF(ISNUMBER(G237),IF(AND(G237&gt;0,H237&gt;=0),H237/G237-1,"n.m."),"n.a.")</f>
        <v>0.002759408602150515</v>
      </c>
      <c r="I239" s="7"/>
    </row>
    <row r="240">
      <c r="A240" s="7"/>
      <c r="B240" s="7"/>
      <c r="C240" s="7"/>
      <c r="D240" s="7"/>
      <c r="E240" s="7"/>
      <c r="F240" s="7"/>
      <c r="G240" s="7"/>
      <c r="H240" s="49"/>
      <c r="I240" s="7"/>
    </row>
    <row r="241">
      <c r="A241" s="7"/>
      <c r="B241" s="34" t="s">
        <v>301</v>
      </c>
      <c r="C241" s="9"/>
      <c r="D241" s="9"/>
      <c r="E241" s="9"/>
      <c r="F241" s="9"/>
      <c r="G241" s="9"/>
      <c r="H241" s="43"/>
      <c r="I241" s="7"/>
    </row>
    <row r="242">
      <c r="A242" s="7"/>
      <c r="B242" s="34" t="s">
        <v>206</v>
      </c>
      <c r="C242" s="35">
        <f>C169-C233</f>
        <v>813</v>
      </c>
      <c r="D242" s="35">
        <f>D169-D233</f>
        <v>823</v>
      </c>
      <c r="E242" s="35">
        <f>E169-E233</f>
        <v>3213</v>
      </c>
      <c r="F242" s="35">
        <f>F169-F233</f>
        <v>805</v>
      </c>
      <c r="G242" s="35">
        <f>G169-G233</f>
        <v>786</v>
      </c>
      <c r="H242" s="50">
        <f>H169-H233</f>
        <v>847.5525143557336</v>
      </c>
      <c r="I242" s="7"/>
    </row>
    <row r="243">
      <c r="A243" s="7"/>
      <c r="B243" s="44" t="s">
        <v>66</v>
      </c>
      <c r="C243" s="41">
        <f>IF(ISNUMBER(Inputs!C323),IF(AND(Inputs!C323&gt;0,C242&gt;=0),C242/Inputs!C323-1,"n.m."),"n.a.")</f>
        <v>0.12760055478502075</v>
      </c>
      <c r="D243" s="41">
        <f>IF(ISNUMBER(Inputs!D323),IF(AND(Inputs!D323&gt;0,D242&gt;=0),D242/Inputs!D323-1,"n.m."),"n.a.")</f>
        <v>0.05920205920205923</v>
      </c>
      <c r="E243" s="41">
        <f>IF(ISNUMBER(Inputs!E323),IF(AND(Inputs!E323&gt;0,E242&gt;=0),E242/Inputs!E323-1,"n.m."),"n.a.")</f>
        <v>0.13093980992608234</v>
      </c>
      <c r="F243" s="41">
        <f>IF(ISNUMBER(Inputs!F323),IF(AND(Inputs!F323&gt;0,F242&gt;=0),F242/Inputs!F323-1,"n.m."),"n.a.")</f>
        <v>0.08053691275167796</v>
      </c>
      <c r="G243" s="41">
        <f>IF(ISNUMBER(Inputs!G323),IF(AND(Inputs!G323&gt;0,G242&gt;=0),G242/Inputs!G323-1,"n.m."),"n.a.")</f>
        <v>-0.055288461538461564</v>
      </c>
      <c r="H243" s="40">
        <f>IF(ISNUMBER(C242),IF(AND(C242&gt;0,H242&gt;=0),H242/C242-1,"n.m."),"n.a.")</f>
        <v>0.04250001765772882</v>
      </c>
      <c r="I243" s="7"/>
    </row>
    <row r="244">
      <c r="A244" s="7"/>
      <c r="B244" s="48" t="s">
        <v>78</v>
      </c>
      <c r="C244" s="29">
        <f>IF(ISNUMBER(Inputs!G323),C242-Inputs!G323,"n.a.")</f>
        <v>-19</v>
      </c>
      <c r="D244" s="12">
        <f>IF(ISNUMBER(C242),D242-C242,"n.a.")</f>
        <v>10</v>
      </c>
      <c r="E244" s="12"/>
      <c r="F244" s="12">
        <f>IF(ISNUMBER(D242),F242-D242,"n.a.")</f>
        <v>-18</v>
      </c>
      <c r="G244" s="12">
        <f>IF(ISNUMBER(F242),G242-F242,"n.a.")</f>
        <v>-19</v>
      </c>
      <c r="H244" s="42">
        <f>IF(ISNUMBER(G242),H242-G242,"n.a.")</f>
        <v>61.55251435573359</v>
      </c>
      <c r="I244" s="7"/>
    </row>
    <row r="245">
      <c r="A245" s="7"/>
      <c r="B245" s="34" t="s">
        <v>209</v>
      </c>
      <c r="C245" s="35">
        <f>C242-C76</f>
        <v>708</v>
      </c>
      <c r="D245" s="35">
        <f>D242-D76</f>
        <v>708</v>
      </c>
      <c r="E245" s="35">
        <f>E242-E76</f>
        <v>2743</v>
      </c>
      <c r="F245" s="35">
        <f>F242-F76</f>
        <v>714</v>
      </c>
      <c r="G245" s="35">
        <f>G242-G76</f>
        <v>718</v>
      </c>
      <c r="H245" s="50">
        <f>H242-H76</f>
        <v>747.6530305486103</v>
      </c>
      <c r="I245" s="7"/>
    </row>
    <row r="246">
      <c r="A246" s="7"/>
      <c r="B246" s="44" t="s">
        <v>66</v>
      </c>
      <c r="C246" s="41">
        <f>IF(ISNUMBER(Inputs!C324),IF(AND(Inputs!C324&gt;0,C245&gt;=0),C245/Inputs!C324-1,"n.m."),"n.a.")</f>
        <v>0.16447368421052633</v>
      </c>
      <c r="D246" s="41">
        <f>IF(ISNUMBER(Inputs!D324),IF(AND(Inputs!D324&gt;0,D245&gt;=0),D245/Inputs!D324-1,"n.m."),"n.a.")</f>
        <v>0.07762557077625565</v>
      </c>
      <c r="E246" s="41">
        <f>IF(ISNUMBER(Inputs!E324),IF(AND(Inputs!E324&gt;0,E245&gt;=0),E245/Inputs!E324-1,"n.m."),"n.a.")</f>
        <v>0.16525063721325406</v>
      </c>
      <c r="F246" s="41">
        <f>IF(ISNUMBER(Inputs!F324),IF(AND(Inputs!F324&gt;0,F245&gt;=0),F245/Inputs!F324-1,"n.m."),"n.a.")</f>
        <v>0.1497584541062802</v>
      </c>
      <c r="G246" s="41">
        <f>IF(ISNUMBER(Inputs!G324),IF(AND(Inputs!G324&gt;0,G245&gt;=0),G245/Inputs!G324-1,"n.m."),"n.a.")</f>
        <v>0.016997167138810276</v>
      </c>
      <c r="H246" s="40">
        <f>IF(ISNUMBER(C245),IF(AND(C245&gt;0,H245&gt;=0),H245/C245-1,"n.m."),"n.a.")</f>
        <v>0.056007105294647364</v>
      </c>
      <c r="I246" s="7"/>
    </row>
    <row r="247">
      <c r="A247" s="7"/>
      <c r="B247" s="48" t="s">
        <v>78</v>
      </c>
      <c r="C247" s="29">
        <f>IF(ISNUMBER(Inputs!G324),C245-Inputs!G324,"n.a.")</f>
        <v>2</v>
      </c>
      <c r="D247" s="12">
        <f>IF(ISNUMBER(C245),D245-C245,"n.a.")</f>
        <v>0</v>
      </c>
      <c r="E247" s="12"/>
      <c r="F247" s="12">
        <f>IF(ISNUMBER(D245),F245-D245,"n.a.")</f>
        <v>6</v>
      </c>
      <c r="G247" s="12">
        <f>IF(ISNUMBER(F245),G245-F245,"n.a.")</f>
        <v>4</v>
      </c>
      <c r="H247" s="42">
        <f>IF(ISNUMBER(G245),H245-G245,"n.a.")</f>
        <v>29.65303054861033</v>
      </c>
      <c r="I247" s="7"/>
    </row>
    <row r="248">
      <c r="A248" s="7"/>
      <c r="B248" s="1" t="s">
        <v>210</v>
      </c>
      <c r="C248" s="31">
        <v>139</v>
      </c>
      <c r="D248" s="31">
        <v>174</v>
      </c>
      <c r="E248" s="31">
        <v>587</v>
      </c>
      <c r="F248" s="31">
        <v>155</v>
      </c>
      <c r="G248" s="31">
        <v>148</v>
      </c>
      <c r="H248" s="42">
        <f>H245*H250</f>
        <v>157.00713641520815</v>
      </c>
      <c r="I248" s="39" t="s">
        <v>156</v>
      </c>
    </row>
    <row r="249">
      <c r="A249" s="7"/>
      <c r="B249" s="44" t="s">
        <v>66</v>
      </c>
      <c r="C249" s="41">
        <f>IF(ISNUMBER(Inputs!C325),IF(AND(Inputs!C325&gt;0,C248&gt;=0),C248/Inputs!C325-1,"n.m."),"n.a.")</f>
        <v>0.17796610169491522</v>
      </c>
      <c r="D249" s="41">
        <f>IF(ISNUMBER(Inputs!D325),IF(AND(Inputs!D325&gt;0,D248&gt;=0),D248/Inputs!D325-1,"n.m."),"n.a.")</f>
        <v>0.41463414634146334</v>
      </c>
      <c r="E249" s="41">
        <f>IF(ISNUMBER(Inputs!E325),IF(AND(Inputs!E325&gt;0,E248&gt;=0),E248/Inputs!E325-1,"n.m."),"n.a.")</f>
        <v>0.2733188720173536</v>
      </c>
      <c r="F249" s="41">
        <f>IF(ISNUMBER(Inputs!F325),IF(AND(Inputs!F325&gt;0,F248&gt;=0),F248/Inputs!F325-1,"n.m."),"n.a.")</f>
        <v>0.1832061068702291</v>
      </c>
      <c r="G249" s="41">
        <f>IF(ISNUMBER(Inputs!G325),IF(AND(Inputs!G325&gt;0,G248&gt;=0),G248/Inputs!G325-1,"n.m."),"n.a.")</f>
        <v>0.034965034965035</v>
      </c>
      <c r="H249" s="40">
        <f>IF(ISNUMBER(C248),IF(AND(C248&gt;0,H248&gt;=0),H248/C248-1,"n.m."),"n.a.")</f>
        <v>0.12954774399430335</v>
      </c>
      <c r="I249" s="7"/>
    </row>
    <row r="250">
      <c r="A250" s="7"/>
      <c r="B250" s="44" t="s">
        <v>302</v>
      </c>
      <c r="C250" s="24">
        <f>C248/C245</f>
        <v>0.1963276836158192</v>
      </c>
      <c r="D250" s="24">
        <f>D248/D245</f>
        <v>0.2457627118644068</v>
      </c>
      <c r="E250" s="24">
        <f>E248/E245</f>
        <v>0.2139992708713088</v>
      </c>
      <c r="F250" s="24">
        <f>F248/F245</f>
        <v>0.21708683473389356</v>
      </c>
      <c r="G250" s="24">
        <f>G248/G245</f>
        <v>0.20612813370473537</v>
      </c>
      <c r="H250" s="58">
        <v>0.21</v>
      </c>
      <c r="I250" s="7"/>
    </row>
    <row r="251">
      <c r="A251" s="7"/>
      <c r="B251" s="44" t="s">
        <v>69</v>
      </c>
      <c r="C251" s="38" t="str">
        <f>"n.a."</f>
        <v>n.a.</v>
      </c>
      <c r="D251" s="38">
        <f>IF(AND(ISNUMBER(D250),ISNUMBER(C250)),(D250-C250)*10000,"n.a.")</f>
        <v>494.3502824858759</v>
      </c>
      <c r="E251" s="38"/>
      <c r="F251" s="38">
        <f>IF(AND(ISNUMBER(F250),ISNUMBER(D250)),(F250-D250)*10000,"n.a.")</f>
        <v>-286.75877130513226</v>
      </c>
      <c r="G251" s="38">
        <f>IF(AND(ISNUMBER(G250),ISNUMBER(F250)),(G250-F250)*10000,"n.a.")</f>
        <v>-109.5870102915819</v>
      </c>
      <c r="H251" s="67">
        <f>IF(AND(ISNUMBER(H250),ISNUMBER(G250)),(H250-G250)*10000,"n.a.")</f>
        <v>38.7186629526462</v>
      </c>
      <c r="I251" s="7"/>
    </row>
    <row r="252">
      <c r="A252" s="7"/>
      <c r="B252" s="34" t="s">
        <v>212</v>
      </c>
      <c r="C252" s="35">
        <f>C245-C248</f>
        <v>569</v>
      </c>
      <c r="D252" s="35">
        <f>D245-D248</f>
        <v>534</v>
      </c>
      <c r="E252" s="35">
        <f>E245-E248</f>
        <v>2156</v>
      </c>
      <c r="F252" s="35">
        <f>F245-F248</f>
        <v>559</v>
      </c>
      <c r="G252" s="35">
        <f>G245-G248</f>
        <v>570</v>
      </c>
      <c r="H252" s="50">
        <f>H245-H248</f>
        <v>590.6458941334022</v>
      </c>
      <c r="I252" s="7"/>
    </row>
    <row r="253">
      <c r="A253" s="7"/>
      <c r="B253" s="44" t="s">
        <v>66</v>
      </c>
      <c r="C253" s="41">
        <f>IF(ISNUMBER(Inputs!C326),IF(AND(Inputs!C326&gt;0,C252&gt;=0),C252/Inputs!C326-1,"n.m."),"n.a.")</f>
        <v>0.1612244897959183</v>
      </c>
      <c r="D253" s="41">
        <f>IF(ISNUMBER(Inputs!D326),IF(AND(Inputs!D326&gt;0,D252&gt;=0),D252/Inputs!D326-1,"n.m."),"n.a.")</f>
        <v>0</v>
      </c>
      <c r="E253" s="41">
        <f>IF(ISNUMBER(Inputs!E326),IF(AND(Inputs!E326&gt;0,E252&gt;=0),E252/Inputs!E326-1,"n.m."),"n.a.")</f>
        <v>0.13893291072371894</v>
      </c>
      <c r="F253" s="41">
        <f>IF(ISNUMBER(Inputs!F326),IF(AND(Inputs!F326&gt;0,F252&gt;=0),F252/Inputs!F326-1,"n.m."),"n.a.")</f>
        <v>0.14081632653061216</v>
      </c>
      <c r="G253" s="41">
        <f>IF(ISNUMBER(Inputs!G326),IF(AND(Inputs!G326&gt;0,G252&gt;=0),G252/Inputs!G326-1,"n.m."),"n.a.")</f>
        <v>0.01243339253996445</v>
      </c>
      <c r="H253" s="40">
        <f>IF(ISNUMBER(C252),IF(AND(C252&gt;0,H252&gt;=0),H252/C252-1,"n.m."),"n.a.")</f>
        <v>0.03804199320457324</v>
      </c>
      <c r="I253" s="7"/>
    </row>
    <row r="254">
      <c r="A254" s="7"/>
      <c r="B254" s="1" t="s">
        <v>303</v>
      </c>
      <c r="C254" s="31">
        <v>21</v>
      </c>
      <c r="D254" s="31">
        <v>20</v>
      </c>
      <c r="E254" s="31">
        <v>95</v>
      </c>
      <c r="F254" s="31">
        <v>20</v>
      </c>
      <c r="G254" s="31">
        <v>21</v>
      </c>
      <c r="H254" s="71">
        <v>21</v>
      </c>
      <c r="I254" s="39" t="s">
        <v>304</v>
      </c>
    </row>
    <row r="255">
      <c r="A255" s="7"/>
      <c r="B255" s="44" t="s">
        <v>66</v>
      </c>
      <c r="C255" s="41">
        <f>IF(ISNUMBER(Inputs!C327),IF(AND(Inputs!C327&gt;0,C254&gt;=0),C254/Inputs!C327-1,"n.m."),"n.a.")</f>
        <v>-0.5227272727272727</v>
      </c>
      <c r="D255" s="41">
        <f>IF(ISNUMBER(Inputs!D327),IF(AND(Inputs!D327&gt;0,D254&gt;=0),D254/Inputs!D327-1,"n.m."),"n.a.")</f>
        <v>-0.23076923076923073</v>
      </c>
      <c r="E255" s="41">
        <f>IF(ISNUMBER(Inputs!E327),IF(AND(Inputs!E327&gt;0,E254&gt;=0),E254/Inputs!E327-1,"n.m."),"n.a.")</f>
        <v>-0.2016806722689075</v>
      </c>
      <c r="F255" s="41">
        <f>IF(ISNUMBER(Inputs!F327),IF(AND(Inputs!F327&gt;0,F254&gt;=0),F254/Inputs!F327-1,"n.m."),"n.a.")</f>
        <v>-0.19999999999999996</v>
      </c>
      <c r="G255" s="41">
        <f>IF(ISNUMBER(Inputs!G327),IF(AND(Inputs!G327&gt;0,G254&gt;=0),G254/Inputs!G327-1,"n.m."),"n.a.")</f>
        <v>-0.27586206896551724</v>
      </c>
      <c r="H255" s="40">
        <f>IF(ISNUMBER(C254),IF(AND(C254&gt;0,H254&gt;=0),H254/C254-1,"n.m."),"n.a.")</f>
        <v>0</v>
      </c>
      <c r="I255" s="7"/>
    </row>
    <row r="256">
      <c r="A256" s="7"/>
      <c r="B256" s="48" t="s">
        <v>78</v>
      </c>
      <c r="C256" s="29">
        <f>IF(ISNUMBER(Inputs!G327),C254-Inputs!G327,"n.a.")</f>
        <v>-8</v>
      </c>
      <c r="D256" s="12">
        <f>IF(ISNUMBER(C254),D254-C254,"n.a.")</f>
        <v>-1</v>
      </c>
      <c r="E256" s="12"/>
      <c r="F256" s="12">
        <f>IF(ISNUMBER(D254),F254-D254,"n.a.")</f>
        <v>0</v>
      </c>
      <c r="G256" s="12">
        <f>IF(ISNUMBER(F254),G254-F254,"n.a.")</f>
        <v>1</v>
      </c>
      <c r="H256" s="42">
        <f>IF(ISNUMBER(G254),H254-G254,"n.a.")</f>
        <v>0</v>
      </c>
      <c r="I256" s="7"/>
    </row>
    <row r="257">
      <c r="A257" s="7"/>
      <c r="B257" s="34" t="s">
        <v>305</v>
      </c>
      <c r="C257" s="35">
        <f>C252-C254</f>
        <v>548</v>
      </c>
      <c r="D257" s="35">
        <f>D252-D254</f>
        <v>514</v>
      </c>
      <c r="E257" s="35">
        <f>E252-E254</f>
        <v>2061</v>
      </c>
      <c r="F257" s="35">
        <f>F252-F254</f>
        <v>539</v>
      </c>
      <c r="G257" s="35">
        <f>G252-G254</f>
        <v>549</v>
      </c>
      <c r="H257" s="50">
        <f>H252-H254</f>
        <v>569.6458941334022</v>
      </c>
      <c r="I257" s="7"/>
    </row>
    <row r="258">
      <c r="A258" s="7"/>
      <c r="B258" s="44" t="s">
        <v>66</v>
      </c>
      <c r="C258" s="41">
        <f>IF(ISNUMBER(Inputs!C328),IF(AND(Inputs!C328&gt;0,C257&gt;=0),C257/Inputs!C328-1,"n.m."),"n.a.")</f>
        <v>0.22869955156950672</v>
      </c>
      <c r="D258" s="41">
        <f>IF(ISNUMBER(Inputs!D328),IF(AND(Inputs!D328&gt;0,D257&gt;=0),D257/Inputs!D328-1,"n.m."),"n.a.")</f>
        <v>0.011811023622047223</v>
      </c>
      <c r="E258" s="41">
        <f>IF(ISNUMBER(Inputs!E328),IF(AND(Inputs!E328&gt;0,E257&gt;=0),E257/Inputs!E328-1,"n.m."),"n.a.")</f>
        <v>0.161781285231116</v>
      </c>
      <c r="F258" s="41">
        <f>IF(ISNUMBER(Inputs!F328),IF(AND(Inputs!F328&gt;0,F257&gt;=0),F257/Inputs!F328-1,"n.m."),"n.a.")</f>
        <v>0.1591397849462366</v>
      </c>
      <c r="G258" s="41">
        <f>IF(ISNUMBER(Inputs!G328),IF(AND(Inputs!G328&gt;0,G257&gt;=0),G257/Inputs!G328-1,"n.m."),"n.a.")</f>
        <v>0.028089887640449396</v>
      </c>
      <c r="H258" s="40">
        <f>IF(ISNUMBER(C257),IF(AND(C257&gt;0,H257&gt;=0),H257/C257-1,"n.m."),"n.a.")</f>
        <v>0.03949980681277765</v>
      </c>
      <c r="I258" s="7"/>
    </row>
    <row r="259">
      <c r="A259" s="7"/>
      <c r="B259" s="48" t="s">
        <v>78</v>
      </c>
      <c r="C259" s="29">
        <f>IF(ISNUMBER(Inputs!G328),C257-Inputs!G328,"n.a.")</f>
        <v>14</v>
      </c>
      <c r="D259" s="12">
        <f>IF(ISNUMBER(C257),D257-C257,"n.a.")</f>
        <v>-34</v>
      </c>
      <c r="E259" s="12"/>
      <c r="F259" s="12">
        <f>IF(ISNUMBER(D257),F257-D257,"n.a.")</f>
        <v>25</v>
      </c>
      <c r="G259" s="12">
        <f>IF(ISNUMBER(F257),G257-F257,"n.a.")</f>
        <v>10</v>
      </c>
      <c r="H259" s="42">
        <f>IF(ISNUMBER(G257),H257-G257,"n.a.")</f>
        <v>20.64589413340218</v>
      </c>
      <c r="I259" s="7"/>
    </row>
    <row r="260">
      <c r="A260" s="7"/>
      <c r="B260" s="7"/>
      <c r="C260" s="7"/>
      <c r="D260" s="7"/>
      <c r="E260" s="7"/>
      <c r="F260" s="7"/>
      <c r="G260" s="7"/>
      <c r="H260" s="49"/>
      <c r="I260" s="7"/>
    </row>
    <row r="261">
      <c r="A261" s="7"/>
      <c r="B261" s="34" t="s">
        <v>306</v>
      </c>
      <c r="C261" s="9"/>
      <c r="D261" s="9"/>
      <c r="E261" s="9"/>
      <c r="F261" s="9"/>
      <c r="G261" s="9"/>
      <c r="H261" s="43"/>
      <c r="I261" s="7"/>
    </row>
    <row r="262">
      <c r="A262" s="7"/>
      <c r="B262" s="1" t="s">
        <v>307</v>
      </c>
      <c r="C262" s="29">
        <f>'Share Count'!C9</f>
        <v>890</v>
      </c>
      <c r="D262" s="29">
        <f>'Share Count'!D9</f>
        <v>875</v>
      </c>
      <c r="E262" s="29">
        <f>'Share Count'!E9</f>
        <v>892</v>
      </c>
      <c r="F262" s="29">
        <f>'Share Count'!F9</f>
        <v>863</v>
      </c>
      <c r="G262" s="29">
        <f>'Share Count'!G9</f>
        <v>854</v>
      </c>
      <c r="H262" s="32">
        <f>'Share Count'!H9</f>
        <v>850.4714285714285</v>
      </c>
      <c r="I262" s="7"/>
    </row>
    <row r="263">
      <c r="A263" s="7"/>
      <c r="B263" s="1" t="s">
        <v>308</v>
      </c>
      <c r="C263" s="29">
        <f>'Share Count'!C15</f>
        <v>894</v>
      </c>
      <c r="D263" s="29">
        <f>'Share Count'!D15</f>
        <v>880</v>
      </c>
      <c r="E263" s="29">
        <f>'Share Count'!E15</f>
        <v>896</v>
      </c>
      <c r="F263" s="29">
        <f>'Share Count'!F15</f>
        <v>868</v>
      </c>
      <c r="G263" s="29">
        <f>'Share Count'!G15</f>
        <v>857</v>
      </c>
      <c r="H263" s="32">
        <f>'Share Count'!H15</f>
        <v>854.4714285714285</v>
      </c>
      <c r="I263" s="7"/>
    </row>
    <row r="264">
      <c r="A264" s="7"/>
      <c r="B264" s="1" t="s">
        <v>309</v>
      </c>
      <c r="C264" s="23">
        <f>C257/C262</f>
        <v>0.6157303370786517</v>
      </c>
      <c r="D264" s="23">
        <f>D257/D262</f>
        <v>0.5874285714285714</v>
      </c>
      <c r="E264" s="23">
        <f>E257/E262</f>
        <v>2.3105381165919283</v>
      </c>
      <c r="F264" s="23">
        <f>F257/F262</f>
        <v>0.6245654692931634</v>
      </c>
      <c r="G264" s="23">
        <f>G257/G262</f>
        <v>0.6428571428571429</v>
      </c>
      <c r="H264" s="82">
        <f>H257/H262</f>
        <v>0.6698001543570483</v>
      </c>
      <c r="I264" s="7"/>
    </row>
    <row r="265">
      <c r="A265" s="7"/>
      <c r="B265" s="34" t="s">
        <v>310</v>
      </c>
      <c r="C265" s="13">
        <f>C257/C263</f>
        <v>0.6129753914988815</v>
      </c>
      <c r="D265" s="13">
        <f>D257/D263</f>
        <v>0.5840909090909091</v>
      </c>
      <c r="E265" s="13">
        <f>E257/E263</f>
        <v>2.3002232142857144</v>
      </c>
      <c r="F265" s="13">
        <f>F257/F263</f>
        <v>0.6209677419354839</v>
      </c>
      <c r="G265" s="13">
        <f>G257/G263</f>
        <v>0.6406067677946324</v>
      </c>
      <c r="H265" s="84">
        <f>H257/H263</f>
        <v>0.6666646479751585</v>
      </c>
      <c r="I265" s="7"/>
    </row>
    <row r="266">
      <c r="A266" s="7"/>
      <c r="B266" s="44" t="s">
        <v>66</v>
      </c>
      <c r="C266" s="41">
        <f>IF(ISNUMBER(Inputs!C329),IF(AND(Inputs!C329&gt;0,C265&gt;=0),C265/Inputs!C329-1,"n.m."),"n.a.")</f>
        <v>0.2509701867324112</v>
      </c>
      <c r="D266" s="41">
        <f>IF(ISNUMBER(Inputs!D329),IF(AND(Inputs!D329&gt;0,D265&gt;=0),D265/Inputs!D329-1,"n.m."),"n.a.")</f>
        <v>0.043019480519480346</v>
      </c>
      <c r="E266" s="41">
        <f>IF(ISNUMBER(Inputs!E329),IF(AND(Inputs!E329&gt;0,E265&gt;=0),E265/Inputs!E329-1,"n.m."),"n.a.")</f>
        <v>0.1918254996299038</v>
      </c>
      <c r="F266" s="41">
        <f>IF(ISNUMBER(Inputs!F329),IF(AND(Inputs!F329&gt;0,F265&gt;=0),F265/Inputs!F329-1,"n.m."),"n.a.")</f>
        <v>0.217583807716635</v>
      </c>
      <c r="G266" s="41">
        <f>IF(ISNUMBER(Inputs!G329),IF(AND(Inputs!G329&gt;0,G265&gt;=0),G265/Inputs!G329-1,"n.m."),"n.a.")</f>
        <v>0.08577418270276693</v>
      </c>
      <c r="H266" s="40">
        <f>IF(ISNUMBER(C265),IF(AND(C265&gt;0,H265&gt;=0),H265/C265-1,"n.m."),"n.a.")</f>
        <v>0.08758794760910882</v>
      </c>
      <c r="I266" s="7"/>
    </row>
    <row r="267" ht="28.5">
      <c r="A267" s="7"/>
      <c r="B267" s="28" t="s">
        <v>311</v>
      </c>
      <c r="C267" s="2"/>
      <c r="D267" s="2"/>
      <c r="E267" s="2"/>
      <c r="F267" s="2"/>
      <c r="G267" s="2"/>
      <c r="H267" s="51">
        <f>H265-H257/H263</f>
        <v>0</v>
      </c>
      <c r="I267" s="138" t="s">
        <v>312</v>
      </c>
    </row>
    <row r="268">
      <c r="A268" s="7"/>
      <c r="B268" s="1" t="s">
        <v>313</v>
      </c>
      <c r="C268" s="37">
        <v>0.61</v>
      </c>
      <c r="D268" s="37">
        <v>0.58</v>
      </c>
      <c r="E268" s="37">
        <v>2.3</v>
      </c>
      <c r="F268" s="37">
        <v>0.62</v>
      </c>
      <c r="G268" s="37">
        <v>0.64</v>
      </c>
      <c r="H268" s="82"/>
      <c r="I268" s="39" t="s">
        <v>156</v>
      </c>
    </row>
    <row r="269">
      <c r="A269" s="7"/>
      <c r="B269" s="28" t="s">
        <v>314</v>
      </c>
      <c r="C269" s="2">
        <f>ROUND(C265,2)-C268</f>
        <v>0</v>
      </c>
      <c r="D269" s="2">
        <f>ROUND(D265,2)-D268</f>
        <v>0</v>
      </c>
      <c r="E269" s="2">
        <f>ROUND(E265,2)-E268</f>
        <v>0</v>
      </c>
      <c r="F269" s="2">
        <f>ROUND(F265,2)-F268</f>
        <v>0</v>
      </c>
      <c r="G269" s="2">
        <f>ROUND(G265,2)-G268</f>
        <v>0</v>
      </c>
      <c r="H269" s="51"/>
      <c r="I269" s="7"/>
    </row>
    <row r="270">
      <c r="A270" s="7"/>
      <c r="B270" s="7"/>
      <c r="C270" s="7"/>
      <c r="D270" s="7"/>
      <c r="E270" s="7"/>
      <c r="F270" s="7"/>
      <c r="G270" s="7"/>
      <c r="H270" s="49"/>
      <c r="I270" s="7"/>
    </row>
    <row r="271">
      <c r="A271" s="7"/>
      <c r="B271" s="34" t="s">
        <v>315</v>
      </c>
      <c r="C271" s="9"/>
      <c r="D271" s="9"/>
      <c r="E271" s="9"/>
      <c r="F271" s="9"/>
      <c r="G271" s="9"/>
      <c r="H271" s="43"/>
      <c r="I271" s="7"/>
    </row>
    <row r="272">
      <c r="A272" s="7"/>
      <c r="B272" s="28" t="s">
        <v>158</v>
      </c>
      <c r="C272" s="62">
        <f>'Revenue summary'!C421</f>
        <v>0.035867544118043354</v>
      </c>
      <c r="D272" s="62">
        <f>'Revenue summary'!D421</f>
        <v>0.03698466488358887</v>
      </c>
      <c r="E272" s="62">
        <f>'Revenue summary'!E421</f>
        <v>0.036147689129873484</v>
      </c>
      <c r="F272" s="62">
        <f>'Revenue summary'!F421</f>
        <v>0.03667882746331838</v>
      </c>
      <c r="G272" s="62">
        <f>'Revenue summary'!G421</f>
        <v>0.0366371637517905</v>
      </c>
      <c r="H272" s="56">
        <f>'Revenue summary'!H421</f>
        <v>0.03682123606668741</v>
      </c>
      <c r="I272" s="7"/>
    </row>
    <row r="273">
      <c r="A273" s="7"/>
      <c r="B273" s="44" t="s">
        <v>69</v>
      </c>
      <c r="C273" s="38" t="str">
        <f>"n.a."</f>
        <v>n.a.</v>
      </c>
      <c r="D273" s="38">
        <f>IF(AND(ISNUMBER(D272),ISNUMBER(C272)),(D272-C272)*10000,"n.a.")</f>
        <v>11.17120765545515</v>
      </c>
      <c r="E273" s="38"/>
      <c r="F273" s="38">
        <f>IF(AND(ISNUMBER(F272),ISNUMBER(D272)),(F272-D272)*10000,"n.a.")</f>
        <v>-3.0583742027048832</v>
      </c>
      <c r="G273" s="38">
        <f>IF(AND(ISNUMBER(G272),ISNUMBER(F272)),(G272-F272)*10000,"n.a.")</f>
        <v>-0.41663711527882563</v>
      </c>
      <c r="H273" s="67">
        <f>IF(AND(ISNUMBER(H272),ISNUMBER(G272)),(H272-G272)*10000,"n.a.")</f>
        <v>1.8407231489691451</v>
      </c>
      <c r="I273" s="7"/>
    </row>
    <row r="274">
      <c r="A274" s="7"/>
      <c r="B274" s="28" t="s">
        <v>316</v>
      </c>
      <c r="C274" s="24">
        <f>C233/C176</f>
        <v>0.5720954356846473</v>
      </c>
      <c r="D274" s="24">
        <f>D233/D176</f>
        <v>0.5677352637021716</v>
      </c>
      <c r="E274" s="24">
        <f>E233/E176</f>
        <v>0.5693729372937294</v>
      </c>
      <c r="F274" s="24">
        <f>F233/F176</f>
        <v>0.5662778366914104</v>
      </c>
      <c r="G274" s="24">
        <f>G233/G176</f>
        <v>0.5835502342529932</v>
      </c>
      <c r="H274" s="40">
        <f>H233/H176</f>
        <v>0.5650113155239581</v>
      </c>
      <c r="I274" s="7"/>
    </row>
    <row r="275">
      <c r="A275" s="7"/>
      <c r="B275" s="44" t="s">
        <v>69</v>
      </c>
      <c r="C275" s="38" t="str">
        <f>"n.a."</f>
        <v>n.a.</v>
      </c>
      <c r="D275" s="38">
        <f>IF(AND(ISNUMBER(D274),ISNUMBER(C274)),(D274-C274)*10000,"n.a.")</f>
        <v>-43.601719824756245</v>
      </c>
      <c r="E275" s="38"/>
      <c r="F275" s="38">
        <f>IF(AND(ISNUMBER(F274),ISNUMBER(D274)),(F274-D274)*10000,"n.a.")</f>
        <v>-14.574270107612364</v>
      </c>
      <c r="G275" s="38">
        <f>IF(AND(ISNUMBER(G274),ISNUMBER(F274)),(G274-F274)*10000,"n.a.")</f>
        <v>172.7239756158283</v>
      </c>
      <c r="H275" s="67">
        <f>IF(AND(ISNUMBER(H274),ISNUMBER(G274)),(H274-G274)*10000,"n.a.")</f>
        <v>-185.38918729035126</v>
      </c>
      <c r="I275" s="7"/>
    </row>
    <row r="276">
      <c r="A276" s="7"/>
      <c r="B276" s="28" t="s">
        <v>317</v>
      </c>
      <c r="C276" s="24">
        <f>C237/(C176+C289)</f>
        <v>0.568868407578085</v>
      </c>
      <c r="D276" s="24">
        <f>D237/(D176+D289)</f>
        <v>0.5749741468459152</v>
      </c>
      <c r="E276" s="24">
        <f>E237/(E176+E289)</f>
        <v>0.568</v>
      </c>
      <c r="F276" s="24">
        <f>F237/(F176+F289)</f>
        <v>0.5662778366914104</v>
      </c>
      <c r="G276" s="24">
        <f>G237/(G176+G289)</f>
        <v>0.5690973992860785</v>
      </c>
      <c r="H276" s="40">
        <f>H237/(H176+H289)</f>
        <v>0.5650113155239581</v>
      </c>
      <c r="I276" s="7"/>
    </row>
    <row r="277">
      <c r="A277" s="7"/>
      <c r="B277" s="44" t="s">
        <v>69</v>
      </c>
      <c r="C277" s="38" t="str">
        <f>"n.a."</f>
        <v>n.a.</v>
      </c>
      <c r="D277" s="38">
        <f>IF(AND(ISNUMBER(D276),ISNUMBER(C276)),(D276-C276)*10000,"n.a.")</f>
        <v>61.057392678302016</v>
      </c>
      <c r="E277" s="38"/>
      <c r="F277" s="38">
        <f>IF(AND(ISNUMBER(F276),ISNUMBER(D276)),(F276-D276)*10000,"n.a.")</f>
        <v>-86.96310154504783</v>
      </c>
      <c r="G277" s="38">
        <f>IF(AND(ISNUMBER(G276),ISNUMBER(F276)),(G276-F276)*10000,"n.a.")</f>
        <v>28.195625946680902</v>
      </c>
      <c r="H277" s="67">
        <f>IF(AND(ISNUMBER(H276),ISNUMBER(G276)),(H276-G276)*10000,"n.a.")</f>
        <v>-40.86083762120385</v>
      </c>
      <c r="I277" s="7"/>
    </row>
    <row r="278">
      <c r="A278" s="7"/>
      <c r="B278" s="28" t="s">
        <v>318</v>
      </c>
      <c r="C278" s="24">
        <f>C157/C176</f>
        <v>0.34180497925311204</v>
      </c>
      <c r="D278" s="24">
        <f>D157/D176</f>
        <v>0.3309203722854188</v>
      </c>
      <c r="E278" s="24">
        <f>E157/E176</f>
        <v>0.3346534653465347</v>
      </c>
      <c r="F278" s="24">
        <f>F157/F176</f>
        <v>0.331389183457052</v>
      </c>
      <c r="G278" s="24">
        <f>G157/G176</f>
        <v>0.32795419052576785</v>
      </c>
      <c r="H278" s="40">
        <f>H157/H176</f>
        <v>0.3353353656276552</v>
      </c>
      <c r="I278" s="7"/>
    </row>
    <row r="279">
      <c r="A279" s="7"/>
      <c r="B279" s="44" t="s">
        <v>69</v>
      </c>
      <c r="C279" s="38" t="str">
        <f>"n.a."</f>
        <v>n.a.</v>
      </c>
      <c r="D279" s="38">
        <f>IF(AND(ISNUMBER(D278),ISNUMBER(C278)),(D278-C278)*10000,"n.a.")</f>
        <v>-108.84606967693222</v>
      </c>
      <c r="E279" s="38"/>
      <c r="F279" s="38">
        <f>IF(AND(ISNUMBER(F278),ISNUMBER(D278)),(F278-D278)*10000,"n.a.")</f>
        <v>4.6881117163316555</v>
      </c>
      <c r="G279" s="38">
        <f>IF(AND(ISNUMBER(G278),ISNUMBER(F278)),(G278-F278)*10000,"n.a.")</f>
        <v>-34.34992931284131</v>
      </c>
      <c r="H279" s="67">
        <f>IF(AND(ISNUMBER(H278),ISNUMBER(G278)),(H278-G278)*10000,"n.a.")</f>
        <v>73.8117510188735</v>
      </c>
      <c r="I279" s="7"/>
    </row>
    <row r="280">
      <c r="A280" s="7"/>
      <c r="B280" s="28" t="s">
        <v>319</v>
      </c>
      <c r="C280" s="24">
        <f>C242/C169</f>
        <v>0.424321503131524</v>
      </c>
      <c r="D280" s="24">
        <f>D242/D169</f>
        <v>0.4284226965122332</v>
      </c>
      <c r="E280" s="24">
        <f>E242/E169</f>
        <v>0.42692001062981666</v>
      </c>
      <c r="F280" s="24">
        <f>F242/F169</f>
        <v>0.42979177789642287</v>
      </c>
      <c r="G280" s="24">
        <f>G242/G169</f>
        <v>0.4121657052962769</v>
      </c>
      <c r="H280" s="40">
        <f>H242/H169</f>
        <v>0.4309664991563716</v>
      </c>
      <c r="I280" s="7"/>
    </row>
    <row r="281">
      <c r="A281" s="7"/>
      <c r="B281" s="44" t="s">
        <v>69</v>
      </c>
      <c r="C281" s="38" t="str">
        <f>"n.a."</f>
        <v>n.a.</v>
      </c>
      <c r="D281" s="38">
        <f>IF(AND(ISNUMBER(D280),ISNUMBER(C280)),(D280-C280)*10000,"n.a.")</f>
        <v>41.01193380709189</v>
      </c>
      <c r="E281" s="38"/>
      <c r="F281" s="38">
        <f>IF(AND(ISNUMBER(F280),ISNUMBER(D280)),(F280-D280)*10000,"n.a.")</f>
        <v>13.690813841896743</v>
      </c>
      <c r="G281" s="38">
        <f>IF(AND(ISNUMBER(G280),ISNUMBER(F280)),(G280-F280)*10000,"n.a.")</f>
        <v>-176.2607260014598</v>
      </c>
      <c r="H281" s="67">
        <f>IF(AND(ISNUMBER(H280),ISNUMBER(G280)),(H280-G280)*10000,"n.a.")</f>
        <v>188.007938600947</v>
      </c>
      <c r="I281" s="7"/>
    </row>
    <row r="282">
      <c r="A282" s="7"/>
      <c r="B282" s="28" t="s">
        <v>320</v>
      </c>
      <c r="C282" s="24">
        <f>C245/C169</f>
        <v>0.3695198329853862</v>
      </c>
      <c r="D282" s="24">
        <f>D245/D169</f>
        <v>0.368558042686101</v>
      </c>
      <c r="E282" s="24">
        <f>E245/E169</f>
        <v>0.3644698378952963</v>
      </c>
      <c r="F282" s="24">
        <f>F245/F169</f>
        <v>0.38120662039508807</v>
      </c>
      <c r="G282" s="24">
        <f>G245/G169</f>
        <v>0.3765076035658102</v>
      </c>
      <c r="H282" s="40">
        <f>H245/H169</f>
        <v>0.3801692564196056</v>
      </c>
      <c r="I282" s="7"/>
    </row>
    <row r="283">
      <c r="A283" s="7"/>
      <c r="B283" s="44" t="s">
        <v>69</v>
      </c>
      <c r="C283" s="38" t="str">
        <f>"n.a."</f>
        <v>n.a.</v>
      </c>
      <c r="D283" s="38">
        <f>IF(AND(ISNUMBER(D282),ISNUMBER(C282)),(D282-C282)*10000,"n.a.")</f>
        <v>-9.617902992852256</v>
      </c>
      <c r="E283" s="38"/>
      <c r="F283" s="38">
        <f>IF(AND(ISNUMBER(F282),ISNUMBER(D282)),(F282-D282)*10000,"n.a.")</f>
        <v>126.48577708987085</v>
      </c>
      <c r="G283" s="38">
        <f>IF(AND(ISNUMBER(G282),ISNUMBER(F282)),(G282-F282)*10000,"n.a.")</f>
        <v>-46.99016829277869</v>
      </c>
      <c r="H283" s="67">
        <f>IF(AND(ISNUMBER(H282),ISNUMBER(G282)),(H282-G282)*10000,"n.a.")</f>
        <v>36.616528537953826</v>
      </c>
      <c r="I283" s="7"/>
    </row>
    <row r="284">
      <c r="A284" s="7"/>
      <c r="B284" s="28" t="s">
        <v>321</v>
      </c>
      <c r="C284" s="24">
        <f>C257/C169</f>
        <v>0.2860125260960334</v>
      </c>
      <c r="D284" s="24">
        <f>D257/D169</f>
        <v>0.26756897449245187</v>
      </c>
      <c r="E284" s="24">
        <f>E257/E169</f>
        <v>0.27385065107626894</v>
      </c>
      <c r="F284" s="24">
        <f>F257/F169</f>
        <v>0.28777362520021355</v>
      </c>
      <c r="G284" s="24">
        <f>G257/G169</f>
        <v>0.2878867330886209</v>
      </c>
      <c r="H284" s="40">
        <f>H257/H169</f>
        <v>0.2896555583226471</v>
      </c>
      <c r="I284" s="7"/>
    </row>
    <row r="285">
      <c r="A285" s="7"/>
      <c r="B285" s="44" t="s">
        <v>69</v>
      </c>
      <c r="C285" s="38" t="str">
        <f>"n.a."</f>
        <v>n.a.</v>
      </c>
      <c r="D285" s="38">
        <f>IF(AND(ISNUMBER(D284),ISNUMBER(C284)),(D284-C284)*10000,"n.a.")</f>
        <v>-184.4355160358152</v>
      </c>
      <c r="E285" s="38"/>
      <c r="F285" s="38">
        <f>IF(AND(ISNUMBER(F284),ISNUMBER(D284)),(F284-D284)*10000,"n.a.")</f>
        <v>202.04650707761672</v>
      </c>
      <c r="G285" s="38">
        <f>IF(AND(ISNUMBER(G284),ISNUMBER(F284)),(G284-F284)*10000,"n.a.")</f>
        <v>1.1310788840734887</v>
      </c>
      <c r="H285" s="67">
        <f>IF(AND(ISNUMBER(H284),ISNUMBER(G284)),(H284-G284)*10000,"n.a.")</f>
        <v>17.688252340262167</v>
      </c>
      <c r="I285" s="7"/>
    </row>
    <row r="286">
      <c r="A286" s="7"/>
      <c r="B286" s="7"/>
      <c r="C286" s="7"/>
      <c r="D286" s="7"/>
      <c r="E286" s="7"/>
      <c r="F286" s="7"/>
      <c r="G286" s="7"/>
      <c r="H286" s="49"/>
      <c r="I286" s="7"/>
    </row>
    <row r="287">
      <c r="A287" s="7"/>
      <c r="B287" s="34" t="s">
        <v>322</v>
      </c>
      <c r="C287" s="9"/>
      <c r="D287" s="9"/>
      <c r="E287" s="9"/>
      <c r="F287" s="9"/>
      <c r="G287" s="9"/>
      <c r="H287" s="43"/>
      <c r="I287" s="7"/>
    </row>
    <row r="288">
      <c r="A288" s="7"/>
      <c r="B288" s="8" t="s">
        <v>323</v>
      </c>
      <c r="C288" s="12">
        <f>C257</f>
        <v>548</v>
      </c>
      <c r="D288" s="12">
        <f>D257</f>
        <v>514</v>
      </c>
      <c r="E288" s="12">
        <f>E257</f>
        <v>2061</v>
      </c>
      <c r="F288" s="12">
        <f>F257</f>
        <v>539</v>
      </c>
      <c r="G288" s="12">
        <f>G257</f>
        <v>549</v>
      </c>
      <c r="H288" s="42">
        <f>H257</f>
        <v>569.6458941334022</v>
      </c>
      <c r="I288" s="7"/>
    </row>
    <row r="289">
      <c r="A289" s="7"/>
      <c r="B289" s="1" t="s">
        <v>324</v>
      </c>
      <c r="C289" s="31">
        <v>25</v>
      </c>
      <c r="D289" s="31">
        <v>0</v>
      </c>
      <c r="E289" s="31">
        <v>50</v>
      </c>
      <c r="F289" s="31">
        <v>0</v>
      </c>
      <c r="G289" s="31">
        <v>40</v>
      </c>
      <c r="H289" s="42">
        <f>-H136</f>
        <v>0</v>
      </c>
      <c r="I289" s="39" t="s">
        <v>325</v>
      </c>
    </row>
    <row r="290">
      <c r="A290" s="7"/>
      <c r="B290" s="1" t="s">
        <v>326</v>
      </c>
      <c r="C290" s="31">
        <v>-3</v>
      </c>
      <c r="D290" s="31">
        <v>-14</v>
      </c>
      <c r="E290" s="31">
        <v>-17</v>
      </c>
      <c r="F290" s="31">
        <v>0</v>
      </c>
      <c r="G290" s="31">
        <v>0</v>
      </c>
      <c r="H290" s="71">
        <v>0</v>
      </c>
      <c r="I290" s="39" t="s">
        <v>325</v>
      </c>
    </row>
    <row r="291">
      <c r="A291" s="7"/>
      <c r="B291" s="1" t="s">
        <v>327</v>
      </c>
      <c r="C291" s="31">
        <v>0</v>
      </c>
      <c r="D291" s="31">
        <v>0</v>
      </c>
      <c r="E291" s="31">
        <v>2</v>
      </c>
      <c r="F291" s="31">
        <v>0</v>
      </c>
      <c r="G291" s="31">
        <v>0</v>
      </c>
      <c r="H291" s="71">
        <v>0</v>
      </c>
      <c r="I291" s="39" t="s">
        <v>325</v>
      </c>
    </row>
    <row r="292">
      <c r="A292" s="7"/>
      <c r="B292" s="1" t="s">
        <v>328</v>
      </c>
      <c r="C292" s="31">
        <v>-5</v>
      </c>
      <c r="D292" s="31">
        <v>0</v>
      </c>
      <c r="E292" s="31">
        <v>-5</v>
      </c>
      <c r="F292" s="31">
        <v>0</v>
      </c>
      <c r="G292" s="31">
        <v>5</v>
      </c>
      <c r="H292" s="42">
        <f>H225</f>
        <v>0</v>
      </c>
      <c r="I292" s="39" t="s">
        <v>325</v>
      </c>
    </row>
    <row r="293">
      <c r="A293" s="7"/>
      <c r="B293" s="1" t="s">
        <v>329</v>
      </c>
      <c r="C293" s="31">
        <v>0</v>
      </c>
      <c r="D293" s="31">
        <v>0</v>
      </c>
      <c r="E293" s="31">
        <v>2</v>
      </c>
      <c r="F293" s="31">
        <v>0</v>
      </c>
      <c r="G293" s="31">
        <v>0</v>
      </c>
      <c r="H293" s="71">
        <v>0</v>
      </c>
      <c r="I293" s="39" t="s">
        <v>325</v>
      </c>
    </row>
    <row r="294">
      <c r="A294" s="7"/>
      <c r="B294" s="1" t="s">
        <v>330</v>
      </c>
      <c r="C294" s="31">
        <v>0</v>
      </c>
      <c r="D294" s="31">
        <v>0</v>
      </c>
      <c r="E294" s="31">
        <v>4</v>
      </c>
      <c r="F294" s="31">
        <v>0</v>
      </c>
      <c r="G294" s="31">
        <v>0</v>
      </c>
      <c r="H294" s="71">
        <v>0</v>
      </c>
      <c r="I294" s="39" t="s">
        <v>325</v>
      </c>
    </row>
    <row r="295">
      <c r="A295" s="7"/>
      <c r="B295" s="33" t="s">
        <v>331</v>
      </c>
      <c r="C295" s="35">
        <f>SUM(C289:C294)</f>
        <v>17</v>
      </c>
      <c r="D295" s="35">
        <f>SUM(D289:D294)</f>
        <v>-14</v>
      </c>
      <c r="E295" s="35">
        <f>SUM(E289:E294)</f>
        <v>36</v>
      </c>
      <c r="F295" s="35">
        <f>SUM(F289:F294)</f>
        <v>0</v>
      </c>
      <c r="G295" s="35">
        <f>SUM(G289:G294)</f>
        <v>45</v>
      </c>
      <c r="H295" s="50">
        <f>SUM(H289:H294)</f>
        <v>0</v>
      </c>
      <c r="I295" s="7"/>
    </row>
    <row r="296">
      <c r="A296" s="7"/>
      <c r="B296" s="75" t="s">
        <v>332</v>
      </c>
      <c r="C296" s="24"/>
      <c r="D296" s="24"/>
      <c r="E296" s="24"/>
      <c r="F296" s="24"/>
      <c r="G296" s="24"/>
      <c r="H296" s="58">
        <v>0.25</v>
      </c>
      <c r="I296" s="7"/>
    </row>
    <row r="297">
      <c r="A297" s="7"/>
      <c r="B297" s="1" t="s">
        <v>333</v>
      </c>
      <c r="C297" s="31">
        <v>-4</v>
      </c>
      <c r="D297" s="31">
        <v>4</v>
      </c>
      <c r="E297" s="31">
        <v>-7</v>
      </c>
      <c r="F297" s="31">
        <v>0</v>
      </c>
      <c r="G297" s="31">
        <v>-11</v>
      </c>
      <c r="H297" s="42">
        <f>-H296*(H295-H294)</f>
        <v>0</v>
      </c>
      <c r="I297" s="39" t="s">
        <v>325</v>
      </c>
    </row>
    <row r="298">
      <c r="A298" s="7"/>
      <c r="B298" s="34" t="s">
        <v>334</v>
      </c>
      <c r="C298" s="35">
        <f>C288+C295+C297</f>
        <v>561</v>
      </c>
      <c r="D298" s="35">
        <f>D288+D295+D297</f>
        <v>504</v>
      </c>
      <c r="E298" s="35">
        <f>E288+E295+E297</f>
        <v>2090</v>
      </c>
      <c r="F298" s="35">
        <f>F288+F295+F297</f>
        <v>539</v>
      </c>
      <c r="G298" s="35">
        <f>G288+G295+G297</f>
        <v>583</v>
      </c>
      <c r="H298" s="50">
        <f>H288+H295+H297</f>
        <v>569.6458941334022</v>
      </c>
      <c r="I298" s="7"/>
    </row>
    <row r="299">
      <c r="A299" s="7"/>
      <c r="B299" s="44" t="s">
        <v>66</v>
      </c>
      <c r="C299" s="41" t="str">
        <f>IF(ISNUMBER(Inputs!C331),IF(AND(Inputs!C331&gt;0,C298&gt;=0),C298/Inputs!C331-1,"n.m."),"n.a.")</f>
        <v>n.a.</v>
      </c>
      <c r="D299" s="41">
        <f>IF(ISNUMBER(Inputs!D331),IF(AND(Inputs!D331&gt;0,D298&gt;=0),D298/Inputs!D331-1,"n.m."),"n.a.")</f>
        <v>-0.06319702602230481</v>
      </c>
      <c r="E299" s="41">
        <f>IF(ISNUMBER(Inputs!E331),IF(AND(Inputs!E331&gt;0,E298&gt;=0),E298/Inputs!E331-1,"n.m."),"n.a.")</f>
        <v>0.07069672131147531</v>
      </c>
      <c r="F299" s="41">
        <f>IF(ISNUMBER(Inputs!F331),IF(AND(Inputs!F331&gt;0,F298&gt;=0),F298/Inputs!F331-1,"n.m."),"n.a.")</f>
        <v>0.10677618069815198</v>
      </c>
      <c r="G299" s="41">
        <f>IF(ISNUMBER(Inputs!G331),IF(AND(Inputs!G331&gt;0,G298&gt;=0),G298/Inputs!G331-1,"n.m."),"n.a.")</f>
        <v>0.08364312267657992</v>
      </c>
      <c r="H299" s="40">
        <f>IF(ISNUMBER(C298),IF(AND(C298&gt;0,H298&gt;=0),H298/C298-1,"n.m."),"n.a.")</f>
        <v>0.015411575995369242</v>
      </c>
      <c r="I299" s="7"/>
    </row>
    <row r="300">
      <c r="A300" s="7"/>
      <c r="B300" s="48" t="s">
        <v>78</v>
      </c>
      <c r="C300" s="29">
        <f>IF(ISNUMBER(Inputs!G331),C298-Inputs!G331,"n.a.")</f>
        <v>23</v>
      </c>
      <c r="D300" s="12">
        <f>IF(ISNUMBER(C298),D298-C298,"n.a.")</f>
        <v>-57</v>
      </c>
      <c r="E300" s="12"/>
      <c r="F300" s="12">
        <f>IF(ISNUMBER(D298),F298-D298,"n.a.")</f>
        <v>35</v>
      </c>
      <c r="G300" s="12">
        <f>IF(ISNUMBER(F298),G298-F298,"n.a.")</f>
        <v>44</v>
      </c>
      <c r="H300" s="42">
        <f>IF(ISNUMBER(G298),H298-G298,"n.a.")</f>
        <v>-13.35410586659782</v>
      </c>
      <c r="I300" s="7"/>
    </row>
    <row r="301">
      <c r="A301" s="7"/>
      <c r="B301" s="1" t="s">
        <v>335</v>
      </c>
      <c r="C301" s="31">
        <v>561</v>
      </c>
      <c r="D301" s="31">
        <v>504</v>
      </c>
      <c r="E301" s="31">
        <v>2090</v>
      </c>
      <c r="F301" s="31">
        <v>539</v>
      </c>
      <c r="G301" s="31">
        <v>583</v>
      </c>
      <c r="H301" s="42"/>
      <c r="I301" s="39" t="s">
        <v>325</v>
      </c>
    </row>
    <row r="302">
      <c r="A302" s="7"/>
      <c r="B302" s="28" t="s">
        <v>336</v>
      </c>
      <c r="C302" s="2">
        <f>C298-C301</f>
        <v>0</v>
      </c>
      <c r="D302" s="2">
        <f>D298-D301</f>
        <v>0</v>
      </c>
      <c r="E302" s="2">
        <f>E298-E301</f>
        <v>0</v>
      </c>
      <c r="F302" s="2">
        <f>F298-F301</f>
        <v>0</v>
      </c>
      <c r="G302" s="2">
        <f>G298-G301</f>
        <v>0</v>
      </c>
      <c r="H302" s="51"/>
      <c r="I302" s="7"/>
    </row>
    <row r="303" ht="92.25">
      <c r="A303" s="7"/>
      <c r="B303" s="34" t="s">
        <v>40</v>
      </c>
      <c r="C303" s="13">
        <f>C298/C263</f>
        <v>0.62751677852349</v>
      </c>
      <c r="D303" s="13">
        <f>D298/D263</f>
        <v>0.5727272727272728</v>
      </c>
      <c r="E303" s="13">
        <f>E298/E263</f>
        <v>2.3325892857142856</v>
      </c>
      <c r="F303" s="13">
        <f>F298/F263</f>
        <v>0.6209677419354839</v>
      </c>
      <c r="G303" s="13">
        <f>G298/G263</f>
        <v>0.6802800466744457</v>
      </c>
      <c r="H303" s="84">
        <f>H298/H263</f>
        <v>0.6666646479751585</v>
      </c>
      <c r="I303" s="144" t="s">
        <v>337</v>
      </c>
    </row>
    <row r="304">
      <c r="A304" s="7"/>
      <c r="B304" s="44" t="s">
        <v>66</v>
      </c>
      <c r="C304" s="41" t="str">
        <f>IF(ISNUMBER(Inputs!C332),IF(AND(Inputs!C332&gt;0,C303&gt;=0),C303/Inputs!C332-1,"n.m."),"n.a.")</f>
        <v>n.a.</v>
      </c>
      <c r="D304" s="41">
        <f>IF(ISNUMBER(Inputs!D332),IF(AND(Inputs!D332&gt;0,D303&gt;=0),D303/Inputs!D332-1,"n.m."),"n.a.")</f>
        <v>-0.029275808936825798</v>
      </c>
      <c r="E304" s="41">
        <f>IF(ISNUMBER(Inputs!E332),IF(AND(Inputs!E332&gt;0,E303&gt;=0),E303/Inputs!E332-1,"n.m."),"n.a.")</f>
        <v>0.09511234071093222</v>
      </c>
      <c r="F304" s="41">
        <f>IF(ISNUMBER(Inputs!F332),IF(AND(Inputs!F332&gt;0,F303&gt;=0),F303/Inputs!F332-1,"n.m."),"n.a.")</f>
        <v>0.1499402628434885</v>
      </c>
      <c r="G304" s="41">
        <f>IF(ISNUMBER(Inputs!G332),IF(AND(Inputs!G332&gt;0,G303&gt;=0),G303/Inputs!G332-1,"n.m."),"n.a.")</f>
        <v>0.13380007779074288</v>
      </c>
      <c r="H304" s="40">
        <f>IF(ISNUMBER(C303),IF(AND(C303&gt;0,H303&gt;=0),H303/C303-1,"n.m."),"n.a.")</f>
        <v>0.06238537484811335</v>
      </c>
      <c r="I304" s="7"/>
    </row>
    <row r="305" ht="28.5">
      <c r="A305" s="7"/>
      <c r="B305" s="28" t="s">
        <v>338</v>
      </c>
      <c r="C305" s="2"/>
      <c r="D305" s="2"/>
      <c r="E305" s="2"/>
      <c r="F305" s="2"/>
      <c r="G305" s="2"/>
      <c r="H305" s="51">
        <f>H303-H298/H263</f>
        <v>0</v>
      </c>
      <c r="I305" s="138" t="s">
        <v>339</v>
      </c>
    </row>
    <row r="306">
      <c r="A306" s="7"/>
      <c r="B306" s="1" t="s">
        <v>340</v>
      </c>
      <c r="C306" s="14">
        <f>Inputs!E99</f>
        <v>0.63</v>
      </c>
      <c r="D306" s="14">
        <f>Inputs!E100</f>
        <v>0.57</v>
      </c>
      <c r="E306" s="23"/>
      <c r="F306" s="14">
        <f>Inputs!E101</f>
        <v>0.62</v>
      </c>
      <c r="G306" s="14">
        <f>Inputs!E102</f>
        <v>0.68</v>
      </c>
      <c r="H306" s="82"/>
      <c r="I306" s="7"/>
    </row>
    <row r="307">
      <c r="A307" s="7"/>
      <c r="B307" s="28" t="s">
        <v>341</v>
      </c>
      <c r="C307" s="2">
        <f>ROUND(C303,2)-C306</f>
        <v>0</v>
      </c>
      <c r="D307" s="2">
        <f>ROUND(D303,2)-D306</f>
        <v>0</v>
      </c>
      <c r="E307" s="2"/>
      <c r="F307" s="2">
        <f>ROUND(F303,2)-F306</f>
        <v>0</v>
      </c>
      <c r="G307" s="2">
        <f>ROUND(G303,2)-G306</f>
        <v>0</v>
      </c>
      <c r="H307" s="51"/>
      <c r="I307" s="7"/>
    </row>
    <row r="308">
      <c r="A308" s="7"/>
      <c r="B308" s="1" t="s">
        <v>342</v>
      </c>
      <c r="C308" s="23"/>
      <c r="D308" s="23"/>
      <c r="E308" s="23"/>
      <c r="F308" s="23"/>
      <c r="G308" s="23"/>
      <c r="H308" s="45">
        <f>Inputs!C35</f>
        <v>0.66</v>
      </c>
      <c r="I308" s="7"/>
    </row>
    <row r="309">
      <c r="A309" s="7"/>
      <c r="B309" s="75" t="s">
        <v>343</v>
      </c>
      <c r="C309" s="81"/>
      <c r="D309" s="81"/>
      <c r="E309" s="81"/>
      <c r="F309" s="81"/>
      <c r="G309" s="81"/>
      <c r="H309" s="87">
        <f>H303-H308</f>
        <v>0.006664647975158422</v>
      </c>
      <c r="I309" s="7"/>
    </row>
    <row r="310">
      <c r="A310" s="7"/>
      <c r="B310" s="7"/>
      <c r="C310" s="7"/>
      <c r="D310" s="7"/>
      <c r="E310" s="7"/>
      <c r="F310" s="7"/>
      <c r="G310" s="7"/>
      <c r="H310" s="49"/>
      <c r="I310" s="7"/>
    </row>
    <row r="311">
      <c r="A311" s="7"/>
      <c r="B311" s="34" t="s">
        <v>344</v>
      </c>
      <c r="C311" s="9"/>
      <c r="D311" s="9"/>
      <c r="E311" s="9"/>
      <c r="F311" s="9"/>
      <c r="G311" s="9"/>
      <c r="H311" s="43"/>
      <c r="I311" s="7"/>
    </row>
    <row r="312">
      <c r="A312" s="7"/>
      <c r="B312" s="28" t="s">
        <v>345</v>
      </c>
      <c r="C312" s="2"/>
      <c r="D312" s="2"/>
      <c r="E312" s="30">
        <f>E52-(Inputs!F287+Inputs!G287+C52+D52)</f>
        <v>0</v>
      </c>
      <c r="F312" s="2"/>
      <c r="G312" s="2"/>
      <c r="H312" s="51"/>
      <c r="I312" s="7"/>
    </row>
    <row r="313">
      <c r="A313" s="7"/>
      <c r="B313" s="28" t="s">
        <v>346</v>
      </c>
      <c r="C313" s="2"/>
      <c r="D313" s="2"/>
      <c r="E313" s="30">
        <f>E157-(Inputs!F305+Inputs!G305+C157+D157)</f>
        <v>0</v>
      </c>
      <c r="F313" s="2"/>
      <c r="G313" s="2"/>
      <c r="H313" s="51"/>
      <c r="I313" s="7"/>
    </row>
    <row r="314">
      <c r="A314" s="7"/>
      <c r="B314" s="28" t="s">
        <v>347</v>
      </c>
      <c r="C314" s="2"/>
      <c r="D314" s="2"/>
      <c r="E314" s="30">
        <f>E233-(Inputs!F321+Inputs!G321+C233+D233)</f>
        <v>0</v>
      </c>
      <c r="F314" s="2"/>
      <c r="G314" s="2"/>
      <c r="H314" s="51"/>
      <c r="I314" s="7"/>
    </row>
    <row r="315">
      <c r="A315" s="7"/>
      <c r="B315" s="28" t="s">
        <v>348</v>
      </c>
      <c r="C315" s="2"/>
      <c r="D315" s="2"/>
      <c r="E315" s="30">
        <f>E76-(Inputs!F291+Inputs!G291+C76+D76)</f>
        <v>0</v>
      </c>
      <c r="F315" s="2"/>
      <c r="G315" s="2"/>
      <c r="H315" s="51"/>
      <c r="I315" s="7"/>
    </row>
    <row r="316">
      <c r="A316" s="7"/>
      <c r="B316" s="28" t="s">
        <v>349</v>
      </c>
      <c r="C316" s="2"/>
      <c r="D316" s="2"/>
      <c r="E316" s="30">
        <f>E245-(Inputs!F324+Inputs!G324+C245+D245)</f>
        <v>0</v>
      </c>
      <c r="F316" s="2"/>
      <c r="G316" s="2"/>
      <c r="H316" s="51"/>
      <c r="I316" s="7"/>
    </row>
    <row r="317">
      <c r="A317" s="7"/>
      <c r="B317" s="28" t="s">
        <v>350</v>
      </c>
      <c r="C317" s="2"/>
      <c r="D317" s="2"/>
      <c r="E317" s="30">
        <f>E248-(Inputs!F325+Inputs!G325+C248+D248)</f>
        <v>0</v>
      </c>
      <c r="F317" s="2"/>
      <c r="G317" s="2"/>
      <c r="H317" s="51"/>
      <c r="I317" s="7"/>
    </row>
    <row r="318">
      <c r="A318" s="7"/>
      <c r="B318" s="28" t="s">
        <v>351</v>
      </c>
      <c r="C318" s="2"/>
      <c r="D318" s="2"/>
      <c r="E318" s="30">
        <f>E252-(Inputs!F326+Inputs!G326+C252+D252)</f>
        <v>0</v>
      </c>
      <c r="F318" s="2"/>
      <c r="G318" s="2"/>
      <c r="H318" s="51"/>
      <c r="I318" s="7"/>
    </row>
    <row r="319">
      <c r="A319" s="7"/>
      <c r="B319" s="28" t="s">
        <v>352</v>
      </c>
      <c r="C319" s="2"/>
      <c r="D319" s="2"/>
      <c r="E319" s="30">
        <f>E257-(Inputs!F328+Inputs!G328+C257+D257)</f>
        <v>0</v>
      </c>
      <c r="F319" s="2"/>
      <c r="G319" s="2"/>
      <c r="H319" s="51"/>
      <c r="I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0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353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6"/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7"/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354</v>
      </c>
      <c r="C8" s="9"/>
      <c r="D8" s="9"/>
      <c r="E8" s="9"/>
      <c r="F8" s="9"/>
      <c r="G8" s="9"/>
      <c r="H8" s="43"/>
      <c r="I8" s="7"/>
    </row>
    <row r="9">
      <c r="A9" s="7"/>
      <c r="B9" s="1" t="s">
        <v>355</v>
      </c>
      <c r="C9" s="31">
        <v>3073</v>
      </c>
      <c r="D9" s="31">
        <v>3112</v>
      </c>
      <c r="E9" s="12">
        <f>D9</f>
        <v>3112</v>
      </c>
      <c r="F9" s="31">
        <v>3445</v>
      </c>
      <c r="G9" s="31">
        <v>3177</v>
      </c>
      <c r="H9" s="42">
        <f>G9</f>
        <v>3177</v>
      </c>
      <c r="I9" s="39" t="s">
        <v>356</v>
      </c>
    </row>
    <row r="10">
      <c r="A10" s="7"/>
      <c r="B10" s="1" t="s">
        <v>357</v>
      </c>
      <c r="C10" s="31">
        <v>9026</v>
      </c>
      <c r="D10" s="31">
        <v>7795</v>
      </c>
      <c r="E10" s="12">
        <f>D10</f>
        <v>7795</v>
      </c>
      <c r="F10" s="31">
        <v>7698</v>
      </c>
      <c r="G10" s="31">
        <v>6749</v>
      </c>
      <c r="H10" s="32">
        <f>'Cash Flow Statement'!H51-H9</f>
        <v>6155.060465561955</v>
      </c>
      <c r="I10" s="39" t="s">
        <v>356</v>
      </c>
    </row>
    <row r="11">
      <c r="A11" s="7"/>
      <c r="B11" s="1" t="s">
        <v>358</v>
      </c>
      <c r="C11" s="31">
        <v>5769</v>
      </c>
      <c r="D11" s="31">
        <v>5606</v>
      </c>
      <c r="E11" s="12">
        <f>D11</f>
        <v>5606</v>
      </c>
      <c r="F11" s="31">
        <v>5434</v>
      </c>
      <c r="G11" s="31">
        <v>5271</v>
      </c>
      <c r="H11" s="42">
        <f>G11</f>
        <v>5271</v>
      </c>
      <c r="I11" s="39" t="s">
        <v>356</v>
      </c>
    </row>
    <row r="12">
      <c r="A12" s="7"/>
      <c r="B12" s="1" t="s">
        <v>359</v>
      </c>
      <c r="C12" s="31">
        <v>26886</v>
      </c>
      <c r="D12" s="31">
        <v>27560</v>
      </c>
      <c r="E12" s="12">
        <f>D12</f>
        <v>27560</v>
      </c>
      <c r="F12" s="31">
        <v>27419</v>
      </c>
      <c r="G12" s="31">
        <v>27388</v>
      </c>
      <c r="H12" s="42">
        <f>G12</f>
        <v>27388</v>
      </c>
      <c r="I12" s="39" t="s">
        <v>356</v>
      </c>
    </row>
    <row r="13">
      <c r="A13" s="7"/>
      <c r="B13" s="1" t="s">
        <v>112</v>
      </c>
      <c r="C13" s="31">
        <v>573</v>
      </c>
      <c r="D13" s="31">
        <v>511</v>
      </c>
      <c r="E13" s="12">
        <f>D13</f>
        <v>511</v>
      </c>
      <c r="F13" s="31">
        <v>464</v>
      </c>
      <c r="G13" s="31">
        <v>591</v>
      </c>
      <c r="H13" s="42">
        <f>G13</f>
        <v>591</v>
      </c>
      <c r="I13" s="39" t="s">
        <v>356</v>
      </c>
    </row>
    <row r="14">
      <c r="A14" s="7"/>
      <c r="B14" s="1" t="s">
        <v>360</v>
      </c>
      <c r="C14" s="31">
        <v>96125</v>
      </c>
      <c r="D14" s="31">
        <v>95637</v>
      </c>
      <c r="E14" s="12">
        <f>D14</f>
        <v>95637</v>
      </c>
      <c r="F14" s="31">
        <v>97926</v>
      </c>
      <c r="G14" s="31">
        <v>99200</v>
      </c>
      <c r="H14" s="42">
        <f>G14*(1+H17)</f>
        <v>99993.6</v>
      </c>
      <c r="I14" s="39" t="s">
        <v>356</v>
      </c>
    </row>
    <row r="15">
      <c r="A15" s="7"/>
      <c r="B15" s="44" t="s">
        <v>66</v>
      </c>
      <c r="C15" s="41" t="str">
        <f>IF(ISNUMBER(Inputs!C333),IF(AND(Inputs!C333&gt;0,C14&gt;=0),C14/Inputs!C333-1,"n.m."),"n.a.")</f>
        <v>n.a.</v>
      </c>
      <c r="D15" s="41">
        <f>IF(ISNUMBER(Inputs!D333),IF(AND(Inputs!D333&gt;0,D14&gt;=0),D14/Inputs!D333-1,"n.m."),"n.a.")</f>
        <v>-0.01126882876549462</v>
      </c>
      <c r="E15" s="41">
        <f>IF(ISNUMBER(Inputs!E333),IF(AND(Inputs!E333&gt;0,E14&gt;=0),E14/Inputs!E333-1,"n.m."),"n.a.")</f>
        <v>-0.01126882876549462</v>
      </c>
      <c r="F15" s="41">
        <f>IF(ISNUMBER(Inputs!F333),IF(AND(Inputs!F333&gt;0,F14&gt;=0),F14/Inputs!F333-1,"n.m."),"n.a.")</f>
        <v>0.022907461376954652</v>
      </c>
      <c r="G15" s="41">
        <f>IF(ISNUMBER(Inputs!G333),IF(AND(Inputs!G333&gt;0,G14&gt;=0),G14/Inputs!G333-1,"n.m."),"n.a.")</f>
        <v>0.02560921394084148</v>
      </c>
      <c r="H15" s="40">
        <f>IF(ISNUMBER(C14),IF(AND(C14&gt;0,H14&gt;=0),H14/C14-1,"n.m."),"n.a.")</f>
        <v>0.04024551365409623</v>
      </c>
      <c r="I15" s="7"/>
    </row>
    <row r="16">
      <c r="A16" s="7"/>
      <c r="B16" s="48" t="s">
        <v>78</v>
      </c>
      <c r="C16" s="29">
        <f>IF(ISNUMBER(Inputs!G333),C14-Inputs!G333,"n.a.")</f>
        <v>-598</v>
      </c>
      <c r="D16" s="12">
        <f>IF(ISNUMBER(C14),D14-C14,"n.a.")</f>
        <v>-488</v>
      </c>
      <c r="E16" s="12"/>
      <c r="F16" s="12">
        <f>IF(ISNUMBER(D14),F14-D14,"n.a.")</f>
        <v>2289</v>
      </c>
      <c r="G16" s="12">
        <f>IF(ISNUMBER(F14),G14-F14,"n.a.")</f>
        <v>1274</v>
      </c>
      <c r="H16" s="42">
        <f>IF(ISNUMBER(G14),H14-G14,"n.a.")</f>
        <v>793.6000000000058</v>
      </c>
      <c r="I16" s="7"/>
    </row>
    <row r="17">
      <c r="A17" s="7"/>
      <c r="B17" s="44" t="s">
        <v>67</v>
      </c>
      <c r="C17" s="41">
        <f>IF(ISNUMBER(Inputs!G333),IF(AND(Inputs!G333&gt;0,C14&gt;=0),C14/Inputs!G333-1,"n.m."),"n.a.")</f>
        <v>-0.006182603930812713</v>
      </c>
      <c r="D17" s="24">
        <f>IF(ISNUMBER(C14),IF(AND(C14&gt;0,D14&gt;=0),D14/C14-1,"n.m."),"n.a.")</f>
        <v>-0.005076723016905094</v>
      </c>
      <c r="E17" s="24"/>
      <c r="F17" s="24">
        <f>IF(ISNUMBER(D14),IF(AND(D14&gt;0,F14&gt;=0),F14/D14-1,"n.m."),"n.a.")</f>
        <v>0.023934251388061156</v>
      </c>
      <c r="G17" s="24">
        <f>IF(ISNUMBER(F14),IF(AND(F14&gt;0,G14&gt;=0),G14/F14-1,"n.m."),"n.a.")</f>
        <v>0.013009823744460025</v>
      </c>
      <c r="H17" s="58">
        <v>0.008</v>
      </c>
      <c r="I17" s="7"/>
    </row>
    <row r="18">
      <c r="A18" s="7"/>
      <c r="B18" s="1" t="s">
        <v>361</v>
      </c>
      <c r="C18" s="31">
        <v>-1581</v>
      </c>
      <c r="D18" s="31">
        <v>-1556</v>
      </c>
      <c r="E18" s="12">
        <f>D18</f>
        <v>-1556</v>
      </c>
      <c r="F18" s="31">
        <v>-1527</v>
      </c>
      <c r="G18" s="31">
        <v>-1489</v>
      </c>
      <c r="H18" s="32">
        <f>G18+'Income Statement'!H68-'Income Statement'!H76</f>
        <v>-1481</v>
      </c>
      <c r="I18" s="39" t="s">
        <v>356</v>
      </c>
    </row>
    <row r="19">
      <c r="A19" s="7"/>
      <c r="B19" s="33" t="s">
        <v>362</v>
      </c>
      <c r="C19" s="35">
        <f>C14+C18</f>
        <v>94544</v>
      </c>
      <c r="D19" s="35">
        <f>D14+D18</f>
        <v>94081</v>
      </c>
      <c r="E19" s="35">
        <f>E14+E18</f>
        <v>94081</v>
      </c>
      <c r="F19" s="35">
        <f>F14+F18</f>
        <v>96399</v>
      </c>
      <c r="G19" s="35">
        <f>G14+G18</f>
        <v>97711</v>
      </c>
      <c r="H19" s="50">
        <f>H14+H18</f>
        <v>98512.6</v>
      </c>
      <c r="I19" s="7"/>
    </row>
    <row r="20">
      <c r="A20" s="7"/>
      <c r="B20" s="1" t="s">
        <v>132</v>
      </c>
      <c r="C20" s="31">
        <v>1513</v>
      </c>
      <c r="D20" s="31">
        <v>1703</v>
      </c>
      <c r="E20" s="12">
        <f>D20</f>
        <v>1703</v>
      </c>
      <c r="F20" s="31">
        <v>1635</v>
      </c>
      <c r="G20" s="31">
        <v>1574</v>
      </c>
      <c r="H20" s="42">
        <f>G20</f>
        <v>1574</v>
      </c>
      <c r="I20" s="39" t="s">
        <v>356</v>
      </c>
    </row>
    <row r="21">
      <c r="A21" s="7"/>
      <c r="B21" s="1" t="s">
        <v>363</v>
      </c>
      <c r="C21" s="31">
        <v>1742</v>
      </c>
      <c r="D21" s="31">
        <v>1659</v>
      </c>
      <c r="E21" s="12">
        <f>D21</f>
        <v>1659</v>
      </c>
      <c r="F21" s="31">
        <v>1666</v>
      </c>
      <c r="G21" s="31">
        <v>1704</v>
      </c>
      <c r="H21" s="42">
        <f>G21</f>
        <v>1704</v>
      </c>
      <c r="I21" s="39" t="s">
        <v>356</v>
      </c>
    </row>
    <row r="22">
      <c r="A22" s="7"/>
      <c r="B22" s="1" t="s">
        <v>364</v>
      </c>
      <c r="C22" s="31">
        <v>574</v>
      </c>
      <c r="D22" s="31">
        <v>571</v>
      </c>
      <c r="E22" s="12">
        <f>D22</f>
        <v>571</v>
      </c>
      <c r="F22" s="31">
        <v>569</v>
      </c>
      <c r="G22" s="31">
        <v>495</v>
      </c>
      <c r="H22" s="42">
        <f>G22</f>
        <v>495</v>
      </c>
      <c r="I22" s="39" t="s">
        <v>356</v>
      </c>
    </row>
    <row r="23">
      <c r="A23" s="7"/>
      <c r="B23" s="1" t="s">
        <v>365</v>
      </c>
      <c r="C23" s="31">
        <v>5733</v>
      </c>
      <c r="D23" s="31">
        <v>5733</v>
      </c>
      <c r="E23" s="12">
        <f>D23</f>
        <v>5733</v>
      </c>
      <c r="F23" s="31">
        <v>5733</v>
      </c>
      <c r="G23" s="31">
        <v>5733</v>
      </c>
      <c r="H23" s="42">
        <f>G23</f>
        <v>5733</v>
      </c>
      <c r="I23" s="39" t="s">
        <v>356</v>
      </c>
    </row>
    <row r="24">
      <c r="A24" s="7"/>
      <c r="B24" s="1" t="s">
        <v>366</v>
      </c>
      <c r="C24" s="31">
        <v>976</v>
      </c>
      <c r="D24" s="31">
        <v>970</v>
      </c>
      <c r="E24" s="12">
        <f>D24</f>
        <v>970</v>
      </c>
      <c r="F24" s="31">
        <v>954</v>
      </c>
      <c r="G24" s="31">
        <v>958</v>
      </c>
      <c r="H24" s="42">
        <f>G24</f>
        <v>958</v>
      </c>
      <c r="I24" s="39" t="s">
        <v>356</v>
      </c>
    </row>
    <row r="25">
      <c r="A25" s="7"/>
      <c r="B25" s="1" t="s">
        <v>367</v>
      </c>
      <c r="C25" s="31">
        <v>146</v>
      </c>
      <c r="D25" s="31">
        <v>140</v>
      </c>
      <c r="E25" s="12">
        <f>D25</f>
        <v>140</v>
      </c>
      <c r="F25" s="31">
        <v>133</v>
      </c>
      <c r="G25" s="31">
        <v>126</v>
      </c>
      <c r="H25" s="42">
        <f>G25</f>
        <v>126</v>
      </c>
      <c r="I25" s="39" t="s">
        <v>356</v>
      </c>
    </row>
    <row r="26">
      <c r="A26" s="7"/>
      <c r="B26" s="1" t="s">
        <v>368</v>
      </c>
      <c r="C26" s="31">
        <v>9385</v>
      </c>
      <c r="D26" s="31">
        <v>9373</v>
      </c>
      <c r="E26" s="12">
        <f>D26</f>
        <v>9373</v>
      </c>
      <c r="F26" s="31">
        <v>9192</v>
      </c>
      <c r="G26" s="31">
        <v>9822</v>
      </c>
      <c r="H26" s="42">
        <f>G26</f>
        <v>9822</v>
      </c>
      <c r="I26" s="39" t="s">
        <v>356</v>
      </c>
    </row>
    <row r="27">
      <c r="A27" s="7"/>
      <c r="B27" s="34" t="s">
        <v>369</v>
      </c>
      <c r="C27" s="35">
        <f>C9+C10+C11+C12+C13+C19+SUM(C20:C26)</f>
        <v>159940</v>
      </c>
      <c r="D27" s="35">
        <f>D9+D10+D11+D12+D13+D19+SUM(D20:D26)</f>
        <v>158814</v>
      </c>
      <c r="E27" s="35">
        <f>E9+E10+E11+E12+E13+E19+SUM(E20:E26)</f>
        <v>158814</v>
      </c>
      <c r="F27" s="35">
        <f>F9+F10+F11+F12+F13+F19+SUM(F20:F26)</f>
        <v>160741</v>
      </c>
      <c r="G27" s="35">
        <f>G9+G10+G11+G12+G13+G19+SUM(G20:G26)</f>
        <v>161299</v>
      </c>
      <c r="H27" s="50">
        <f>H9+H10+H11+H12+H13+H19+SUM(H20:H26)</f>
        <v>161506.66046556196</v>
      </c>
      <c r="I27" s="7"/>
    </row>
    <row r="28">
      <c r="A28" s="7"/>
      <c r="B28" s="34" t="s">
        <v>370</v>
      </c>
      <c r="C28" s="9"/>
      <c r="D28" s="9"/>
      <c r="E28" s="9"/>
      <c r="F28" s="9"/>
      <c r="G28" s="9"/>
      <c r="H28" s="43"/>
      <c r="I28" s="7"/>
    </row>
    <row r="29">
      <c r="A29" s="7"/>
      <c r="B29" s="1" t="s">
        <v>371</v>
      </c>
      <c r="C29" s="31">
        <v>39768</v>
      </c>
      <c r="D29" s="31">
        <v>39530</v>
      </c>
      <c r="E29" s="12">
        <f>D29</f>
        <v>39530</v>
      </c>
      <c r="F29" s="31">
        <v>40062</v>
      </c>
      <c r="G29" s="31">
        <v>40538</v>
      </c>
      <c r="H29" s="42">
        <f>H33*H30</f>
        <v>40551.384269971684</v>
      </c>
      <c r="I29" s="39" t="s">
        <v>356</v>
      </c>
    </row>
    <row r="30">
      <c r="A30" s="7"/>
      <c r="B30" s="44" t="s">
        <v>372</v>
      </c>
      <c r="C30" s="24">
        <f>C29/C33</f>
        <v>0.3051237589577547</v>
      </c>
      <c r="D30" s="24">
        <f>D29/D33</f>
        <v>0.3014611677139894</v>
      </c>
      <c r="E30" s="24">
        <f>E29/E33</f>
        <v>0.3014611677139894</v>
      </c>
      <c r="F30" s="24">
        <f>F29/F33</f>
        <v>0.3037761601455869</v>
      </c>
      <c r="G30" s="24">
        <f>G29/G33</f>
        <v>0.31013694438069006</v>
      </c>
      <c r="H30" s="40">
        <f>G30</f>
        <v>0.31013694438069006</v>
      </c>
      <c r="I30" s="7"/>
    </row>
    <row r="31">
      <c r="A31" s="7"/>
      <c r="B31" s="69" t="s">
        <v>69</v>
      </c>
      <c r="C31" s="38" t="str">
        <f>"n.a."</f>
        <v>n.a.</v>
      </c>
      <c r="D31" s="38">
        <f>IF(AND(ISNUMBER(D30),ISNUMBER(C30)),(D30-C30)*10000,"n.a.")</f>
        <v>-36.62591243765279</v>
      </c>
      <c r="E31" s="38"/>
      <c r="F31" s="38">
        <f>IF(AND(ISNUMBER(F30),ISNUMBER(D30)),(F30-D30)*10000,"n.a.")</f>
        <v>23.149924315974957</v>
      </c>
      <c r="G31" s="38">
        <f>IF(AND(ISNUMBER(G30),ISNUMBER(F30)),(G30-F30)*10000,"n.a.")</f>
        <v>63.60784235103167</v>
      </c>
      <c r="H31" s="67">
        <f>IF(AND(ISNUMBER(H30),ISNUMBER(G30)),(H30-G30)*10000,"n.a.")</f>
        <v>0</v>
      </c>
      <c r="I31" s="7"/>
    </row>
    <row r="32">
      <c r="A32" s="7"/>
      <c r="B32" s="1" t="s">
        <v>373</v>
      </c>
      <c r="C32" s="31">
        <v>90566</v>
      </c>
      <c r="D32" s="31">
        <v>91598</v>
      </c>
      <c r="E32" s="12">
        <f>D32</f>
        <v>91598</v>
      </c>
      <c r="F32" s="31">
        <v>91818</v>
      </c>
      <c r="G32" s="31">
        <v>90172</v>
      </c>
      <c r="H32" s="42">
        <f>H33-H29</f>
        <v>90201.7717300283</v>
      </c>
      <c r="I32" s="39" t="s">
        <v>356</v>
      </c>
    </row>
    <row r="33">
      <c r="A33" s="7"/>
      <c r="B33" s="33" t="s">
        <v>374</v>
      </c>
      <c r="C33" s="35">
        <f>C29+C32</f>
        <v>130334</v>
      </c>
      <c r="D33" s="35">
        <f>D29+D32</f>
        <v>131128</v>
      </c>
      <c r="E33" s="35">
        <f>E29+E32</f>
        <v>131128</v>
      </c>
      <c r="F33" s="35">
        <f>F29+F32</f>
        <v>131880</v>
      </c>
      <c r="G33" s="35">
        <f>G29+G32</f>
        <v>130710</v>
      </c>
      <c r="H33" s="64">
        <f>'Segment - Corporate Bank'!H18+'Segment - Consumer Bank'!H18+'Segment - Wealth Management'!H18+'Revenue summary'!H443</f>
        <v>130753.15599999999</v>
      </c>
      <c r="I33" s="7"/>
    </row>
    <row r="34">
      <c r="A34" s="7"/>
      <c r="B34" s="44" t="s">
        <v>66</v>
      </c>
      <c r="C34" s="41" t="str">
        <f>IF(ISNUMBER(Inputs!C334),IF(AND(Inputs!C334&gt;0,C33&gt;=0),C33/Inputs!C334-1,"n.m."),"n.a.")</f>
        <v>n.a.</v>
      </c>
      <c r="D34" s="41">
        <f>IF(ISNUMBER(Inputs!D334),IF(AND(Inputs!D334&gt;0,D33&gt;=0),D33/Inputs!D334-1,"n.m."),"n.a.")</f>
        <v>0.02762474236499135</v>
      </c>
      <c r="E34" s="41">
        <f>IF(ISNUMBER(Inputs!E334),IF(AND(Inputs!E334&gt;0,E33&gt;=0),E33/Inputs!E334-1,"n.m."),"n.a.")</f>
        <v>0.02762474236499135</v>
      </c>
      <c r="F34" s="41">
        <f>IF(ISNUMBER(Inputs!F334),IF(AND(Inputs!F334&gt;0,F33&gt;=0),F33/Inputs!F334-1,"n.m."),"n.a.")</f>
        <v>0.0069404677371327494</v>
      </c>
      <c r="G34" s="41">
        <f>IF(ISNUMBER(Inputs!G334),IF(AND(Inputs!G334&gt;0,G33&gt;=0),G33/Inputs!G334-1,"n.m."),"n.a.")</f>
        <v>-0.0015964069386414925</v>
      </c>
      <c r="H34" s="40">
        <f>IF(ISNUMBER(C33),IF(AND(C33&gt;0,H33&gt;=0),H33/C33-1,"n.m."),"n.a.")</f>
        <v>0.003216014240336351</v>
      </c>
      <c r="I34" s="7"/>
    </row>
    <row r="35">
      <c r="A35" s="7"/>
      <c r="B35" s="48" t="s">
        <v>78</v>
      </c>
      <c r="C35" s="29">
        <f>IF(ISNUMBER(Inputs!G334),C33-Inputs!G334,"n.a.")</f>
        <v>-585</v>
      </c>
      <c r="D35" s="12">
        <f>IF(ISNUMBER(C33),D33-C33,"n.a.")</f>
        <v>794</v>
      </c>
      <c r="E35" s="12"/>
      <c r="F35" s="12">
        <f>IF(ISNUMBER(D33),F33-D33,"n.a.")</f>
        <v>752</v>
      </c>
      <c r="G35" s="12">
        <f>IF(ISNUMBER(F33),G33-F33,"n.a.")</f>
        <v>-1170</v>
      </c>
      <c r="H35" s="42">
        <f>IF(ISNUMBER(G33),H33-G33,"n.a.")</f>
        <v>43.155999999988126</v>
      </c>
      <c r="I35" s="7"/>
    </row>
    <row r="36">
      <c r="A36" s="7"/>
      <c r="B36" s="44" t="s">
        <v>67</v>
      </c>
      <c r="C36" s="41">
        <f>IF(ISNUMBER(Inputs!G334),IF(AND(Inputs!G334&gt;0,C33&gt;=0),C33/Inputs!G334-1,"n.m."),"n.a.")</f>
        <v>-0.004468411766053837</v>
      </c>
      <c r="D36" s="24">
        <f>IF(ISNUMBER(C33),IF(AND(C33&gt;0,D33&gt;=0),D33/C33-1,"n.m."),"n.a.")</f>
        <v>0.006092040449920955</v>
      </c>
      <c r="E36" s="24"/>
      <c r="F36" s="24">
        <f>IF(ISNUMBER(D33),IF(AND(D33&gt;0,F33&gt;=0),F33/D33-1,"n.m."),"n.a.")</f>
        <v>0.005734854493319563</v>
      </c>
      <c r="G36" s="24">
        <f>IF(ISNUMBER(F33),IF(AND(F33&gt;0,G33&gt;=0),G33/F33-1,"n.m."),"n.a.")</f>
        <v>-0.008871701546860788</v>
      </c>
      <c r="H36" s="40">
        <f>IF(ISNUMBER(G33),IF(AND(G33&gt;0,H33&gt;=0),H33/G33-1,"n.m."),"n.a.")</f>
        <v>0.00033016601637192444</v>
      </c>
      <c r="I36" s="7"/>
    </row>
    <row r="37" ht="28.5">
      <c r="A37" s="7"/>
      <c r="B37" s="28" t="s">
        <v>375</v>
      </c>
      <c r="C37" s="30">
        <f>'Segment - Corporate Bank'!C18+'Segment - Consumer Bank'!C18+'Segment - Wealth Management'!C18+'Revenue summary'!C443-C33</f>
        <v>0</v>
      </c>
      <c r="D37" s="30">
        <f>'Segment - Corporate Bank'!D18+'Segment - Consumer Bank'!D18+'Segment - Wealth Management'!D18+'Revenue summary'!D443-D33</f>
        <v>0</v>
      </c>
      <c r="E37" s="30">
        <f>'Segment - Corporate Bank'!E18+'Segment - Consumer Bank'!E18+'Segment - Wealth Management'!E18+'Revenue summary'!E443-E33</f>
        <v>0</v>
      </c>
      <c r="F37" s="30">
        <f>'Segment - Corporate Bank'!F18+'Segment - Consumer Bank'!F18+'Segment - Wealth Management'!F18+'Revenue summary'!F443-F33</f>
        <v>0</v>
      </c>
      <c r="G37" s="30">
        <f>'Segment - Corporate Bank'!G18+'Segment - Consumer Bank'!G18+'Segment - Wealth Management'!G18+'Revenue summary'!G443-G33</f>
        <v>0</v>
      </c>
      <c r="H37" s="73">
        <f>'Segment - Corporate Bank'!H18+'Segment - Consumer Bank'!H18+'Segment - Wealth Management'!H18+'Revenue summary'!H443-H33</f>
        <v>0</v>
      </c>
      <c r="I37" s="138" t="s">
        <v>376</v>
      </c>
    </row>
    <row r="38">
      <c r="A38" s="7"/>
      <c r="B38" s="1" t="s">
        <v>142</v>
      </c>
      <c r="C38" s="31">
        <v>0</v>
      </c>
      <c r="D38" s="31">
        <v>0</v>
      </c>
      <c r="E38" s="12">
        <f>D38</f>
        <v>0</v>
      </c>
      <c r="F38" s="31">
        <v>1200</v>
      </c>
      <c r="G38" s="31">
        <v>200</v>
      </c>
      <c r="H38" s="42">
        <f>G38</f>
        <v>200</v>
      </c>
      <c r="I38" s="39" t="s">
        <v>356</v>
      </c>
    </row>
    <row r="39">
      <c r="A39" s="7"/>
      <c r="B39" s="1" t="s">
        <v>147</v>
      </c>
      <c r="C39" s="31">
        <v>1300</v>
      </c>
      <c r="D39" s="31">
        <v>750</v>
      </c>
      <c r="E39" s="12">
        <f>D39</f>
        <v>750</v>
      </c>
      <c r="F39" s="31">
        <v>2000</v>
      </c>
      <c r="G39" s="31">
        <v>2800</v>
      </c>
      <c r="H39" s="42">
        <f>G39</f>
        <v>2800</v>
      </c>
      <c r="I39" s="39" t="s">
        <v>356</v>
      </c>
    </row>
    <row r="40">
      <c r="A40" s="7"/>
      <c r="B40" s="1" t="s">
        <v>148</v>
      </c>
      <c r="C40" s="31">
        <v>4785</v>
      </c>
      <c r="D40" s="31">
        <v>4134</v>
      </c>
      <c r="E40" s="12">
        <f>D40</f>
        <v>4134</v>
      </c>
      <c r="F40" s="31">
        <v>3137</v>
      </c>
      <c r="G40" s="31">
        <v>4628</v>
      </c>
      <c r="H40" s="42">
        <f>G40</f>
        <v>4628</v>
      </c>
      <c r="I40" s="39" t="s">
        <v>356</v>
      </c>
    </row>
    <row r="41">
      <c r="A41" s="7"/>
      <c r="B41" s="1" t="s">
        <v>377</v>
      </c>
      <c r="C41" s="31">
        <v>4426</v>
      </c>
      <c r="D41" s="31">
        <v>3699</v>
      </c>
      <c r="E41" s="12">
        <f>D41</f>
        <v>3699</v>
      </c>
      <c r="F41" s="31">
        <v>3680</v>
      </c>
      <c r="G41" s="31">
        <v>4050</v>
      </c>
      <c r="H41" s="42">
        <f>G41</f>
        <v>4050</v>
      </c>
      <c r="I41" s="39" t="s">
        <v>356</v>
      </c>
    </row>
    <row r="42">
      <c r="A42" s="7"/>
      <c r="B42" s="34" t="s">
        <v>378</v>
      </c>
      <c r="C42" s="35">
        <f>C33+SUM(C38:C41)</f>
        <v>140845</v>
      </c>
      <c r="D42" s="35">
        <f>D33+SUM(D38:D41)</f>
        <v>139711</v>
      </c>
      <c r="E42" s="35">
        <f>E33+SUM(E38:E41)</f>
        <v>139711</v>
      </c>
      <c r="F42" s="35">
        <f>F33+SUM(F38:F41)</f>
        <v>141897</v>
      </c>
      <c r="G42" s="35">
        <f>G33+SUM(G38:G41)</f>
        <v>142388</v>
      </c>
      <c r="H42" s="50">
        <f>H33+SUM(H38:H41)</f>
        <v>142431.156</v>
      </c>
      <c r="I42" s="7"/>
    </row>
    <row r="43">
      <c r="A43" s="7"/>
      <c r="B43" s="34" t="s">
        <v>379</v>
      </c>
      <c r="C43" s="9"/>
      <c r="D43" s="9"/>
      <c r="E43" s="9"/>
      <c r="F43" s="9"/>
      <c r="G43" s="9"/>
      <c r="H43" s="43"/>
      <c r="I43" s="7"/>
    </row>
    <row r="44">
      <c r="A44" s="7"/>
      <c r="B44" s="1" t="s">
        <v>380</v>
      </c>
      <c r="C44" s="31">
        <v>1369</v>
      </c>
      <c r="D44" s="31">
        <v>1369</v>
      </c>
      <c r="E44" s="12">
        <f>D44</f>
        <v>1369</v>
      </c>
      <c r="F44" s="31">
        <v>1369</v>
      </c>
      <c r="G44" s="31">
        <v>1369</v>
      </c>
      <c r="H44" s="42">
        <f>G44</f>
        <v>1369</v>
      </c>
      <c r="I44" s="39" t="s">
        <v>356</v>
      </c>
    </row>
    <row r="45">
      <c r="A45" s="7"/>
      <c r="B45" s="1" t="s">
        <v>381</v>
      </c>
      <c r="C45" s="31">
        <v>9</v>
      </c>
      <c r="D45" s="31">
        <v>9</v>
      </c>
      <c r="E45" s="12">
        <f>D45</f>
        <v>9</v>
      </c>
      <c r="F45" s="31">
        <v>9</v>
      </c>
      <c r="G45" s="31">
        <v>9</v>
      </c>
      <c r="H45" s="42">
        <f>G45</f>
        <v>9</v>
      </c>
      <c r="I45" s="39" t="s">
        <v>356</v>
      </c>
    </row>
    <row r="46">
      <c r="A46" s="7"/>
      <c r="B46" s="1" t="s">
        <v>382</v>
      </c>
      <c r="C46" s="31">
        <v>10780</v>
      </c>
      <c r="D46" s="31">
        <v>10366</v>
      </c>
      <c r="E46" s="12">
        <f>D46</f>
        <v>10366</v>
      </c>
      <c r="F46" s="31">
        <v>9973</v>
      </c>
      <c r="G46" s="31">
        <v>9915</v>
      </c>
      <c r="H46" s="32">
        <f>G46-'Share Count'!H29</f>
        <v>9765</v>
      </c>
      <c r="I46" s="39" t="s">
        <v>356</v>
      </c>
    </row>
    <row r="47">
      <c r="A47" s="7"/>
      <c r="B47" s="1" t="s">
        <v>383</v>
      </c>
      <c r="C47" s="31">
        <v>9922</v>
      </c>
      <c r="D47" s="31">
        <v>10205</v>
      </c>
      <c r="E47" s="12">
        <f>D47</f>
        <v>10205</v>
      </c>
      <c r="F47" s="31">
        <v>10517</v>
      </c>
      <c r="G47" s="31">
        <v>10840</v>
      </c>
      <c r="H47" s="32">
        <f>G47+'Income Statement'!H252-'Income Statement'!H254-'Share Count'!H39</f>
        <v>11154.504465561973</v>
      </c>
      <c r="I47" s="39" t="s">
        <v>356</v>
      </c>
    </row>
    <row r="48">
      <c r="A48" s="7"/>
      <c r="B48" s="1" t="s">
        <v>384</v>
      </c>
      <c r="C48" s="31">
        <v>-1371</v>
      </c>
      <c r="D48" s="31">
        <v>-1371</v>
      </c>
      <c r="E48" s="12">
        <f>D48</f>
        <v>-1371</v>
      </c>
      <c r="F48" s="31">
        <v>-1371</v>
      </c>
      <c r="G48" s="31">
        <v>-1371</v>
      </c>
      <c r="H48" s="42">
        <f>G48</f>
        <v>-1371</v>
      </c>
      <c r="I48" s="39" t="s">
        <v>356</v>
      </c>
    </row>
    <row r="49">
      <c r="A49" s="7"/>
      <c r="B49" s="1" t="s">
        <v>385</v>
      </c>
      <c r="C49" s="31">
        <v>-1660</v>
      </c>
      <c r="D49" s="31">
        <v>-1535</v>
      </c>
      <c r="E49" s="12">
        <f>D49</f>
        <v>-1535</v>
      </c>
      <c r="F49" s="31">
        <v>-1718</v>
      </c>
      <c r="G49" s="31">
        <v>-1922</v>
      </c>
      <c r="H49" s="42">
        <f>G49</f>
        <v>-1922</v>
      </c>
      <c r="I49" s="39" t="s">
        <v>356</v>
      </c>
    </row>
    <row r="50">
      <c r="A50" s="7"/>
      <c r="B50" s="34" t="s">
        <v>386</v>
      </c>
      <c r="C50" s="35">
        <f>SUM(C44:C49)</f>
        <v>19049</v>
      </c>
      <c r="D50" s="35">
        <f>SUM(D44:D49)</f>
        <v>19043</v>
      </c>
      <c r="E50" s="35">
        <f>SUM(E44:E49)</f>
        <v>19043</v>
      </c>
      <c r="F50" s="35">
        <f>SUM(F44:F49)</f>
        <v>18779</v>
      </c>
      <c r="G50" s="35">
        <f>SUM(G44:G49)</f>
        <v>18840</v>
      </c>
      <c r="H50" s="50">
        <f>SUM(H44:H49)</f>
        <v>19004.50446556197</v>
      </c>
      <c r="I50" s="7"/>
    </row>
    <row r="51">
      <c r="A51" s="7"/>
      <c r="B51" s="1" t="s">
        <v>387</v>
      </c>
      <c r="C51" s="31">
        <v>46</v>
      </c>
      <c r="D51" s="31">
        <v>60</v>
      </c>
      <c r="E51" s="12">
        <f>D51</f>
        <v>60</v>
      </c>
      <c r="F51" s="31">
        <v>65</v>
      </c>
      <c r="G51" s="31">
        <v>71</v>
      </c>
      <c r="H51" s="42">
        <f>G51</f>
        <v>71</v>
      </c>
      <c r="I51" s="39" t="s">
        <v>356</v>
      </c>
    </row>
    <row r="52">
      <c r="A52" s="7"/>
      <c r="B52" s="34" t="s">
        <v>388</v>
      </c>
      <c r="C52" s="35">
        <f>C50+C51</f>
        <v>19095</v>
      </c>
      <c r="D52" s="35">
        <f>D50+D51</f>
        <v>19103</v>
      </c>
      <c r="E52" s="35">
        <f>E50+E51</f>
        <v>19103</v>
      </c>
      <c r="F52" s="35">
        <f>F50+F51</f>
        <v>18844</v>
      </c>
      <c r="G52" s="35">
        <f>G50+G51</f>
        <v>18911</v>
      </c>
      <c r="H52" s="50">
        <f>H50+H51</f>
        <v>19075.50446556197</v>
      </c>
      <c r="I52" s="7"/>
    </row>
    <row r="53">
      <c r="A53" s="7"/>
      <c r="B53" s="34" t="s">
        <v>389</v>
      </c>
      <c r="C53" s="35">
        <f>C42+C52</f>
        <v>159940</v>
      </c>
      <c r="D53" s="35">
        <f>D42+D52</f>
        <v>158814</v>
      </c>
      <c r="E53" s="35">
        <f>E42+E52</f>
        <v>158814</v>
      </c>
      <c r="F53" s="35">
        <f>F42+F52</f>
        <v>160741</v>
      </c>
      <c r="G53" s="35">
        <f>G42+G52</f>
        <v>161299</v>
      </c>
      <c r="H53" s="50">
        <f>H42+H52</f>
        <v>161506.66046556196</v>
      </c>
      <c r="I53" s="7"/>
    </row>
    <row r="54">
      <c r="A54" s="7"/>
      <c r="B54" s="28" t="s">
        <v>390</v>
      </c>
      <c r="C54" s="2">
        <f>C27-C42-C52</f>
        <v>0</v>
      </c>
      <c r="D54" s="2">
        <f>D27-D42-D52</f>
        <v>0</v>
      </c>
      <c r="E54" s="2">
        <f>E27-E42-E52</f>
        <v>0</v>
      </c>
      <c r="F54" s="2">
        <f>F27-F42-F52</f>
        <v>0</v>
      </c>
      <c r="G54" s="2">
        <f>G27-G42-G52</f>
        <v>0</v>
      </c>
      <c r="H54" s="51">
        <f>H27-H42-H52</f>
        <v>0</v>
      </c>
      <c r="I54" s="7"/>
    </row>
    <row r="55">
      <c r="A55" s="7"/>
      <c r="B55" s="1" t="s">
        <v>391</v>
      </c>
      <c r="C55" s="31">
        <v>159940</v>
      </c>
      <c r="D55" s="31">
        <v>158814</v>
      </c>
      <c r="E55" s="12">
        <f>D55</f>
        <v>158814</v>
      </c>
      <c r="F55" s="31">
        <v>160741</v>
      </c>
      <c r="G55" s="31">
        <v>161299</v>
      </c>
      <c r="H55" s="42"/>
      <c r="I55" s="7"/>
    </row>
    <row r="56">
      <c r="A56" s="7"/>
      <c r="B56" s="28" t="s">
        <v>392</v>
      </c>
      <c r="C56" s="2">
        <f>C27-C55</f>
        <v>0</v>
      </c>
      <c r="D56" s="2">
        <f>D27-D55</f>
        <v>0</v>
      </c>
      <c r="E56" s="2">
        <f>E27-E55</f>
        <v>0</v>
      </c>
      <c r="F56" s="2">
        <f>F27-F55</f>
        <v>0</v>
      </c>
      <c r="G56" s="2">
        <f>G27-G55</f>
        <v>0</v>
      </c>
      <c r="H56" s="51"/>
      <c r="I56" s="7"/>
    </row>
    <row r="57">
      <c r="A57" s="7"/>
      <c r="B57" s="28" t="s">
        <v>393</v>
      </c>
      <c r="C57" s="24">
        <f>C14/C33</f>
        <v>0.7375281967867172</v>
      </c>
      <c r="D57" s="24">
        <f>D14/D33</f>
        <v>0.72934079677872</v>
      </c>
      <c r="E57" s="24">
        <f>E14/E33</f>
        <v>0.72934079677872</v>
      </c>
      <c r="F57" s="24">
        <f>F14/F33</f>
        <v>0.7425386715195632</v>
      </c>
      <c r="G57" s="24">
        <f>G14/G33</f>
        <v>0.7589319868410986</v>
      </c>
      <c r="H57" s="40">
        <f>H14/H33</f>
        <v>0.7647509479618222</v>
      </c>
      <c r="I57" s="7"/>
    </row>
    <row r="58">
      <c r="A58" s="7"/>
      <c r="B58" s="44" t="s">
        <v>69</v>
      </c>
      <c r="C58" s="38" t="str">
        <f>"n.a."</f>
        <v>n.a.</v>
      </c>
      <c r="D58" s="38">
        <f>IF(AND(ISNUMBER(D57),ISNUMBER(C57)),(D57-C57)*10000,"n.a.")</f>
        <v>-81.87400007997225</v>
      </c>
      <c r="E58" s="38"/>
      <c r="F58" s="38">
        <f>IF(AND(ISNUMBER(F57),ISNUMBER(D57)),(F57-D57)*10000,"n.a.")</f>
        <v>131.97874740843218</v>
      </c>
      <c r="G58" s="38">
        <f>IF(AND(ISNUMBER(G57),ISNUMBER(F57)),(G57-F57)*10000,"n.a.")</f>
        <v>163.93315321535428</v>
      </c>
      <c r="H58" s="67">
        <f>IF(AND(ISNUMBER(H57),ISNUMBER(G57)),(H57-G57)*10000,"n.a.")</f>
        <v>58.18961120723554</v>
      </c>
      <c r="I58" s="7"/>
    </row>
    <row r="59">
      <c r="A59" s="7"/>
      <c r="B59" s="7"/>
      <c r="C59" s="7"/>
      <c r="D59" s="7"/>
      <c r="E59" s="7"/>
      <c r="F59" s="7"/>
      <c r="G59" s="7"/>
      <c r="H59" s="7"/>
      <c r="I59" s="7"/>
    </row>
    <row r="60">
      <c r="A60" s="7"/>
      <c r="B60" s="7"/>
      <c r="C60" s="7"/>
      <c r="D60" s="7"/>
      <c r="E60" s="7"/>
      <c r="F60" s="7"/>
      <c r="G60" s="7"/>
      <c r="H60" s="7"/>
      <c r="I60" s="7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1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394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6"/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7"/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395</v>
      </c>
      <c r="C8" s="9"/>
      <c r="D8" s="9"/>
      <c r="E8" s="9"/>
      <c r="F8" s="9"/>
      <c r="G8" s="9"/>
      <c r="H8" s="43"/>
      <c r="I8" s="7"/>
    </row>
    <row r="9">
      <c r="A9" s="7"/>
      <c r="B9" s="1" t="s">
        <v>212</v>
      </c>
      <c r="C9" s="29">
        <f>'Income Statement'!C252</f>
        <v>569</v>
      </c>
      <c r="D9" s="29">
        <f>'Income Statement'!D252</f>
        <v>534</v>
      </c>
      <c r="E9" s="29">
        <f>'Income Statement'!E252</f>
        <v>2156</v>
      </c>
      <c r="F9" s="29">
        <f>'Income Statement'!F252</f>
        <v>559</v>
      </c>
      <c r="G9" s="29">
        <f>'Income Statement'!G252</f>
        <v>570</v>
      </c>
      <c r="H9" s="32">
        <f>'Income Statement'!H252</f>
        <v>590.6458941334022</v>
      </c>
      <c r="I9" s="7"/>
    </row>
    <row r="10">
      <c r="A10" s="7"/>
      <c r="B10" s="1" t="s">
        <v>207</v>
      </c>
      <c r="C10" s="29">
        <f>'Income Statement'!C76</f>
        <v>105</v>
      </c>
      <c r="D10" s="29">
        <f>'Income Statement'!D76</f>
        <v>115</v>
      </c>
      <c r="E10" s="29">
        <f>'Income Statement'!E76</f>
        <v>470</v>
      </c>
      <c r="F10" s="29">
        <f>'Income Statement'!F76</f>
        <v>91</v>
      </c>
      <c r="G10" s="29">
        <f>'Income Statement'!G76</f>
        <v>68</v>
      </c>
      <c r="H10" s="32">
        <f>'Income Statement'!H76</f>
        <v>99.89948380712329</v>
      </c>
      <c r="I10" s="7"/>
    </row>
    <row r="11">
      <c r="A11" s="7"/>
      <c r="B11" s="1" t="s">
        <v>396</v>
      </c>
      <c r="C11" s="29">
        <f>Inputs!D346-Inputs!C346</f>
        <v>21</v>
      </c>
      <c r="D11" s="29">
        <f>Inputs!E346-Inputs!D346</f>
        <v>22</v>
      </c>
      <c r="E11" s="29">
        <f>Inputs!E346</f>
        <v>84</v>
      </c>
      <c r="F11" s="29">
        <f>Inputs!F346</f>
        <v>23</v>
      </c>
      <c r="G11" s="29">
        <f>Inputs!G346-Inputs!F346</f>
        <v>24</v>
      </c>
      <c r="H11" s="71">
        <v>25</v>
      </c>
      <c r="I11" s="7"/>
    </row>
    <row r="12">
      <c r="A12" s="7"/>
      <c r="B12" s="1" t="s">
        <v>397</v>
      </c>
      <c r="C12" s="29">
        <f>-'Income Statement'!C136</f>
        <v>27</v>
      </c>
      <c r="D12" s="29">
        <f>-'Income Statement'!D136</f>
        <v>0</v>
      </c>
      <c r="E12" s="29">
        <f>-'Income Statement'!E136</f>
        <v>53</v>
      </c>
      <c r="F12" s="29">
        <f>-'Income Statement'!F136</f>
        <v>3</v>
      </c>
      <c r="G12" s="29">
        <f>-'Income Statement'!G136</f>
        <v>41</v>
      </c>
      <c r="H12" s="32">
        <f>-'Income Statement'!H136</f>
        <v>0</v>
      </c>
      <c r="I12" s="7"/>
    </row>
    <row r="13">
      <c r="A13" s="7"/>
      <c r="B13" s="1" t="s">
        <v>398</v>
      </c>
      <c r="C13" s="29">
        <f>Inputs!D348-Inputs!C348</f>
        <v>88</v>
      </c>
      <c r="D13" s="29">
        <f>Inputs!E348-Inputs!D348</f>
        <v>-27</v>
      </c>
      <c r="E13" s="29">
        <f>Inputs!E348</f>
        <v>78</v>
      </c>
      <c r="F13" s="29">
        <f>Inputs!F348</f>
        <v>-15</v>
      </c>
      <c r="G13" s="29">
        <f>Inputs!G348-Inputs!F348</f>
        <v>157</v>
      </c>
      <c r="H13" s="71">
        <v>0</v>
      </c>
      <c r="I13" s="7"/>
    </row>
    <row r="14">
      <c r="A14" s="7"/>
      <c r="B14" s="1" t="s">
        <v>399</v>
      </c>
      <c r="C14" s="29">
        <f>Inputs!D349-Inputs!C349</f>
        <v>-1543</v>
      </c>
      <c r="D14" s="29">
        <f>Inputs!E349-Inputs!D349</f>
        <v>-1419</v>
      </c>
      <c r="E14" s="29">
        <f>Inputs!E349</f>
        <v>-5453</v>
      </c>
      <c r="F14" s="29">
        <f>Inputs!F349</f>
        <v>-1967</v>
      </c>
      <c r="G14" s="29">
        <f>Inputs!G349-Inputs!F349</f>
        <v>-1340</v>
      </c>
      <c r="H14" s="71">
        <v>0</v>
      </c>
      <c r="I14" s="7"/>
    </row>
    <row r="15" ht="41.25">
      <c r="A15" s="7"/>
      <c r="B15" s="1" t="s">
        <v>400</v>
      </c>
      <c r="C15" s="29">
        <f>Inputs!D350-Inputs!C350</f>
        <v>1592</v>
      </c>
      <c r="D15" s="29">
        <f>Inputs!E350-Inputs!D350</f>
        <v>1389</v>
      </c>
      <c r="E15" s="29">
        <f>Inputs!E350</f>
        <v>5566</v>
      </c>
      <c r="F15" s="29">
        <f>Inputs!F350</f>
        <v>2052</v>
      </c>
      <c r="G15" s="29">
        <f>Inputs!G350-Inputs!F350</f>
        <v>1216</v>
      </c>
      <c r="H15" s="32">
        <f>-('Balance Sheet'!H13-'Balance Sheet'!G13)</f>
        <v>0</v>
      </c>
      <c r="I15" s="138" t="s">
        <v>401</v>
      </c>
    </row>
    <row r="16">
      <c r="A16" s="7"/>
      <c r="B16" s="1" t="s">
        <v>402</v>
      </c>
      <c r="C16" s="29">
        <f>Inputs!D351-Inputs!C351</f>
        <v>-21</v>
      </c>
      <c r="D16" s="29">
        <f>Inputs!E351-Inputs!D351</f>
        <v>-40</v>
      </c>
      <c r="E16" s="29">
        <f>Inputs!E351</f>
        <v>-84</v>
      </c>
      <c r="F16" s="29">
        <f>Inputs!F351</f>
        <v>-12</v>
      </c>
      <c r="G16" s="29">
        <f>Inputs!G351-Inputs!F351</f>
        <v>-6</v>
      </c>
      <c r="H16" s="71">
        <v>0</v>
      </c>
      <c r="I16" s="7"/>
    </row>
    <row r="17">
      <c r="A17" s="7"/>
      <c r="B17" s="1" t="s">
        <v>403</v>
      </c>
      <c r="C17" s="29">
        <f>Inputs!D352-Inputs!C352</f>
        <v>169</v>
      </c>
      <c r="D17" s="29">
        <f>Inputs!E352-Inputs!D352</f>
        <v>-190</v>
      </c>
      <c r="E17" s="29">
        <f>Inputs!E352</f>
        <v>-87</v>
      </c>
      <c r="F17" s="29">
        <f>Inputs!F352</f>
        <v>68</v>
      </c>
      <c r="G17" s="29">
        <f>Inputs!G352-Inputs!F352</f>
        <v>61</v>
      </c>
      <c r="H17" s="32">
        <f>-('Balance Sheet'!H20-'Balance Sheet'!G20)</f>
        <v>0</v>
      </c>
      <c r="I17" s="7"/>
    </row>
    <row r="18">
      <c r="A18" s="7"/>
      <c r="B18" s="1" t="s">
        <v>404</v>
      </c>
      <c r="C18" s="29">
        <f>Inputs!D353-Inputs!C353</f>
        <v>-329</v>
      </c>
      <c r="D18" s="29">
        <f>Inputs!E353-Inputs!D353</f>
        <v>-31</v>
      </c>
      <c r="E18" s="29">
        <f>Inputs!E353</f>
        <v>251</v>
      </c>
      <c r="F18" s="29">
        <f>Inputs!F353</f>
        <v>172</v>
      </c>
      <c r="G18" s="29">
        <f>Inputs!G353-Inputs!F353</f>
        <v>-885</v>
      </c>
      <c r="H18" s="32">
        <f>-('Balance Sheet'!H22-'Balance Sheet'!G22+'Balance Sheet'!H23-'Balance Sheet'!G23+'Balance Sheet'!H24-'Balance Sheet'!G24+'Balance Sheet'!H25-'Balance Sheet'!G25+'Balance Sheet'!H26-'Balance Sheet'!G26)</f>
        <v>0</v>
      </c>
      <c r="I18" s="7"/>
    </row>
    <row r="19">
      <c r="A19" s="7"/>
      <c r="B19" s="1" t="s">
        <v>405</v>
      </c>
      <c r="C19" s="29">
        <f>Inputs!D354-Inputs!C354</f>
        <v>180</v>
      </c>
      <c r="D19" s="29">
        <f>Inputs!E354-Inputs!D354</f>
        <v>-723</v>
      </c>
      <c r="E19" s="29">
        <f>Inputs!E354</f>
        <v>-896</v>
      </c>
      <c r="F19" s="29">
        <f>Inputs!F354</f>
        <v>-135</v>
      </c>
      <c r="G19" s="29">
        <f>Inputs!G354-Inputs!F354</f>
        <v>403</v>
      </c>
      <c r="H19" s="32">
        <f>'Balance Sheet'!H41-'Balance Sheet'!G41</f>
        <v>0</v>
      </c>
      <c r="I19" s="7"/>
    </row>
    <row r="20">
      <c r="A20" s="7"/>
      <c r="B20" s="1" t="s">
        <v>406</v>
      </c>
      <c r="C20" s="29">
        <f>Inputs!D355-Inputs!C355</f>
        <v>3</v>
      </c>
      <c r="D20" s="29">
        <f>Inputs!E355-Inputs!D355</f>
        <v>51</v>
      </c>
      <c r="E20" s="29">
        <f>Inputs!E355</f>
        <v>43</v>
      </c>
      <c r="F20" s="29">
        <f>Inputs!F355</f>
        <v>28</v>
      </c>
      <c r="G20" s="29">
        <f>Inputs!G355-Inputs!F355</f>
        <v>60</v>
      </c>
      <c r="H20" s="71">
        <v>0</v>
      </c>
      <c r="I20" s="7"/>
    </row>
    <row r="21">
      <c r="A21" s="7"/>
      <c r="B21" s="34" t="s">
        <v>407</v>
      </c>
      <c r="C21" s="35">
        <f>SUM(C9:C20)</f>
        <v>861</v>
      </c>
      <c r="D21" s="35">
        <f>SUM(D9:D20)</f>
        <v>-319</v>
      </c>
      <c r="E21" s="35">
        <f>SUM(E9:E20)</f>
        <v>2181</v>
      </c>
      <c r="F21" s="35">
        <f>SUM(F9:F20)</f>
        <v>867</v>
      </c>
      <c r="G21" s="35">
        <f>SUM(G9:G20)</f>
        <v>369</v>
      </c>
      <c r="H21" s="50">
        <f>SUM(H9:H20)</f>
        <v>715.5453779405254</v>
      </c>
      <c r="I21" s="7"/>
    </row>
    <row r="22">
      <c r="A22" s="7"/>
      <c r="B22" s="7"/>
      <c r="C22" s="7"/>
      <c r="D22" s="7"/>
      <c r="E22" s="7"/>
      <c r="F22" s="7"/>
      <c r="G22" s="7"/>
      <c r="H22" s="49"/>
      <c r="I22" s="7"/>
    </row>
    <row r="23">
      <c r="A23" s="7"/>
      <c r="B23" s="34" t="s">
        <v>408</v>
      </c>
      <c r="C23" s="9"/>
      <c r="D23" s="9"/>
      <c r="E23" s="9"/>
      <c r="F23" s="9"/>
      <c r="G23" s="9"/>
      <c r="H23" s="43"/>
      <c r="I23" s="7"/>
    </row>
    <row r="24">
      <c r="A24" s="7"/>
      <c r="B24" s="1" t="s">
        <v>409</v>
      </c>
      <c r="C24" s="29">
        <f>Inputs!D356-Inputs!C356</f>
        <v>211</v>
      </c>
      <c r="D24" s="29">
        <f>Inputs!E356-Inputs!D356</f>
        <v>185</v>
      </c>
      <c r="E24" s="29">
        <f>Inputs!E356</f>
        <v>684</v>
      </c>
      <c r="F24" s="29">
        <f>Inputs!F356</f>
        <v>193</v>
      </c>
      <c r="G24" s="29">
        <f>Inputs!G356-Inputs!F356</f>
        <v>186</v>
      </c>
      <c r="H24" s="32">
        <f>-('Balance Sheet'!H11-'Balance Sheet'!G11)</f>
        <v>0</v>
      </c>
      <c r="I24" s="7"/>
    </row>
    <row r="25">
      <c r="A25" s="7"/>
      <c r="B25" s="1" t="s">
        <v>410</v>
      </c>
      <c r="C25" s="29">
        <f>Inputs!D357-Inputs!C357</f>
        <v>624</v>
      </c>
      <c r="D25" s="29">
        <f>Inputs!E357-Inputs!D357</f>
        <v>94</v>
      </c>
      <c r="E25" s="29">
        <f>Inputs!E357</f>
        <v>1333</v>
      </c>
      <c r="F25" s="29">
        <f>Inputs!F357</f>
        <v>341</v>
      </c>
      <c r="G25" s="29">
        <f>Inputs!G357-Inputs!F357</f>
        <v>871</v>
      </c>
      <c r="H25" s="71">
        <v>0</v>
      </c>
      <c r="I25" s="7"/>
    </row>
    <row r="26">
      <c r="A26" s="7"/>
      <c r="B26" s="1" t="s">
        <v>411</v>
      </c>
      <c r="C26" s="29">
        <f>Inputs!D358-Inputs!C358</f>
        <v>1021</v>
      </c>
      <c r="D26" s="29">
        <f>Inputs!E358-Inputs!D358</f>
        <v>710</v>
      </c>
      <c r="E26" s="29">
        <f>Inputs!E358</f>
        <v>3289</v>
      </c>
      <c r="F26" s="29">
        <f>Inputs!F358</f>
        <v>827</v>
      </c>
      <c r="G26" s="29">
        <f>Inputs!G358-Inputs!F358</f>
        <v>827</v>
      </c>
      <c r="H26" s="71">
        <v>0</v>
      </c>
      <c r="I26" s="7"/>
    </row>
    <row r="27">
      <c r="A27" s="7"/>
      <c r="B27" s="1" t="s">
        <v>412</v>
      </c>
      <c r="C27" s="29">
        <f>Inputs!D359-Inputs!C359</f>
        <v>-1962</v>
      </c>
      <c r="D27" s="29">
        <f>Inputs!E359-Inputs!D359</f>
        <v>-1313</v>
      </c>
      <c r="E27" s="29">
        <f>Inputs!E359</f>
        <v>-7262</v>
      </c>
      <c r="F27" s="29">
        <f>Inputs!F359</f>
        <v>-1079</v>
      </c>
      <c r="G27" s="29">
        <f>Inputs!G359-Inputs!F359</f>
        <v>-1832</v>
      </c>
      <c r="H27" s="32">
        <f>-('Balance Sheet'!H12-'Balance Sheet'!G12)-H12</f>
        <v>0</v>
      </c>
      <c r="I27" s="7"/>
    </row>
    <row r="28">
      <c r="A28" s="7"/>
      <c r="B28" s="1" t="s">
        <v>413</v>
      </c>
      <c r="C28" s="29">
        <f>Inputs!D360-Inputs!C360</f>
        <v>1</v>
      </c>
      <c r="D28" s="29">
        <f>Inputs!E360-Inputs!D360</f>
        <v>1</v>
      </c>
      <c r="E28" s="29">
        <f>Inputs!E360</f>
        <v>5</v>
      </c>
      <c r="F28" s="29">
        <f>Inputs!F360</f>
        <v>6</v>
      </c>
      <c r="G28" s="29">
        <f>Inputs!G360-Inputs!F360</f>
        <v>1</v>
      </c>
      <c r="H28" s="71">
        <v>0</v>
      </c>
      <c r="I28" s="7"/>
    </row>
    <row r="29">
      <c r="A29" s="7"/>
      <c r="B29" s="1" t="s">
        <v>414</v>
      </c>
      <c r="C29" s="29">
        <f>Inputs!D361-Inputs!C361</f>
        <v>280</v>
      </c>
      <c r="D29" s="29">
        <f>Inputs!E361-Inputs!D361</f>
        <v>285</v>
      </c>
      <c r="E29" s="29">
        <f>Inputs!E361</f>
        <v>755</v>
      </c>
      <c r="F29" s="29">
        <f>Inputs!F361</f>
        <v>38</v>
      </c>
      <c r="G29" s="29">
        <f>Inputs!G361-Inputs!F361</f>
        <v>72</v>
      </c>
      <c r="H29" s="71">
        <v>0</v>
      </c>
      <c r="I29" s="7"/>
    </row>
    <row r="30">
      <c r="A30" s="7"/>
      <c r="B30" s="1" t="s">
        <v>415</v>
      </c>
      <c r="C30" s="29">
        <f>Inputs!D362-Inputs!C362</f>
        <v>-120</v>
      </c>
      <c r="D30" s="29">
        <f>Inputs!E362-Inputs!D362</f>
        <v>-63</v>
      </c>
      <c r="E30" s="29">
        <f>Inputs!E362</f>
        <v>-370</v>
      </c>
      <c r="F30" s="29">
        <f>Inputs!F362</f>
        <v>-76</v>
      </c>
      <c r="G30" s="29">
        <f>Inputs!G362-Inputs!F362</f>
        <v>-61</v>
      </c>
      <c r="H30" s="71">
        <v>0</v>
      </c>
      <c r="I30" s="7"/>
    </row>
    <row r="31">
      <c r="A31" s="7"/>
      <c r="B31" s="1" t="s">
        <v>416</v>
      </c>
      <c r="C31" s="29">
        <f>Inputs!D363-Inputs!C363</f>
        <v>330</v>
      </c>
      <c r="D31" s="29">
        <f>Inputs!E363-Inputs!D363</f>
        <v>277</v>
      </c>
      <c r="E31" s="29">
        <f>Inputs!E363</f>
        <v>333</v>
      </c>
      <c r="F31" s="29">
        <f>Inputs!F363</f>
        <v>-2364</v>
      </c>
      <c r="G31" s="29">
        <f>Inputs!G363-Inputs!F363</f>
        <v>-1369</v>
      </c>
      <c r="H31" s="32">
        <f>-('Balance Sheet'!H14-'Balance Sheet'!G14+'Income Statement'!H68)</f>
        <v>-901.4994838071291</v>
      </c>
      <c r="I31" s="7"/>
    </row>
    <row r="32">
      <c r="A32" s="7"/>
      <c r="B32" s="1" t="s">
        <v>417</v>
      </c>
      <c r="C32" s="29">
        <f>Inputs!D364-Inputs!C364</f>
        <v>-8</v>
      </c>
      <c r="D32" s="29">
        <f>Inputs!E364-Inputs!D364</f>
        <v>-3</v>
      </c>
      <c r="E32" s="29">
        <f>Inputs!E364</f>
        <v>-30</v>
      </c>
      <c r="F32" s="29">
        <f>Inputs!F364</f>
        <v>-4</v>
      </c>
      <c r="G32" s="29">
        <f>Inputs!G364-Inputs!F364</f>
        <v>-13</v>
      </c>
      <c r="H32" s="71">
        <v>0</v>
      </c>
      <c r="I32" s="7"/>
    </row>
    <row r="33">
      <c r="A33" s="7"/>
      <c r="B33" s="1" t="s">
        <v>418</v>
      </c>
      <c r="C33" s="29">
        <f>Inputs!D365-Inputs!C365</f>
        <v>-31</v>
      </c>
      <c r="D33" s="29">
        <f>Inputs!E365-Inputs!D365</f>
        <v>45</v>
      </c>
      <c r="E33" s="29">
        <f>Inputs!E365</f>
        <v>-155</v>
      </c>
      <c r="F33" s="29">
        <f>Inputs!F365</f>
        <v>-62</v>
      </c>
      <c r="G33" s="29">
        <f>Inputs!G365-Inputs!F365</f>
        <v>-62</v>
      </c>
      <c r="H33" s="32">
        <f>-H11-('Balance Sheet'!H21-'Balance Sheet'!G21)</f>
        <v>-25</v>
      </c>
      <c r="I33" s="7"/>
    </row>
    <row r="34">
      <c r="A34" s="7"/>
      <c r="B34" s="34" t="s">
        <v>419</v>
      </c>
      <c r="C34" s="35">
        <f>SUM(C24:C33)</f>
        <v>346</v>
      </c>
      <c r="D34" s="35">
        <f>SUM(D24:D33)</f>
        <v>218</v>
      </c>
      <c r="E34" s="35">
        <f>SUM(E24:E33)</f>
        <v>-1418</v>
      </c>
      <c r="F34" s="35">
        <f>SUM(F24:F33)</f>
        <v>-2180</v>
      </c>
      <c r="G34" s="35">
        <f>SUM(G24:G33)</f>
        <v>-1380</v>
      </c>
      <c r="H34" s="50">
        <f>SUM(H24:H33)</f>
        <v>-926.4994838071291</v>
      </c>
      <c r="I34" s="7"/>
    </row>
    <row r="35">
      <c r="A35" s="7"/>
      <c r="B35" s="7"/>
      <c r="C35" s="7"/>
      <c r="D35" s="7"/>
      <c r="E35" s="7"/>
      <c r="F35" s="7"/>
      <c r="G35" s="7"/>
      <c r="H35" s="49"/>
      <c r="I35" s="7"/>
    </row>
    <row r="36">
      <c r="A36" s="7"/>
      <c r="B36" s="34" t="s">
        <v>420</v>
      </c>
      <c r="C36" s="9"/>
      <c r="D36" s="9"/>
      <c r="E36" s="9"/>
      <c r="F36" s="9"/>
      <c r="G36" s="9"/>
      <c r="H36" s="43"/>
      <c r="I36" s="7"/>
    </row>
    <row r="37">
      <c r="A37" s="7"/>
      <c r="B37" s="1" t="s">
        <v>421</v>
      </c>
      <c r="C37" s="29">
        <f>Inputs!D366-Inputs!C366</f>
        <v>-585</v>
      </c>
      <c r="D37" s="29">
        <f>Inputs!E366-Inputs!D366</f>
        <v>794</v>
      </c>
      <c r="E37" s="29">
        <f>Inputs!E366</f>
        <v>3525</v>
      </c>
      <c r="F37" s="29">
        <f>Inputs!F366</f>
        <v>752</v>
      </c>
      <c r="G37" s="29">
        <f>Inputs!G366-Inputs!F366</f>
        <v>-1170</v>
      </c>
      <c r="H37" s="32">
        <f>'Balance Sheet'!H33-'Balance Sheet'!G33</f>
        <v>43.155999999988126</v>
      </c>
      <c r="I37" s="7"/>
    </row>
    <row r="38">
      <c r="A38" s="7"/>
      <c r="B38" s="1" t="s">
        <v>422</v>
      </c>
      <c r="C38" s="29">
        <f>Inputs!D367-Inputs!C367</f>
        <v>1300</v>
      </c>
      <c r="D38" s="29">
        <f>Inputs!E367-Inputs!D367</f>
        <v>-550</v>
      </c>
      <c r="E38" s="29">
        <f>Inputs!E367</f>
        <v>250</v>
      </c>
      <c r="F38" s="29">
        <f>Inputs!F367</f>
        <v>2450</v>
      </c>
      <c r="G38" s="29">
        <f>Inputs!G367-Inputs!F367</f>
        <v>-200</v>
      </c>
      <c r="H38" s="32">
        <f>('Balance Sheet'!H38+'Balance Sheet'!H39)-('Balance Sheet'!G38+'Balance Sheet'!G39)</f>
        <v>0</v>
      </c>
      <c r="I38" s="7"/>
    </row>
    <row r="39">
      <c r="A39" s="7"/>
      <c r="B39" s="1" t="s">
        <v>423</v>
      </c>
      <c r="C39" s="29">
        <f>Inputs!D368-Inputs!C368</f>
        <v>0</v>
      </c>
      <c r="D39" s="29">
        <f>Inputs!E368-Inputs!D368</f>
        <v>0</v>
      </c>
      <c r="E39" s="29">
        <f>Inputs!E368</f>
        <v>0</v>
      </c>
      <c r="F39" s="29">
        <f>Inputs!F368</f>
        <v>0</v>
      </c>
      <c r="G39" s="29">
        <f>Inputs!G368-Inputs!F368</f>
        <v>1499</v>
      </c>
      <c r="H39" s="32">
        <f>'Balance Sheet'!H40-'Balance Sheet'!G40</f>
        <v>0</v>
      </c>
      <c r="I39" s="7"/>
    </row>
    <row r="40">
      <c r="A40" s="7"/>
      <c r="B40" s="1" t="s">
        <v>424</v>
      </c>
      <c r="C40" s="29">
        <f>Inputs!D369-Inputs!C369</f>
        <v>-500</v>
      </c>
      <c r="D40" s="29">
        <f>Inputs!E369-Inputs!D369</f>
        <v>-650</v>
      </c>
      <c r="E40" s="29">
        <f>Inputs!E369</f>
        <v>-1900</v>
      </c>
      <c r="F40" s="29">
        <f>Inputs!F369</f>
        <v>-1000</v>
      </c>
      <c r="G40" s="29">
        <f>Inputs!G369-Inputs!F369</f>
        <v>0</v>
      </c>
      <c r="H40" s="71">
        <v>0</v>
      </c>
      <c r="I40" s="7"/>
    </row>
    <row r="41" ht="54">
      <c r="A41" s="7"/>
      <c r="B41" s="1" t="s">
        <v>425</v>
      </c>
      <c r="C41" s="29">
        <f>Inputs!D370-Inputs!C370</f>
        <v>-224</v>
      </c>
      <c r="D41" s="29">
        <f>Inputs!E370-Inputs!D370</f>
        <v>-235</v>
      </c>
      <c r="E41" s="29">
        <f>Inputs!E370</f>
        <v>-912</v>
      </c>
      <c r="F41" s="29">
        <f>Inputs!F370</f>
        <v>-230</v>
      </c>
      <c r="G41" s="29">
        <f>Inputs!G370-Inputs!F370</f>
        <v>-228</v>
      </c>
      <c r="H41" s="32">
        <f>-'Share Count'!H39</f>
        <v>-255.14142857142855</v>
      </c>
      <c r="I41" s="138" t="s">
        <v>426</v>
      </c>
    </row>
    <row r="42">
      <c r="A42" s="7"/>
      <c r="B42" s="1" t="s">
        <v>427</v>
      </c>
      <c r="C42" s="29">
        <f>Inputs!D371-Inputs!C371</f>
        <v>-21</v>
      </c>
      <c r="D42" s="29">
        <f>Inputs!E371-Inputs!D371</f>
        <v>-20</v>
      </c>
      <c r="E42" s="29">
        <f>Inputs!E371</f>
        <v>-91</v>
      </c>
      <c r="F42" s="29">
        <f>Inputs!F371</f>
        <v>-20</v>
      </c>
      <c r="G42" s="29">
        <f>Inputs!G371-Inputs!F371</f>
        <v>-21</v>
      </c>
      <c r="H42" s="32">
        <f>-'Income Statement'!H254</f>
        <v>-21</v>
      </c>
      <c r="I42" s="7"/>
    </row>
    <row r="43">
      <c r="A43" s="7"/>
      <c r="B43" s="1" t="s">
        <v>428</v>
      </c>
      <c r="C43" s="29">
        <f>Inputs!D372-Inputs!C372</f>
        <v>0</v>
      </c>
      <c r="D43" s="29">
        <f>Inputs!E372-Inputs!D372</f>
        <v>0</v>
      </c>
      <c r="E43" s="29">
        <f>Inputs!E372</f>
        <v>-350</v>
      </c>
      <c r="F43" s="29">
        <f>Inputs!F372</f>
        <v>0</v>
      </c>
      <c r="G43" s="29">
        <f>Inputs!G372-Inputs!F372</f>
        <v>0</v>
      </c>
      <c r="H43" s="71">
        <v>0</v>
      </c>
      <c r="I43" s="7"/>
    </row>
    <row r="44">
      <c r="A44" s="7"/>
      <c r="B44" s="1" t="s">
        <v>429</v>
      </c>
      <c r="C44" s="29">
        <f>Inputs!D373-Inputs!C373</f>
        <v>-251</v>
      </c>
      <c r="D44" s="29">
        <f>Inputs!E373-Inputs!D373</f>
        <v>-430</v>
      </c>
      <c r="E44" s="29">
        <f>Inputs!E373</f>
        <v>-1067</v>
      </c>
      <c r="F44" s="29">
        <f>Inputs!F373</f>
        <v>-401</v>
      </c>
      <c r="G44" s="29">
        <f>Inputs!G373-Inputs!F373</f>
        <v>-59</v>
      </c>
      <c r="H44" s="32">
        <f>-'Share Count'!H29</f>
        <v>-150</v>
      </c>
      <c r="I44" s="7"/>
    </row>
    <row r="45">
      <c r="A45" s="7"/>
      <c r="B45" s="1" t="s">
        <v>430</v>
      </c>
      <c r="C45" s="29">
        <f>Inputs!D374-Inputs!C374</f>
        <v>-2</v>
      </c>
      <c r="D45" s="29">
        <f>Inputs!E374-Inputs!D374</f>
        <v>0</v>
      </c>
      <c r="E45" s="29">
        <f>Inputs!E374</f>
        <v>-23</v>
      </c>
      <c r="F45" s="29">
        <f>Inputs!F374</f>
        <v>-2</v>
      </c>
      <c r="G45" s="29">
        <f>Inputs!G374-Inputs!F374</f>
        <v>-23</v>
      </c>
      <c r="H45" s="71">
        <v>0</v>
      </c>
      <c r="I45" s="7"/>
    </row>
    <row r="46">
      <c r="A46" s="7"/>
      <c r="B46" s="1" t="s">
        <v>431</v>
      </c>
      <c r="C46" s="29">
        <f>Inputs!D375-Inputs!C375</f>
        <v>0</v>
      </c>
      <c r="D46" s="29">
        <f>Inputs!E375-Inputs!D375</f>
        <v>0</v>
      </c>
      <c r="E46" s="29">
        <f>Inputs!E375</f>
        <v>0</v>
      </c>
      <c r="F46" s="29">
        <f>Inputs!F375</f>
        <v>0</v>
      </c>
      <c r="G46" s="29">
        <f>Inputs!G375-Inputs!F375</f>
        <v>-4</v>
      </c>
      <c r="H46" s="71">
        <v>0</v>
      </c>
      <c r="I46" s="7"/>
    </row>
    <row r="47">
      <c r="A47" s="7"/>
      <c r="B47" s="34" t="s">
        <v>432</v>
      </c>
      <c r="C47" s="35">
        <f>SUM(C37:C46)</f>
        <v>-283</v>
      </c>
      <c r="D47" s="35">
        <f>SUM(D37:D46)</f>
        <v>-1091</v>
      </c>
      <c r="E47" s="35">
        <f>SUM(E37:E46)</f>
        <v>-568</v>
      </c>
      <c r="F47" s="35">
        <f>SUM(F37:F46)</f>
        <v>1549</v>
      </c>
      <c r="G47" s="35">
        <f>SUM(G37:G46)</f>
        <v>-206</v>
      </c>
      <c r="H47" s="50">
        <f>SUM(H37:H46)</f>
        <v>-382.9854285714404</v>
      </c>
      <c r="I47" s="7"/>
    </row>
    <row r="48">
      <c r="A48" s="7"/>
      <c r="B48" s="7"/>
      <c r="C48" s="7"/>
      <c r="D48" s="7"/>
      <c r="E48" s="7"/>
      <c r="F48" s="7"/>
      <c r="G48" s="7"/>
      <c r="H48" s="49"/>
      <c r="I48" s="7"/>
    </row>
    <row r="49">
      <c r="A49" s="7"/>
      <c r="B49" s="34" t="s">
        <v>433</v>
      </c>
      <c r="C49" s="35">
        <f>C21+C34+C47</f>
        <v>924</v>
      </c>
      <c r="D49" s="35">
        <f>D21+D34+D47</f>
        <v>-1192</v>
      </c>
      <c r="E49" s="35">
        <f>E21+E34+E47</f>
        <v>195</v>
      </c>
      <c r="F49" s="35">
        <f>F21+F34+F47</f>
        <v>236</v>
      </c>
      <c r="G49" s="35">
        <f>G21+G34+G47</f>
        <v>-1217</v>
      </c>
      <c r="H49" s="50">
        <f>H21+H34+H47</f>
        <v>-593.9395344380441</v>
      </c>
      <c r="I49" s="7"/>
    </row>
    <row r="50">
      <c r="A50" s="7"/>
      <c r="B50" s="1" t="s">
        <v>434</v>
      </c>
      <c r="C50" s="29">
        <f>Inputs!C381</f>
        <v>11175</v>
      </c>
      <c r="D50" s="29">
        <f>'Balance Sheet'!C9+'Balance Sheet'!C10</f>
        <v>12099</v>
      </c>
      <c r="E50" s="29">
        <f>Inputs!C382</f>
        <v>10712</v>
      </c>
      <c r="F50" s="29">
        <f>'Balance Sheet'!D9+'Balance Sheet'!D10</f>
        <v>10907</v>
      </c>
      <c r="G50" s="29">
        <f>'Balance Sheet'!F9+'Balance Sheet'!F10</f>
        <v>11143</v>
      </c>
      <c r="H50" s="32">
        <f>'Balance Sheet'!G9+'Balance Sheet'!G10</f>
        <v>9926</v>
      </c>
      <c r="I50" s="7"/>
    </row>
    <row r="51">
      <c r="A51" s="7"/>
      <c r="B51" s="34" t="s">
        <v>435</v>
      </c>
      <c r="C51" s="35">
        <f>C50+C49</f>
        <v>12099</v>
      </c>
      <c r="D51" s="35">
        <f>D50+D49</f>
        <v>10907</v>
      </c>
      <c r="E51" s="35">
        <f>E50+E49</f>
        <v>10907</v>
      </c>
      <c r="F51" s="35">
        <f>F50+F49</f>
        <v>11143</v>
      </c>
      <c r="G51" s="35">
        <f>G50+G49</f>
        <v>9926</v>
      </c>
      <c r="H51" s="50">
        <f>H50+H49</f>
        <v>9332.060465561955</v>
      </c>
      <c r="I51" s="7"/>
    </row>
    <row r="52">
      <c r="A52" s="7"/>
      <c r="B52" s="1" t="s">
        <v>436</v>
      </c>
      <c r="C52" s="29">
        <f>'Balance Sheet'!C9+'Balance Sheet'!C10</f>
        <v>12099</v>
      </c>
      <c r="D52" s="29">
        <f>'Balance Sheet'!D9+'Balance Sheet'!D10</f>
        <v>10907</v>
      </c>
      <c r="E52" s="29">
        <f>'Balance Sheet'!E9+'Balance Sheet'!E10</f>
        <v>10907</v>
      </c>
      <c r="F52" s="29">
        <f>'Balance Sheet'!F9+'Balance Sheet'!F10</f>
        <v>11143</v>
      </c>
      <c r="G52" s="29">
        <f>'Balance Sheet'!G9+'Balance Sheet'!G10</f>
        <v>9926</v>
      </c>
      <c r="H52" s="32">
        <f>'Balance Sheet'!H9+'Balance Sheet'!H10</f>
        <v>9332.060465561955</v>
      </c>
      <c r="I52" s="7"/>
    </row>
    <row r="53" ht="28.5">
      <c r="A53" s="7"/>
      <c r="B53" s="28" t="s">
        <v>437</v>
      </c>
      <c r="C53" s="2">
        <f>C51-C52</f>
        <v>0</v>
      </c>
      <c r="D53" s="2">
        <f>D51-D52</f>
        <v>0</v>
      </c>
      <c r="E53" s="2">
        <f>E51-E52</f>
        <v>0</v>
      </c>
      <c r="F53" s="2">
        <f>F51-F52</f>
        <v>0</v>
      </c>
      <c r="G53" s="2">
        <f>G51-G52</f>
        <v>0</v>
      </c>
      <c r="H53" s="51">
        <f>H51-H52</f>
        <v>0</v>
      </c>
      <c r="I53" s="138" t="s">
        <v>438</v>
      </c>
    </row>
    <row r="54">
      <c r="A54" s="7"/>
      <c r="B54" s="28" t="s">
        <v>439</v>
      </c>
      <c r="C54" s="30">
        <f>ABS(C9-(Inputs!D344-Inputs!C344))+ABS(C10-(Inputs!D345-Inputs!C345))+ABS(C12-(Inputs!D347-Inputs!C347))</f>
        <v>0</v>
      </c>
      <c r="D54" s="30">
        <f>ABS(D9-(Inputs!E344-Inputs!D344))+ABS(D10-(Inputs!E345-Inputs!D345))+ABS(D12-(Inputs!E347-Inputs!D347))</f>
        <v>0</v>
      </c>
      <c r="E54" s="30">
        <f>ABS(E9-(Inputs!E344))+ABS(E10-(Inputs!E345))+ABS(E12-(Inputs!E347))</f>
        <v>0</v>
      </c>
      <c r="F54" s="30">
        <f>ABS(F9-(Inputs!F344))+ABS(F10-(Inputs!F345))+ABS(F12-(Inputs!F347))</f>
        <v>0</v>
      </c>
      <c r="G54" s="30">
        <f>ABS(G9-(Inputs!G344-Inputs!F344))+ABS(G10-(Inputs!G345-Inputs!F345))+ABS(G12-(Inputs!G347-Inputs!F347))</f>
        <v>0</v>
      </c>
      <c r="H54" s="51"/>
      <c r="I54" s="7"/>
    </row>
    <row r="55">
      <c r="A55" s="7"/>
      <c r="B55" s="28" t="s">
        <v>440</v>
      </c>
      <c r="C55" s="2"/>
      <c r="D55" s="2"/>
      <c r="E55" s="30">
        <f>(E21-Inputs!E376)+(E34-Inputs!E377)+(E47-Inputs!E378)</f>
        <v>0</v>
      </c>
      <c r="F55" s="2"/>
      <c r="G55" s="2"/>
      <c r="H55" s="51"/>
      <c r="I55" s="7"/>
    </row>
    <row r="56">
      <c r="A56" s="7"/>
      <c r="B56" s="7"/>
      <c r="C56" s="7"/>
      <c r="D56" s="7"/>
      <c r="E56" s="7"/>
      <c r="F56" s="7"/>
      <c r="G56" s="7"/>
      <c r="H56" s="49"/>
      <c r="I56" s="7"/>
    </row>
    <row r="57">
      <c r="A57" s="7"/>
      <c r="B57" s="34" t="s">
        <v>441</v>
      </c>
      <c r="C57" s="9"/>
      <c r="D57" s="9"/>
      <c r="E57" s="9"/>
      <c r="F57" s="9"/>
      <c r="G57" s="9"/>
      <c r="H57" s="43"/>
      <c r="I57" s="7"/>
    </row>
    <row r="58" ht="28.5">
      <c r="A58" s="7"/>
      <c r="B58" s="8" t="s">
        <v>442</v>
      </c>
      <c r="C58" s="12">
        <f>C21</f>
        <v>861</v>
      </c>
      <c r="D58" s="12">
        <f>D21</f>
        <v>-319</v>
      </c>
      <c r="E58" s="12">
        <f>E21</f>
        <v>2181</v>
      </c>
      <c r="F58" s="12">
        <f>F21</f>
        <v>867</v>
      </c>
      <c r="G58" s="12">
        <f>G21</f>
        <v>369</v>
      </c>
      <c r="H58" s="42">
        <f>H21</f>
        <v>715.5453779405254</v>
      </c>
      <c r="I58" s="138" t="s">
        <v>443</v>
      </c>
    </row>
    <row r="59" ht="28.5">
      <c r="A59" s="7"/>
      <c r="B59" s="1" t="s">
        <v>444</v>
      </c>
      <c r="C59" s="12">
        <f>C33</f>
        <v>-31</v>
      </c>
      <c r="D59" s="12">
        <f>D33</f>
        <v>45</v>
      </c>
      <c r="E59" s="12">
        <f>E33</f>
        <v>-155</v>
      </c>
      <c r="F59" s="12">
        <f>F33</f>
        <v>-62</v>
      </c>
      <c r="G59" s="12">
        <f>G33</f>
        <v>-62</v>
      </c>
      <c r="H59" s="42">
        <f>H33</f>
        <v>-25</v>
      </c>
      <c r="I59" s="138" t="s">
        <v>445</v>
      </c>
    </row>
    <row r="60" ht="28.5">
      <c r="A60" s="7"/>
      <c r="B60" s="107" t="s">
        <v>446</v>
      </c>
      <c r="C60" s="106" t="s">
        <v>447</v>
      </c>
      <c r="D60" s="106" t="s">
        <v>447</v>
      </c>
      <c r="E60" s="106" t="s">
        <v>447</v>
      </c>
      <c r="F60" s="106" t="s">
        <v>447</v>
      </c>
      <c r="G60" s="106" t="s">
        <v>447</v>
      </c>
      <c r="H60" s="106" t="s">
        <v>447</v>
      </c>
      <c r="I60" s="138" t="s">
        <v>448</v>
      </c>
    </row>
    <row r="61">
      <c r="A61" s="7"/>
      <c r="B61" s="7"/>
      <c r="C61" s="7"/>
      <c r="D61" s="7"/>
      <c r="E61" s="7"/>
      <c r="F61" s="7"/>
      <c r="G61" s="7"/>
      <c r="H61" s="7"/>
      <c r="I61" s="7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60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</row>
    <row r="2">
      <c r="A2" s="7"/>
      <c r="B2" s="18" t="s">
        <v>449</v>
      </c>
      <c r="C2" s="7"/>
      <c r="D2" s="7"/>
      <c r="E2" s="7"/>
      <c r="F2" s="7"/>
      <c r="G2" s="7"/>
      <c r="H2" s="7"/>
      <c r="I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</row>
    <row r="4">
      <c r="A4" s="7"/>
      <c r="B4" s="27" t="s">
        <v>3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4</v>
      </c>
      <c r="I4" s="116" t="s">
        <v>5</v>
      </c>
    </row>
    <row r="5">
      <c r="A5" s="7"/>
      <c r="B5" s="55" t="s">
        <v>6</v>
      </c>
      <c r="C5" s="6">
        <v>45930</v>
      </c>
      <c r="D5" s="6">
        <v>46022</v>
      </c>
      <c r="E5" s="6">
        <v>46022</v>
      </c>
      <c r="F5" s="6">
        <v>46112</v>
      </c>
      <c r="G5" s="6">
        <v>46203</v>
      </c>
      <c r="H5" s="6">
        <v>46295</v>
      </c>
      <c r="I5" s="6"/>
    </row>
    <row r="6">
      <c r="A6" s="7"/>
      <c r="B6" s="21" t="s">
        <v>7</v>
      </c>
      <c r="C6" s="17">
        <v>92</v>
      </c>
      <c r="D6" s="17">
        <v>92</v>
      </c>
      <c r="E6" s="17">
        <v>365</v>
      </c>
      <c r="F6" s="17">
        <v>90</v>
      </c>
      <c r="G6" s="17">
        <v>91</v>
      </c>
      <c r="H6" s="17">
        <v>92</v>
      </c>
      <c r="I6" s="17"/>
    </row>
    <row r="7">
      <c r="A7" s="7"/>
      <c r="B7" s="7"/>
      <c r="C7" s="7"/>
      <c r="D7" s="7"/>
      <c r="E7" s="7"/>
      <c r="F7" s="7"/>
      <c r="G7" s="7"/>
      <c r="H7" s="49"/>
      <c r="I7" s="7"/>
    </row>
    <row r="8">
      <c r="A8" s="7"/>
      <c r="B8" s="34" t="s">
        <v>450</v>
      </c>
      <c r="C8" s="9"/>
      <c r="D8" s="9"/>
      <c r="E8" s="9"/>
      <c r="F8" s="9"/>
      <c r="G8" s="9"/>
      <c r="H8" s="43"/>
      <c r="I8" s="7"/>
    </row>
    <row r="9">
      <c r="A9" s="7"/>
      <c r="B9" s="8" t="s">
        <v>451</v>
      </c>
      <c r="C9" s="31">
        <v>890</v>
      </c>
      <c r="D9" s="31">
        <v>875</v>
      </c>
      <c r="E9" s="31">
        <v>892</v>
      </c>
      <c r="F9" s="31">
        <v>863</v>
      </c>
      <c r="G9" s="31">
        <v>854</v>
      </c>
      <c r="H9" s="42">
        <f>H20-H21*H35+H22*H35</f>
        <v>850.4714285714285</v>
      </c>
      <c r="I9" s="39" t="s">
        <v>452</v>
      </c>
    </row>
    <row r="10">
      <c r="A10" s="7"/>
      <c r="B10" s="44" t="s">
        <v>66</v>
      </c>
      <c r="C10" s="41">
        <f>IF(ISNUMBER(Inputs!C335),IF(AND(Inputs!C335&gt;0,C9&gt;=0),C9/Inputs!C335-1,"n.m."),"n.a.")</f>
        <v>-0.026258205689277947</v>
      </c>
      <c r="D10" s="41">
        <f>IF(ISNUMBER(Inputs!D335),IF(AND(Inputs!D335&gt;0,D9&gt;=0),D9/Inputs!D335-1,"n.m."),"n.a.")</f>
        <v>-0.03951701427003296</v>
      </c>
      <c r="E10" s="41">
        <f>IF(ISNUMBER(Inputs!E335),IF(AND(Inputs!E335&gt;0,E9&gt;=0),E9/Inputs!E335-1,"n.m."),"n.a.")</f>
        <v>-0.026200873362445365</v>
      </c>
      <c r="F10" s="41">
        <f>IF(ISNUMBER(Inputs!F335),IF(AND(Inputs!F335&gt;0,F9&gt;=0),F9/Inputs!F335-1,"n.m."),"n.a.")</f>
        <v>-0.047461368653421654</v>
      </c>
      <c r="G10" s="41">
        <f>IF(ISNUMBER(Inputs!G335),IF(AND(Inputs!G335&gt;0,G9&gt;=0),G9/Inputs!G335-1,"n.m."),"n.a.")</f>
        <v>-0.04899777282850781</v>
      </c>
      <c r="H10" s="40">
        <f>IF(ISNUMBER(C9),IF(AND(C9&gt;0,H9&gt;=0),H9/C9-1,"n.m."),"n.a.")</f>
        <v>-0.04441412520064214</v>
      </c>
      <c r="I10" s="7"/>
    </row>
    <row r="11">
      <c r="A11" s="7"/>
      <c r="B11" s="48" t="s">
        <v>453</v>
      </c>
      <c r="C11" s="29">
        <f>IF(ISNUMBER(Inputs!G335),C9-Inputs!G335,"n.a.")</f>
        <v>-8</v>
      </c>
      <c r="D11" s="12">
        <f>IF(ISNUMBER(C9),D9-C9,"n.a.")</f>
        <v>-15</v>
      </c>
      <c r="E11" s="12"/>
      <c r="F11" s="12">
        <f>IF(ISNUMBER(D9),F9-D9,"n.a.")</f>
        <v>-12</v>
      </c>
      <c r="G11" s="12">
        <f>IF(ISNUMBER(F9),G9-F9,"n.a.")</f>
        <v>-9</v>
      </c>
      <c r="H11" s="42">
        <f>IF(ISNUMBER(G9),H9-G9,"n.a.")</f>
        <v>-3.5285714285714675</v>
      </c>
      <c r="I11" s="7"/>
    </row>
    <row r="12">
      <c r="A12" s="7"/>
      <c r="B12" s="1" t="s">
        <v>454</v>
      </c>
      <c r="C12" s="12">
        <f>C15-C9</f>
        <v>4</v>
      </c>
      <c r="D12" s="12">
        <f>D15-D9</f>
        <v>5</v>
      </c>
      <c r="E12" s="12">
        <f>E15-E9</f>
        <v>4</v>
      </c>
      <c r="F12" s="12">
        <f>F15-F9</f>
        <v>5</v>
      </c>
      <c r="G12" s="12">
        <f>G15-G9</f>
        <v>3</v>
      </c>
      <c r="H12" s="71">
        <v>4</v>
      </c>
      <c r="I12" s="7"/>
    </row>
    <row r="13" ht="41.25">
      <c r="A13" s="7"/>
      <c r="B13" s="44" t="s">
        <v>66</v>
      </c>
      <c r="C13" s="41">
        <f>IF(ISNUMBER(Inputs!C336),IF(AND(Inputs!C336&gt;0,C12&gt;=0),C12/Inputs!C336-1,"n.m."),"n.a.")</f>
        <v>0</v>
      </c>
      <c r="D13" s="41">
        <f>IF(ISNUMBER(Inputs!D336),IF(AND(Inputs!D336&gt;0,D12&gt;=0),D12/Inputs!D336-1,"n.m."),"n.a.")</f>
        <v>0.25</v>
      </c>
      <c r="E13" s="41">
        <f>IF(ISNUMBER(Inputs!E336),IF(AND(Inputs!E336&gt;0,E12&gt;=0),E12/Inputs!E336-1,"n.m."),"n.a.")</f>
        <v>1</v>
      </c>
      <c r="F13" s="41">
        <f>IF(ISNUMBER(Inputs!F336),IF(AND(Inputs!F336&gt;0,F12&gt;=0),F12/Inputs!F336-1,"n.m."),"n.a.")</f>
        <v>0.25</v>
      </c>
      <c r="G13" s="41">
        <f>IF(ISNUMBER(Inputs!G336),IF(AND(Inputs!G336&gt;0,G12&gt;=0),G12/Inputs!G336-1,"n.m."),"n.a.")</f>
        <v>0.5</v>
      </c>
      <c r="H13" s="40">
        <f>IF(ISNUMBER(C12),IF(AND(C12&gt;0,H12&gt;=0),H12/C12-1,"n.m."),"n.a.")</f>
        <v>0</v>
      </c>
      <c r="I13" s="142" t="s">
        <v>455</v>
      </c>
    </row>
    <row r="14">
      <c r="A14" s="7"/>
      <c r="B14" s="48" t="s">
        <v>453</v>
      </c>
      <c r="C14" s="29">
        <f>IF(ISNUMBER(Inputs!G336),C12-Inputs!G336,"n.a.")</f>
        <v>2</v>
      </c>
      <c r="D14" s="12">
        <f>IF(ISNUMBER(C12),D12-C12,"n.a.")</f>
        <v>1</v>
      </c>
      <c r="E14" s="12"/>
      <c r="F14" s="12">
        <f>IF(ISNUMBER(D12),F12-D12,"n.a.")</f>
        <v>0</v>
      </c>
      <c r="G14" s="12">
        <f>IF(ISNUMBER(F12),G12-F12,"n.a.")</f>
        <v>-2</v>
      </c>
      <c r="H14" s="42">
        <f>IF(ISNUMBER(G12),H12-G12,"n.a.")</f>
        <v>1</v>
      </c>
      <c r="I14" s="7"/>
    </row>
    <row r="15">
      <c r="A15" s="7"/>
      <c r="B15" s="34" t="s">
        <v>456</v>
      </c>
      <c r="C15" s="72">
        <v>894</v>
      </c>
      <c r="D15" s="72">
        <v>880</v>
      </c>
      <c r="E15" s="72">
        <v>896</v>
      </c>
      <c r="F15" s="72">
        <v>868</v>
      </c>
      <c r="G15" s="72">
        <v>857</v>
      </c>
      <c r="H15" s="50">
        <f>H9+H12</f>
        <v>854.4714285714285</v>
      </c>
      <c r="I15" s="39" t="s">
        <v>452</v>
      </c>
    </row>
    <row r="16">
      <c r="A16" s="7"/>
      <c r="B16" s="44" t="s">
        <v>66</v>
      </c>
      <c r="C16" s="41">
        <f>IF(ISNUMBER(Inputs!C337),IF(AND(Inputs!C337&gt;0,C15&gt;=0),C15/Inputs!C337-1,"n.m."),"n.a.")</f>
        <v>-0.02614379084967322</v>
      </c>
      <c r="D16" s="41">
        <f>IF(ISNUMBER(Inputs!D337),IF(AND(Inputs!D337&gt;0,D15&gt;=0),D15/Inputs!D337-1,"n.m."),"n.a.")</f>
        <v>-0.03825136612021862</v>
      </c>
      <c r="E16" s="41">
        <f>IF(ISNUMBER(Inputs!E337),IF(AND(Inputs!E337&gt;0,E15&gt;=0),E15/Inputs!E337-1,"n.m."),"n.a.")</f>
        <v>-0.023965141612200425</v>
      </c>
      <c r="F16" s="41">
        <f>IF(ISNUMBER(Inputs!F337),IF(AND(Inputs!F337&gt;0,F15&gt;=0),F15/Inputs!F337-1,"n.m."),"n.a.")</f>
        <v>-0.0461538461538461</v>
      </c>
      <c r="G16" s="41">
        <f>IF(ISNUMBER(Inputs!G337),IF(AND(Inputs!G337&gt;0,G15&gt;=0),G15/Inputs!G337-1,"n.m."),"n.a.")</f>
        <v>-0.04777777777777781</v>
      </c>
      <c r="H16" s="40">
        <f>IF(ISNUMBER(C15),IF(AND(C15&gt;0,H15&gt;=0),H15/C15-1,"n.m."),"n.a.")</f>
        <v>-0.04421540428251847</v>
      </c>
      <c r="I16" s="7"/>
    </row>
    <row r="17">
      <c r="A17" s="7"/>
      <c r="B17" s="48" t="s">
        <v>453</v>
      </c>
      <c r="C17" s="29">
        <f>IF(ISNUMBER(Inputs!G337),C15-Inputs!G337,"n.a.")</f>
        <v>-6</v>
      </c>
      <c r="D17" s="12">
        <f>IF(ISNUMBER(C15),D15-C15,"n.a.")</f>
        <v>-14</v>
      </c>
      <c r="E17" s="12"/>
      <c r="F17" s="12">
        <f>IF(ISNUMBER(D15),F15-D15,"n.a.")</f>
        <v>-12</v>
      </c>
      <c r="G17" s="12">
        <f>IF(ISNUMBER(F15),G15-F15,"n.a.")</f>
        <v>-11</v>
      </c>
      <c r="H17" s="42">
        <f>IF(ISNUMBER(G15),H15-G15,"n.a.")</f>
        <v>-2.5285714285714675</v>
      </c>
      <c r="I17" s="7"/>
    </row>
    <row r="18">
      <c r="A18" s="7"/>
      <c r="B18" s="7"/>
      <c r="C18" s="7"/>
      <c r="D18" s="7"/>
      <c r="E18" s="7"/>
      <c r="F18" s="7"/>
      <c r="G18" s="7"/>
      <c r="H18" s="49"/>
      <c r="I18" s="7"/>
    </row>
    <row r="19">
      <c r="A19" s="7"/>
      <c r="B19" s="34" t="s">
        <v>457</v>
      </c>
      <c r="C19" s="9"/>
      <c r="D19" s="9"/>
      <c r="E19" s="9"/>
      <c r="F19" s="9"/>
      <c r="G19" s="9"/>
      <c r="H19" s="43"/>
      <c r="I19" s="7"/>
    </row>
    <row r="20">
      <c r="A20" s="7"/>
      <c r="B20" s="1" t="s">
        <v>458</v>
      </c>
      <c r="C20" s="29">
        <f>Inputs!G338</f>
        <v>894</v>
      </c>
      <c r="D20" s="12">
        <f>C23</f>
        <v>885</v>
      </c>
      <c r="E20" s="29">
        <f>Inputs!E338</f>
        <v>909</v>
      </c>
      <c r="F20" s="12">
        <f>D23</f>
        <v>868</v>
      </c>
      <c r="G20" s="12">
        <f>F23</f>
        <v>854</v>
      </c>
      <c r="H20" s="42">
        <f>G23</f>
        <v>853</v>
      </c>
      <c r="I20" s="7"/>
    </row>
    <row r="21">
      <c r="A21" s="7"/>
      <c r="B21" s="1" t="s">
        <v>459</v>
      </c>
      <c r="C21" s="12" t="str">
        <f>"n.a."</f>
        <v>n.a.</v>
      </c>
      <c r="D21" s="12" t="str">
        <f>"n.a."</f>
        <v>n.a.</v>
      </c>
      <c r="E21" s="12" t="str">
        <f>"n.a."</f>
        <v>n.a.</v>
      </c>
      <c r="F21" s="31">
        <v>14</v>
      </c>
      <c r="G21" s="31">
        <v>2</v>
      </c>
      <c r="H21" s="42">
        <f>H29/H32</f>
        <v>5.357142857142857</v>
      </c>
      <c r="I21" s="7"/>
    </row>
    <row r="22">
      <c r="A22" s="7"/>
      <c r="B22" s="1" t="s">
        <v>460</v>
      </c>
      <c r="C22" s="12" t="str">
        <f>"n.a."</f>
        <v>n.a.</v>
      </c>
      <c r="D22" s="12" t="str">
        <f>"n.a."</f>
        <v>n.a.</v>
      </c>
      <c r="E22" s="12" t="str">
        <f>"n.a."</f>
        <v>n.a.</v>
      </c>
      <c r="F22" s="12">
        <f>F23-F20+F21</f>
        <v>0</v>
      </c>
      <c r="G22" s="12">
        <f>G23-G20+G21</f>
        <v>1</v>
      </c>
      <c r="H22" s="71">
        <v>0.3</v>
      </c>
      <c r="I22" s="7"/>
    </row>
    <row r="23">
      <c r="A23" s="7"/>
      <c r="B23" s="34" t="s">
        <v>461</v>
      </c>
      <c r="C23" s="72">
        <v>885</v>
      </c>
      <c r="D23" s="72">
        <v>868</v>
      </c>
      <c r="E23" s="72">
        <v>868</v>
      </c>
      <c r="F23" s="72">
        <v>854</v>
      </c>
      <c r="G23" s="72">
        <v>853</v>
      </c>
      <c r="H23" s="50">
        <f>H20-H21+H22</f>
        <v>847.9428571428571</v>
      </c>
      <c r="I23" s="39" t="s">
        <v>452</v>
      </c>
    </row>
    <row r="24">
      <c r="A24" s="7"/>
      <c r="B24" s="44" t="s">
        <v>66</v>
      </c>
      <c r="C24" s="41" t="str">
        <f>IF(ISNUMBER(Inputs!C338),IF(AND(Inputs!C338&gt;0,C23&gt;=0),C23/Inputs!C338-1,"n.m."),"n.a.")</f>
        <v>n.a.</v>
      </c>
      <c r="D24" s="41">
        <f>IF(ISNUMBER(Inputs!D338),IF(AND(Inputs!D338&gt;0,D23&gt;=0),D23/Inputs!D338-1,"n.m."),"n.a.")</f>
        <v>-0.04510451045104513</v>
      </c>
      <c r="E24" s="41">
        <f>IF(ISNUMBER(Inputs!E338),IF(AND(Inputs!E338&gt;0,E23&gt;=0),E23/Inputs!E338-1,"n.m."),"n.a.")</f>
        <v>-0.04510451045104513</v>
      </c>
      <c r="F24" s="41">
        <f>IF(ISNUMBER(Inputs!F338),IF(AND(Inputs!F338&gt;0,F23&gt;=0),F23/Inputs!F338-1,"n.m."),"n.a.")</f>
        <v>-0.05005561735261399</v>
      </c>
      <c r="G24" s="41">
        <f>IF(ISNUMBER(Inputs!G338),IF(AND(Inputs!G338&gt;0,G23&gt;=0),G23/Inputs!G338-1,"n.m."),"n.a.")</f>
        <v>-0.045861297539149914</v>
      </c>
      <c r="H24" s="40">
        <f>IF(ISNUMBER(C23),IF(AND(C23&gt;0,H23&gt;=0),H23/C23-1,"n.m."),"n.a.")</f>
        <v>-0.041872477804681285</v>
      </c>
      <c r="I24" s="7"/>
    </row>
    <row r="25">
      <c r="A25" s="7"/>
      <c r="B25" s="48" t="s">
        <v>453</v>
      </c>
      <c r="C25" s="29">
        <f>IF(ISNUMBER(Inputs!G338),C23-Inputs!G338,"n.a.")</f>
        <v>-9</v>
      </c>
      <c r="D25" s="12">
        <f>IF(ISNUMBER(C23),D23-C23,"n.a.")</f>
        <v>-17</v>
      </c>
      <c r="E25" s="12"/>
      <c r="F25" s="12">
        <f>IF(ISNUMBER(D23),F23-D23,"n.a.")</f>
        <v>-14</v>
      </c>
      <c r="G25" s="12">
        <f>IF(ISNUMBER(F23),G23-F23,"n.a.")</f>
        <v>-1</v>
      </c>
      <c r="H25" s="42">
        <f>IF(ISNUMBER(G23),H23-G23,"n.a.")</f>
        <v>-5.057142857142935</v>
      </c>
      <c r="I25" s="7"/>
    </row>
    <row r="26">
      <c r="A26" s="7"/>
      <c r="B26" s="1" t="s">
        <v>462</v>
      </c>
      <c r="C26" s="12">
        <f>C23-C20</f>
        <v>-9</v>
      </c>
      <c r="D26" s="12">
        <f>D23-D20</f>
        <v>-17</v>
      </c>
      <c r="E26" s="12">
        <f>E23-E20</f>
        <v>-41</v>
      </c>
      <c r="F26" s="12">
        <f>F23-F20</f>
        <v>-14</v>
      </c>
      <c r="G26" s="12">
        <f>G23-G20</f>
        <v>-1</v>
      </c>
      <c r="H26" s="42">
        <f>H23-H20</f>
        <v>-5.057142857142935</v>
      </c>
      <c r="I26" s="7"/>
    </row>
    <row r="27">
      <c r="A27" s="7"/>
      <c r="B27" s="7"/>
      <c r="C27" s="7"/>
      <c r="D27" s="7"/>
      <c r="E27" s="7"/>
      <c r="F27" s="7"/>
      <c r="G27" s="7"/>
      <c r="H27" s="49"/>
      <c r="I27" s="7"/>
    </row>
    <row r="28">
      <c r="A28" s="7"/>
      <c r="B28" s="34" t="s">
        <v>463</v>
      </c>
      <c r="C28" s="9"/>
      <c r="D28" s="9"/>
      <c r="E28" s="9"/>
      <c r="F28" s="9"/>
      <c r="G28" s="9"/>
      <c r="H28" s="43"/>
      <c r="I28" s="7"/>
    </row>
    <row r="29">
      <c r="A29" s="7"/>
      <c r="B29" s="1" t="s">
        <v>464</v>
      </c>
      <c r="C29" s="29">
        <f>-'Cash Flow Statement'!C44</f>
        <v>251</v>
      </c>
      <c r="D29" s="29">
        <f>-'Cash Flow Statement'!D44</f>
        <v>430</v>
      </c>
      <c r="E29" s="29">
        <f>-'Cash Flow Statement'!E44</f>
        <v>1067</v>
      </c>
      <c r="F29" s="29">
        <f>-'Cash Flow Statement'!F44</f>
        <v>401</v>
      </c>
      <c r="G29" s="29">
        <f>-'Cash Flow Statement'!G44</f>
        <v>59</v>
      </c>
      <c r="H29" s="71">
        <v>150</v>
      </c>
      <c r="I29" s="7"/>
    </row>
    <row r="30">
      <c r="A30" s="7"/>
      <c r="B30" s="44" t="s">
        <v>66</v>
      </c>
      <c r="C30" s="41" t="str">
        <f>IF(ISNUMBER(Inputs!C339),IF(AND(Inputs!C339&gt;0,C29&gt;=0),C29/Inputs!C339-1,"n.m."),"n.a.")</f>
        <v>n.a.</v>
      </c>
      <c r="D30" s="41">
        <f>IF(ISNUMBER(Inputs!D339),IF(AND(Inputs!D339&gt;0,D29&gt;=0),D29/Inputs!D339-1,"n.m."),"n.a.")</f>
        <v>6.413793103448276</v>
      </c>
      <c r="E30" s="41">
        <f>IF(ISNUMBER(Inputs!E339),IF(AND(Inputs!E339&gt;0,E29&gt;=0),E29/Inputs!E339-1,"n.m."),"n.a.")</f>
        <v>2.0660919540229883</v>
      </c>
      <c r="F30" s="41">
        <f>IF(ISNUMBER(Inputs!F339),IF(AND(Inputs!F339&gt;0,F29&gt;=0),F29/Inputs!F339-1,"n.m."),"n.a.")</f>
        <v>0.6570247933884297</v>
      </c>
      <c r="G30" s="41">
        <f>IF(ISNUMBER(Inputs!G339),IF(AND(Inputs!G339&gt;0,G29&gt;=0),G29/Inputs!G339-1,"n.m."),"n.a.")</f>
        <v>-0.5902777777777778</v>
      </c>
      <c r="H30" s="40">
        <f>IF(ISNUMBER(C29),IF(AND(C29&gt;0,H29&gt;=0),H29/C29-1,"n.m."),"n.a.")</f>
        <v>-0.40239043824701193</v>
      </c>
      <c r="I30" s="7"/>
    </row>
    <row r="31">
      <c r="A31" s="7"/>
      <c r="B31" s="48" t="s">
        <v>78</v>
      </c>
      <c r="C31" s="29">
        <f>IF(ISNUMBER(Inputs!G339),C29-Inputs!G339,"n.a.")</f>
        <v>107</v>
      </c>
      <c r="D31" s="12">
        <f>IF(ISNUMBER(C29),D29-C29,"n.a.")</f>
        <v>179</v>
      </c>
      <c r="E31" s="12"/>
      <c r="F31" s="12">
        <f>IF(ISNUMBER(D29),F29-D29,"n.a.")</f>
        <v>-29</v>
      </c>
      <c r="G31" s="12">
        <f>IF(ISNUMBER(F29),G29-F29,"n.a.")</f>
        <v>-342</v>
      </c>
      <c r="H31" s="42">
        <f>IF(ISNUMBER(G29),H29-G29,"n.a.")</f>
        <v>91</v>
      </c>
      <c r="I31" s="7"/>
    </row>
    <row r="32">
      <c r="A32" s="7"/>
      <c r="B32" s="1" t="s">
        <v>465</v>
      </c>
      <c r="C32" s="23" t="str">
        <f>"n.a."</f>
        <v>n.a.</v>
      </c>
      <c r="D32" s="23" t="str">
        <f>"n.a."</f>
        <v>n.a.</v>
      </c>
      <c r="E32" s="23" t="str">
        <f>"n.a."</f>
        <v>n.a.</v>
      </c>
      <c r="F32" s="23">
        <f>F29/F21</f>
        <v>28.642857142857142</v>
      </c>
      <c r="G32" s="23">
        <f>G29/G21</f>
        <v>29.5</v>
      </c>
      <c r="H32" s="74">
        <v>28</v>
      </c>
      <c r="I32" s="7"/>
    </row>
    <row r="33">
      <c r="A33" s="7"/>
      <c r="B33" s="44" t="s">
        <v>66</v>
      </c>
      <c r="C33" s="24" t="str">
        <f>"n.a."</f>
        <v>n.a.</v>
      </c>
      <c r="D33" s="24" t="str">
        <f>"n.a."</f>
        <v>n.a.</v>
      </c>
      <c r="E33" s="24" t="str">
        <f>"n.a."</f>
        <v>n.a.</v>
      </c>
      <c r="F33" s="24" t="str">
        <f>"n.a."</f>
        <v>n.a.</v>
      </c>
      <c r="G33" s="24" t="str">
        <f>"n.a."</f>
        <v>n.a.</v>
      </c>
      <c r="H33" s="40" t="str">
        <f>IF(ISNUMBER(C32),IF(AND(C32&gt;0,H32&gt;=0),H32/C32-1,"n.m."),"n.a.")</f>
        <v>n.a.</v>
      </c>
      <c r="I33" s="7"/>
    </row>
    <row r="34">
      <c r="A34" s="7"/>
      <c r="B34" s="48" t="s">
        <v>78</v>
      </c>
      <c r="C34" s="12" t="str">
        <f>"n.a."</f>
        <v>n.a.</v>
      </c>
      <c r="D34" s="12" t="str">
        <f>IF(ISNUMBER(C32),D32-C32,"n.a.")</f>
        <v>n.a.</v>
      </c>
      <c r="E34" s="12"/>
      <c r="F34" s="12" t="str">
        <f>IF(ISNUMBER(D32),F32-D32,"n.a.")</f>
        <v>n.a.</v>
      </c>
      <c r="G34" s="12">
        <f>IF(ISNUMBER(F32),G32-F32,"n.a.")</f>
        <v>0.8571428571428577</v>
      </c>
      <c r="H34" s="42">
        <f>IF(ISNUMBER(G32),H32-G32,"n.a.")</f>
        <v>-1.5</v>
      </c>
      <c r="I34" s="7"/>
    </row>
    <row r="35">
      <c r="A35" s="7"/>
      <c r="B35" s="75" t="s">
        <v>466</v>
      </c>
      <c r="C35" s="24"/>
      <c r="D35" s="24"/>
      <c r="E35" s="24"/>
      <c r="F35" s="24"/>
      <c r="G35" s="24"/>
      <c r="H35" s="58">
        <v>0.5</v>
      </c>
      <c r="I35" s="7"/>
    </row>
    <row r="36" ht="28.5">
      <c r="A36" s="7"/>
      <c r="B36" s="1" t="s">
        <v>467</v>
      </c>
      <c r="C36" s="31">
        <v>26.5</v>
      </c>
      <c r="D36" s="31">
        <v>26.5</v>
      </c>
      <c r="E36" s="31">
        <v>103</v>
      </c>
      <c r="F36" s="31">
        <v>26.5</v>
      </c>
      <c r="G36" s="31">
        <v>26.5</v>
      </c>
      <c r="H36" s="71">
        <v>30</v>
      </c>
      <c r="I36" s="138" t="s">
        <v>468</v>
      </c>
    </row>
    <row r="37">
      <c r="A37" s="7"/>
      <c r="B37" s="44" t="s">
        <v>66</v>
      </c>
      <c r="C37" s="41">
        <f>IF(ISNUMBER(Inputs!C340),IF(AND(Inputs!C340&gt;0,C36&gt;=0),C36/Inputs!C340-1,"n.m."),"n.a.")</f>
        <v>0.06000000000000005</v>
      </c>
      <c r="D37" s="41">
        <f>IF(ISNUMBER(Inputs!D340),IF(AND(Inputs!D340&gt;0,D36&gt;=0),D36/Inputs!D340-1,"n.m."),"n.a.")</f>
        <v>0.06000000000000005</v>
      </c>
      <c r="E37" s="41">
        <f>IF(ISNUMBER(Inputs!E340),IF(AND(Inputs!E340&gt;0,E36&gt;=0),E36/Inputs!E340-1,"n.m."),"n.a.")</f>
        <v>0.05102040816326525</v>
      </c>
      <c r="F37" s="41">
        <f>IF(ISNUMBER(Inputs!F340),IF(AND(Inputs!F340&gt;0,F36&gt;=0),F36/Inputs!F340-1,"n.m."),"n.a.")</f>
        <v>0.06000000000000005</v>
      </c>
      <c r="G37" s="41">
        <f>IF(ISNUMBER(Inputs!G340),IF(AND(Inputs!G340&gt;0,G36&gt;=0),G36/Inputs!G340-1,"n.m."),"n.a.")</f>
        <v>0.06000000000000005</v>
      </c>
      <c r="H37" s="40">
        <f>IF(ISNUMBER(C36),IF(AND(C36&gt;0,H36&gt;=0),H36/C36-1,"n.m."),"n.a.")</f>
        <v>0.13207547169811318</v>
      </c>
      <c r="I37" s="7"/>
    </row>
    <row r="38">
      <c r="A38" s="7"/>
      <c r="B38" s="48" t="s">
        <v>469</v>
      </c>
      <c r="C38" s="29">
        <f>IF(ISNUMBER(Inputs!G340),C36-Inputs!G340,"n.a.")</f>
        <v>1.5</v>
      </c>
      <c r="D38" s="12">
        <f>IF(ISNUMBER(C36),D36-C36,"n.a.")</f>
        <v>0</v>
      </c>
      <c r="E38" s="12"/>
      <c r="F38" s="12">
        <f>IF(ISNUMBER(D36),F36-D36,"n.a.")</f>
        <v>0</v>
      </c>
      <c r="G38" s="12">
        <f>IF(ISNUMBER(F36),G36-F36,"n.a.")</f>
        <v>0</v>
      </c>
      <c r="H38" s="42">
        <f>IF(ISNUMBER(G36),H36-G36,"n.a.")</f>
        <v>3.5</v>
      </c>
      <c r="I38" s="7"/>
    </row>
    <row r="39" ht="41.25">
      <c r="A39" s="7"/>
      <c r="B39" s="1" t="s">
        <v>470</v>
      </c>
      <c r="C39" s="29">
        <f>-'Cash Flow Statement'!C41</f>
        <v>224</v>
      </c>
      <c r="D39" s="29">
        <f>-'Cash Flow Statement'!D41</f>
        <v>235</v>
      </c>
      <c r="E39" s="29">
        <f>-'Cash Flow Statement'!E41</f>
        <v>912</v>
      </c>
      <c r="F39" s="29">
        <f>-'Cash Flow Statement'!F41</f>
        <v>230</v>
      </c>
      <c r="G39" s="29">
        <f>-'Cash Flow Statement'!G41</f>
        <v>228</v>
      </c>
      <c r="H39" s="42">
        <f>H36/100*(H20+H23)/2</f>
        <v>255.14142857142855</v>
      </c>
      <c r="I39" s="138" t="s">
        <v>471</v>
      </c>
    </row>
    <row r="40" ht="15.75">
      <c r="A40" s="7"/>
      <c r="B40" s="44" t="s">
        <v>472</v>
      </c>
      <c r="C40" s="41">
        <f>C39/'Income Statement'!C257</f>
        <v>0.40875912408759124</v>
      </c>
      <c r="D40" s="41">
        <f>D39/'Income Statement'!D257</f>
        <v>0.4571984435797665</v>
      </c>
      <c r="E40" s="41">
        <f>E39/'Income Statement'!E257</f>
        <v>0.44250363901018924</v>
      </c>
      <c r="F40" s="41">
        <f>F39/'Income Statement'!F257</f>
        <v>0.4267161410018553</v>
      </c>
      <c r="G40" s="41">
        <f>G39/'Income Statement'!G257</f>
        <v>0.41530054644808745</v>
      </c>
      <c r="H40" s="59">
        <f>H39/'Income Statement'!H257</f>
        <v>0.44789479077975836</v>
      </c>
      <c r="I40" s="138" t="s">
        <v>473</v>
      </c>
    </row>
    <row r="41">
      <c r="A41" s="7"/>
      <c r="B41" s="69" t="s">
        <v>69</v>
      </c>
      <c r="C41" s="38" t="str">
        <f>"n.a."</f>
        <v>n.a.</v>
      </c>
      <c r="D41" s="38">
        <f>IF(AND(ISNUMBER(D40),ISNUMBER(C40)),(D40-C40)*10000,"n.a.")</f>
        <v>484.3931949217528</v>
      </c>
      <c r="E41" s="38"/>
      <c r="F41" s="38">
        <f>IF(AND(ISNUMBER(F40),ISNUMBER(D40)),(F40-D40)*10000,"n.a.")</f>
        <v>-304.82302577911236</v>
      </c>
      <c r="G41" s="38">
        <f>IF(AND(ISNUMBER(G40),ISNUMBER(F40)),(G40-F40)*10000,"n.a.")</f>
        <v>-114.15594553767838</v>
      </c>
      <c r="H41" s="67">
        <f>IF(AND(ISNUMBER(H40),ISNUMBER(G40)),(H40-G40)*10000,"n.a.")</f>
        <v>325.94244331670905</v>
      </c>
      <c r="I41" s="7" t="s">
        <v>474</v>
      </c>
    </row>
    <row r="42">
      <c r="A42" s="7"/>
      <c r="B42" s="34" t="s">
        <v>475</v>
      </c>
      <c r="C42" s="35"/>
      <c r="D42" s="35"/>
      <c r="E42" s="35"/>
      <c r="F42" s="35"/>
      <c r="G42" s="35"/>
      <c r="H42" s="50">
        <f>H15</f>
        <v>854.4714285714285</v>
      </c>
      <c r="I42" s="7"/>
    </row>
    <row r="43">
      <c r="A43" s="7"/>
      <c r="B43" s="7"/>
      <c r="C43" s="7"/>
      <c r="D43" s="7"/>
      <c r="E43" s="7"/>
      <c r="F43" s="7"/>
      <c r="G43" s="7"/>
      <c r="H43" s="7"/>
      <c r="I43" s="7"/>
    </row>
    <row r="44">
      <c r="A44" s="7"/>
      <c r="B44" s="7"/>
      <c r="C44" s="7"/>
      <c r="D44" s="7"/>
      <c r="E44" s="7"/>
      <c r="F44" s="7"/>
      <c r="G44" s="7"/>
      <c r="H44" s="7"/>
      <c r="I44" s="7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0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26" customWidth="1"/>
    <col min="10" max="10" width="16" customWidth="1"/>
    <col min="11" max="11" width="30" customWidth="1"/>
    <col min="12" max="13" width="12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  <c r="J1" s="7"/>
      <c r="K1" s="7"/>
    </row>
    <row r="2">
      <c r="A2" s="7"/>
      <c r="B2" s="18" t="s">
        <v>476</v>
      </c>
      <c r="C2" s="7"/>
      <c r="D2" s="7"/>
      <c r="E2" s="7"/>
      <c r="F2" s="7"/>
      <c r="G2" s="7"/>
      <c r="H2" s="7"/>
      <c r="I2" s="7"/>
      <c r="J2" s="7"/>
      <c r="K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  <c r="J3" s="7"/>
      <c r="K3" s="7"/>
    </row>
    <row r="4">
      <c r="A4" s="7"/>
      <c r="B4" s="27" t="s">
        <v>477</v>
      </c>
      <c r="C4" s="3"/>
      <c r="D4" s="3"/>
      <c r="E4" s="3"/>
      <c r="F4" s="3"/>
      <c r="G4" s="3"/>
      <c r="H4" s="3"/>
      <c r="I4" s="116"/>
      <c r="J4" s="7"/>
      <c r="K4" s="7"/>
    </row>
    <row r="5">
      <c r="A5" s="7"/>
      <c r="B5" s="55"/>
      <c r="C5" s="6"/>
      <c r="D5" s="6"/>
      <c r="E5" s="6"/>
      <c r="F5" s="6"/>
      <c r="G5" s="6"/>
      <c r="H5" s="6"/>
      <c r="I5" s="6"/>
      <c r="J5" s="7"/>
      <c r="K5" s="7"/>
    </row>
    <row r="6">
      <c r="A6" s="7"/>
      <c r="B6" s="21"/>
      <c r="C6" s="17"/>
      <c r="D6" s="17"/>
      <c r="E6" s="17"/>
      <c r="F6" s="17"/>
      <c r="G6" s="17"/>
      <c r="H6" s="17"/>
      <c r="I6" s="17"/>
      <c r="J6" s="7"/>
      <c r="K6" s="7"/>
    </row>
    <row r="7">
      <c r="A7" s="7"/>
      <c r="B7" s="7"/>
      <c r="C7" s="7"/>
      <c r="D7" s="7"/>
      <c r="E7" s="7"/>
      <c r="F7" s="7"/>
      <c r="G7" s="7"/>
      <c r="H7" s="49"/>
      <c r="I7" s="7"/>
      <c r="J7" s="7"/>
      <c r="K7" s="7"/>
    </row>
    <row r="8">
      <c r="A8" s="7"/>
      <c r="B8" s="34" t="s">
        <v>478</v>
      </c>
      <c r="C8" s="93" t="s">
        <v>479</v>
      </c>
      <c r="D8" s="93" t="s">
        <v>3</v>
      </c>
      <c r="E8" s="93" t="s">
        <v>480</v>
      </c>
      <c r="F8" s="93" t="s">
        <v>481</v>
      </c>
      <c r="G8" s="93" t="s">
        <v>482</v>
      </c>
      <c r="H8" s="103" t="s">
        <v>483</v>
      </c>
      <c r="I8" s="140" t="s">
        <v>484</v>
      </c>
      <c r="J8" s="140" t="s">
        <v>485</v>
      </c>
      <c r="K8" s="101" t="s">
        <v>486</v>
      </c>
      <c r="L8" s="105" t="s">
        <v>487</v>
      </c>
      <c r="M8" s="104" t="s">
        <v>488</v>
      </c>
    </row>
    <row r="9" ht="25.5">
      <c r="A9" s="7"/>
      <c r="B9" s="28" t="s">
        <v>489</v>
      </c>
      <c r="C9" s="53">
        <v>46038</v>
      </c>
      <c r="D9" s="95" t="s">
        <v>490</v>
      </c>
      <c r="E9" s="52">
        <v>0.025</v>
      </c>
      <c r="F9" s="52">
        <v>0.04</v>
      </c>
      <c r="G9" s="24">
        <f>AVERAGE(E9:F9)</f>
        <v>0.0325</v>
      </c>
      <c r="H9" s="40" t="str">
        <f>"n.a."</f>
        <v>n.a.</v>
      </c>
      <c r="I9" s="98" t="str">
        <f>IF(NOT(ISNUMBER(H9)),"Pending",IF(LEFT(K9,5)="3Q26E","Est. ","Act. ")&amp;IF(H9&lt;E9-L9,"below guide",IF(H9&gt;F9+L9,"above guide","within guide"))&amp;IF(AND(M9&lt;&gt;"n.a.",OR(H9&lt;E9-L9,H9&gt;F9+L9)),IF((H9&gt;F9+L9)=(M9="higher")," (favorable)"," (unfavorable)"),""))</f>
        <v>Pending</v>
      </c>
      <c r="J9" s="113" t="s">
        <v>491</v>
      </c>
      <c r="K9" s="98" t="s">
        <v>492</v>
      </c>
      <c r="L9" s="96">
        <v>0</v>
      </c>
      <c r="M9" s="97" t="s">
        <v>493</v>
      </c>
    </row>
    <row r="10">
      <c r="A10" s="7"/>
      <c r="B10" s="28" t="s">
        <v>494</v>
      </c>
      <c r="C10" s="53">
        <v>46038</v>
      </c>
      <c r="D10" s="95" t="s">
        <v>490</v>
      </c>
      <c r="E10" s="52">
        <v>0.03</v>
      </c>
      <c r="F10" s="52">
        <v>0.05</v>
      </c>
      <c r="G10" s="24">
        <f>AVERAGE(E10:F10)</f>
        <v>0.04</v>
      </c>
      <c r="H10" s="40" t="str">
        <f>"n.a."</f>
        <v>n.a.</v>
      </c>
      <c r="I10" s="98" t="str">
        <f>IF(NOT(ISNUMBER(H10)),"Pending",IF(LEFT(K10,5)="3Q26E","Est. ","Act. ")&amp;IF(H10&lt;E10-L10,"below guide",IF(H10&gt;F10+L10,"above guide","within guide"))&amp;IF(AND(M10&lt;&gt;"n.a.",OR(H10&lt;E10-L10,H10&gt;F10+L10)),IF((H10&gt;F10+L10)=(M10="higher")," (favorable)"," (unfavorable)"),""))</f>
        <v>Pending</v>
      </c>
      <c r="J10" s="47" t="s">
        <v>495</v>
      </c>
      <c r="K10" s="98" t="s">
        <v>492</v>
      </c>
      <c r="L10" s="96">
        <v>0</v>
      </c>
      <c r="M10" s="97" t="s">
        <v>493</v>
      </c>
    </row>
    <row r="11">
      <c r="A11" s="7"/>
      <c r="B11" s="28" t="s">
        <v>496</v>
      </c>
      <c r="C11" s="53">
        <v>46038</v>
      </c>
      <c r="D11" s="95" t="s">
        <v>490</v>
      </c>
      <c r="E11" s="52">
        <v>0.015</v>
      </c>
      <c r="F11" s="52">
        <v>0.035</v>
      </c>
      <c r="G11" s="24">
        <f>AVERAGE(E11:F11)</f>
        <v>0.025</v>
      </c>
      <c r="H11" s="40" t="str">
        <f>"n.a."</f>
        <v>n.a.</v>
      </c>
      <c r="I11" s="98" t="str">
        <f>IF(NOT(ISNUMBER(H11)),"Pending",IF(LEFT(K11,5)="3Q26E","Est. ","Act. ")&amp;IF(H11&lt;E11-L11,"below guide",IF(H11&gt;F11+L11,"above guide","within guide"))&amp;IF(AND(M11&lt;&gt;"n.a.",OR(H11&lt;E11-L11,H11&gt;F11+L11)),IF((H11&gt;F11+L11)=(M11="higher")," (favorable)"," (unfavorable)"),""))</f>
        <v>Pending</v>
      </c>
      <c r="J11" s="47" t="s">
        <v>497</v>
      </c>
      <c r="K11" s="98" t="s">
        <v>492</v>
      </c>
      <c r="L11" s="96">
        <v>0</v>
      </c>
      <c r="M11" s="97" t="s">
        <v>498</v>
      </c>
    </row>
    <row r="12">
      <c r="A12" s="7"/>
      <c r="B12" s="28" t="s">
        <v>499</v>
      </c>
      <c r="C12" s="53">
        <v>46038</v>
      </c>
      <c r="D12" s="95" t="s">
        <v>490</v>
      </c>
      <c r="E12" s="63">
        <v>0.004</v>
      </c>
      <c r="F12" s="63">
        <v>0.005</v>
      </c>
      <c r="G12" s="60">
        <f>AVERAGE(E12:F12)</f>
        <v>0.0045000000000000005</v>
      </c>
      <c r="H12" s="61" t="str">
        <f>"n.a."</f>
        <v>n.a.</v>
      </c>
      <c r="I12" s="98" t="str">
        <f>IF(NOT(ISNUMBER(H12)),"Pending",IF(LEFT(K12,5)="3Q26E","Est. ","Act. ")&amp;IF(H12&lt;E12-L12,"below guide",IF(H12&gt;F12+L12,"above guide","within guide"))&amp;IF(AND(M12&lt;&gt;"n.a.",OR(H12&lt;E12-L12,H12&gt;F12+L12)),IF((H12&gt;F12+L12)=(M12="higher")," (favorable)"," (unfavorable)"),""))</f>
        <v>Pending</v>
      </c>
      <c r="J12" s="47" t="s">
        <v>497</v>
      </c>
      <c r="K12" s="98" t="s">
        <v>492</v>
      </c>
      <c r="L12" s="96">
        <v>0</v>
      </c>
      <c r="M12" s="97" t="s">
        <v>498</v>
      </c>
    </row>
    <row r="13">
      <c r="A13" s="7"/>
      <c r="B13" s="28" t="s">
        <v>302</v>
      </c>
      <c r="C13" s="53">
        <v>46038</v>
      </c>
      <c r="D13" s="95" t="s">
        <v>490</v>
      </c>
      <c r="E13" s="52">
        <v>0.205</v>
      </c>
      <c r="F13" s="52">
        <v>0.215</v>
      </c>
      <c r="G13" s="24">
        <f>AVERAGE(E13:F13)</f>
        <v>0.21</v>
      </c>
      <c r="H13" s="40" t="str">
        <f>"n.a."</f>
        <v>n.a.</v>
      </c>
      <c r="I13" s="98" t="str">
        <f>IF(NOT(ISNUMBER(H13)),"Pending",IF(LEFT(K13,5)="3Q26E","Est. ","Act. ")&amp;IF(H13&lt;E13-L13,"below guide",IF(H13&gt;F13+L13,"above guide","within guide"))&amp;IF(AND(M13&lt;&gt;"n.a.",OR(H13&lt;E13-L13,H13&gt;F13+L13)),IF((H13&gt;F13+L13)=(M13="higher")," (favorable)"," (unfavorable)"),""))</f>
        <v>Pending</v>
      </c>
      <c r="J13" s="47" t="s">
        <v>500</v>
      </c>
      <c r="K13" s="98" t="s">
        <v>492</v>
      </c>
      <c r="L13" s="96">
        <v>0</v>
      </c>
      <c r="M13" s="97" t="s">
        <v>498</v>
      </c>
    </row>
    <row r="14">
      <c r="A14" s="7"/>
      <c r="B14" s="28" t="s">
        <v>501</v>
      </c>
      <c r="C14" s="53">
        <v>46038</v>
      </c>
      <c r="D14" s="95" t="s">
        <v>490</v>
      </c>
      <c r="E14" s="52">
        <v>0.01</v>
      </c>
      <c r="F14" s="52">
        <v>0.03</v>
      </c>
      <c r="G14" s="24">
        <f>AVERAGE(E14:F14)</f>
        <v>0.02</v>
      </c>
      <c r="H14" s="40" t="str">
        <f>"n.a."</f>
        <v>n.a.</v>
      </c>
      <c r="I14" s="98" t="str">
        <f>IF(NOT(ISNUMBER(H14)),"Pending",IF(LEFT(K14,5)="3Q26E","Est. ","Act. ")&amp;IF(H14&lt;E14-L14,"below guide",IF(H14&gt;F14+L14,"above guide","within guide"))&amp;IF(AND(M14&lt;&gt;"n.a.",OR(H14&lt;E14-L14,H14&gt;F14+L14)),IF((H14&gt;F14+L14)=(M14="higher")," (favorable)"," (unfavorable)"),""))</f>
        <v>Pending</v>
      </c>
      <c r="J14" s="47" t="s">
        <v>500</v>
      </c>
      <c r="K14" s="98" t="s">
        <v>492</v>
      </c>
      <c r="L14" s="96">
        <v>0</v>
      </c>
      <c r="M14" s="97" t="s">
        <v>493</v>
      </c>
    </row>
    <row r="15">
      <c r="A15" s="7"/>
      <c r="B15" s="28" t="s">
        <v>502</v>
      </c>
      <c r="C15" s="53">
        <v>46038</v>
      </c>
      <c r="D15" s="95" t="s">
        <v>490</v>
      </c>
      <c r="E15" s="52">
        <v>0.01</v>
      </c>
      <c r="F15" s="52">
        <v>0.03</v>
      </c>
      <c r="G15" s="24">
        <f>AVERAGE(E15:F15)</f>
        <v>0.02</v>
      </c>
      <c r="H15" s="40" t="str">
        <f>"n.a."</f>
        <v>n.a.</v>
      </c>
      <c r="I15" s="98" t="str">
        <f>IF(NOT(ISNUMBER(H15)),"Pending",IF(LEFT(K15,5)="3Q26E","Est. ","Act. ")&amp;IF(H15&lt;E15-L15,"below guide",IF(H15&gt;F15+L15,"above guide","within guide"))&amp;IF(AND(M15&lt;&gt;"n.a.",OR(H15&lt;E15-L15,H15&gt;F15+L15)),IF((H15&gt;F15+L15)=(M15="higher")," (favorable)"," (unfavorable)"),""))</f>
        <v>Pending</v>
      </c>
      <c r="J15" s="47" t="s">
        <v>500</v>
      </c>
      <c r="K15" s="98" t="s">
        <v>492</v>
      </c>
      <c r="L15" s="96">
        <v>0</v>
      </c>
      <c r="M15" s="97" t="s">
        <v>493</v>
      </c>
    </row>
    <row r="16">
      <c r="A16" s="7"/>
      <c r="B16" s="28" t="s">
        <v>503</v>
      </c>
      <c r="C16" s="53">
        <v>46038</v>
      </c>
      <c r="D16" s="95" t="s">
        <v>504</v>
      </c>
      <c r="E16" s="63">
        <v>0.037</v>
      </c>
      <c r="F16" s="63">
        <v>0.037</v>
      </c>
      <c r="G16" s="60">
        <f>AVERAGE(E16:F16)</f>
        <v>0.037</v>
      </c>
      <c r="H16" s="56">
        <f>'Revenue summary'!F423</f>
        <v>0.0367</v>
      </c>
      <c r="I16" s="98" t="str">
        <f>IF(NOT(ISNUMBER(H16)),"Pending",IF(LEFT(K16,5)="3Q26E","Est. ","Act. ")&amp;IF(H16&lt;E16-L16,"below guide",IF(H16&gt;F16+L16,"above guide","within guide"))&amp;IF(AND(M16&lt;&gt;"n.a.",OR(H16&lt;E16-L16,H16&gt;F16+L16)),IF((H16&gt;F16+L16)=(M16="higher")," (favorable)"," (unfavorable)"),""))</f>
        <v>Act. below guide (unfavorable)</v>
      </c>
      <c r="J16" s="47" t="s">
        <v>505</v>
      </c>
      <c r="K16" s="98" t="s">
        <v>506</v>
      </c>
      <c r="L16" s="96">
        <v>0.0002</v>
      </c>
      <c r="M16" s="97" t="s">
        <v>493</v>
      </c>
    </row>
    <row r="17">
      <c r="A17" s="7"/>
      <c r="B17" s="8" t="s">
        <v>507</v>
      </c>
      <c r="C17" s="16">
        <v>46038</v>
      </c>
      <c r="D17" s="100" t="s">
        <v>504</v>
      </c>
      <c r="E17" s="31">
        <v>90</v>
      </c>
      <c r="F17" s="31">
        <v>105</v>
      </c>
      <c r="G17" s="12">
        <f>AVERAGE(E17:F17)</f>
        <v>97.5</v>
      </c>
      <c r="H17" s="32">
        <f>'Income Statement'!F106</f>
        <v>84</v>
      </c>
      <c r="I17" s="102" t="str">
        <f>IF(NOT(ISNUMBER(H17)),"Pending",IF(LEFT(K17,5)="3Q26E","Est. ","Act. ")&amp;IF(H17&lt;E17-L17,"below guide",IF(H17&gt;F17+L17,"above guide","within guide"))&amp;IF(AND(M17&lt;&gt;"n.a.",OR(H17&lt;E17-L17,H17&gt;F17+L17)),IF((H17&gt;F17+L17)=(M17="higher")," (favorable)"," (unfavorable)"),""))</f>
        <v>Act. below guide (unfavorable)</v>
      </c>
      <c r="J17" s="19" t="s">
        <v>505</v>
      </c>
      <c r="K17" s="98" t="s">
        <v>506</v>
      </c>
      <c r="L17" s="96">
        <v>0</v>
      </c>
      <c r="M17" s="97" t="s">
        <v>493</v>
      </c>
    </row>
    <row r="18">
      <c r="A18" s="7"/>
      <c r="B18" s="28" t="s">
        <v>508</v>
      </c>
      <c r="C18" s="53">
        <v>46129</v>
      </c>
      <c r="D18" s="95" t="s">
        <v>509</v>
      </c>
      <c r="E18" s="52">
        <v>0.02</v>
      </c>
      <c r="F18" s="52">
        <v>0.02</v>
      </c>
      <c r="G18" s="24">
        <f>AVERAGE(E18:F18)</f>
        <v>0.02</v>
      </c>
      <c r="H18" s="59">
        <f>'Income Statement'!G54</f>
        <v>0.023237179487179516</v>
      </c>
      <c r="I18" s="98" t="str">
        <f>IF(NOT(ISNUMBER(H18)),"Pending",IF(LEFT(K18,5)="3Q26E","Est. ","Act. ")&amp;IF(H18&lt;E18-L18,"below guide",IF(H18&gt;F18+L18,"above guide","within guide"))&amp;IF(AND(M18&lt;&gt;"n.a.",OR(H18&lt;E18-L18,H18&gt;F18+L18)),IF((H18&gt;F18+L18)=(M18="higher")," (favorable)"," (unfavorable)"),""))</f>
        <v>Act. above guide (favorable)</v>
      </c>
      <c r="J18" s="47" t="s">
        <v>510</v>
      </c>
      <c r="K18" s="98" t="s">
        <v>511</v>
      </c>
      <c r="L18" s="96">
        <v>0.0025</v>
      </c>
      <c r="M18" s="97" t="s">
        <v>493</v>
      </c>
    </row>
    <row r="19">
      <c r="A19" s="7"/>
      <c r="B19" s="8" t="s">
        <v>507</v>
      </c>
      <c r="C19" s="16">
        <v>46129</v>
      </c>
      <c r="D19" s="100" t="s">
        <v>509</v>
      </c>
      <c r="E19" s="31">
        <v>90</v>
      </c>
      <c r="F19" s="31">
        <v>105</v>
      </c>
      <c r="G19" s="12">
        <f>AVERAGE(E19:F19)</f>
        <v>97.5</v>
      </c>
      <c r="H19" s="32">
        <f>'Income Statement'!G106</f>
        <v>84</v>
      </c>
      <c r="I19" s="102" t="str">
        <f>IF(NOT(ISNUMBER(H19)),"Pending",IF(LEFT(K19,5)="3Q26E","Est. ","Act. ")&amp;IF(H19&lt;E19-L19,"below guide",IF(H19&gt;F19+L19,"above guide","within guide"))&amp;IF(AND(M19&lt;&gt;"n.a.",OR(H19&lt;E19-L19,H19&gt;F19+L19)),IF((H19&gt;F19+L19)=(M19="higher")," (favorable)"," (unfavorable)"),""))</f>
        <v>Act. below guide (unfavorable)</v>
      </c>
      <c r="J19" s="19" t="s">
        <v>510</v>
      </c>
      <c r="K19" s="98" t="s">
        <v>511</v>
      </c>
      <c r="L19" s="96">
        <v>0</v>
      </c>
      <c r="M19" s="97" t="s">
        <v>493</v>
      </c>
    </row>
    <row r="20">
      <c r="A20" s="7"/>
      <c r="B20" s="28" t="s">
        <v>512</v>
      </c>
      <c r="C20" s="53">
        <v>46220</v>
      </c>
      <c r="D20" s="95" t="s">
        <v>513</v>
      </c>
      <c r="E20" s="52">
        <v>0.02</v>
      </c>
      <c r="F20" s="52">
        <v>0.02</v>
      </c>
      <c r="G20" s="24">
        <f>AVERAGE(E20:F20)</f>
        <v>0.02</v>
      </c>
      <c r="H20" s="59">
        <f>'Income Statement'!H54</f>
        <v>0.019934262840966666</v>
      </c>
      <c r="I20" s="98" t="str">
        <f>IF(NOT(ISNUMBER(H20)),"Pending",IF(LEFT(K20,5)="3Q26E","Est. ","Act. ")&amp;IF(H20&lt;E20-L20,"below guide",IF(H20&gt;F20+L20,"above guide","within guide"))&amp;IF(AND(M20&lt;&gt;"n.a.",OR(H20&lt;E20-L20,H20&gt;F20+L20)),IF((H20&gt;F20+L20)=(M20="higher")," (favorable)"," (unfavorable)"),""))</f>
        <v>Est. within guide</v>
      </c>
      <c r="J20" s="47" t="s">
        <v>514</v>
      </c>
      <c r="K20" s="98" t="s">
        <v>515</v>
      </c>
      <c r="L20" s="96">
        <v>0.0025</v>
      </c>
      <c r="M20" s="97" t="s">
        <v>493</v>
      </c>
    </row>
    <row r="21">
      <c r="A21" s="7"/>
      <c r="B21" s="28" t="s">
        <v>516</v>
      </c>
      <c r="C21" s="53">
        <v>46220</v>
      </c>
      <c r="D21" s="95" t="s">
        <v>513</v>
      </c>
      <c r="E21" s="63">
        <v>0.0366</v>
      </c>
      <c r="F21" s="63">
        <v>0.037</v>
      </c>
      <c r="G21" s="60">
        <f>AVERAGE(E21:F21)</f>
        <v>0.0368</v>
      </c>
      <c r="H21" s="56">
        <f>'Revenue summary'!H421</f>
        <v>0.03682123606668741</v>
      </c>
      <c r="I21" s="98" t="str">
        <f>IF(NOT(ISNUMBER(H21)),"Pending",IF(LEFT(K21,5)="3Q26E","Est. ","Act. ")&amp;IF(H21&lt;E21-L21,"below guide",IF(H21&gt;F21+L21,"above guide","within guide"))&amp;IF(AND(M21&lt;&gt;"n.a.",OR(H21&lt;E21-L21,H21&gt;F21+L21)),IF((H21&gt;F21+L21)=(M21="higher")," (favorable)"," (unfavorable)"),""))</f>
        <v>Est. within guide</v>
      </c>
      <c r="J21" s="47" t="s">
        <v>517</v>
      </c>
      <c r="K21" s="98" t="s">
        <v>515</v>
      </c>
      <c r="L21" s="96">
        <v>0</v>
      </c>
      <c r="M21" s="97" t="s">
        <v>493</v>
      </c>
    </row>
    <row r="22">
      <c r="A22" s="7"/>
      <c r="B22" s="8" t="s">
        <v>518</v>
      </c>
      <c r="C22" s="16">
        <v>46220</v>
      </c>
      <c r="D22" s="100" t="s">
        <v>513</v>
      </c>
      <c r="E22" s="31">
        <v>90</v>
      </c>
      <c r="F22" s="31">
        <v>105</v>
      </c>
      <c r="G22" s="12">
        <f>AVERAGE(E22:F22)</f>
        <v>97.5</v>
      </c>
      <c r="H22" s="32">
        <f>'Income Statement'!H106</f>
        <v>88</v>
      </c>
      <c r="I22" s="102" t="str">
        <f>IF(NOT(ISNUMBER(H22)),"Pending",IF(LEFT(K22,5)="3Q26E","Est. ","Act. ")&amp;IF(H22&lt;E22-L22,"below guide",IF(H22&gt;F22+L22,"above guide","within guide"))&amp;IF(AND(M22&lt;&gt;"n.a.",OR(H22&lt;E22-L22,H22&gt;F22+L22)),IF((H22&gt;F22+L22)=(M22="higher")," (favorable)"," (unfavorable)"),""))</f>
        <v>Est. below guide (unfavorable)</v>
      </c>
      <c r="J22" s="19" t="s">
        <v>514</v>
      </c>
      <c r="K22" s="98" t="s">
        <v>515</v>
      </c>
      <c r="L22" s="96">
        <v>0</v>
      </c>
      <c r="M22" s="97" t="s">
        <v>493</v>
      </c>
    </row>
    <row r="23">
      <c r="A23" s="7"/>
      <c r="B23" s="28" t="s">
        <v>519</v>
      </c>
      <c r="C23" s="53">
        <v>46287</v>
      </c>
      <c r="D23" s="95" t="s">
        <v>513</v>
      </c>
      <c r="E23" s="52">
        <v>0</v>
      </c>
      <c r="F23" s="52">
        <v>0</v>
      </c>
      <c r="G23" s="24">
        <f>AVERAGE(E23:F23)</f>
        <v>0</v>
      </c>
      <c r="H23" s="59">
        <f>'Balance Sheet'!H33/'Balance Sheet'!G33-1</f>
        <v>0.00033016601637192444</v>
      </c>
      <c r="I23" s="98" t="str">
        <f>IF(NOT(ISNUMBER(H23)),"Pending",IF(LEFT(K23,5)="3Q26E","Est. ","Act. ")&amp;IF(H23&lt;E23-L23,"below guide",IF(H23&gt;F23+L23,"above guide","within guide"))&amp;IF(AND(M23&lt;&gt;"n.a.",OR(H23&lt;E23-L23,H23&gt;F23+L23)),IF((H23&gt;F23+L23)=(M23="higher")," (favorable)"," (unfavorable)"),""))</f>
        <v>Est. within guide</v>
      </c>
      <c r="J23" s="47" t="s">
        <v>520</v>
      </c>
      <c r="K23" s="98" t="s">
        <v>515</v>
      </c>
      <c r="L23" s="96">
        <v>0.005</v>
      </c>
      <c r="M23" s="97" t="s">
        <v>493</v>
      </c>
    </row>
    <row r="24" ht="57">
      <c r="A24" s="7"/>
      <c r="B24" s="28" t="s">
        <v>521</v>
      </c>
      <c r="C24" s="53">
        <v>46287</v>
      </c>
      <c r="D24" s="95" t="s">
        <v>513</v>
      </c>
      <c r="E24" s="62">
        <f>'Revenue summary'!G356</f>
        <v>0.016978337924321015</v>
      </c>
      <c r="F24" s="62">
        <f>'Revenue summary'!G356</f>
        <v>0.016978337924321015</v>
      </c>
      <c r="G24" s="60">
        <f>AVERAGE(E24:F24)</f>
        <v>0.016978337924321015</v>
      </c>
      <c r="H24" s="56">
        <f>'Revenue summary'!H356</f>
        <v>0.01684481832534426</v>
      </c>
      <c r="I24" s="130" t="str">
        <f>IF(NOT(ISNUMBER(H24)),"Pending",IF(LEFT(K24,5)="3Q26E","Est. ","Act. ")&amp;IF(H24&lt;E24-L24,"below guide",IF(H24&gt;F24+L24,"above guide","within guide"))&amp;IF(AND(M24&lt;&gt;"n.a.",OR(H24&lt;E24-L24,H24&gt;F24+L24)),IF((H24&gt;F24+L24)=(M24="higher")," (favorable)"," (unfavorable)"),""))&amp;" (model ref.)"</f>
        <v>Est. within guide (model ref.)</v>
      </c>
      <c r="J24" s="113" t="s">
        <v>522</v>
      </c>
      <c r="K24" s="113" t="s">
        <v>523</v>
      </c>
      <c r="L24" s="96">
        <v>0.0005</v>
      </c>
      <c r="M24" s="97" t="s">
        <v>498</v>
      </c>
    </row>
    <row r="25" ht="25.5">
      <c r="A25" s="7"/>
      <c r="B25" s="28" t="s">
        <v>524</v>
      </c>
      <c r="C25" s="53">
        <v>46220</v>
      </c>
      <c r="D25" s="95" t="s">
        <v>525</v>
      </c>
      <c r="E25" s="63">
        <v>0.0925</v>
      </c>
      <c r="F25" s="63">
        <v>0.0975</v>
      </c>
      <c r="G25" s="60">
        <f>AVERAGE(E25:F25)</f>
        <v>0.095</v>
      </c>
      <c r="H25" s="66">
        <v>0.095</v>
      </c>
      <c r="I25" s="98" t="str">
        <f>IF(NOT(ISNUMBER(H25)),"Pending",IF(LEFT(K25,5)="3Q26E","Est. ","Act. ")&amp;IF(H25&lt;E25-L25,"below guide",IF(H25&gt;F25+L25,"above guide","within guide"))&amp;IF(AND(M25&lt;&gt;"n.a.",OR(H25&lt;E25-L25,H25&gt;F25+L25)),IF((H25&gt;F25+L25)=(M25="higher")," (favorable)"," (unfavorable)"),""))</f>
        <v>Act. within guide</v>
      </c>
      <c r="J25" s="113" t="s">
        <v>526</v>
      </c>
      <c r="K25" s="113" t="s">
        <v>527</v>
      </c>
      <c r="L25" s="96">
        <v>0</v>
      </c>
      <c r="M25" s="97" t="s">
        <v>447</v>
      </c>
    </row>
    <row r="26" ht="28.5">
      <c r="A26" s="7"/>
      <c r="B26" s="141" t="s">
        <v>528</v>
      </c>
      <c r="C26" s="7"/>
      <c r="D26" s="7"/>
      <c r="E26" s="7"/>
      <c r="F26" s="7"/>
      <c r="G26" s="7"/>
      <c r="H26" s="49"/>
      <c r="I26" s="7"/>
      <c r="J26" s="7"/>
      <c r="K26" s="7"/>
    </row>
    <row r="27">
      <c r="A27" s="7"/>
      <c r="B27" s="34" t="s">
        <v>529</v>
      </c>
      <c r="C27" s="9"/>
      <c r="D27" s="9"/>
      <c r="E27" s="9"/>
      <c r="F27" s="9"/>
      <c r="G27" s="9"/>
      <c r="H27" s="43"/>
      <c r="I27" s="7"/>
      <c r="J27" s="7"/>
      <c r="K27" s="7"/>
    </row>
    <row r="28">
      <c r="A28" s="7"/>
      <c r="B28" s="1" t="s">
        <v>530</v>
      </c>
      <c r="C28" s="12"/>
      <c r="D28" s="12"/>
      <c r="E28" s="12"/>
      <c r="F28" s="12"/>
      <c r="G28" s="12"/>
      <c r="H28" s="32">
        <f>'Income Statement'!E163</f>
        <v>2585</v>
      </c>
      <c r="I28" s="7"/>
      <c r="J28" s="7"/>
      <c r="K28" s="7"/>
    </row>
    <row r="29">
      <c r="A29" s="7"/>
      <c r="B29" s="1" t="s">
        <v>531</v>
      </c>
      <c r="C29" s="12"/>
      <c r="D29" s="12"/>
      <c r="E29" s="12"/>
      <c r="F29" s="12"/>
      <c r="G29" s="12"/>
      <c r="H29" s="32">
        <f>'Income Statement'!F163+'Income Statement'!G163</f>
        <v>1295</v>
      </c>
      <c r="I29" s="7"/>
      <c r="J29" s="7"/>
      <c r="K29" s="7"/>
    </row>
    <row r="30">
      <c r="A30" s="7"/>
      <c r="B30" s="1" t="s">
        <v>532</v>
      </c>
      <c r="C30" s="12"/>
      <c r="D30" s="12"/>
      <c r="E30" s="12"/>
      <c r="F30" s="12"/>
      <c r="G30" s="12"/>
      <c r="H30" s="42">
        <f>(H28*(1+E10)-H29)/2</f>
        <v>683.7750000000001</v>
      </c>
      <c r="I30" s="7"/>
      <c r="J30" s="7"/>
      <c r="K30" s="7"/>
    </row>
    <row r="31">
      <c r="A31" s="7"/>
      <c r="B31" s="1" t="s">
        <v>533</v>
      </c>
      <c r="C31" s="12"/>
      <c r="D31" s="12"/>
      <c r="E31" s="12"/>
      <c r="F31" s="12"/>
      <c r="G31" s="12"/>
      <c r="H31" s="42">
        <f>(H28*(1+F10)-H29)/2</f>
        <v>709.625</v>
      </c>
      <c r="I31" s="7"/>
      <c r="J31" s="7"/>
      <c r="K31" s="7"/>
    </row>
    <row r="32">
      <c r="A32" s="7"/>
      <c r="B32" s="1" t="s">
        <v>534</v>
      </c>
      <c r="C32" s="12"/>
      <c r="D32" s="12"/>
      <c r="E32" s="12"/>
      <c r="F32" s="12"/>
      <c r="G32" s="12"/>
      <c r="H32" s="32">
        <f>'Income Statement'!G52*(1+G20)</f>
        <v>1302.54</v>
      </c>
      <c r="I32" s="7"/>
      <c r="J32" s="7"/>
      <c r="K32" s="7"/>
    </row>
    <row r="33">
      <c r="A33" s="7"/>
      <c r="B33" s="1" t="s">
        <v>535</v>
      </c>
      <c r="C33" s="12"/>
      <c r="D33" s="12"/>
      <c r="E33" s="12"/>
      <c r="F33" s="12"/>
      <c r="G33" s="12"/>
      <c r="H33" s="32">
        <f>H32+'Revenue summary'!H414+H30</f>
        <v>2000.315</v>
      </c>
      <c r="I33" s="7"/>
      <c r="J33" s="7"/>
      <c r="K33" s="7"/>
    </row>
    <row r="34">
      <c r="A34" s="7"/>
      <c r="B34" s="1" t="s">
        <v>536</v>
      </c>
      <c r="C34" s="12"/>
      <c r="D34" s="12"/>
      <c r="E34" s="12"/>
      <c r="F34" s="12"/>
      <c r="G34" s="12"/>
      <c r="H34" s="32">
        <f>H32+'Revenue summary'!H414+H31</f>
        <v>2026.165</v>
      </c>
      <c r="I34" s="7"/>
      <c r="J34" s="7"/>
      <c r="K34" s="7"/>
    </row>
    <row r="35">
      <c r="A35" s="7"/>
      <c r="B35" s="34" t="s">
        <v>537</v>
      </c>
      <c r="C35" s="35"/>
      <c r="D35" s="35"/>
      <c r="E35" s="35"/>
      <c r="F35" s="35"/>
      <c r="G35" s="35"/>
      <c r="H35" s="50">
        <f>AVERAGE(H33,H34)</f>
        <v>2013.24</v>
      </c>
      <c r="I35" s="7"/>
      <c r="J35" s="7"/>
      <c r="K35" s="7"/>
    </row>
    <row r="36">
      <c r="A36" s="7"/>
      <c r="B36" s="7"/>
      <c r="C36" s="7"/>
      <c r="D36" s="7"/>
      <c r="E36" s="7"/>
      <c r="F36" s="7"/>
      <c r="G36" s="7"/>
      <c r="H36" s="49"/>
      <c r="I36" s="7"/>
      <c r="J36" s="7"/>
      <c r="K36" s="7"/>
    </row>
    <row r="37">
      <c r="A37" s="7"/>
      <c r="B37" s="34" t="s">
        <v>538</v>
      </c>
      <c r="C37" s="9"/>
      <c r="D37" s="9"/>
      <c r="E37" s="9"/>
      <c r="F37" s="9"/>
      <c r="G37" s="9"/>
      <c r="H37" s="43"/>
      <c r="I37" s="7"/>
      <c r="J37" s="7"/>
      <c r="K37" s="7"/>
    </row>
    <row r="38" ht="28.5">
      <c r="A38" s="7"/>
      <c r="B38" s="139" t="s">
        <v>539</v>
      </c>
      <c r="C38" s="4"/>
      <c r="D38" s="4"/>
      <c r="E38" s="4"/>
      <c r="F38" s="4"/>
      <c r="G38" s="4"/>
      <c r="H38" s="70"/>
      <c r="I38" s="7"/>
      <c r="J38" s="7"/>
      <c r="K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</sheetData>
  <mergeCells count="2">
    <mergeCell ref="B26:M26"/>
    <mergeCell ref="B38:M38"/>
  </mergeCell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8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45" customWidth="1"/>
    <col min="10" max="10" width="16" customWidth="1"/>
    <col min="11" max="11" width="12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  <c r="J1" s="7"/>
      <c r="K1" s="7"/>
    </row>
    <row r="2">
      <c r="A2" s="7"/>
      <c r="B2" s="18" t="s">
        <v>540</v>
      </c>
      <c r="C2" s="7"/>
      <c r="D2" s="7"/>
      <c r="E2" s="7"/>
      <c r="F2" s="7"/>
      <c r="G2" s="7"/>
      <c r="H2" s="7"/>
      <c r="I2" s="7"/>
      <c r="J2" s="7"/>
      <c r="K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  <c r="J3" s="7"/>
      <c r="K3" s="7"/>
    </row>
    <row r="4">
      <c r="A4" s="7"/>
      <c r="B4" s="27" t="s">
        <v>477</v>
      </c>
      <c r="C4" s="3"/>
      <c r="D4" s="3"/>
      <c r="E4" s="3"/>
      <c r="F4" s="3"/>
      <c r="G4" s="3"/>
      <c r="H4" s="3"/>
      <c r="I4" s="116"/>
      <c r="J4" s="7"/>
      <c r="K4" s="7"/>
    </row>
    <row r="5">
      <c r="A5" s="7"/>
      <c r="B5" s="55"/>
      <c r="C5" s="6"/>
      <c r="D5" s="6"/>
      <c r="E5" s="6"/>
      <c r="F5" s="6"/>
      <c r="G5" s="6"/>
      <c r="H5" s="6"/>
      <c r="I5" s="6"/>
      <c r="J5" s="7"/>
      <c r="K5" s="7"/>
    </row>
    <row r="6">
      <c r="A6" s="7"/>
      <c r="B6" s="21"/>
      <c r="C6" s="17"/>
      <c r="D6" s="17"/>
      <c r="E6" s="17"/>
      <c r="F6" s="17"/>
      <c r="G6" s="17"/>
      <c r="H6" s="17"/>
      <c r="I6" s="17"/>
      <c r="J6" s="7"/>
      <c r="K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>
      <c r="A8" s="7"/>
      <c r="B8" s="34" t="s">
        <v>541</v>
      </c>
      <c r="C8" s="9" t="s">
        <v>542</v>
      </c>
      <c r="D8" s="93" t="s">
        <v>543</v>
      </c>
      <c r="E8" s="129" t="s">
        <v>544</v>
      </c>
      <c r="F8" s="9"/>
      <c r="G8" s="9"/>
      <c r="H8" s="9"/>
      <c r="I8" s="140" t="s">
        <v>545</v>
      </c>
      <c r="J8" s="140" t="s">
        <v>546</v>
      </c>
      <c r="K8" s="7"/>
    </row>
    <row r="9">
      <c r="A9" s="7"/>
      <c r="B9" s="8" t="s">
        <v>547</v>
      </c>
      <c r="C9" s="19" t="s">
        <v>548</v>
      </c>
      <c r="D9" s="16">
        <v>46306</v>
      </c>
      <c r="E9" s="128" t="s">
        <v>549</v>
      </c>
      <c r="F9" s="11"/>
      <c r="G9" s="11"/>
      <c r="H9" s="11"/>
      <c r="I9" s="19" t="s">
        <v>550</v>
      </c>
      <c r="J9" s="19" t="s">
        <v>551</v>
      </c>
      <c r="K9" s="7"/>
    </row>
    <row r="10">
      <c r="A10" s="7"/>
      <c r="B10" s="8" t="s">
        <v>552</v>
      </c>
      <c r="C10" s="19" t="s">
        <v>553</v>
      </c>
      <c r="D10" s="16">
        <v>46306</v>
      </c>
      <c r="E10" s="128" t="s">
        <v>549</v>
      </c>
      <c r="F10" s="11"/>
      <c r="G10" s="11"/>
      <c r="H10" s="11"/>
      <c r="I10" s="19" t="s">
        <v>554</v>
      </c>
      <c r="J10" s="19" t="s">
        <v>555</v>
      </c>
      <c r="K10" s="7"/>
    </row>
    <row r="11">
      <c r="A11" s="7"/>
      <c r="B11" s="8" t="s">
        <v>556</v>
      </c>
      <c r="C11" s="19" t="s">
        <v>156</v>
      </c>
      <c r="D11" s="16">
        <v>46220</v>
      </c>
      <c r="E11" s="128" t="s">
        <v>557</v>
      </c>
      <c r="F11" s="11"/>
      <c r="G11" s="11"/>
      <c r="H11" s="11"/>
      <c r="I11" s="19" t="s">
        <v>558</v>
      </c>
      <c r="J11" s="19" t="s">
        <v>559</v>
      </c>
      <c r="K11" s="7"/>
    </row>
    <row r="12">
      <c r="A12" s="7"/>
      <c r="B12" s="8" t="s">
        <v>560</v>
      </c>
      <c r="C12" s="19" t="s">
        <v>561</v>
      </c>
      <c r="D12" s="16">
        <v>46220</v>
      </c>
      <c r="E12" s="128" t="s">
        <v>557</v>
      </c>
      <c r="F12" s="11"/>
      <c r="G12" s="11"/>
      <c r="H12" s="11"/>
      <c r="I12" s="19" t="s">
        <v>562</v>
      </c>
      <c r="J12" s="19" t="s">
        <v>563</v>
      </c>
      <c r="K12" s="7"/>
    </row>
    <row r="13">
      <c r="A13" s="7"/>
      <c r="B13" s="8" t="s">
        <v>564</v>
      </c>
      <c r="C13" s="19" t="s">
        <v>565</v>
      </c>
      <c r="D13" s="16">
        <v>46220</v>
      </c>
      <c r="E13" s="128" t="s">
        <v>566</v>
      </c>
      <c r="F13" s="11"/>
      <c r="G13" s="11"/>
      <c r="H13" s="11"/>
      <c r="I13" s="19" t="s">
        <v>567</v>
      </c>
      <c r="J13" s="19" t="s">
        <v>568</v>
      </c>
      <c r="K13" s="7"/>
    </row>
    <row r="14">
      <c r="A14" s="7"/>
      <c r="B14" s="8" t="s">
        <v>569</v>
      </c>
      <c r="C14" s="19" t="s">
        <v>570</v>
      </c>
      <c r="D14" s="16">
        <v>46240</v>
      </c>
      <c r="E14" s="128" t="s">
        <v>557</v>
      </c>
      <c r="F14" s="11"/>
      <c r="G14" s="11"/>
      <c r="H14" s="11"/>
      <c r="I14" s="19" t="s">
        <v>571</v>
      </c>
      <c r="J14" s="19" t="s">
        <v>572</v>
      </c>
      <c r="K14" s="7"/>
    </row>
    <row r="15">
      <c r="A15" s="7"/>
      <c r="B15" s="8" t="s">
        <v>573</v>
      </c>
      <c r="C15" s="19" t="s">
        <v>574</v>
      </c>
      <c r="D15" s="16">
        <v>46149</v>
      </c>
      <c r="E15" s="128" t="s">
        <v>557</v>
      </c>
      <c r="F15" s="11"/>
      <c r="G15" s="11"/>
      <c r="H15" s="11"/>
      <c r="I15" s="19" t="s">
        <v>575</v>
      </c>
      <c r="J15" s="19" t="s">
        <v>576</v>
      </c>
      <c r="K15" s="7"/>
    </row>
    <row r="16">
      <c r="A16" s="7"/>
      <c r="B16" s="8" t="s">
        <v>577</v>
      </c>
      <c r="C16" s="19" t="s">
        <v>578</v>
      </c>
      <c r="D16" s="16">
        <v>46077</v>
      </c>
      <c r="E16" s="128" t="s">
        <v>557</v>
      </c>
      <c r="F16" s="11"/>
      <c r="G16" s="11"/>
      <c r="H16" s="11"/>
      <c r="I16" s="19" t="s">
        <v>579</v>
      </c>
      <c r="J16" s="19" t="s">
        <v>580</v>
      </c>
      <c r="K16" s="7"/>
    </row>
    <row r="17">
      <c r="A17" s="7"/>
      <c r="B17" s="8" t="s">
        <v>581</v>
      </c>
      <c r="C17" s="19" t="s">
        <v>582</v>
      </c>
      <c r="D17" s="16">
        <v>45965</v>
      </c>
      <c r="E17" s="128" t="s">
        <v>557</v>
      </c>
      <c r="F17" s="11"/>
      <c r="G17" s="11"/>
      <c r="H17" s="11"/>
      <c r="I17" s="19" t="s">
        <v>583</v>
      </c>
      <c r="J17" s="19" t="s">
        <v>584</v>
      </c>
      <c r="K17" s="7"/>
    </row>
    <row r="18">
      <c r="A18" s="7"/>
      <c r="B18" s="8" t="s">
        <v>585</v>
      </c>
      <c r="C18" s="19" t="s">
        <v>586</v>
      </c>
      <c r="D18" s="16">
        <v>46038</v>
      </c>
      <c r="E18" s="128" t="s">
        <v>557</v>
      </c>
      <c r="F18" s="11"/>
      <c r="G18" s="11"/>
      <c r="H18" s="11"/>
      <c r="I18" s="19" t="s">
        <v>587</v>
      </c>
      <c r="J18" s="19" t="s">
        <v>588</v>
      </c>
      <c r="K18" s="7"/>
    </row>
    <row r="19">
      <c r="A19" s="7"/>
      <c r="B19" s="8" t="s">
        <v>589</v>
      </c>
      <c r="C19" s="19" t="s">
        <v>505</v>
      </c>
      <c r="D19" s="16">
        <v>46038</v>
      </c>
      <c r="E19" s="128" t="s">
        <v>566</v>
      </c>
      <c r="F19" s="11"/>
      <c r="G19" s="11"/>
      <c r="H19" s="11"/>
      <c r="I19" s="19" t="s">
        <v>590</v>
      </c>
      <c r="J19" s="19" t="s">
        <v>591</v>
      </c>
      <c r="K19" s="7"/>
    </row>
    <row r="20">
      <c r="A20" s="7"/>
      <c r="B20" s="8" t="s">
        <v>592</v>
      </c>
      <c r="C20" s="19" t="s">
        <v>510</v>
      </c>
      <c r="D20" s="16">
        <v>46129</v>
      </c>
      <c r="E20" s="128" t="s">
        <v>566</v>
      </c>
      <c r="F20" s="11"/>
      <c r="G20" s="11"/>
      <c r="H20" s="11"/>
      <c r="I20" s="19" t="s">
        <v>593</v>
      </c>
      <c r="J20" s="19" t="s">
        <v>594</v>
      </c>
      <c r="K20" s="7"/>
    </row>
    <row r="21">
      <c r="A21" s="7"/>
      <c r="B21" s="8" t="s">
        <v>595</v>
      </c>
      <c r="C21" s="19" t="s">
        <v>596</v>
      </c>
      <c r="D21" s="16">
        <v>46265</v>
      </c>
      <c r="E21" s="128" t="s">
        <v>557</v>
      </c>
      <c r="F21" s="11"/>
      <c r="G21" s="11"/>
      <c r="H21" s="11"/>
      <c r="I21" s="19" t="s">
        <v>597</v>
      </c>
      <c r="J21" s="19" t="s">
        <v>598</v>
      </c>
      <c r="K21" s="7"/>
    </row>
    <row r="22">
      <c r="A22" s="7"/>
      <c r="B22" s="8" t="s">
        <v>599</v>
      </c>
      <c r="C22" s="19" t="s">
        <v>520</v>
      </c>
      <c r="D22" s="16">
        <v>46287</v>
      </c>
      <c r="E22" s="128" t="s">
        <v>600</v>
      </c>
      <c r="F22" s="11"/>
      <c r="G22" s="11"/>
      <c r="H22" s="11"/>
      <c r="I22" s="19" t="s">
        <v>601</v>
      </c>
      <c r="J22" s="19" t="s">
        <v>602</v>
      </c>
      <c r="K22" s="7"/>
    </row>
    <row r="23">
      <c r="A23" s="7"/>
      <c r="B23" s="8" t="s">
        <v>603</v>
      </c>
      <c r="C23" s="19" t="s">
        <v>604</v>
      </c>
      <c r="D23" s="16">
        <v>46281</v>
      </c>
      <c r="E23" s="128" t="s">
        <v>605</v>
      </c>
      <c r="F23" s="11"/>
      <c r="G23" s="11"/>
      <c r="H23" s="11"/>
      <c r="I23" s="19" t="s">
        <v>606</v>
      </c>
      <c r="J23" s="19" t="s">
        <v>607</v>
      </c>
      <c r="K23" s="7"/>
    </row>
    <row r="24">
      <c r="A24" s="7"/>
      <c r="B24" s="8" t="s">
        <v>608</v>
      </c>
      <c r="C24" s="19" t="s">
        <v>609</v>
      </c>
      <c r="D24" s="16">
        <v>46281</v>
      </c>
      <c r="E24" s="128" t="s">
        <v>610</v>
      </c>
      <c r="F24" s="11"/>
      <c r="G24" s="11"/>
      <c r="H24" s="11"/>
      <c r="I24" s="19" t="s">
        <v>611</v>
      </c>
      <c r="J24" s="19" t="s">
        <v>612</v>
      </c>
      <c r="K24" s="7"/>
    </row>
    <row r="25">
      <c r="A25" s="7"/>
      <c r="B25" s="8" t="s">
        <v>613</v>
      </c>
      <c r="C25" s="19" t="s">
        <v>614</v>
      </c>
      <c r="D25" s="16">
        <v>46295</v>
      </c>
      <c r="E25" s="128" t="s">
        <v>615</v>
      </c>
      <c r="F25" s="11"/>
      <c r="G25" s="11"/>
      <c r="H25" s="11"/>
      <c r="I25" s="19" t="s">
        <v>616</v>
      </c>
      <c r="J25" s="19" t="s">
        <v>617</v>
      </c>
      <c r="K25" s="7"/>
    </row>
    <row r="26">
      <c r="A26" s="7"/>
      <c r="B26" s="8" t="s">
        <v>618</v>
      </c>
      <c r="C26" s="19" t="s">
        <v>619</v>
      </c>
      <c r="D26" s="16">
        <v>46298</v>
      </c>
      <c r="E26" s="128" t="s">
        <v>620</v>
      </c>
      <c r="F26" s="11"/>
      <c r="G26" s="11"/>
      <c r="H26" s="11"/>
      <c r="I26" s="19" t="s">
        <v>621</v>
      </c>
      <c r="J26" s="19" t="s">
        <v>622</v>
      </c>
      <c r="K26" s="7"/>
    </row>
    <row r="27">
      <c r="A27" s="7"/>
      <c r="B27" s="8" t="s">
        <v>623</v>
      </c>
      <c r="C27" s="19" t="s">
        <v>624</v>
      </c>
      <c r="D27" s="16">
        <v>46304</v>
      </c>
      <c r="E27" s="128" t="s">
        <v>625</v>
      </c>
      <c r="F27" s="11"/>
      <c r="G27" s="11"/>
      <c r="H27" s="11"/>
      <c r="I27" s="19" t="s">
        <v>626</v>
      </c>
      <c r="J27" s="19" t="s">
        <v>627</v>
      </c>
      <c r="K27" s="7"/>
    </row>
    <row r="28">
      <c r="A28" s="7"/>
      <c r="B28" s="8" t="s">
        <v>628</v>
      </c>
      <c r="C28" s="19" t="s">
        <v>629</v>
      </c>
      <c r="D28" s="16">
        <v>46303</v>
      </c>
      <c r="E28" s="128" t="s">
        <v>630</v>
      </c>
      <c r="F28" s="11"/>
      <c r="G28" s="11"/>
      <c r="H28" s="11"/>
      <c r="I28" s="19" t="s">
        <v>631</v>
      </c>
      <c r="J28" s="19" t="s">
        <v>632</v>
      </c>
      <c r="K28" s="7"/>
    </row>
    <row r="29">
      <c r="A29" s="7"/>
      <c r="B29" s="8" t="s">
        <v>633</v>
      </c>
      <c r="C29" s="19" t="s">
        <v>634</v>
      </c>
      <c r="D29" s="16">
        <v>46303</v>
      </c>
      <c r="E29" s="128" t="s">
        <v>635</v>
      </c>
      <c r="F29" s="11"/>
      <c r="G29" s="11"/>
      <c r="H29" s="11"/>
      <c r="I29" s="19" t="s">
        <v>636</v>
      </c>
      <c r="J29" s="19" t="s">
        <v>637</v>
      </c>
      <c r="K29" s="7"/>
    </row>
    <row r="30">
      <c r="A30" s="7"/>
      <c r="B30" s="8" t="s">
        <v>638</v>
      </c>
      <c r="C30" s="19" t="s">
        <v>639</v>
      </c>
      <c r="D30" s="16">
        <v>46306</v>
      </c>
      <c r="E30" s="128" t="s">
        <v>640</v>
      </c>
      <c r="F30" s="11"/>
      <c r="G30" s="11"/>
      <c r="H30" s="11"/>
      <c r="I30" s="19" t="s">
        <v>641</v>
      </c>
      <c r="J30" s="19" t="s">
        <v>642</v>
      </c>
      <c r="K30" s="7"/>
    </row>
    <row r="31">
      <c r="A31" s="7"/>
      <c r="B31" s="8" t="s">
        <v>643</v>
      </c>
      <c r="C31" s="19" t="s">
        <v>644</v>
      </c>
      <c r="D31" s="16">
        <v>46205</v>
      </c>
      <c r="E31" s="128" t="s">
        <v>605</v>
      </c>
      <c r="F31" s="11"/>
      <c r="G31" s="11"/>
      <c r="H31" s="11"/>
      <c r="I31" s="19" t="s">
        <v>645</v>
      </c>
      <c r="J31" s="19" t="s">
        <v>646</v>
      </c>
      <c r="K31" s="7"/>
    </row>
    <row r="32">
      <c r="A32" s="7"/>
      <c r="B32" s="8" t="s">
        <v>647</v>
      </c>
      <c r="C32" s="19" t="s">
        <v>648</v>
      </c>
      <c r="D32" s="16">
        <v>46001</v>
      </c>
      <c r="E32" s="128" t="s">
        <v>605</v>
      </c>
      <c r="F32" s="11"/>
      <c r="G32" s="11"/>
      <c r="H32" s="11"/>
      <c r="I32" s="19" t="s">
        <v>449</v>
      </c>
      <c r="J32" s="19" t="s">
        <v>649</v>
      </c>
      <c r="K32" s="7"/>
    </row>
    <row r="33">
      <c r="A33" s="7"/>
      <c r="B33" s="8" t="s">
        <v>650</v>
      </c>
      <c r="C33" s="19" t="s">
        <v>651</v>
      </c>
      <c r="D33" s="16">
        <v>46306</v>
      </c>
      <c r="E33" s="128" t="s">
        <v>652</v>
      </c>
      <c r="F33" s="11"/>
      <c r="G33" s="11"/>
      <c r="H33" s="11"/>
      <c r="I33" s="19" t="s">
        <v>653</v>
      </c>
      <c r="J33" s="19" t="s">
        <v>654</v>
      </c>
      <c r="K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ht="28.5">
      <c r="A35" s="7"/>
      <c r="B35" s="139" t="s">
        <v>655</v>
      </c>
      <c r="C35" s="4"/>
      <c r="D35" s="4"/>
      <c r="E35" s="4"/>
      <c r="F35" s="4"/>
      <c r="G35" s="4"/>
      <c r="H35" s="4"/>
      <c r="I35" s="7"/>
      <c r="J35" s="7"/>
      <c r="K35" s="7"/>
    </row>
    <row r="36" ht="28.5">
      <c r="A36" s="7"/>
      <c r="B36" s="139" t="s">
        <v>656</v>
      </c>
      <c r="C36" s="4"/>
      <c r="D36" s="4"/>
      <c r="E36" s="4"/>
      <c r="F36" s="4"/>
      <c r="G36" s="4"/>
      <c r="H36" s="4"/>
      <c r="I36" s="7"/>
      <c r="J36" s="7"/>
      <c r="K36" s="7"/>
    </row>
    <row r="37" ht="54">
      <c r="A37" s="7"/>
      <c r="B37" s="139" t="s">
        <v>657</v>
      </c>
      <c r="C37" s="7"/>
      <c r="D37" s="7"/>
      <c r="E37" s="7"/>
      <c r="F37" s="7"/>
      <c r="G37" s="7"/>
      <c r="H37" s="7"/>
      <c r="I37" s="7"/>
      <c r="J37" s="7"/>
      <c r="K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3">
    <mergeCell ref="B35:J35"/>
    <mergeCell ref="B37:J37"/>
    <mergeCell ref="B36:J36"/>
  </mergeCells>
</worksheet>
</file>

<file path=xl/worksheets/sheet12.xml><?xml version="1.0" encoding="utf-8"?>
<worksheet xmlns="http://schemas.openxmlformats.org/spreadsheetml/2006/main" xmlns:r="http://schemas.openxmlformats.org/officeDocument/2006/relationships">
  <dimension ref="A1:K384"/>
  <sheetViews>
    <sheetView showGridLines="0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26" customWidth="1"/>
    <col min="10" max="10" width="16" customWidth="1"/>
    <col min="11" max="11" width="12" customWidth="1"/>
  </cols>
  <sheetData>
    <row r="1">
      <c r="A1" s="7"/>
      <c r="B1" s="18" t="s">
        <v>0</v>
      </c>
      <c r="C1" s="7"/>
      <c r="D1" s="7"/>
      <c r="E1" s="7"/>
      <c r="F1" s="7"/>
      <c r="G1" s="7"/>
      <c r="H1" s="7"/>
      <c r="I1" s="7"/>
      <c r="J1" s="7"/>
      <c r="K1" s="7"/>
    </row>
    <row r="2">
      <c r="A2" s="7"/>
      <c r="B2" s="18" t="s">
        <v>658</v>
      </c>
      <c r="C2" s="7"/>
      <c r="D2" s="7"/>
      <c r="E2" s="7"/>
      <c r="F2" s="7"/>
      <c r="G2" s="7"/>
      <c r="H2" s="7"/>
      <c r="I2" s="7"/>
      <c r="J2" s="7"/>
      <c r="K2" s="7"/>
    </row>
    <row r="3">
      <c r="A3" s="7"/>
      <c r="B3" s="57" t="s">
        <v>2</v>
      </c>
      <c r="C3" s="7"/>
      <c r="D3" s="7"/>
      <c r="E3" s="7"/>
      <c r="F3" s="7"/>
      <c r="G3" s="7"/>
      <c r="H3" s="7"/>
      <c r="I3" s="7"/>
      <c r="J3" s="7"/>
      <c r="K3" s="7"/>
    </row>
    <row r="4">
      <c r="A4" s="7"/>
      <c r="B4" s="27" t="s">
        <v>3</v>
      </c>
      <c r="C4" s="3" t="s">
        <v>659</v>
      </c>
      <c r="D4" s="3" t="s">
        <v>660</v>
      </c>
      <c r="E4" s="3" t="s">
        <v>661</v>
      </c>
      <c r="F4" s="3" t="s">
        <v>662</v>
      </c>
      <c r="G4" s="3" t="s">
        <v>663</v>
      </c>
      <c r="H4" s="3" t="s">
        <v>664</v>
      </c>
      <c r="I4" s="3" t="s">
        <v>665</v>
      </c>
      <c r="J4" s="117"/>
      <c r="K4" s="7"/>
    </row>
    <row r="5">
      <c r="A5" s="7"/>
      <c r="B5" s="55" t="s">
        <v>6</v>
      </c>
      <c r="C5" s="6">
        <v>45565</v>
      </c>
      <c r="D5" s="6">
        <v>45657</v>
      </c>
      <c r="E5" s="6">
        <v>45657</v>
      </c>
      <c r="F5" s="6">
        <v>45747</v>
      </c>
      <c r="G5" s="6">
        <v>45838</v>
      </c>
      <c r="H5" s="6">
        <v>45565</v>
      </c>
      <c r="I5" s="6">
        <v>45930</v>
      </c>
      <c r="J5" s="7"/>
      <c r="K5" s="7"/>
    </row>
    <row r="6">
      <c r="A6" s="7"/>
      <c r="B6" s="21" t="s">
        <v>7</v>
      </c>
      <c r="C6" s="17">
        <v>92</v>
      </c>
      <c r="D6" s="17">
        <v>92</v>
      </c>
      <c r="E6" s="17">
        <v>366</v>
      </c>
      <c r="F6" s="17">
        <v>90</v>
      </c>
      <c r="G6" s="17">
        <v>91</v>
      </c>
      <c r="H6" s="17">
        <v>274</v>
      </c>
      <c r="I6" s="17">
        <v>273</v>
      </c>
      <c r="J6" s="7"/>
      <c r="K6" s="7"/>
    </row>
    <row r="7">
      <c r="A7" s="7"/>
      <c r="B7" s="145" t="s">
        <v>666</v>
      </c>
      <c r="C7" s="7"/>
      <c r="D7" s="7"/>
      <c r="E7" s="7"/>
      <c r="F7" s="7"/>
      <c r="G7" s="7"/>
      <c r="H7" s="7"/>
      <c r="I7" s="7"/>
      <c r="J7" s="7"/>
      <c r="K7" s="7"/>
    </row>
    <row r="8">
      <c r="A8" s="7"/>
      <c r="B8" s="34" t="s">
        <v>667</v>
      </c>
      <c r="C8" s="9"/>
      <c r="D8" s="9"/>
      <c r="E8" s="9"/>
      <c r="F8" s="9"/>
      <c r="G8" s="9"/>
      <c r="H8" s="9"/>
      <c r="I8" s="9"/>
      <c r="J8" s="7"/>
      <c r="K8" s="7"/>
    </row>
    <row r="9">
      <c r="A9" s="7"/>
      <c r="B9" s="34" t="s">
        <v>668</v>
      </c>
      <c r="C9" s="9" t="s">
        <v>669</v>
      </c>
      <c r="D9" s="9"/>
      <c r="E9" s="9"/>
      <c r="F9" s="9"/>
      <c r="G9" s="9"/>
      <c r="H9" s="9"/>
      <c r="I9" s="9" t="s">
        <v>670</v>
      </c>
      <c r="J9" s="7"/>
      <c r="K9" s="7"/>
    </row>
    <row r="10">
      <c r="A10" s="7"/>
      <c r="B10" s="8" t="s">
        <v>671</v>
      </c>
      <c r="C10" s="19" t="s">
        <v>549</v>
      </c>
      <c r="D10" s="11"/>
      <c r="E10" s="11"/>
      <c r="F10" s="11"/>
      <c r="G10" s="11"/>
      <c r="H10" s="11"/>
      <c r="I10" s="11"/>
      <c r="J10" s="7"/>
      <c r="K10" s="7"/>
    </row>
    <row r="11">
      <c r="A11" s="7"/>
      <c r="B11" s="8" t="s">
        <v>672</v>
      </c>
      <c r="C11" s="19" t="s">
        <v>13</v>
      </c>
      <c r="D11" s="11"/>
      <c r="E11" s="11"/>
      <c r="F11" s="11"/>
      <c r="G11" s="11"/>
      <c r="H11" s="11"/>
      <c r="I11" s="11"/>
      <c r="J11" s="7"/>
      <c r="K11" s="7"/>
    </row>
    <row r="12">
      <c r="A12" s="7"/>
      <c r="B12" s="8" t="s">
        <v>673</v>
      </c>
      <c r="C12" s="19" t="s">
        <v>11</v>
      </c>
      <c r="D12" s="11"/>
      <c r="E12" s="11"/>
      <c r="F12" s="11"/>
      <c r="G12" s="11"/>
      <c r="H12" s="11"/>
      <c r="I12" s="11"/>
      <c r="J12" s="7"/>
      <c r="K12" s="7"/>
    </row>
    <row r="13">
      <c r="A13" s="7"/>
      <c r="B13" s="8" t="s">
        <v>674</v>
      </c>
      <c r="C13" s="19" t="s">
        <v>675</v>
      </c>
      <c r="D13" s="11"/>
      <c r="E13" s="11"/>
      <c r="F13" s="11"/>
      <c r="G13" s="11"/>
      <c r="H13" s="11"/>
      <c r="I13" s="11"/>
      <c r="J13" s="7"/>
      <c r="K13" s="7"/>
    </row>
    <row r="14">
      <c r="A14" s="7"/>
      <c r="B14" s="8" t="s">
        <v>676</v>
      </c>
      <c r="C14" s="16">
        <v>46295</v>
      </c>
      <c r="D14" s="11"/>
      <c r="E14" s="11"/>
      <c r="F14" s="11"/>
      <c r="G14" s="11"/>
      <c r="H14" s="11"/>
      <c r="I14" s="11"/>
      <c r="J14" s="7"/>
      <c r="K14" s="7"/>
    </row>
    <row r="15">
      <c r="A15" s="7"/>
      <c r="B15" s="8" t="s">
        <v>677</v>
      </c>
      <c r="C15" s="16">
        <v>46306</v>
      </c>
      <c r="D15" s="11"/>
      <c r="E15" s="11"/>
      <c r="F15" s="11"/>
      <c r="G15" s="11"/>
      <c r="H15" s="11"/>
      <c r="I15" s="11"/>
      <c r="J15" s="7"/>
      <c r="K15" s="7"/>
    </row>
    <row r="16">
      <c r="A16" s="7"/>
      <c r="B16" s="8" t="s">
        <v>678</v>
      </c>
      <c r="C16" s="86">
        <v>16</v>
      </c>
      <c r="D16" s="11"/>
      <c r="E16" s="11"/>
      <c r="F16" s="11"/>
      <c r="G16" s="11"/>
      <c r="H16" s="11"/>
      <c r="I16" s="11"/>
      <c r="J16" s="7"/>
      <c r="K16" s="7"/>
    </row>
    <row r="17">
      <c r="A17" s="7"/>
      <c r="B17" s="8" t="s">
        <v>679</v>
      </c>
      <c r="C17" s="37">
        <v>0.66</v>
      </c>
      <c r="D17" s="11"/>
      <c r="E17" s="11"/>
      <c r="F17" s="11"/>
      <c r="G17" s="11"/>
      <c r="H17" s="11"/>
      <c r="I17" s="11"/>
      <c r="J17" s="7"/>
      <c r="K17" s="7"/>
    </row>
    <row r="18">
      <c r="A18" s="7"/>
      <c r="B18" s="8" t="s">
        <v>680</v>
      </c>
      <c r="C18" s="19" t="s">
        <v>681</v>
      </c>
      <c r="D18" s="11"/>
      <c r="E18" s="11"/>
      <c r="F18" s="11"/>
      <c r="G18" s="11"/>
      <c r="H18" s="11"/>
      <c r="I18" s="11"/>
      <c r="J18" s="7"/>
      <c r="K18" s="7"/>
    </row>
    <row r="19">
      <c r="A19" s="7"/>
      <c r="B19" s="8" t="s">
        <v>682</v>
      </c>
      <c r="C19" s="31">
        <v>1997.09</v>
      </c>
      <c r="D19" s="11"/>
      <c r="E19" s="11"/>
      <c r="F19" s="11"/>
      <c r="G19" s="11"/>
      <c r="H19" s="11"/>
      <c r="I19" s="11"/>
      <c r="J19" s="7"/>
      <c r="K19" s="7"/>
    </row>
    <row r="20">
      <c r="A20" s="7"/>
      <c r="B20" s="8" t="s">
        <v>683</v>
      </c>
      <c r="C20" s="19" t="s">
        <v>684</v>
      </c>
      <c r="D20" s="11"/>
      <c r="E20" s="11"/>
      <c r="F20" s="11"/>
      <c r="G20" s="11"/>
      <c r="H20" s="11"/>
      <c r="I20" s="11"/>
      <c r="J20" s="7"/>
      <c r="K20" s="7"/>
    </row>
    <row r="21">
      <c r="A21" s="7"/>
      <c r="B21" s="8" t="s">
        <v>685</v>
      </c>
      <c r="C21" s="19" t="s">
        <v>686</v>
      </c>
      <c r="D21" s="11"/>
      <c r="E21" s="11"/>
      <c r="F21" s="11"/>
      <c r="G21" s="11"/>
      <c r="H21" s="11"/>
      <c r="I21" s="11"/>
      <c r="J21" s="7"/>
      <c r="K21" s="7"/>
    </row>
    <row r="22">
      <c r="A22" s="7"/>
      <c r="B22" s="8" t="s">
        <v>687</v>
      </c>
      <c r="C22" s="19" t="s">
        <v>688</v>
      </c>
      <c r="D22" s="11"/>
      <c r="E22" s="11"/>
      <c r="F22" s="11"/>
      <c r="G22" s="11"/>
      <c r="H22" s="11"/>
      <c r="I22" s="11"/>
      <c r="J22" s="7"/>
      <c r="K22" s="7"/>
    </row>
    <row r="23">
      <c r="A23" s="7"/>
      <c r="B23" s="8" t="s">
        <v>689</v>
      </c>
      <c r="C23" s="19" t="s">
        <v>690</v>
      </c>
      <c r="D23" s="11"/>
      <c r="E23" s="11"/>
      <c r="F23" s="11"/>
      <c r="G23" s="11"/>
      <c r="H23" s="11"/>
      <c r="I23" s="11"/>
      <c r="J23" s="7"/>
      <c r="K23" s="7"/>
    </row>
    <row r="24">
      <c r="A24" s="7"/>
      <c r="B24" s="8" t="s">
        <v>672</v>
      </c>
      <c r="C24" s="19" t="s">
        <v>13</v>
      </c>
      <c r="D24" s="11"/>
      <c r="E24" s="11"/>
      <c r="F24" s="11"/>
      <c r="G24" s="11"/>
      <c r="H24" s="11"/>
      <c r="I24" s="19"/>
      <c r="J24" s="7"/>
      <c r="K24" s="7"/>
    </row>
    <row r="25">
      <c r="A25" s="7"/>
      <c r="B25" s="8" t="s">
        <v>691</v>
      </c>
      <c r="C25" s="19" t="s">
        <v>11</v>
      </c>
      <c r="D25" s="11"/>
      <c r="E25" s="11"/>
      <c r="F25" s="11"/>
      <c r="G25" s="11"/>
      <c r="H25" s="11"/>
      <c r="I25" s="19"/>
      <c r="J25" s="7"/>
      <c r="K25" s="7"/>
    </row>
    <row r="26">
      <c r="A26" s="7"/>
      <c r="B26" s="8" t="s">
        <v>692</v>
      </c>
      <c r="C26" s="19" t="s">
        <v>693</v>
      </c>
      <c r="D26" s="11"/>
      <c r="E26" s="11"/>
      <c r="F26" s="11"/>
      <c r="G26" s="11"/>
      <c r="H26" s="11"/>
      <c r="I26" s="19"/>
      <c r="J26" s="7"/>
      <c r="K26" s="7"/>
    </row>
    <row r="27">
      <c r="A27" s="7"/>
      <c r="B27" s="8" t="s">
        <v>694</v>
      </c>
      <c r="C27" s="88">
        <v>271409</v>
      </c>
      <c r="D27" s="11"/>
      <c r="E27" s="11"/>
      <c r="F27" s="11"/>
      <c r="G27" s="11"/>
      <c r="H27" s="11"/>
      <c r="I27" s="19"/>
      <c r="J27" s="7"/>
      <c r="K27" s="7"/>
    </row>
    <row r="28">
      <c r="A28" s="7"/>
      <c r="B28" s="8" t="s">
        <v>695</v>
      </c>
      <c r="C28" s="19" t="s">
        <v>696</v>
      </c>
      <c r="D28" s="11"/>
      <c r="E28" s="11"/>
      <c r="F28" s="11"/>
      <c r="G28" s="11"/>
      <c r="H28" s="11"/>
      <c r="I28" s="19" t="s">
        <v>697</v>
      </c>
      <c r="J28" s="7"/>
      <c r="K28" s="7"/>
    </row>
    <row r="29">
      <c r="A29" s="7"/>
      <c r="B29" s="8" t="s">
        <v>698</v>
      </c>
      <c r="C29" s="19"/>
      <c r="D29" s="11"/>
      <c r="E29" s="11"/>
      <c r="F29" s="11"/>
      <c r="G29" s="11"/>
      <c r="H29" s="11"/>
      <c r="I29" s="19"/>
      <c r="J29" s="7"/>
      <c r="K29" s="7"/>
    </row>
    <row r="30">
      <c r="A30" s="7"/>
      <c r="B30" s="8" t="s">
        <v>699</v>
      </c>
      <c r="C30" s="19" t="s">
        <v>675</v>
      </c>
      <c r="D30" s="11"/>
      <c r="E30" s="11"/>
      <c r="F30" s="11"/>
      <c r="G30" s="11"/>
      <c r="H30" s="11"/>
      <c r="I30" s="19"/>
      <c r="J30" s="7"/>
      <c r="K30" s="7"/>
    </row>
    <row r="31">
      <c r="A31" s="7"/>
      <c r="B31" s="8" t="s">
        <v>700</v>
      </c>
      <c r="C31" s="16">
        <v>46295</v>
      </c>
      <c r="D31" s="11"/>
      <c r="E31" s="11"/>
      <c r="F31" s="11"/>
      <c r="G31" s="11"/>
      <c r="H31" s="11"/>
      <c r="I31" s="19" t="s">
        <v>701</v>
      </c>
      <c r="J31" s="7"/>
      <c r="K31" s="7"/>
    </row>
    <row r="32">
      <c r="A32" s="7"/>
      <c r="B32" s="8" t="s">
        <v>702</v>
      </c>
      <c r="C32" s="16">
        <v>46311</v>
      </c>
      <c r="D32" s="11"/>
      <c r="E32" s="11"/>
      <c r="F32" s="11"/>
      <c r="G32" s="11"/>
      <c r="H32" s="11"/>
      <c r="I32" s="19" t="s">
        <v>703</v>
      </c>
      <c r="J32" s="7"/>
      <c r="K32" s="7"/>
    </row>
    <row r="33">
      <c r="A33" s="7"/>
      <c r="B33" s="8" t="s">
        <v>704</v>
      </c>
      <c r="C33" s="19" t="s">
        <v>705</v>
      </c>
      <c r="D33" s="11"/>
      <c r="E33" s="11"/>
      <c r="F33" s="11"/>
      <c r="G33" s="11"/>
      <c r="H33" s="11"/>
      <c r="I33" s="19"/>
      <c r="J33" s="7"/>
      <c r="K33" s="7"/>
    </row>
    <row r="34">
      <c r="A34" s="7"/>
      <c r="B34" s="8" t="s">
        <v>706</v>
      </c>
      <c r="C34" s="86">
        <v>23</v>
      </c>
      <c r="D34" s="11"/>
      <c r="E34" s="11"/>
      <c r="F34" s="11"/>
      <c r="G34" s="11"/>
      <c r="H34" s="11"/>
      <c r="I34" s="19"/>
      <c r="J34" s="7"/>
      <c r="K34" s="7"/>
    </row>
    <row r="35">
      <c r="A35" s="7"/>
      <c r="B35" s="8" t="s">
        <v>707</v>
      </c>
      <c r="C35" s="37">
        <v>0.66</v>
      </c>
      <c r="D35" s="11"/>
      <c r="E35" s="11"/>
      <c r="F35" s="11"/>
      <c r="G35" s="11"/>
      <c r="H35" s="11"/>
      <c r="I35" s="19" t="s">
        <v>708</v>
      </c>
      <c r="J35" s="7"/>
      <c r="K35" s="7"/>
    </row>
    <row r="36">
      <c r="A36" s="7"/>
      <c r="B36" s="8" t="s">
        <v>709</v>
      </c>
      <c r="C36" s="37">
        <v>0.66</v>
      </c>
      <c r="D36" s="11"/>
      <c r="E36" s="11"/>
      <c r="F36" s="11"/>
      <c r="G36" s="11"/>
      <c r="H36" s="11"/>
      <c r="I36" s="19"/>
      <c r="J36" s="7"/>
      <c r="K36" s="7"/>
    </row>
    <row r="37">
      <c r="A37" s="7"/>
      <c r="B37" s="8" t="s">
        <v>710</v>
      </c>
      <c r="C37" s="37">
        <v>0.7</v>
      </c>
      <c r="D37" s="11"/>
      <c r="E37" s="11"/>
      <c r="F37" s="11"/>
      <c r="G37" s="11"/>
      <c r="H37" s="11"/>
      <c r="I37" s="19"/>
      <c r="J37" s="7"/>
      <c r="K37" s="7"/>
    </row>
    <row r="38">
      <c r="A38" s="7"/>
      <c r="B38" s="8" t="s">
        <v>711</v>
      </c>
      <c r="C38" s="37">
        <v>0.63</v>
      </c>
      <c r="D38" s="11"/>
      <c r="E38" s="11"/>
      <c r="F38" s="11"/>
      <c r="G38" s="11"/>
      <c r="H38" s="11"/>
      <c r="I38" s="19"/>
      <c r="J38" s="7"/>
      <c r="K38" s="7"/>
    </row>
    <row r="39">
      <c r="A39" s="7"/>
      <c r="B39" s="8" t="s">
        <v>712</v>
      </c>
      <c r="C39" s="37">
        <v>0.02</v>
      </c>
      <c r="D39" s="11"/>
      <c r="E39" s="11"/>
      <c r="F39" s="11"/>
      <c r="G39" s="11"/>
      <c r="H39" s="11"/>
      <c r="I39" s="19"/>
      <c r="J39" s="7"/>
      <c r="K39" s="7"/>
    </row>
    <row r="40">
      <c r="A40" s="7"/>
      <c r="B40" s="8" t="s">
        <v>713</v>
      </c>
      <c r="C40" s="86">
        <v>16</v>
      </c>
      <c r="D40" s="11"/>
      <c r="E40" s="11"/>
      <c r="F40" s="11"/>
      <c r="G40" s="11"/>
      <c r="H40" s="11"/>
      <c r="I40" s="19" t="s">
        <v>714</v>
      </c>
      <c r="J40" s="7"/>
      <c r="K40" s="7"/>
    </row>
    <row r="41">
      <c r="A41" s="7"/>
      <c r="B41" s="8" t="s">
        <v>715</v>
      </c>
      <c r="C41" s="19"/>
      <c r="D41" s="11"/>
      <c r="E41" s="11"/>
      <c r="F41" s="11"/>
      <c r="G41" s="11"/>
      <c r="H41" s="11"/>
      <c r="I41" s="19"/>
      <c r="J41" s="7"/>
      <c r="K41" s="7"/>
    </row>
    <row r="42">
      <c r="A42" s="7"/>
      <c r="B42" s="8" t="s">
        <v>716</v>
      </c>
      <c r="C42" s="19"/>
      <c r="D42" s="11"/>
      <c r="E42" s="11"/>
      <c r="F42" s="11"/>
      <c r="G42" s="11"/>
      <c r="H42" s="11"/>
      <c r="I42" s="19"/>
      <c r="J42" s="7"/>
      <c r="K42" s="7"/>
    </row>
    <row r="43">
      <c r="A43" s="7"/>
      <c r="B43" s="8" t="s">
        <v>717</v>
      </c>
      <c r="C43" s="19"/>
      <c r="D43" s="11"/>
      <c r="E43" s="11"/>
      <c r="F43" s="11"/>
      <c r="G43" s="11"/>
      <c r="H43" s="11"/>
      <c r="I43" s="19"/>
      <c r="J43" s="7"/>
      <c r="K43" s="7"/>
    </row>
    <row r="44">
      <c r="A44" s="7"/>
      <c r="B44" s="8" t="s">
        <v>718</v>
      </c>
      <c r="C44" s="37">
        <v>0.66</v>
      </c>
      <c r="D44" s="11"/>
      <c r="E44" s="11"/>
      <c r="F44" s="11"/>
      <c r="G44" s="11"/>
      <c r="H44" s="11"/>
      <c r="I44" s="19" t="s">
        <v>719</v>
      </c>
      <c r="J44" s="7"/>
      <c r="K44" s="7"/>
    </row>
    <row r="45">
      <c r="A45" s="7"/>
      <c r="B45" s="8" t="s">
        <v>720</v>
      </c>
      <c r="C45" s="37">
        <v>0.66</v>
      </c>
      <c r="D45" s="11"/>
      <c r="E45" s="11"/>
      <c r="F45" s="11"/>
      <c r="G45" s="11"/>
      <c r="H45" s="11"/>
      <c r="I45" s="19"/>
      <c r="J45" s="7"/>
      <c r="K45" s="7"/>
    </row>
    <row r="46">
      <c r="A46" s="7"/>
      <c r="B46" s="8" t="s">
        <v>721</v>
      </c>
      <c r="C46" s="37">
        <v>0.68</v>
      </c>
      <c r="D46" s="11"/>
      <c r="E46" s="11"/>
      <c r="F46" s="11"/>
      <c r="G46" s="11"/>
      <c r="H46" s="11"/>
      <c r="I46" s="19"/>
      <c r="J46" s="7"/>
      <c r="K46" s="7"/>
    </row>
    <row r="47">
      <c r="A47" s="7"/>
      <c r="B47" s="8" t="s">
        <v>722</v>
      </c>
      <c r="C47" s="37">
        <v>0.63</v>
      </c>
      <c r="D47" s="11"/>
      <c r="E47" s="11"/>
      <c r="F47" s="11"/>
      <c r="G47" s="11"/>
      <c r="H47" s="11"/>
      <c r="I47" s="19"/>
      <c r="J47" s="7"/>
      <c r="K47" s="7"/>
    </row>
    <row r="48">
      <c r="A48" s="7"/>
      <c r="B48" s="8" t="s">
        <v>723</v>
      </c>
      <c r="C48" s="37">
        <v>0.01</v>
      </c>
      <c r="D48" s="11"/>
      <c r="E48" s="11"/>
      <c r="F48" s="11"/>
      <c r="G48" s="11"/>
      <c r="H48" s="11"/>
      <c r="I48" s="19"/>
      <c r="J48" s="7"/>
      <c r="K48" s="7"/>
    </row>
    <row r="49">
      <c r="A49" s="7"/>
      <c r="B49" s="8" t="s">
        <v>724</v>
      </c>
      <c r="C49" s="86">
        <v>19</v>
      </c>
      <c r="D49" s="11"/>
      <c r="E49" s="11"/>
      <c r="F49" s="11"/>
      <c r="G49" s="11"/>
      <c r="H49" s="11"/>
      <c r="I49" s="19"/>
      <c r="J49" s="7"/>
      <c r="K49" s="7"/>
    </row>
    <row r="50">
      <c r="A50" s="7"/>
      <c r="B50" s="8" t="s">
        <v>725</v>
      </c>
      <c r="C50" s="19"/>
      <c r="D50" s="11"/>
      <c r="E50" s="11"/>
      <c r="F50" s="11"/>
      <c r="G50" s="11"/>
      <c r="H50" s="11"/>
      <c r="I50" s="19"/>
      <c r="J50" s="7"/>
      <c r="K50" s="7"/>
    </row>
    <row r="51">
      <c r="A51" s="7"/>
      <c r="B51" s="8" t="s">
        <v>726</v>
      </c>
      <c r="C51" s="31">
        <v>1997.09</v>
      </c>
      <c r="D51" s="11"/>
      <c r="E51" s="11"/>
      <c r="F51" s="11"/>
      <c r="G51" s="11"/>
      <c r="H51" s="11"/>
      <c r="I51" s="19" t="s">
        <v>727</v>
      </c>
      <c r="J51" s="7"/>
      <c r="K51" s="7"/>
    </row>
    <row r="52">
      <c r="A52" s="7"/>
      <c r="B52" s="8" t="s">
        <v>728</v>
      </c>
      <c r="C52" s="31">
        <v>1998.5</v>
      </c>
      <c r="D52" s="11"/>
      <c r="E52" s="11"/>
      <c r="F52" s="11"/>
      <c r="G52" s="11"/>
      <c r="H52" s="11"/>
      <c r="I52" s="19"/>
      <c r="J52" s="7"/>
      <c r="K52" s="7"/>
    </row>
    <row r="53">
      <c r="A53" s="7"/>
      <c r="B53" s="8" t="s">
        <v>729</v>
      </c>
      <c r="C53" s="31">
        <v>2009</v>
      </c>
      <c r="D53" s="11"/>
      <c r="E53" s="11"/>
      <c r="F53" s="11"/>
      <c r="G53" s="11"/>
      <c r="H53" s="11"/>
      <c r="I53" s="19"/>
      <c r="J53" s="7"/>
      <c r="K53" s="7"/>
    </row>
    <row r="54">
      <c r="A54" s="7"/>
      <c r="B54" s="8" t="s">
        <v>730</v>
      </c>
      <c r="C54" s="31">
        <v>1985.2</v>
      </c>
      <c r="D54" s="11"/>
      <c r="E54" s="11"/>
      <c r="F54" s="11"/>
      <c r="G54" s="11"/>
      <c r="H54" s="11"/>
      <c r="I54" s="19"/>
      <c r="J54" s="7"/>
      <c r="K54" s="7"/>
    </row>
    <row r="55">
      <c r="A55" s="7"/>
      <c r="B55" s="8" t="s">
        <v>731</v>
      </c>
      <c r="C55" s="31">
        <v>7.38</v>
      </c>
      <c r="D55" s="11"/>
      <c r="E55" s="11"/>
      <c r="F55" s="11"/>
      <c r="G55" s="11"/>
      <c r="H55" s="11"/>
      <c r="I55" s="19"/>
      <c r="J55" s="7"/>
      <c r="K55" s="7"/>
    </row>
    <row r="56">
      <c r="A56" s="7"/>
      <c r="B56" s="8" t="s">
        <v>732</v>
      </c>
      <c r="C56" s="86">
        <v>6</v>
      </c>
      <c r="D56" s="11"/>
      <c r="E56" s="11"/>
      <c r="F56" s="11"/>
      <c r="G56" s="11"/>
      <c r="H56" s="11"/>
      <c r="I56" s="19"/>
      <c r="J56" s="7"/>
      <c r="K56" s="7"/>
    </row>
    <row r="57">
      <c r="A57" s="7"/>
      <c r="B57" s="8" t="s">
        <v>733</v>
      </c>
      <c r="C57" s="19"/>
      <c r="D57" s="11"/>
      <c r="E57" s="11"/>
      <c r="F57" s="11"/>
      <c r="G57" s="11"/>
      <c r="H57" s="11"/>
      <c r="I57" s="19"/>
      <c r="J57" s="7"/>
      <c r="K57" s="7"/>
    </row>
    <row r="58">
      <c r="A58" s="7"/>
      <c r="B58" s="8" t="s">
        <v>734</v>
      </c>
      <c r="C58" s="19"/>
      <c r="D58" s="11"/>
      <c r="E58" s="11"/>
      <c r="F58" s="11"/>
      <c r="G58" s="11"/>
      <c r="H58" s="11"/>
      <c r="I58" s="19"/>
      <c r="J58" s="7"/>
      <c r="K58" s="7"/>
    </row>
    <row r="59">
      <c r="A59" s="7"/>
      <c r="B59" s="8" t="s">
        <v>735</v>
      </c>
      <c r="C59" s="19"/>
      <c r="D59" s="11"/>
      <c r="E59" s="11"/>
      <c r="F59" s="11"/>
      <c r="G59" s="11"/>
      <c r="H59" s="11"/>
      <c r="I59" s="19"/>
      <c r="J59" s="7"/>
      <c r="K59" s="7"/>
    </row>
    <row r="60">
      <c r="A60" s="7"/>
      <c r="B60" s="8" t="s">
        <v>736</v>
      </c>
      <c r="C60" s="19"/>
      <c r="D60" s="11"/>
      <c r="E60" s="11"/>
      <c r="F60" s="11"/>
      <c r="G60" s="11"/>
      <c r="H60" s="11"/>
      <c r="I60" s="19"/>
      <c r="J60" s="7"/>
      <c r="K60" s="7"/>
    </row>
    <row r="61">
      <c r="A61" s="7"/>
      <c r="B61" s="8" t="s">
        <v>737</v>
      </c>
      <c r="C61" s="31">
        <v>852.15</v>
      </c>
      <c r="D61" s="11"/>
      <c r="E61" s="11"/>
      <c r="F61" s="11"/>
      <c r="G61" s="11"/>
      <c r="H61" s="11"/>
      <c r="I61" s="19"/>
      <c r="J61" s="7"/>
      <c r="K61" s="7"/>
    </row>
    <row r="62">
      <c r="A62" s="7"/>
      <c r="B62" s="8" t="s">
        <v>738</v>
      </c>
      <c r="C62" s="31">
        <v>737.97</v>
      </c>
      <c r="D62" s="11"/>
      <c r="E62" s="11"/>
      <c r="F62" s="11"/>
      <c r="G62" s="11"/>
      <c r="H62" s="11"/>
      <c r="I62" s="19"/>
      <c r="J62" s="7"/>
      <c r="K62" s="7"/>
    </row>
    <row r="63">
      <c r="A63" s="7"/>
      <c r="B63" s="8" t="s">
        <v>739</v>
      </c>
      <c r="C63" s="31">
        <v>740.26</v>
      </c>
      <c r="D63" s="11"/>
      <c r="E63" s="11"/>
      <c r="F63" s="11"/>
      <c r="G63" s="11"/>
      <c r="H63" s="11"/>
      <c r="I63" s="19"/>
      <c r="J63" s="7"/>
      <c r="K63" s="7"/>
    </row>
    <row r="64">
      <c r="A64" s="7"/>
      <c r="B64" s="8" t="s">
        <v>740</v>
      </c>
      <c r="C64" s="31">
        <v>561.88</v>
      </c>
      <c r="D64" s="11"/>
      <c r="E64" s="11"/>
      <c r="F64" s="11"/>
      <c r="G64" s="11"/>
      <c r="H64" s="11"/>
      <c r="I64" s="19" t="s">
        <v>741</v>
      </c>
      <c r="J64" s="7"/>
      <c r="K64" s="7"/>
    </row>
    <row r="65">
      <c r="A65" s="7"/>
      <c r="B65" s="8" t="s">
        <v>742</v>
      </c>
      <c r="C65" s="31">
        <v>563.23</v>
      </c>
      <c r="D65" s="11"/>
      <c r="E65" s="11"/>
      <c r="F65" s="11"/>
      <c r="G65" s="11"/>
      <c r="H65" s="11"/>
      <c r="I65" s="19" t="s">
        <v>743</v>
      </c>
      <c r="J65" s="7"/>
      <c r="K65" s="7"/>
    </row>
    <row r="66">
      <c r="A66" s="7"/>
      <c r="B66" s="8" t="s">
        <v>744</v>
      </c>
      <c r="C66" s="89">
        <v>3.68</v>
      </c>
      <c r="D66" s="11"/>
      <c r="E66" s="11"/>
      <c r="F66" s="11"/>
      <c r="G66" s="11"/>
      <c r="H66" s="11"/>
      <c r="I66" s="19"/>
      <c r="J66" s="7"/>
      <c r="K66" s="7"/>
    </row>
    <row r="67">
      <c r="A67" s="7"/>
      <c r="B67" s="8" t="s">
        <v>745</v>
      </c>
      <c r="C67" s="89">
        <v>20.84</v>
      </c>
      <c r="D67" s="11"/>
      <c r="E67" s="11"/>
      <c r="F67" s="11"/>
      <c r="G67" s="11"/>
      <c r="H67" s="11"/>
      <c r="I67" s="19"/>
      <c r="J67" s="7"/>
      <c r="K67" s="7"/>
    </row>
    <row r="68">
      <c r="A68" s="7"/>
      <c r="B68" s="8" t="s">
        <v>746</v>
      </c>
      <c r="C68" s="19"/>
      <c r="D68" s="11"/>
      <c r="E68" s="11"/>
      <c r="F68" s="11"/>
      <c r="G68" s="11"/>
      <c r="H68" s="11"/>
      <c r="I68" s="19"/>
      <c r="J68" s="7"/>
      <c r="K68" s="7"/>
    </row>
    <row r="69">
      <c r="A69" s="7"/>
      <c r="B69" s="8" t="s">
        <v>747</v>
      </c>
      <c r="C69" s="19"/>
      <c r="D69" s="11"/>
      <c r="E69" s="11"/>
      <c r="F69" s="11"/>
      <c r="G69" s="11"/>
      <c r="H69" s="11"/>
      <c r="I69" s="19"/>
      <c r="J69" s="7"/>
      <c r="K69" s="7"/>
    </row>
    <row r="70">
      <c r="A70" s="7"/>
      <c r="B70" s="8" t="s">
        <v>748</v>
      </c>
      <c r="C70" s="19"/>
      <c r="D70" s="11"/>
      <c r="E70" s="11"/>
      <c r="F70" s="11"/>
      <c r="G70" s="11"/>
      <c r="H70" s="11"/>
      <c r="I70" s="19"/>
      <c r="J70" s="7"/>
      <c r="K70" s="7"/>
    </row>
    <row r="71">
      <c r="A71" s="7"/>
      <c r="B71" s="8" t="s">
        <v>749</v>
      </c>
      <c r="C71" s="19"/>
      <c r="D71" s="11"/>
      <c r="E71" s="11"/>
      <c r="F71" s="11"/>
      <c r="G71" s="11"/>
      <c r="H71" s="11"/>
      <c r="I71" s="19"/>
      <c r="J71" s="7"/>
      <c r="K71" s="7"/>
    </row>
    <row r="72">
      <c r="A72" s="7"/>
      <c r="B72" s="8" t="s">
        <v>750</v>
      </c>
      <c r="C72" s="19"/>
      <c r="D72" s="11"/>
      <c r="E72" s="11"/>
      <c r="F72" s="11"/>
      <c r="G72" s="11"/>
      <c r="H72" s="11"/>
      <c r="I72" s="19"/>
      <c r="J72" s="7"/>
      <c r="K72" s="7"/>
    </row>
    <row r="73">
      <c r="A73" s="7"/>
      <c r="B73" s="8" t="s">
        <v>751</v>
      </c>
      <c r="C73" s="19"/>
      <c r="D73" s="11"/>
      <c r="E73" s="11"/>
      <c r="F73" s="11"/>
      <c r="G73" s="11"/>
      <c r="H73" s="11"/>
      <c r="I73" s="19"/>
      <c r="J73" s="7"/>
      <c r="K73" s="7"/>
    </row>
    <row r="74">
      <c r="A74" s="7"/>
      <c r="B74" s="8" t="s">
        <v>752</v>
      </c>
      <c r="C74" s="19"/>
      <c r="D74" s="11"/>
      <c r="E74" s="11"/>
      <c r="F74" s="11"/>
      <c r="G74" s="11"/>
      <c r="H74" s="11"/>
      <c r="I74" s="19"/>
      <c r="J74" s="7"/>
      <c r="K74" s="7"/>
    </row>
    <row r="75">
      <c r="A75" s="7"/>
      <c r="B75" s="8" t="s">
        <v>753</v>
      </c>
      <c r="C75" s="19"/>
      <c r="D75" s="11"/>
      <c r="E75" s="11"/>
      <c r="F75" s="11"/>
      <c r="G75" s="11"/>
      <c r="H75" s="11"/>
      <c r="I75" s="19"/>
      <c r="J75" s="7"/>
      <c r="K75" s="7"/>
    </row>
    <row r="76">
      <c r="A76" s="7"/>
      <c r="B76" s="8" t="s">
        <v>754</v>
      </c>
      <c r="C76" s="19"/>
      <c r="D76" s="11"/>
      <c r="E76" s="11"/>
      <c r="F76" s="11"/>
      <c r="G76" s="11"/>
      <c r="H76" s="11"/>
      <c r="I76" s="19"/>
      <c r="J76" s="7"/>
      <c r="K76" s="7"/>
    </row>
    <row r="77">
      <c r="A77" s="7"/>
      <c r="B77" s="8" t="s">
        <v>755</v>
      </c>
      <c r="C77" s="31">
        <v>11896</v>
      </c>
      <c r="D77" s="11"/>
      <c r="E77" s="11"/>
      <c r="F77" s="11"/>
      <c r="G77" s="11"/>
      <c r="H77" s="11"/>
      <c r="I77" s="19"/>
      <c r="J77" s="7"/>
      <c r="K77" s="7"/>
    </row>
    <row r="78">
      <c r="A78" s="7"/>
      <c r="B78" s="8" t="s">
        <v>756</v>
      </c>
      <c r="C78" s="19"/>
      <c r="D78" s="11"/>
      <c r="E78" s="11"/>
      <c r="F78" s="11"/>
      <c r="G78" s="11"/>
      <c r="H78" s="11"/>
      <c r="I78" s="19"/>
      <c r="J78" s="7"/>
      <c r="K78" s="7"/>
    </row>
    <row r="79">
      <c r="A79" s="7"/>
      <c r="B79" s="8" t="s">
        <v>757</v>
      </c>
      <c r="C79" s="89">
        <v>12.57</v>
      </c>
      <c r="D79" s="11"/>
      <c r="E79" s="11"/>
      <c r="F79" s="11"/>
      <c r="G79" s="11"/>
      <c r="H79" s="11"/>
      <c r="I79" s="19"/>
      <c r="J79" s="7"/>
      <c r="K79" s="7"/>
    </row>
    <row r="80">
      <c r="A80" s="7"/>
      <c r="B80" s="8" t="s">
        <v>758</v>
      </c>
      <c r="C80" s="37">
        <v>31.84</v>
      </c>
      <c r="D80" s="11"/>
      <c r="E80" s="11"/>
      <c r="F80" s="11"/>
      <c r="G80" s="11"/>
      <c r="H80" s="11"/>
      <c r="I80" s="19"/>
      <c r="J80" s="7"/>
      <c r="K80" s="7"/>
    </row>
    <row r="81">
      <c r="A81" s="7"/>
      <c r="B81" s="8" t="s">
        <v>759</v>
      </c>
      <c r="C81" s="37">
        <v>32</v>
      </c>
      <c r="D81" s="11"/>
      <c r="E81" s="11"/>
      <c r="F81" s="11"/>
      <c r="G81" s="11"/>
      <c r="H81" s="11"/>
      <c r="I81" s="19"/>
      <c r="J81" s="7"/>
      <c r="K81" s="7"/>
    </row>
    <row r="82">
      <c r="A82" s="7"/>
      <c r="B82" s="8" t="s">
        <v>760</v>
      </c>
      <c r="C82" s="37">
        <v>36</v>
      </c>
      <c r="D82" s="11"/>
      <c r="E82" s="11"/>
      <c r="F82" s="11"/>
      <c r="G82" s="11"/>
      <c r="H82" s="11"/>
      <c r="I82" s="19"/>
      <c r="J82" s="7"/>
      <c r="K82" s="7"/>
    </row>
    <row r="83">
      <c r="A83" s="7"/>
      <c r="B83" s="8" t="s">
        <v>761</v>
      </c>
      <c r="C83" s="37">
        <v>27</v>
      </c>
      <c r="D83" s="11"/>
      <c r="E83" s="11"/>
      <c r="F83" s="11"/>
      <c r="G83" s="11"/>
      <c r="H83" s="11"/>
      <c r="I83" s="19"/>
      <c r="J83" s="7"/>
      <c r="K83" s="7"/>
    </row>
    <row r="84">
      <c r="A84" s="7"/>
      <c r="B84" s="8" t="s">
        <v>762</v>
      </c>
      <c r="C84" s="37">
        <v>2.33</v>
      </c>
      <c r="D84" s="11"/>
      <c r="E84" s="11"/>
      <c r="F84" s="11"/>
      <c r="G84" s="11"/>
      <c r="H84" s="11"/>
      <c r="I84" s="19"/>
      <c r="J84" s="7"/>
      <c r="K84" s="7"/>
    </row>
    <row r="85">
      <c r="A85" s="7"/>
      <c r="B85" s="8" t="s">
        <v>763</v>
      </c>
      <c r="C85" s="86">
        <v>21</v>
      </c>
      <c r="D85" s="11"/>
      <c r="E85" s="11"/>
      <c r="F85" s="11"/>
      <c r="G85" s="11"/>
      <c r="H85" s="11"/>
      <c r="I85" s="19"/>
      <c r="J85" s="7"/>
      <c r="K85" s="7"/>
    </row>
    <row r="86">
      <c r="A86" s="7"/>
      <c r="B86" s="8" t="s">
        <v>764</v>
      </c>
      <c r="C86" s="19" t="s">
        <v>765</v>
      </c>
      <c r="D86" s="11"/>
      <c r="E86" s="11"/>
      <c r="F86" s="11"/>
      <c r="G86" s="11"/>
      <c r="H86" s="11"/>
      <c r="I86" s="19"/>
      <c r="J86" s="7"/>
      <c r="K86" s="7"/>
    </row>
    <row r="87">
      <c r="A87" s="7"/>
      <c r="B87" s="8" t="s">
        <v>766</v>
      </c>
      <c r="C87" s="31">
        <v>2.78</v>
      </c>
      <c r="D87" s="11"/>
      <c r="E87" s="11"/>
      <c r="F87" s="11"/>
      <c r="G87" s="11"/>
      <c r="H87" s="11"/>
      <c r="I87" s="19"/>
      <c r="J87" s="7"/>
      <c r="K87" s="7"/>
    </row>
    <row r="88">
      <c r="A88" s="7"/>
      <c r="B88" s="8" t="s">
        <v>767</v>
      </c>
      <c r="C88" s="37">
        <v>27.03</v>
      </c>
      <c r="D88" s="11"/>
      <c r="E88" s="11"/>
      <c r="F88" s="11"/>
      <c r="G88" s="11"/>
      <c r="H88" s="11"/>
      <c r="I88" s="19" t="s">
        <v>768</v>
      </c>
      <c r="J88" s="7"/>
      <c r="K88" s="7"/>
    </row>
    <row r="89">
      <c r="A89" s="7"/>
      <c r="B89" s="8" t="s">
        <v>769</v>
      </c>
      <c r="C89" s="19" t="s">
        <v>770</v>
      </c>
      <c r="D89" s="11"/>
      <c r="E89" s="11"/>
      <c r="F89" s="11"/>
      <c r="G89" s="11"/>
      <c r="H89" s="11"/>
      <c r="I89" s="19"/>
      <c r="J89" s="7"/>
      <c r="K89" s="7"/>
    </row>
    <row r="90">
      <c r="A90" s="7"/>
      <c r="B90" s="8" t="s">
        <v>683</v>
      </c>
      <c r="C90" s="19" t="s">
        <v>684</v>
      </c>
      <c r="D90" s="11"/>
      <c r="E90" s="11"/>
      <c r="F90" s="11"/>
      <c r="G90" s="11"/>
      <c r="H90" s="11"/>
      <c r="I90" s="19"/>
      <c r="J90" s="7"/>
      <c r="K90" s="7"/>
    </row>
    <row r="91">
      <c r="A91" s="7"/>
      <c r="B91" s="8" t="s">
        <v>771</v>
      </c>
      <c r="C91" s="19" t="s">
        <v>690</v>
      </c>
      <c r="D91" s="11"/>
      <c r="E91" s="11"/>
      <c r="F91" s="11"/>
      <c r="G91" s="11"/>
      <c r="H91" s="11"/>
      <c r="I91" s="19"/>
      <c r="J91" s="7"/>
      <c r="K91" s="7"/>
    </row>
    <row r="92">
      <c r="A92" s="7"/>
      <c r="B92" s="8" t="s">
        <v>772</v>
      </c>
      <c r="C92" s="16">
        <v>46306</v>
      </c>
      <c r="D92" s="11"/>
      <c r="E92" s="11"/>
      <c r="F92" s="11"/>
      <c r="G92" s="11"/>
      <c r="H92" s="11"/>
      <c r="I92" s="19"/>
      <c r="J92" s="7"/>
      <c r="K92" s="7"/>
    </row>
    <row r="93">
      <c r="A93" s="7"/>
      <c r="B93" s="8" t="s">
        <v>773</v>
      </c>
      <c r="C93" s="19" t="s">
        <v>774</v>
      </c>
      <c r="D93" s="11"/>
      <c r="E93" s="11"/>
      <c r="F93" s="11"/>
      <c r="G93" s="11"/>
      <c r="H93" s="11"/>
      <c r="I93" s="19"/>
      <c r="J93" s="7"/>
      <c r="K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>
      <c r="A95" s="7"/>
      <c r="B95" s="34" t="s">
        <v>775</v>
      </c>
      <c r="C95" s="9"/>
      <c r="D95" s="9"/>
      <c r="E95" s="9"/>
      <c r="F95" s="9"/>
      <c r="G95" s="9"/>
      <c r="H95" s="9"/>
      <c r="I95" s="9"/>
      <c r="J95" s="7"/>
      <c r="K95" s="7"/>
    </row>
    <row r="96">
      <c r="A96" s="7"/>
      <c r="B96" s="135" t="s">
        <v>676</v>
      </c>
      <c r="C96" s="108" t="s">
        <v>776</v>
      </c>
      <c r="D96" s="108" t="s">
        <v>777</v>
      </c>
      <c r="E96" s="108" t="s">
        <v>778</v>
      </c>
      <c r="F96" s="108" t="s">
        <v>779</v>
      </c>
      <c r="G96" s="108" t="s">
        <v>780</v>
      </c>
      <c r="H96" s="108" t="s">
        <v>781</v>
      </c>
      <c r="I96" s="108" t="s">
        <v>782</v>
      </c>
      <c r="J96" s="108" t="s">
        <v>783</v>
      </c>
      <c r="K96" s="108" t="s">
        <v>784</v>
      </c>
    </row>
    <row r="97">
      <c r="A97" s="7"/>
      <c r="B97" s="134">
        <v>45747</v>
      </c>
      <c r="C97" s="16">
        <v>45764</v>
      </c>
      <c r="D97" s="37">
        <v>0.51</v>
      </c>
      <c r="E97" s="37">
        <v>0.54</v>
      </c>
      <c r="F97" s="37">
        <v>0.51</v>
      </c>
      <c r="G97" s="37">
        <v>0.51</v>
      </c>
      <c r="H97" s="31">
        <v>1834.56</v>
      </c>
      <c r="I97" s="31">
        <v>1796</v>
      </c>
      <c r="J97" s="83">
        <f>IF(AND(ISNUMBER(D97),ISNUMBER(E97)),IF(E97&gt;D97,1,0),"n.a.")</f>
        <v>1</v>
      </c>
      <c r="K97" s="23">
        <f>E97-D97</f>
        <v>0.030000000000000027</v>
      </c>
    </row>
    <row r="98">
      <c r="A98" s="7"/>
      <c r="B98" s="134">
        <v>45838</v>
      </c>
      <c r="C98" s="16">
        <v>45856</v>
      </c>
      <c r="D98" s="37">
        <v>0.56</v>
      </c>
      <c r="E98" s="37">
        <v>0.6</v>
      </c>
      <c r="F98" s="37">
        <v>0.56</v>
      </c>
      <c r="G98" s="37">
        <v>0.59</v>
      </c>
      <c r="H98" s="31">
        <v>1860.53</v>
      </c>
      <c r="I98" s="31">
        <v>1917</v>
      </c>
      <c r="J98" s="83">
        <f>IF(AND(ISNUMBER(D98),ISNUMBER(E98)),IF(E98&gt;D98,1,0),"n.a.")</f>
        <v>1</v>
      </c>
      <c r="K98" s="23">
        <f>E98-D98</f>
        <v>0.039999999999999925</v>
      </c>
    </row>
    <row r="99">
      <c r="A99" s="7"/>
      <c r="B99" s="134">
        <v>45930</v>
      </c>
      <c r="C99" s="16">
        <v>45947</v>
      </c>
      <c r="D99" s="37">
        <v>0.6</v>
      </c>
      <c r="E99" s="37">
        <v>0.63</v>
      </c>
      <c r="F99" s="37">
        <v>0.6</v>
      </c>
      <c r="G99" s="37">
        <v>0.61</v>
      </c>
      <c r="H99" s="31">
        <v>1934.06</v>
      </c>
      <c r="I99" s="31">
        <v>1928</v>
      </c>
      <c r="J99" s="83">
        <f>IF(AND(ISNUMBER(D99),ISNUMBER(E99)),IF(E99&gt;D99,1,0),"n.a.")</f>
        <v>1</v>
      </c>
      <c r="K99" s="23">
        <f>E99-D99</f>
        <v>0.030000000000000027</v>
      </c>
    </row>
    <row r="100">
      <c r="A100" s="7"/>
      <c r="B100" s="134">
        <v>46022</v>
      </c>
      <c r="C100" s="16">
        <v>46038</v>
      </c>
      <c r="D100" s="37">
        <v>0.61</v>
      </c>
      <c r="E100" s="37">
        <v>0.57</v>
      </c>
      <c r="F100" s="37">
        <v>0.62</v>
      </c>
      <c r="G100" s="37">
        <v>0.58</v>
      </c>
      <c r="H100" s="31">
        <v>1939.34</v>
      </c>
      <c r="I100" s="31">
        <v>1934</v>
      </c>
      <c r="J100" s="83">
        <f>IF(AND(ISNUMBER(D100),ISNUMBER(E100)),IF(E100&gt;D100,1,0),"n.a.")</f>
        <v>0</v>
      </c>
      <c r="K100" s="23">
        <f>E100-D100</f>
        <v>-0.040000000000000036</v>
      </c>
    </row>
    <row r="101">
      <c r="A101" s="7"/>
      <c r="B101" s="134">
        <v>46112</v>
      </c>
      <c r="C101" s="16">
        <v>46129</v>
      </c>
      <c r="D101" s="37">
        <v>0.59</v>
      </c>
      <c r="E101" s="37">
        <v>0.62</v>
      </c>
      <c r="F101" s="37">
        <v>0.6</v>
      </c>
      <c r="G101" s="37">
        <v>0.62</v>
      </c>
      <c r="H101" s="31">
        <v>1919.35</v>
      </c>
      <c r="I101" s="31">
        <v>1886</v>
      </c>
      <c r="J101" s="83">
        <f>IF(AND(ISNUMBER(D101),ISNUMBER(E101)),IF(E101&gt;D101,1,0),"n.a.")</f>
        <v>1</v>
      </c>
      <c r="K101" s="23">
        <f>E101-D101</f>
        <v>0.030000000000000027</v>
      </c>
    </row>
    <row r="102">
      <c r="A102" s="7"/>
      <c r="B102" s="134">
        <v>46203</v>
      </c>
      <c r="C102" s="16">
        <v>46220</v>
      </c>
      <c r="D102" s="37">
        <v>0.63</v>
      </c>
      <c r="E102" s="37">
        <v>0.68</v>
      </c>
      <c r="F102" s="37">
        <v>0.62</v>
      </c>
      <c r="G102" s="37">
        <v>0.64</v>
      </c>
      <c r="H102" s="31">
        <v>1947.23</v>
      </c>
      <c r="I102" s="31">
        <v>1921</v>
      </c>
      <c r="J102" s="83">
        <f>IF(AND(ISNUMBER(D102),ISNUMBER(E102)),IF(E102&gt;D102,1,0),"n.a.")</f>
        <v>1</v>
      </c>
      <c r="K102" s="23">
        <f>E102-D102</f>
        <v>0.050000000000000044</v>
      </c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>
      <c r="A104" s="7"/>
      <c r="B104" s="34" t="s">
        <v>785</v>
      </c>
      <c r="C104" s="9"/>
      <c r="D104" s="9"/>
      <c r="E104" s="9"/>
      <c r="F104" s="9"/>
      <c r="G104" s="9"/>
      <c r="H104" s="9"/>
      <c r="I104" s="9"/>
      <c r="J104" s="7"/>
      <c r="K104" s="7"/>
    </row>
    <row r="105">
      <c r="A105" s="7"/>
      <c r="B105" s="8" t="s">
        <v>786</v>
      </c>
      <c r="C105" s="31">
        <v>22.8</v>
      </c>
      <c r="D105" s="12"/>
      <c r="E105" s="12"/>
      <c r="F105" s="12"/>
      <c r="G105" s="12"/>
      <c r="H105" s="12"/>
      <c r="I105" s="12"/>
      <c r="J105" s="7"/>
      <c r="K105" s="7"/>
    </row>
    <row r="106">
      <c r="A106" s="7"/>
      <c r="B106" s="1" t="s">
        <v>787</v>
      </c>
      <c r="C106" s="29">
        <f>C88*'Share Count'!G23/1000</f>
        <v>23.05659</v>
      </c>
      <c r="D106" s="12"/>
      <c r="E106" s="12"/>
      <c r="F106" s="12"/>
      <c r="G106" s="12"/>
      <c r="H106" s="12"/>
      <c r="I106" s="12"/>
      <c r="J106" s="7"/>
      <c r="K106" s="7"/>
    </row>
    <row r="107">
      <c r="A107" s="7"/>
      <c r="B107" s="1" t="s">
        <v>788</v>
      </c>
      <c r="C107" s="31">
        <v>2</v>
      </c>
      <c r="D107" s="12"/>
      <c r="E107" s="12"/>
      <c r="F107" s="12"/>
      <c r="G107" s="12"/>
      <c r="H107" s="12"/>
      <c r="I107" s="12"/>
      <c r="J107" s="7"/>
      <c r="K107" s="7"/>
    </row>
    <row r="108">
      <c r="A108" s="7"/>
      <c r="B108" s="1" t="s">
        <v>789</v>
      </c>
      <c r="C108" s="31">
        <v>10</v>
      </c>
      <c r="D108" s="12"/>
      <c r="E108" s="12"/>
      <c r="F108" s="12"/>
      <c r="G108" s="12"/>
      <c r="H108" s="12"/>
      <c r="I108" s="12"/>
      <c r="J108" s="7"/>
      <c r="K108" s="7"/>
    </row>
    <row r="109">
      <c r="A109" s="7"/>
      <c r="B109" s="8" t="s">
        <v>790</v>
      </c>
      <c r="C109" s="19" t="str">
        <f>IF(C105&gt;C108,"Large",IF(C105&gt;=C107,"Mid","Small"))</f>
        <v>Large</v>
      </c>
      <c r="D109" s="11"/>
      <c r="E109" s="11"/>
      <c r="F109" s="11"/>
      <c r="G109" s="11"/>
      <c r="H109" s="11"/>
      <c r="I109" s="11"/>
      <c r="J109" s="7"/>
      <c r="K109" s="7"/>
    </row>
    <row r="110">
      <c r="A110" s="7"/>
      <c r="B110" s="8" t="s">
        <v>791</v>
      </c>
      <c r="C110" s="19" t="str">
        <f>C28</f>
        <v>Y</v>
      </c>
      <c r="D110" s="11"/>
      <c r="E110" s="11"/>
      <c r="F110" s="11"/>
      <c r="G110" s="11"/>
      <c r="H110" s="11"/>
      <c r="I110" s="11"/>
      <c r="J110" s="7"/>
      <c r="K110" s="7"/>
    </row>
    <row r="111">
      <c r="A111" s="7"/>
      <c r="B111" s="75" t="s">
        <v>792</v>
      </c>
      <c r="C111" s="52">
        <v>0.6</v>
      </c>
      <c r="D111" s="24"/>
      <c r="E111" s="24"/>
      <c r="F111" s="24"/>
      <c r="G111" s="24"/>
      <c r="H111" s="24"/>
      <c r="I111" s="24"/>
      <c r="J111" s="7"/>
      <c r="K111" s="7"/>
    </row>
    <row r="112">
      <c r="A112" s="7"/>
      <c r="B112" s="75" t="s">
        <v>793</v>
      </c>
      <c r="C112" s="52">
        <v>0.7</v>
      </c>
      <c r="D112" s="24"/>
      <c r="E112" s="24"/>
      <c r="F112" s="24"/>
      <c r="G112" s="24"/>
      <c r="H112" s="24"/>
      <c r="I112" s="24"/>
      <c r="J112" s="7"/>
      <c r="K112" s="7"/>
    </row>
    <row r="113">
      <c r="A113" s="7"/>
      <c r="B113" s="75" t="s">
        <v>794</v>
      </c>
      <c r="C113" s="52">
        <v>0.78</v>
      </c>
      <c r="D113" s="24"/>
      <c r="E113" s="24"/>
      <c r="F113" s="24"/>
      <c r="G113" s="24"/>
      <c r="H113" s="24"/>
      <c r="I113" s="24"/>
      <c r="J113" s="7"/>
      <c r="K113" s="7"/>
    </row>
    <row r="114">
      <c r="A114" s="7"/>
      <c r="B114" s="28" t="s">
        <v>795</v>
      </c>
      <c r="C114" s="24">
        <f>IF(OR(C109="Large",C110="Y"),C113,IF(C109="Mid",C112,C111))</f>
        <v>0.78</v>
      </c>
      <c r="D114" s="24"/>
      <c r="E114" s="24"/>
      <c r="F114" s="24"/>
      <c r="G114" s="24"/>
      <c r="H114" s="24"/>
      <c r="I114" s="24"/>
      <c r="J114" s="7"/>
      <c r="K114" s="7"/>
    </row>
    <row r="115">
      <c r="A115" s="7"/>
      <c r="B115" s="8" t="s">
        <v>796</v>
      </c>
      <c r="C115" s="83">
        <f>SUM(J97:J102)</f>
        <v>5</v>
      </c>
      <c r="D115" s="83"/>
      <c r="E115" s="83"/>
      <c r="F115" s="83"/>
      <c r="G115" s="83"/>
      <c r="H115" s="83"/>
      <c r="I115" s="83"/>
      <c r="J115" s="7"/>
      <c r="K115" s="7"/>
    </row>
    <row r="116">
      <c r="A116" s="7"/>
      <c r="B116" s="8" t="s">
        <v>797</v>
      </c>
      <c r="C116" s="83">
        <f>COUNT(J97:J102)</f>
        <v>6</v>
      </c>
      <c r="D116" s="83"/>
      <c r="E116" s="83"/>
      <c r="F116" s="83"/>
      <c r="G116" s="83"/>
      <c r="H116" s="83"/>
      <c r="I116" s="83"/>
      <c r="J116" s="7"/>
      <c r="K116" s="7"/>
    </row>
    <row r="117" ht="28.5">
      <c r="A117" s="7"/>
      <c r="B117" s="8" t="s">
        <v>798</v>
      </c>
      <c r="C117" s="86">
        <v>8</v>
      </c>
      <c r="D117" s="146" t="s">
        <v>799</v>
      </c>
      <c r="E117" s="83"/>
      <c r="F117" s="83"/>
      <c r="G117" s="83"/>
      <c r="H117" s="83"/>
      <c r="I117" s="83"/>
      <c r="J117" s="7"/>
      <c r="K117" s="7"/>
    </row>
    <row r="118">
      <c r="A118" s="7"/>
      <c r="B118" s="54" t="s">
        <v>800</v>
      </c>
      <c r="C118" s="5">
        <f>(C117*C114+C115)/(C117+C116)</f>
        <v>0.8028571428571428</v>
      </c>
      <c r="D118" s="5"/>
      <c r="E118" s="5"/>
      <c r="F118" s="5"/>
      <c r="G118" s="5"/>
      <c r="H118" s="5"/>
      <c r="I118" s="5"/>
      <c r="J118" s="7"/>
      <c r="K118" s="7"/>
    </row>
    <row r="119" ht="66.75">
      <c r="A119" s="7"/>
      <c r="B119" s="28" t="s">
        <v>801</v>
      </c>
      <c r="C119" s="52">
        <v>-0.14</v>
      </c>
      <c r="D119" s="147" t="s">
        <v>802</v>
      </c>
      <c r="E119" s="24"/>
      <c r="F119" s="24"/>
      <c r="G119" s="24"/>
      <c r="H119" s="24"/>
      <c r="I119" s="24"/>
      <c r="J119" s="7"/>
      <c r="K119" s="7"/>
    </row>
    <row r="120">
      <c r="A120" s="7"/>
      <c r="B120" s="54" t="s">
        <v>803</v>
      </c>
      <c r="C120" s="5">
        <f>C118+C119</f>
        <v>0.6628571428571428</v>
      </c>
      <c r="D120" s="5"/>
      <c r="E120" s="5"/>
      <c r="F120" s="5"/>
      <c r="G120" s="5"/>
      <c r="H120" s="5"/>
      <c r="I120" s="5"/>
      <c r="J120" s="7"/>
      <c r="K120" s="7"/>
    </row>
    <row r="121">
      <c r="A121" s="7"/>
      <c r="B121" s="8" t="s">
        <v>51</v>
      </c>
      <c r="C121" s="19" t="s">
        <v>804</v>
      </c>
      <c r="D121" s="11"/>
      <c r="E121" s="11"/>
      <c r="F121" s="11"/>
      <c r="G121" s="11"/>
      <c r="H121" s="11"/>
      <c r="I121" s="11"/>
      <c r="J121" s="7"/>
      <c r="K121" s="7"/>
    </row>
    <row r="122">
      <c r="A122" s="7"/>
      <c r="B122" s="1" t="s">
        <v>805</v>
      </c>
      <c r="C122" s="23">
        <f>AVERAGE(K97:K102)</f>
        <v>0.023333333333333334</v>
      </c>
      <c r="D122" s="23"/>
      <c r="E122" s="23"/>
      <c r="F122" s="23"/>
      <c r="G122" s="23"/>
      <c r="H122" s="23"/>
      <c r="I122" s="23"/>
      <c r="J122" s="7"/>
      <c r="K122" s="7"/>
    </row>
    <row r="123">
      <c r="A123" s="7"/>
      <c r="B123" s="1" t="s">
        <v>806</v>
      </c>
      <c r="C123" s="23">
        <f>MEDIAN(K97:K102)</f>
        <v>0.030000000000000027</v>
      </c>
      <c r="D123" s="23"/>
      <c r="E123" s="23"/>
      <c r="F123" s="23"/>
      <c r="G123" s="23"/>
      <c r="H123" s="23"/>
      <c r="I123" s="23"/>
      <c r="J123" s="7"/>
      <c r="K123" s="7"/>
    </row>
    <row r="124">
      <c r="A124" s="7"/>
      <c r="B124" s="1" t="s">
        <v>807</v>
      </c>
      <c r="C124" s="23">
        <f>K99</f>
        <v>0.030000000000000027</v>
      </c>
      <c r="D124" s="23"/>
      <c r="E124" s="23"/>
      <c r="F124" s="23"/>
      <c r="G124" s="23"/>
      <c r="H124" s="23"/>
      <c r="I124" s="23"/>
      <c r="J124" s="7"/>
      <c r="K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>
      <c r="A126" s="7"/>
      <c r="B126" s="34" t="s">
        <v>808</v>
      </c>
      <c r="C126" s="9"/>
      <c r="D126" s="9"/>
      <c r="E126" s="9"/>
      <c r="F126" s="9"/>
      <c r="G126" s="9"/>
      <c r="H126" s="9"/>
      <c r="I126" s="9"/>
      <c r="J126" s="7"/>
      <c r="K126" s="7"/>
    </row>
    <row r="127">
      <c r="A127" s="7"/>
      <c r="B127" s="34" t="s">
        <v>809</v>
      </c>
      <c r="C127" s="108" t="s">
        <v>659</v>
      </c>
      <c r="D127" s="108" t="s">
        <v>660</v>
      </c>
      <c r="E127" s="108" t="s">
        <v>661</v>
      </c>
      <c r="F127" s="108" t="s">
        <v>662</v>
      </c>
      <c r="G127" s="108" t="s">
        <v>663</v>
      </c>
      <c r="H127" s="108" t="s">
        <v>664</v>
      </c>
      <c r="I127" s="108" t="s">
        <v>665</v>
      </c>
      <c r="J127" s="7"/>
      <c r="K127" s="7"/>
    </row>
    <row r="128">
      <c r="A128" s="7"/>
      <c r="B128" s="1" t="s">
        <v>810</v>
      </c>
      <c r="C128" s="31">
        <v>69364</v>
      </c>
      <c r="D128" s="12">
        <f>(E128*E$6-H128*H$6)/D$6</f>
        <v>69582.26086956522</v>
      </c>
      <c r="E128" s="31">
        <v>69207</v>
      </c>
      <c r="F128" s="31">
        <v>69289</v>
      </c>
      <c r="G128" s="31">
        <v>69768</v>
      </c>
      <c r="H128" s="31">
        <v>69081</v>
      </c>
      <c r="I128" s="31">
        <v>69879</v>
      </c>
      <c r="J128" s="7"/>
      <c r="K128" s="7"/>
    </row>
    <row r="129">
      <c r="A129" s="7"/>
      <c r="B129" s="1" t="s">
        <v>811</v>
      </c>
      <c r="C129" s="12"/>
      <c r="D129" s="12"/>
      <c r="E129" s="31">
        <v>37007</v>
      </c>
      <c r="F129" s="12"/>
      <c r="G129" s="31">
        <v>39234</v>
      </c>
      <c r="H129" s="12"/>
      <c r="I129" s="12"/>
      <c r="J129" s="7"/>
      <c r="K129" s="7"/>
    </row>
    <row r="130">
      <c r="A130" s="7"/>
      <c r="B130" s="1" t="s">
        <v>812</v>
      </c>
      <c r="C130" s="12"/>
      <c r="D130" s="12"/>
      <c r="E130" s="12"/>
      <c r="F130" s="12"/>
      <c r="G130" s="31">
        <v>40101</v>
      </c>
      <c r="H130" s="12"/>
      <c r="I130" s="12"/>
      <c r="J130" s="7"/>
      <c r="K130" s="7"/>
    </row>
    <row r="131">
      <c r="A131" s="7"/>
      <c r="B131" s="1" t="s">
        <v>813</v>
      </c>
      <c r="C131" s="31">
        <v>459</v>
      </c>
      <c r="D131" s="12">
        <f>E131-H131</f>
        <v>462</v>
      </c>
      <c r="E131" s="31">
        <v>1821</v>
      </c>
      <c r="F131" s="31">
        <v>441</v>
      </c>
      <c r="G131" s="31">
        <v>474</v>
      </c>
      <c r="H131" s="31">
        <v>1359</v>
      </c>
      <c r="I131" s="31">
        <v>1391</v>
      </c>
      <c r="J131" s="7"/>
      <c r="K131" s="7"/>
    </row>
    <row r="132">
      <c r="A132" s="7"/>
      <c r="B132" s="1" t="s">
        <v>814</v>
      </c>
      <c r="C132" s="31">
        <v>58</v>
      </c>
      <c r="D132" s="12">
        <f>E132-H132</f>
        <v>56</v>
      </c>
      <c r="E132" s="31">
        <v>223</v>
      </c>
      <c r="F132" s="31">
        <v>64</v>
      </c>
      <c r="G132" s="31">
        <v>60</v>
      </c>
      <c r="H132" s="31">
        <v>167</v>
      </c>
      <c r="I132" s="31">
        <v>185</v>
      </c>
      <c r="J132" s="7"/>
      <c r="K132" s="7"/>
    </row>
    <row r="133">
      <c r="A133" s="7"/>
      <c r="B133" s="1" t="s">
        <v>815</v>
      </c>
      <c r="C133" s="31">
        <v>11</v>
      </c>
      <c r="D133" s="12">
        <f>E133-H133</f>
        <v>11</v>
      </c>
      <c r="E133" s="31">
        <v>43</v>
      </c>
      <c r="F133" s="31">
        <v>11</v>
      </c>
      <c r="G133" s="31">
        <v>11</v>
      </c>
      <c r="H133" s="31">
        <v>32</v>
      </c>
      <c r="I133" s="31">
        <v>32</v>
      </c>
      <c r="J133" s="7"/>
      <c r="K133" s="7"/>
    </row>
    <row r="134">
      <c r="A134" s="7"/>
      <c r="B134" s="1" t="s">
        <v>816</v>
      </c>
      <c r="C134" s="31">
        <v>92</v>
      </c>
      <c r="D134" s="12">
        <f>E134-H134</f>
        <v>97</v>
      </c>
      <c r="E134" s="31">
        <v>346</v>
      </c>
      <c r="F134" s="31">
        <v>79</v>
      </c>
      <c r="G134" s="31">
        <v>83</v>
      </c>
      <c r="H134" s="31">
        <v>249</v>
      </c>
      <c r="I134" s="31">
        <v>265</v>
      </c>
      <c r="J134" s="7"/>
      <c r="K134" s="7"/>
    </row>
    <row r="135">
      <c r="A135" s="7"/>
      <c r="B135" s="1" t="s">
        <v>817</v>
      </c>
      <c r="C135" s="31">
        <v>28</v>
      </c>
      <c r="D135" s="12">
        <f>E135-H135</f>
        <v>28</v>
      </c>
      <c r="E135" s="31">
        <v>111</v>
      </c>
      <c r="F135" s="31">
        <v>27</v>
      </c>
      <c r="G135" s="31">
        <v>29</v>
      </c>
      <c r="H135" s="31">
        <v>83</v>
      </c>
      <c r="I135" s="31">
        <v>84</v>
      </c>
      <c r="J135" s="7"/>
      <c r="K135" s="7"/>
    </row>
    <row r="136">
      <c r="A136" s="7"/>
      <c r="B136" s="1" t="s">
        <v>818</v>
      </c>
      <c r="C136" s="31">
        <v>51</v>
      </c>
      <c r="D136" s="12">
        <f>E136-H136</f>
        <v>48</v>
      </c>
      <c r="E136" s="31">
        <v>174</v>
      </c>
      <c r="F136" s="31">
        <v>42</v>
      </c>
      <c r="G136" s="31">
        <v>42</v>
      </c>
      <c r="H136" s="31">
        <v>126</v>
      </c>
      <c r="I136" s="31">
        <v>145</v>
      </c>
      <c r="J136" s="7"/>
      <c r="K136" s="7"/>
    </row>
    <row r="137">
      <c r="A137" s="7"/>
      <c r="B137" s="33" t="s">
        <v>819</v>
      </c>
      <c r="C137" s="35">
        <f>C132+C133+C134+C135+C136</f>
        <v>240</v>
      </c>
      <c r="D137" s="35">
        <f>D132+D133+D134+D135+D136</f>
        <v>240</v>
      </c>
      <c r="E137" s="35">
        <f>E132+E133+E134+E135+E136</f>
        <v>897</v>
      </c>
      <c r="F137" s="35">
        <f>F132+F133+F134+F135+F136</f>
        <v>223</v>
      </c>
      <c r="G137" s="35">
        <f>G132+G133+G134+G135+G136</f>
        <v>225</v>
      </c>
      <c r="H137" s="35"/>
      <c r="I137" s="35"/>
      <c r="J137" s="7"/>
      <c r="K137" s="7"/>
    </row>
    <row r="138">
      <c r="A138" s="7"/>
      <c r="B138" s="33" t="s">
        <v>820</v>
      </c>
      <c r="C138" s="35">
        <f>C131+C137</f>
        <v>699</v>
      </c>
      <c r="D138" s="35">
        <f>D131+D137</f>
        <v>702</v>
      </c>
      <c r="E138" s="35">
        <f>E131+E137</f>
        <v>2718</v>
      </c>
      <c r="F138" s="35">
        <f>F131+F137</f>
        <v>664</v>
      </c>
      <c r="G138" s="35">
        <f>G131+G137</f>
        <v>699</v>
      </c>
      <c r="H138" s="35"/>
      <c r="I138" s="35"/>
      <c r="J138" s="7"/>
      <c r="K138" s="7"/>
    </row>
    <row r="139">
      <c r="A139" s="7"/>
      <c r="B139" s="1" t="s">
        <v>821</v>
      </c>
      <c r="C139" s="31">
        <v>141</v>
      </c>
      <c r="D139" s="12">
        <f>E139-H139</f>
        <v>134</v>
      </c>
      <c r="E139" s="31">
        <v>558</v>
      </c>
      <c r="F139" s="31">
        <v>145</v>
      </c>
      <c r="G139" s="31">
        <v>137</v>
      </c>
      <c r="H139" s="31">
        <v>424</v>
      </c>
      <c r="I139" s="31">
        <v>425</v>
      </c>
      <c r="J139" s="7"/>
      <c r="K139" s="7"/>
    </row>
    <row r="140">
      <c r="A140" s="7"/>
      <c r="B140" s="1" t="s">
        <v>822</v>
      </c>
      <c r="C140" s="31">
        <v>5</v>
      </c>
      <c r="D140" s="12">
        <f>E140-H140</f>
        <v>5</v>
      </c>
      <c r="E140" s="31">
        <v>19</v>
      </c>
      <c r="F140" s="31">
        <v>5</v>
      </c>
      <c r="G140" s="31">
        <v>5</v>
      </c>
      <c r="H140" s="31">
        <v>14</v>
      </c>
      <c r="I140" s="31">
        <v>15</v>
      </c>
      <c r="J140" s="7"/>
      <c r="K140" s="7"/>
    </row>
    <row r="141">
      <c r="A141" s="7"/>
      <c r="B141" s="1" t="s">
        <v>823</v>
      </c>
      <c r="C141" s="31">
        <v>7</v>
      </c>
      <c r="D141" s="12">
        <f>E141-H141</f>
        <v>7</v>
      </c>
      <c r="E141" s="31">
        <v>27</v>
      </c>
      <c r="F141" s="31">
        <v>7</v>
      </c>
      <c r="G141" s="31">
        <v>7</v>
      </c>
      <c r="H141" s="31">
        <v>20</v>
      </c>
      <c r="I141" s="31">
        <v>20</v>
      </c>
      <c r="J141" s="7"/>
      <c r="K141" s="7"/>
    </row>
    <row r="142">
      <c r="A142" s="7"/>
      <c r="B142" s="1" t="s">
        <v>824</v>
      </c>
      <c r="C142" s="31">
        <v>166</v>
      </c>
      <c r="D142" s="12">
        <f>E142-H142</f>
        <v>174</v>
      </c>
      <c r="E142" s="31">
        <v>666</v>
      </c>
      <c r="F142" s="31">
        <v>153</v>
      </c>
      <c r="G142" s="31">
        <v>162</v>
      </c>
      <c r="H142" s="31">
        <v>492</v>
      </c>
      <c r="I142" s="31">
        <v>480</v>
      </c>
      <c r="J142" s="7"/>
      <c r="K142" s="7"/>
    </row>
    <row r="143">
      <c r="A143" s="7"/>
      <c r="B143" s="33" t="s">
        <v>825</v>
      </c>
      <c r="C143" s="35">
        <f>C139+C140+C141+C142</f>
        <v>319</v>
      </c>
      <c r="D143" s="35">
        <f>D139+D140+D141+D142</f>
        <v>320</v>
      </c>
      <c r="E143" s="35">
        <f>E139+E140+E141+E142</f>
        <v>1270</v>
      </c>
      <c r="F143" s="35">
        <f>F139+F140+F141+F142</f>
        <v>310</v>
      </c>
      <c r="G143" s="35">
        <f>G139+G140+G141+G142</f>
        <v>311</v>
      </c>
      <c r="H143" s="35"/>
      <c r="I143" s="35"/>
      <c r="J143" s="7"/>
      <c r="K143" s="7"/>
    </row>
    <row r="144">
      <c r="A144" s="7"/>
      <c r="B144" s="33" t="s">
        <v>826</v>
      </c>
      <c r="C144" s="35">
        <f>C138-C143</f>
        <v>380</v>
      </c>
      <c r="D144" s="35">
        <f>D138-D143</f>
        <v>382</v>
      </c>
      <c r="E144" s="35">
        <f>E138-E143</f>
        <v>1448</v>
      </c>
      <c r="F144" s="35">
        <f>F138-F143</f>
        <v>354</v>
      </c>
      <c r="G144" s="35">
        <f>G138-G143</f>
        <v>388</v>
      </c>
      <c r="H144" s="35"/>
      <c r="I144" s="35"/>
      <c r="J144" s="7"/>
      <c r="K144" s="7"/>
    </row>
    <row r="145">
      <c r="A145" s="7"/>
      <c r="B145" s="1" t="s">
        <v>827</v>
      </c>
      <c r="C145" s="31">
        <v>91</v>
      </c>
      <c r="D145" s="12">
        <f>E145-H145</f>
        <v>90</v>
      </c>
      <c r="E145" s="31">
        <v>362</v>
      </c>
      <c r="F145" s="31">
        <v>65</v>
      </c>
      <c r="G145" s="31">
        <v>56</v>
      </c>
      <c r="H145" s="31">
        <v>272</v>
      </c>
      <c r="I145" s="31">
        <v>259</v>
      </c>
      <c r="J145" s="7"/>
      <c r="K145" s="7"/>
    </row>
    <row r="146">
      <c r="A146" s="7"/>
      <c r="B146" s="33" t="s">
        <v>828</v>
      </c>
      <c r="C146" s="35">
        <f>C138-C143-C145</f>
        <v>289</v>
      </c>
      <c r="D146" s="35">
        <f>D138-D143-D145</f>
        <v>292</v>
      </c>
      <c r="E146" s="35">
        <f>E138-E143-E145</f>
        <v>1086</v>
      </c>
      <c r="F146" s="35">
        <f>F138-F143-F145</f>
        <v>289</v>
      </c>
      <c r="G146" s="35">
        <f>G138-G143-G145</f>
        <v>332</v>
      </c>
      <c r="H146" s="35"/>
      <c r="I146" s="35"/>
      <c r="J146" s="7"/>
      <c r="K146" s="7"/>
    </row>
    <row r="147">
      <c r="A147" s="7"/>
      <c r="B147" s="1" t="s">
        <v>829</v>
      </c>
      <c r="C147" s="31">
        <v>73</v>
      </c>
      <c r="D147" s="12">
        <f>E147-H147</f>
        <v>72</v>
      </c>
      <c r="E147" s="31">
        <v>271</v>
      </c>
      <c r="F147" s="31">
        <v>72</v>
      </c>
      <c r="G147" s="31">
        <v>83</v>
      </c>
      <c r="H147" s="31">
        <v>199</v>
      </c>
      <c r="I147" s="31">
        <v>226</v>
      </c>
      <c r="J147" s="7"/>
      <c r="K147" s="7"/>
    </row>
    <row r="148">
      <c r="A148" s="7"/>
      <c r="B148" s="33" t="s">
        <v>830</v>
      </c>
      <c r="C148" s="35">
        <f>C146-C147</f>
        <v>216</v>
      </c>
      <c r="D148" s="35">
        <f>D146-D147</f>
        <v>220</v>
      </c>
      <c r="E148" s="35">
        <f>E146-E147</f>
        <v>815</v>
      </c>
      <c r="F148" s="35">
        <f>F146-F147</f>
        <v>217</v>
      </c>
      <c r="G148" s="35">
        <f>G146-G147</f>
        <v>249</v>
      </c>
      <c r="H148" s="35"/>
      <c r="I148" s="35"/>
      <c r="J148" s="7"/>
      <c r="K148" s="7"/>
    </row>
    <row r="149">
      <c r="A149" s="7"/>
      <c r="B149" s="1" t="s">
        <v>831</v>
      </c>
      <c r="C149" s="31">
        <v>37882</v>
      </c>
      <c r="D149" s="12">
        <f>(E149*E$6-H149*H$6)/D$6</f>
        <v>37866.586956521736</v>
      </c>
      <c r="E149" s="31">
        <v>37947</v>
      </c>
      <c r="F149" s="31">
        <v>37667</v>
      </c>
      <c r="G149" s="31">
        <v>37502</v>
      </c>
      <c r="H149" s="31">
        <v>37974</v>
      </c>
      <c r="I149" s="31">
        <v>37502</v>
      </c>
      <c r="J149" s="7"/>
      <c r="K149" s="7"/>
    </row>
    <row r="150">
      <c r="A150" s="7"/>
      <c r="B150" s="1" t="s">
        <v>832</v>
      </c>
      <c r="C150" s="12"/>
      <c r="D150" s="12"/>
      <c r="E150" s="31">
        <v>79083</v>
      </c>
      <c r="F150" s="12"/>
      <c r="G150" s="31">
        <v>79912</v>
      </c>
      <c r="H150" s="12"/>
      <c r="I150" s="12"/>
      <c r="J150" s="7"/>
      <c r="K150" s="7"/>
    </row>
    <row r="151">
      <c r="A151" s="7"/>
      <c r="B151" s="1" t="s">
        <v>833</v>
      </c>
      <c r="C151" s="12"/>
      <c r="D151" s="12"/>
      <c r="E151" s="12"/>
      <c r="F151" s="12"/>
      <c r="G151" s="31">
        <v>79953</v>
      </c>
      <c r="H151" s="12"/>
      <c r="I151" s="12"/>
      <c r="J151" s="7"/>
      <c r="K151" s="7"/>
    </row>
    <row r="152">
      <c r="A152" s="7"/>
      <c r="B152" s="1" t="s">
        <v>834</v>
      </c>
      <c r="C152" s="31">
        <v>718</v>
      </c>
      <c r="D152" s="12">
        <f>E152-H152</f>
        <v>727</v>
      </c>
      <c r="E152" s="31">
        <v>2834</v>
      </c>
      <c r="F152" s="31">
        <v>710</v>
      </c>
      <c r="G152" s="31">
        <v>742</v>
      </c>
      <c r="H152" s="31">
        <v>2107</v>
      </c>
      <c r="I152" s="31">
        <v>2189</v>
      </c>
      <c r="J152" s="7"/>
      <c r="K152" s="7"/>
    </row>
    <row r="153">
      <c r="A153" s="7"/>
      <c r="B153" s="1" t="s">
        <v>835</v>
      </c>
      <c r="C153" s="31">
        <v>100</v>
      </c>
      <c r="D153" s="12">
        <f>E153-H153</f>
        <v>98</v>
      </c>
      <c r="E153" s="31">
        <v>385</v>
      </c>
      <c r="F153" s="31">
        <v>96</v>
      </c>
      <c r="G153" s="31">
        <v>90</v>
      </c>
      <c r="H153" s="31">
        <v>287</v>
      </c>
      <c r="I153" s="31">
        <v>285</v>
      </c>
      <c r="J153" s="7"/>
      <c r="K153" s="7"/>
    </row>
    <row r="154">
      <c r="A154" s="7"/>
      <c r="B154" s="1" t="s">
        <v>836</v>
      </c>
      <c r="C154" s="31">
        <v>108</v>
      </c>
      <c r="D154" s="12">
        <f>E154-H154</f>
        <v>102</v>
      </c>
      <c r="E154" s="31">
        <v>424</v>
      </c>
      <c r="F154" s="31">
        <v>106</v>
      </c>
      <c r="G154" s="31">
        <v>114</v>
      </c>
      <c r="H154" s="31">
        <v>322</v>
      </c>
      <c r="I154" s="31">
        <v>331</v>
      </c>
      <c r="J154" s="7"/>
      <c r="K154" s="7"/>
    </row>
    <row r="155">
      <c r="A155" s="7"/>
      <c r="B155" s="1" t="s">
        <v>837</v>
      </c>
      <c r="C155" s="31">
        <v>0</v>
      </c>
      <c r="D155" s="12">
        <f>E155-H155</f>
        <v>0</v>
      </c>
      <c r="E155" s="31">
        <v>1</v>
      </c>
      <c r="F155" s="31">
        <v>0</v>
      </c>
      <c r="G155" s="31">
        <v>0</v>
      </c>
      <c r="H155" s="31">
        <v>1</v>
      </c>
      <c r="I155" s="31">
        <v>1</v>
      </c>
      <c r="J155" s="7"/>
      <c r="K155" s="7"/>
    </row>
    <row r="156">
      <c r="A156" s="7"/>
      <c r="B156" s="1" t="s">
        <v>838</v>
      </c>
      <c r="C156" s="12"/>
      <c r="D156" s="31">
        <v>462</v>
      </c>
      <c r="E156" s="31">
        <v>1923</v>
      </c>
      <c r="F156" s="31">
        <v>371</v>
      </c>
      <c r="G156" s="31">
        <v>516</v>
      </c>
      <c r="H156" s="12"/>
      <c r="I156" s="12"/>
      <c r="J156" s="7"/>
      <c r="K156" s="7"/>
    </row>
    <row r="157">
      <c r="A157" s="7"/>
      <c r="B157" s="1" t="s">
        <v>839</v>
      </c>
      <c r="C157" s="12"/>
      <c r="D157" s="31">
        <v>413</v>
      </c>
      <c r="E157" s="31">
        <v>1763</v>
      </c>
      <c r="F157" s="31">
        <v>355</v>
      </c>
      <c r="G157" s="31">
        <v>602</v>
      </c>
      <c r="H157" s="12"/>
      <c r="I157" s="12"/>
      <c r="J157" s="7"/>
      <c r="K157" s="7"/>
    </row>
    <row r="158">
      <c r="A158" s="7"/>
      <c r="B158" s="33" t="s">
        <v>840</v>
      </c>
      <c r="C158" s="35"/>
      <c r="D158" s="35">
        <f>D156+D157</f>
        <v>875</v>
      </c>
      <c r="E158" s="35">
        <f>E156+E157</f>
        <v>3686</v>
      </c>
      <c r="F158" s="35">
        <f>F156+F157</f>
        <v>726</v>
      </c>
      <c r="G158" s="35">
        <f>G156+G157</f>
        <v>1118</v>
      </c>
      <c r="H158" s="35"/>
      <c r="I158" s="35"/>
      <c r="J158" s="7"/>
      <c r="K158" s="7"/>
    </row>
    <row r="159">
      <c r="A159" s="7"/>
      <c r="B159" s="1" t="s">
        <v>841</v>
      </c>
      <c r="C159" s="12"/>
      <c r="D159" s="31">
        <v>14</v>
      </c>
      <c r="E159" s="31">
        <v>70</v>
      </c>
      <c r="F159" s="31">
        <v>13</v>
      </c>
      <c r="G159" s="31">
        <v>17</v>
      </c>
      <c r="H159" s="12"/>
      <c r="I159" s="12"/>
      <c r="J159" s="7"/>
      <c r="K159" s="7"/>
    </row>
    <row r="160">
      <c r="A160" s="7"/>
      <c r="B160" s="1" t="s">
        <v>842</v>
      </c>
      <c r="C160" s="12"/>
      <c r="D160" s="31">
        <v>48</v>
      </c>
      <c r="E160" s="31">
        <v>191</v>
      </c>
      <c r="F160" s="31">
        <v>47</v>
      </c>
      <c r="G160" s="31">
        <v>47</v>
      </c>
      <c r="H160" s="12"/>
      <c r="I160" s="12"/>
      <c r="J160" s="7"/>
      <c r="K160" s="7"/>
    </row>
    <row r="161">
      <c r="A161" s="7"/>
      <c r="B161" s="1" t="s">
        <v>843</v>
      </c>
      <c r="C161" s="12"/>
      <c r="D161" s="31">
        <v>56</v>
      </c>
      <c r="E161" s="31">
        <v>60</v>
      </c>
      <c r="F161" s="31">
        <v>-10</v>
      </c>
      <c r="G161" s="31">
        <v>16</v>
      </c>
      <c r="H161" s="12"/>
      <c r="I161" s="12"/>
      <c r="J161" s="7"/>
      <c r="K161" s="7"/>
    </row>
    <row r="162">
      <c r="A162" s="7"/>
      <c r="B162" s="1" t="s">
        <v>844</v>
      </c>
      <c r="C162" s="12"/>
      <c r="D162" s="31">
        <v>-53</v>
      </c>
      <c r="E162" s="31">
        <v>-52</v>
      </c>
      <c r="F162" s="31">
        <v>18</v>
      </c>
      <c r="G162" s="31">
        <v>-4</v>
      </c>
      <c r="H162" s="12"/>
      <c r="I162" s="12"/>
      <c r="J162" s="7"/>
      <c r="K162" s="7"/>
    </row>
    <row r="163">
      <c r="A163" s="7"/>
      <c r="B163" s="1" t="s">
        <v>845</v>
      </c>
      <c r="C163" s="12"/>
      <c r="D163" s="31">
        <v>-30</v>
      </c>
      <c r="E163" s="31">
        <v>-123</v>
      </c>
      <c r="F163" s="31">
        <v>-28</v>
      </c>
      <c r="G163" s="31">
        <v>-28</v>
      </c>
      <c r="H163" s="12"/>
      <c r="I163" s="12"/>
      <c r="J163" s="7"/>
      <c r="K163" s="7"/>
    </row>
    <row r="164">
      <c r="A164" s="7"/>
      <c r="B164" s="33" t="s">
        <v>846</v>
      </c>
      <c r="C164" s="35"/>
      <c r="D164" s="35">
        <f>D159+D160+D161+D162+D163</f>
        <v>35</v>
      </c>
      <c r="E164" s="35">
        <f>E159+E160+E161+E162+E163</f>
        <v>146</v>
      </c>
      <c r="F164" s="35">
        <f>F159+F160+F161+F162+F163</f>
        <v>40</v>
      </c>
      <c r="G164" s="35">
        <f>G159+G160+G161+G162+G163</f>
        <v>48</v>
      </c>
      <c r="H164" s="35"/>
      <c r="I164" s="35"/>
      <c r="J164" s="7"/>
      <c r="K164" s="7"/>
    </row>
    <row r="165">
      <c r="A165" s="7"/>
      <c r="B165" s="1" t="s">
        <v>847</v>
      </c>
      <c r="C165" s="31">
        <v>20</v>
      </c>
      <c r="D165" s="12">
        <f>E165-H165</f>
        <v>22</v>
      </c>
      <c r="E165" s="31">
        <v>81</v>
      </c>
      <c r="F165" s="31">
        <v>19</v>
      </c>
      <c r="G165" s="31">
        <v>20</v>
      </c>
      <c r="H165" s="31">
        <v>59</v>
      </c>
      <c r="I165" s="31">
        <v>59</v>
      </c>
      <c r="J165" s="7"/>
      <c r="K165" s="7"/>
    </row>
    <row r="166">
      <c r="A166" s="7"/>
      <c r="B166" s="33" t="s">
        <v>848</v>
      </c>
      <c r="C166" s="72">
        <v>264</v>
      </c>
      <c r="D166" s="35">
        <f>D153+D154+D155+D164+D165</f>
        <v>257</v>
      </c>
      <c r="E166" s="35">
        <f>E153+E154+E155+E164+E165</f>
        <v>1037</v>
      </c>
      <c r="F166" s="35">
        <f>F153+F154+F155+F164+F165</f>
        <v>261</v>
      </c>
      <c r="G166" s="35">
        <f>G153+G154+G155+G164+G165</f>
        <v>272</v>
      </c>
      <c r="H166" s="35"/>
      <c r="I166" s="35"/>
      <c r="J166" s="7"/>
      <c r="K166" s="7"/>
    </row>
    <row r="167">
      <c r="A167" s="7"/>
      <c r="B167" s="33" t="s">
        <v>849</v>
      </c>
      <c r="C167" s="35">
        <f>C152+C166</f>
        <v>982</v>
      </c>
      <c r="D167" s="35">
        <f>D152+D166</f>
        <v>984</v>
      </c>
      <c r="E167" s="35">
        <f>E152+E166</f>
        <v>3871</v>
      </c>
      <c r="F167" s="35">
        <f>F152+F166</f>
        <v>971</v>
      </c>
      <c r="G167" s="35">
        <f>G152+G166</f>
        <v>1014</v>
      </c>
      <c r="H167" s="35"/>
      <c r="I167" s="35"/>
      <c r="J167" s="7"/>
      <c r="K167" s="7"/>
    </row>
    <row r="168">
      <c r="A168" s="7"/>
      <c r="B168" s="1" t="s">
        <v>850</v>
      </c>
      <c r="C168" s="31">
        <v>178</v>
      </c>
      <c r="D168" s="12">
        <f>E168-H168</f>
        <v>182</v>
      </c>
      <c r="E168" s="31">
        <v>721</v>
      </c>
      <c r="F168" s="31">
        <v>194</v>
      </c>
      <c r="G168" s="31">
        <v>195</v>
      </c>
      <c r="H168" s="31">
        <v>539</v>
      </c>
      <c r="I168" s="31">
        <v>543</v>
      </c>
      <c r="J168" s="7"/>
      <c r="K168" s="7"/>
    </row>
    <row r="169">
      <c r="A169" s="7"/>
      <c r="B169" s="1" t="s">
        <v>851</v>
      </c>
      <c r="C169" s="31">
        <v>25</v>
      </c>
      <c r="D169" s="12">
        <f>E169-H169</f>
        <v>25</v>
      </c>
      <c r="E169" s="31">
        <v>101</v>
      </c>
      <c r="F169" s="31">
        <v>25</v>
      </c>
      <c r="G169" s="31">
        <v>24</v>
      </c>
      <c r="H169" s="31">
        <v>76</v>
      </c>
      <c r="I169" s="31">
        <v>73</v>
      </c>
      <c r="J169" s="7"/>
      <c r="K169" s="7"/>
    </row>
    <row r="170">
      <c r="A170" s="7"/>
      <c r="B170" s="1" t="s">
        <v>852</v>
      </c>
      <c r="C170" s="31">
        <v>51</v>
      </c>
      <c r="D170" s="12">
        <f>E170-H170</f>
        <v>51</v>
      </c>
      <c r="E170" s="31">
        <v>210</v>
      </c>
      <c r="F170" s="31">
        <v>53</v>
      </c>
      <c r="G170" s="31">
        <v>55</v>
      </c>
      <c r="H170" s="31">
        <v>159</v>
      </c>
      <c r="I170" s="31">
        <v>164</v>
      </c>
      <c r="J170" s="7"/>
      <c r="K170" s="7"/>
    </row>
    <row r="171">
      <c r="A171" s="7"/>
      <c r="B171" s="1" t="s">
        <v>853</v>
      </c>
      <c r="C171" s="31">
        <v>349</v>
      </c>
      <c r="D171" s="12">
        <f>E171-H171</f>
        <v>343</v>
      </c>
      <c r="E171" s="31">
        <v>1369</v>
      </c>
      <c r="F171" s="31">
        <v>320</v>
      </c>
      <c r="G171" s="31">
        <v>328</v>
      </c>
      <c r="H171" s="31">
        <v>1026</v>
      </c>
      <c r="I171" s="31">
        <v>1093</v>
      </c>
      <c r="J171" s="7"/>
      <c r="K171" s="7"/>
    </row>
    <row r="172">
      <c r="A172" s="7"/>
      <c r="B172" s="33" t="s">
        <v>854</v>
      </c>
      <c r="C172" s="35">
        <f>C168+C169+C170+C171</f>
        <v>603</v>
      </c>
      <c r="D172" s="35">
        <f>D168+D169+D170+D171</f>
        <v>601</v>
      </c>
      <c r="E172" s="35">
        <f>E168+E169+E170+E171</f>
        <v>2401</v>
      </c>
      <c r="F172" s="35">
        <f>F168+F169+F170+F171</f>
        <v>592</v>
      </c>
      <c r="G172" s="35">
        <f>G168+G169+G170+G171</f>
        <v>602</v>
      </c>
      <c r="H172" s="35"/>
      <c r="I172" s="35"/>
      <c r="J172" s="7"/>
      <c r="K172" s="7"/>
    </row>
    <row r="173">
      <c r="A173" s="7"/>
      <c r="B173" s="33" t="s">
        <v>855</v>
      </c>
      <c r="C173" s="35">
        <f>C167-C172</f>
        <v>379</v>
      </c>
      <c r="D173" s="35">
        <f>D167-D172</f>
        <v>383</v>
      </c>
      <c r="E173" s="35">
        <f>E167-E172</f>
        <v>1470</v>
      </c>
      <c r="F173" s="35">
        <f>F167-F172</f>
        <v>379</v>
      </c>
      <c r="G173" s="35">
        <f>G167-G172</f>
        <v>412</v>
      </c>
      <c r="H173" s="35"/>
      <c r="I173" s="35"/>
      <c r="J173" s="7"/>
      <c r="K173" s="7"/>
    </row>
    <row r="174">
      <c r="A174" s="7"/>
      <c r="B174" s="1" t="s">
        <v>856</v>
      </c>
      <c r="C174" s="31">
        <v>67</v>
      </c>
      <c r="D174" s="12">
        <f>E174-H174</f>
        <v>68</v>
      </c>
      <c r="E174" s="31">
        <v>270</v>
      </c>
      <c r="F174" s="31">
        <v>59</v>
      </c>
      <c r="G174" s="31">
        <v>58</v>
      </c>
      <c r="H174" s="31">
        <v>202</v>
      </c>
      <c r="I174" s="31">
        <v>203</v>
      </c>
      <c r="J174" s="7"/>
      <c r="K174" s="7"/>
    </row>
    <row r="175">
      <c r="A175" s="7"/>
      <c r="B175" s="33" t="s">
        <v>857</v>
      </c>
      <c r="C175" s="35">
        <f>C167-C172-C174</f>
        <v>312</v>
      </c>
      <c r="D175" s="35">
        <f>D167-D172-D174</f>
        <v>315</v>
      </c>
      <c r="E175" s="35">
        <f>E167-E172-E174</f>
        <v>1200</v>
      </c>
      <c r="F175" s="35">
        <f>F167-F172-F174</f>
        <v>320</v>
      </c>
      <c r="G175" s="35">
        <f>G167-G172-G174</f>
        <v>354</v>
      </c>
      <c r="H175" s="35"/>
      <c r="I175" s="35"/>
      <c r="J175" s="7"/>
      <c r="K175" s="7"/>
    </row>
    <row r="176">
      <c r="A176" s="7"/>
      <c r="B176" s="1" t="s">
        <v>858</v>
      </c>
      <c r="C176" s="31">
        <v>78</v>
      </c>
      <c r="D176" s="12">
        <f>E176-H176</f>
        <v>79</v>
      </c>
      <c r="E176" s="31">
        <v>300</v>
      </c>
      <c r="F176" s="31">
        <v>80</v>
      </c>
      <c r="G176" s="31">
        <v>88</v>
      </c>
      <c r="H176" s="31">
        <v>221</v>
      </c>
      <c r="I176" s="31">
        <v>229</v>
      </c>
      <c r="J176" s="7"/>
      <c r="K176" s="7"/>
    </row>
    <row r="177">
      <c r="A177" s="7"/>
      <c r="B177" s="33" t="s">
        <v>859</v>
      </c>
      <c r="C177" s="35">
        <f>C175-C176</f>
        <v>234</v>
      </c>
      <c r="D177" s="35">
        <f>D175-D176</f>
        <v>236</v>
      </c>
      <c r="E177" s="35">
        <f>E175-E176</f>
        <v>900</v>
      </c>
      <c r="F177" s="35">
        <f>F175-F176</f>
        <v>240</v>
      </c>
      <c r="G177" s="35">
        <f>G175-G176</f>
        <v>266</v>
      </c>
      <c r="H177" s="35"/>
      <c r="I177" s="35"/>
      <c r="J177" s="7"/>
      <c r="K177" s="7"/>
    </row>
    <row r="178">
      <c r="A178" s="7"/>
      <c r="B178" s="1" t="s">
        <v>860</v>
      </c>
      <c r="C178" s="31">
        <v>2088</v>
      </c>
      <c r="D178" s="12">
        <f>(E178*E$6-H178*H$6)/D$6</f>
        <v>2074.913043478261</v>
      </c>
      <c r="E178" s="31">
        <v>2063</v>
      </c>
      <c r="F178" s="31">
        <v>2133</v>
      </c>
      <c r="G178" s="31">
        <v>2112</v>
      </c>
      <c r="H178" s="31">
        <v>2059</v>
      </c>
      <c r="I178" s="31">
        <v>2125</v>
      </c>
      <c r="J178" s="7"/>
      <c r="K178" s="7"/>
    </row>
    <row r="179">
      <c r="A179" s="7"/>
      <c r="B179" s="1" t="s">
        <v>861</v>
      </c>
      <c r="C179" s="12"/>
      <c r="D179" s="12"/>
      <c r="E179" s="31">
        <v>7541</v>
      </c>
      <c r="F179" s="12"/>
      <c r="G179" s="31">
        <v>7324</v>
      </c>
      <c r="H179" s="12"/>
      <c r="I179" s="12"/>
      <c r="J179" s="7"/>
      <c r="K179" s="7"/>
    </row>
    <row r="180">
      <c r="A180" s="7"/>
      <c r="B180" s="1" t="s">
        <v>862</v>
      </c>
      <c r="C180" s="12"/>
      <c r="D180" s="12"/>
      <c r="E180" s="12"/>
      <c r="F180" s="12"/>
      <c r="G180" s="31">
        <v>7352</v>
      </c>
      <c r="H180" s="12"/>
      <c r="I180" s="12"/>
      <c r="J180" s="7"/>
      <c r="K180" s="7"/>
    </row>
    <row r="181">
      <c r="A181" s="7"/>
      <c r="B181" s="1" t="s">
        <v>863</v>
      </c>
      <c r="C181" s="12"/>
      <c r="D181" s="12"/>
      <c r="E181" s="31">
        <v>6638</v>
      </c>
      <c r="F181" s="12"/>
      <c r="G181" s="31">
        <v>6705</v>
      </c>
      <c r="H181" s="12"/>
      <c r="I181" s="12"/>
      <c r="J181" s="7"/>
      <c r="K181" s="7"/>
    </row>
    <row r="182">
      <c r="A182" s="7"/>
      <c r="B182" s="1" t="s">
        <v>864</v>
      </c>
      <c r="C182" s="12"/>
      <c r="D182" s="12"/>
      <c r="E182" s="31">
        <v>903</v>
      </c>
      <c r="F182" s="12"/>
      <c r="G182" s="31">
        <v>619</v>
      </c>
      <c r="H182" s="12"/>
      <c r="I182" s="12"/>
      <c r="J182" s="7"/>
      <c r="K182" s="7"/>
    </row>
    <row r="183">
      <c r="A183" s="7"/>
      <c r="B183" s="1" t="s">
        <v>865</v>
      </c>
      <c r="C183" s="31">
        <v>41</v>
      </c>
      <c r="D183" s="12">
        <f>E183-H183</f>
        <v>41</v>
      </c>
      <c r="E183" s="31">
        <v>163</v>
      </c>
      <c r="F183" s="31">
        <v>43</v>
      </c>
      <c r="G183" s="31">
        <v>43</v>
      </c>
      <c r="H183" s="31">
        <v>122</v>
      </c>
      <c r="I183" s="31">
        <v>130</v>
      </c>
      <c r="J183" s="7"/>
      <c r="K183" s="7"/>
    </row>
    <row r="184">
      <c r="A184" s="7"/>
      <c r="B184" s="1" t="s">
        <v>866</v>
      </c>
      <c r="C184" s="31">
        <v>0</v>
      </c>
      <c r="D184" s="12">
        <f>E184-H184</f>
        <v>1</v>
      </c>
      <c r="E184" s="31">
        <v>3</v>
      </c>
      <c r="F184" s="31">
        <v>1</v>
      </c>
      <c r="G184" s="31">
        <v>1</v>
      </c>
      <c r="H184" s="31">
        <v>2</v>
      </c>
      <c r="I184" s="31">
        <v>2</v>
      </c>
      <c r="J184" s="7"/>
      <c r="K184" s="7"/>
    </row>
    <row r="185">
      <c r="A185" s="7"/>
      <c r="B185" s="1" t="s">
        <v>867</v>
      </c>
      <c r="C185" s="31">
        <v>0</v>
      </c>
      <c r="D185" s="12">
        <f>E185-H185</f>
        <v>0</v>
      </c>
      <c r="E185" s="31">
        <v>1</v>
      </c>
      <c r="F185" s="31">
        <v>0</v>
      </c>
      <c r="G185" s="31">
        <v>0</v>
      </c>
      <c r="H185" s="31">
        <v>1</v>
      </c>
      <c r="I185" s="31">
        <v>0</v>
      </c>
      <c r="J185" s="7"/>
      <c r="K185" s="7"/>
    </row>
    <row r="186">
      <c r="A186" s="7"/>
      <c r="B186" s="1" t="s">
        <v>868</v>
      </c>
      <c r="C186" s="31">
        <v>85</v>
      </c>
      <c r="D186" s="12">
        <f>E186-H186</f>
        <v>89</v>
      </c>
      <c r="E186" s="31">
        <v>338</v>
      </c>
      <c r="F186" s="31">
        <v>86</v>
      </c>
      <c r="G186" s="31">
        <v>90</v>
      </c>
      <c r="H186" s="31">
        <v>249</v>
      </c>
      <c r="I186" s="31">
        <v>267</v>
      </c>
      <c r="J186" s="7"/>
      <c r="K186" s="7"/>
    </row>
    <row r="187">
      <c r="A187" s="7"/>
      <c r="B187" s="1" t="s">
        <v>869</v>
      </c>
      <c r="C187" s="31">
        <v>0</v>
      </c>
      <c r="D187" s="12">
        <f>E187-H187</f>
        <v>0</v>
      </c>
      <c r="E187" s="31">
        <v>1</v>
      </c>
      <c r="F187" s="31">
        <v>1</v>
      </c>
      <c r="G187" s="31">
        <v>0</v>
      </c>
      <c r="H187" s="31">
        <v>1</v>
      </c>
      <c r="I187" s="31">
        <v>1</v>
      </c>
      <c r="J187" s="7"/>
      <c r="K187" s="7"/>
    </row>
    <row r="188">
      <c r="A188" s="7"/>
      <c r="B188" s="1" t="s">
        <v>870</v>
      </c>
      <c r="C188" s="31">
        <v>43</v>
      </c>
      <c r="D188" s="12">
        <f>E188-H188</f>
        <v>37</v>
      </c>
      <c r="E188" s="31">
        <v>157</v>
      </c>
      <c r="F188" s="31">
        <v>43</v>
      </c>
      <c r="G188" s="31">
        <v>43</v>
      </c>
      <c r="H188" s="31">
        <v>120</v>
      </c>
      <c r="I188" s="31">
        <v>134</v>
      </c>
      <c r="J188" s="7"/>
      <c r="K188" s="7"/>
    </row>
    <row r="189">
      <c r="A189" s="7"/>
      <c r="B189" s="1" t="s">
        <v>871</v>
      </c>
      <c r="C189" s="31">
        <v>2</v>
      </c>
      <c r="D189" s="12">
        <f>E189-H189</f>
        <v>1</v>
      </c>
      <c r="E189" s="31">
        <v>2</v>
      </c>
      <c r="F189" s="31">
        <v>0</v>
      </c>
      <c r="G189" s="31">
        <v>1</v>
      </c>
      <c r="H189" s="31">
        <v>1</v>
      </c>
      <c r="I189" s="31">
        <v>3</v>
      </c>
      <c r="J189" s="7"/>
      <c r="K189" s="7"/>
    </row>
    <row r="190">
      <c r="A190" s="7"/>
      <c r="B190" s="33" t="s">
        <v>872</v>
      </c>
      <c r="C190" s="35">
        <f>C184+C185+C186+C187+C188+C189</f>
        <v>130</v>
      </c>
      <c r="D190" s="35">
        <f>D184+D185+D186+D187+D188+D189</f>
        <v>128</v>
      </c>
      <c r="E190" s="35">
        <f>E184+E185+E186+E187+E188+E189</f>
        <v>502</v>
      </c>
      <c r="F190" s="35">
        <f>F184+F185+F186+F187+F188+F189</f>
        <v>131</v>
      </c>
      <c r="G190" s="35">
        <f>G184+G185+G186+G187+G188+G189</f>
        <v>135</v>
      </c>
      <c r="H190" s="35"/>
      <c r="I190" s="35"/>
      <c r="J190" s="7"/>
      <c r="K190" s="7"/>
    </row>
    <row r="191">
      <c r="A191" s="7"/>
      <c r="B191" s="33" t="s">
        <v>873</v>
      </c>
      <c r="C191" s="35">
        <f>C183+C190</f>
        <v>171</v>
      </c>
      <c r="D191" s="35">
        <f>D183+D190</f>
        <v>169</v>
      </c>
      <c r="E191" s="35">
        <f>E183+E190</f>
        <v>665</v>
      </c>
      <c r="F191" s="35">
        <f>F183+F190</f>
        <v>174</v>
      </c>
      <c r="G191" s="35">
        <f>G183+G190</f>
        <v>178</v>
      </c>
      <c r="H191" s="35"/>
      <c r="I191" s="35"/>
      <c r="J191" s="7"/>
      <c r="K191" s="7"/>
    </row>
    <row r="192">
      <c r="A192" s="7"/>
      <c r="B192" s="1" t="s">
        <v>874</v>
      </c>
      <c r="C192" s="31">
        <v>66</v>
      </c>
      <c r="D192" s="12">
        <f>E192-H192</f>
        <v>66</v>
      </c>
      <c r="E192" s="31">
        <v>260</v>
      </c>
      <c r="F192" s="31">
        <v>70</v>
      </c>
      <c r="G192" s="31">
        <v>67</v>
      </c>
      <c r="H192" s="31">
        <v>194</v>
      </c>
      <c r="I192" s="31">
        <v>206</v>
      </c>
      <c r="J192" s="7"/>
      <c r="K192" s="7"/>
    </row>
    <row r="193">
      <c r="A193" s="7"/>
      <c r="B193" s="1" t="s">
        <v>875</v>
      </c>
      <c r="C193" s="31">
        <v>0</v>
      </c>
      <c r="D193" s="12">
        <f>E193-H193</f>
        <v>1</v>
      </c>
      <c r="E193" s="31">
        <v>3</v>
      </c>
      <c r="F193" s="31">
        <v>0</v>
      </c>
      <c r="G193" s="31">
        <v>1</v>
      </c>
      <c r="H193" s="31">
        <v>2</v>
      </c>
      <c r="I193" s="31">
        <v>2</v>
      </c>
      <c r="J193" s="7"/>
      <c r="K193" s="7"/>
    </row>
    <row r="194">
      <c r="A194" s="7"/>
      <c r="B194" s="1" t="s">
        <v>876</v>
      </c>
      <c r="C194" s="31">
        <v>3</v>
      </c>
      <c r="D194" s="12">
        <f>E194-H194</f>
        <v>3</v>
      </c>
      <c r="E194" s="31">
        <v>12</v>
      </c>
      <c r="F194" s="31">
        <v>3</v>
      </c>
      <c r="G194" s="31">
        <v>3</v>
      </c>
      <c r="H194" s="31">
        <v>9</v>
      </c>
      <c r="I194" s="31">
        <v>9</v>
      </c>
      <c r="J194" s="7"/>
      <c r="K194" s="7"/>
    </row>
    <row r="195">
      <c r="A195" s="7"/>
      <c r="B195" s="1" t="s">
        <v>877</v>
      </c>
      <c r="C195" s="31">
        <v>45</v>
      </c>
      <c r="D195" s="12">
        <f>E195-H195</f>
        <v>50</v>
      </c>
      <c r="E195" s="31">
        <v>178</v>
      </c>
      <c r="F195" s="31">
        <v>48</v>
      </c>
      <c r="G195" s="31">
        <v>51</v>
      </c>
      <c r="H195" s="31">
        <v>128</v>
      </c>
      <c r="I195" s="31">
        <v>143</v>
      </c>
      <c r="J195" s="7"/>
      <c r="K195" s="7"/>
    </row>
    <row r="196">
      <c r="A196" s="7"/>
      <c r="B196" s="33" t="s">
        <v>878</v>
      </c>
      <c r="C196" s="35">
        <f>C192+C193+C194+C195</f>
        <v>114</v>
      </c>
      <c r="D196" s="35">
        <f>D192+D193+D194+D195</f>
        <v>120</v>
      </c>
      <c r="E196" s="35">
        <f>E192+E193+E194+E195</f>
        <v>453</v>
      </c>
      <c r="F196" s="35">
        <f>F192+F193+F194+F195</f>
        <v>121</v>
      </c>
      <c r="G196" s="35">
        <f>G192+G193+G194+G195</f>
        <v>122</v>
      </c>
      <c r="H196" s="35"/>
      <c r="I196" s="35"/>
      <c r="J196" s="7"/>
      <c r="K196" s="7"/>
    </row>
    <row r="197">
      <c r="A197" s="7"/>
      <c r="B197" s="33" t="s">
        <v>879</v>
      </c>
      <c r="C197" s="35">
        <f>C191-C196</f>
        <v>57</v>
      </c>
      <c r="D197" s="35">
        <f>D191-D196</f>
        <v>49</v>
      </c>
      <c r="E197" s="35">
        <f>E191-E196</f>
        <v>212</v>
      </c>
      <c r="F197" s="35">
        <f>F191-F196</f>
        <v>53</v>
      </c>
      <c r="G197" s="35">
        <f>G191-G196</f>
        <v>56</v>
      </c>
      <c r="H197" s="35"/>
      <c r="I197" s="35"/>
      <c r="J197" s="7"/>
      <c r="K197" s="7"/>
    </row>
    <row r="198">
      <c r="A198" s="7"/>
      <c r="B198" s="1" t="s">
        <v>880</v>
      </c>
      <c r="C198" s="31">
        <v>2</v>
      </c>
      <c r="D198" s="12">
        <f>E198-H198</f>
        <v>2</v>
      </c>
      <c r="E198" s="31">
        <v>8</v>
      </c>
      <c r="F198" s="31">
        <v>0</v>
      </c>
      <c r="G198" s="31">
        <v>0</v>
      </c>
      <c r="H198" s="31">
        <v>6</v>
      </c>
      <c r="I198" s="31">
        <v>5</v>
      </c>
      <c r="J198" s="7"/>
      <c r="K198" s="7"/>
    </row>
    <row r="199">
      <c r="A199" s="7"/>
      <c r="B199" s="33" t="s">
        <v>881</v>
      </c>
      <c r="C199" s="35">
        <f>C191-C196-C198</f>
        <v>55</v>
      </c>
      <c r="D199" s="35">
        <f>D191-D196-D198</f>
        <v>47</v>
      </c>
      <c r="E199" s="35">
        <f>E191-E196-E198</f>
        <v>204</v>
      </c>
      <c r="F199" s="35">
        <f>F191-F196-F198</f>
        <v>53</v>
      </c>
      <c r="G199" s="35">
        <f>G191-G196-G198</f>
        <v>56</v>
      </c>
      <c r="H199" s="35"/>
      <c r="I199" s="35"/>
      <c r="J199" s="7"/>
      <c r="K199" s="7"/>
    </row>
    <row r="200">
      <c r="A200" s="7"/>
      <c r="B200" s="1" t="s">
        <v>882</v>
      </c>
      <c r="C200" s="31">
        <v>13</v>
      </c>
      <c r="D200" s="12">
        <f>E200-H200</f>
        <v>11</v>
      </c>
      <c r="E200" s="31">
        <v>51</v>
      </c>
      <c r="F200" s="31">
        <v>13</v>
      </c>
      <c r="G200" s="31">
        <v>13</v>
      </c>
      <c r="H200" s="31">
        <v>40</v>
      </c>
      <c r="I200" s="31">
        <v>43</v>
      </c>
      <c r="J200" s="7"/>
      <c r="K200" s="7"/>
    </row>
    <row r="201">
      <c r="A201" s="7"/>
      <c r="B201" s="33" t="s">
        <v>883</v>
      </c>
      <c r="C201" s="35">
        <f>C199-C200</f>
        <v>42</v>
      </c>
      <c r="D201" s="35">
        <f>D199-D200</f>
        <v>36</v>
      </c>
      <c r="E201" s="35">
        <f>E199-E200</f>
        <v>153</v>
      </c>
      <c r="F201" s="35">
        <f>F199-F200</f>
        <v>40</v>
      </c>
      <c r="G201" s="35">
        <f>G199-G200</f>
        <v>43</v>
      </c>
      <c r="H201" s="35"/>
      <c r="I201" s="35"/>
      <c r="J201" s="7"/>
      <c r="K201" s="7"/>
    </row>
    <row r="202">
      <c r="A202" s="7"/>
      <c r="B202" s="1" t="s">
        <v>884</v>
      </c>
      <c r="C202" s="31">
        <v>0</v>
      </c>
      <c r="D202" s="12">
        <f>E202-H202</f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7"/>
      <c r="K202" s="7"/>
    </row>
    <row r="203">
      <c r="A203" s="7"/>
      <c r="B203" s="1" t="s">
        <v>885</v>
      </c>
      <c r="C203" s="31">
        <v>0</v>
      </c>
      <c r="D203" s="12">
        <f>E203-H203</f>
        <v>0</v>
      </c>
      <c r="E203" s="31">
        <v>1</v>
      </c>
      <c r="F203" s="31">
        <v>0</v>
      </c>
      <c r="G203" s="31">
        <v>0</v>
      </c>
      <c r="H203" s="31">
        <v>1</v>
      </c>
      <c r="I203" s="31">
        <v>0</v>
      </c>
      <c r="J203" s="7"/>
      <c r="K203" s="7"/>
    </row>
    <row r="204">
      <c r="A204" s="7"/>
      <c r="B204" s="1" t="s">
        <v>886</v>
      </c>
      <c r="C204" s="31">
        <v>-1</v>
      </c>
      <c r="D204" s="12">
        <f>E204-H204</f>
        <v>0</v>
      </c>
      <c r="E204" s="31">
        <v>-1</v>
      </c>
      <c r="F204" s="31">
        <v>0</v>
      </c>
      <c r="G204" s="31">
        <v>0</v>
      </c>
      <c r="H204" s="31">
        <v>-1</v>
      </c>
      <c r="I204" s="31">
        <v>1</v>
      </c>
      <c r="J204" s="7"/>
      <c r="K204" s="7"/>
    </row>
    <row r="205">
      <c r="A205" s="7"/>
      <c r="B205" s="1" t="s">
        <v>887</v>
      </c>
      <c r="C205" s="31">
        <v>28</v>
      </c>
      <c r="D205" s="12">
        <f>E205-H205</f>
        <v>21</v>
      </c>
      <c r="E205" s="31">
        <v>102</v>
      </c>
      <c r="F205" s="31">
        <v>23</v>
      </c>
      <c r="G205" s="31">
        <v>24</v>
      </c>
      <c r="H205" s="31">
        <v>81</v>
      </c>
      <c r="I205" s="31">
        <v>72</v>
      </c>
      <c r="J205" s="7"/>
      <c r="K205" s="7"/>
    </row>
    <row r="206">
      <c r="A206" s="7"/>
      <c r="B206" s="1" t="s">
        <v>888</v>
      </c>
      <c r="C206" s="31">
        <v>-78</v>
      </c>
      <c r="D206" s="12">
        <f>E206-H206</f>
        <v>-30</v>
      </c>
      <c r="E206" s="31">
        <v>-208</v>
      </c>
      <c r="F206" s="31">
        <v>-25</v>
      </c>
      <c r="G206" s="31">
        <v>-1</v>
      </c>
      <c r="H206" s="31">
        <v>-178</v>
      </c>
      <c r="I206" s="31">
        <v>-53</v>
      </c>
      <c r="J206" s="7"/>
      <c r="K206" s="7"/>
    </row>
    <row r="207">
      <c r="A207" s="7"/>
      <c r="B207" s="1" t="s">
        <v>889</v>
      </c>
      <c r="C207" s="31">
        <v>13</v>
      </c>
      <c r="D207" s="12">
        <f>E207-H207</f>
        <v>-5</v>
      </c>
      <c r="E207" s="31">
        <v>25</v>
      </c>
      <c r="F207" s="31">
        <v>-3</v>
      </c>
      <c r="G207" s="31">
        <v>16</v>
      </c>
      <c r="H207" s="31">
        <v>30</v>
      </c>
      <c r="I207" s="31">
        <v>25</v>
      </c>
      <c r="J207" s="7"/>
      <c r="K207" s="7"/>
    </row>
    <row r="208">
      <c r="A208" s="7"/>
      <c r="B208" s="1" t="s">
        <v>890</v>
      </c>
      <c r="C208" s="31">
        <v>-24</v>
      </c>
      <c r="D208" s="12">
        <f>E208-H208</f>
        <v>-26</v>
      </c>
      <c r="E208" s="31">
        <v>-90</v>
      </c>
      <c r="F208" s="31">
        <v>-20</v>
      </c>
      <c r="G208" s="31">
        <v>-25</v>
      </c>
      <c r="H208" s="31">
        <v>-64</v>
      </c>
      <c r="I208" s="31">
        <v>-70</v>
      </c>
      <c r="J208" s="7"/>
      <c r="K208" s="7"/>
    </row>
    <row r="209">
      <c r="A209" s="7"/>
      <c r="B209" s="33" t="s">
        <v>891</v>
      </c>
      <c r="C209" s="35">
        <f>C203+C204+C205+C206+C207+C208</f>
        <v>-62</v>
      </c>
      <c r="D209" s="35">
        <f>D203+D204+D205+D206+D207+D208</f>
        <v>-40</v>
      </c>
      <c r="E209" s="35">
        <f>E203+E204+E205+E206+E207+E208</f>
        <v>-171</v>
      </c>
      <c r="F209" s="35">
        <f>F203+F204+F205+F206+F207+F208</f>
        <v>-25</v>
      </c>
      <c r="G209" s="35">
        <f>G203+G204+G205+G206+G207+G208</f>
        <v>14</v>
      </c>
      <c r="H209" s="35"/>
      <c r="I209" s="35"/>
      <c r="J209" s="7"/>
      <c r="K209" s="7"/>
    </row>
    <row r="210">
      <c r="A210" s="7"/>
      <c r="B210" s="33" t="s">
        <v>892</v>
      </c>
      <c r="C210" s="35">
        <f>C202+C203+C204+C205+C206+C207+C208</f>
        <v>-62</v>
      </c>
      <c r="D210" s="35">
        <f>D202+D203+D204+D205+D206+D207+D208</f>
        <v>-40</v>
      </c>
      <c r="E210" s="35">
        <f>E202+E203+E204+E205+E206+E207+E208</f>
        <v>-171</v>
      </c>
      <c r="F210" s="35">
        <f>F202+F203+F204+F205+F206+F207+F208</f>
        <v>-25</v>
      </c>
      <c r="G210" s="35">
        <f>G202+G203+G204+G205+G206+G207+G208</f>
        <v>14</v>
      </c>
      <c r="H210" s="35"/>
      <c r="I210" s="35"/>
      <c r="J210" s="7"/>
      <c r="K210" s="7"/>
    </row>
    <row r="211">
      <c r="A211" s="7"/>
      <c r="B211" s="33" t="s">
        <v>893</v>
      </c>
      <c r="C211" s="35">
        <f>C138+C167+C191+C210</f>
        <v>1790</v>
      </c>
      <c r="D211" s="35">
        <f>D138+D167+D191+D210</f>
        <v>1815</v>
      </c>
      <c r="E211" s="35">
        <f>E138+E167+E191+E210</f>
        <v>7083</v>
      </c>
      <c r="F211" s="35">
        <f>F138+F167+F191+F210</f>
        <v>1784</v>
      </c>
      <c r="G211" s="35">
        <f>G138+G167+G191+G210</f>
        <v>1905</v>
      </c>
      <c r="H211" s="35"/>
      <c r="I211" s="35"/>
      <c r="J211" s="7"/>
      <c r="K211" s="7"/>
    </row>
    <row r="212">
      <c r="A212" s="7"/>
      <c r="B212" s="33" t="s">
        <v>894</v>
      </c>
      <c r="C212" s="35"/>
      <c r="D212" s="35">
        <f>D211+D273</f>
        <v>1828</v>
      </c>
      <c r="E212" s="35">
        <f>E211+E273</f>
        <v>7133</v>
      </c>
      <c r="F212" s="35">
        <f>F211+F273</f>
        <v>1796</v>
      </c>
      <c r="G212" s="35">
        <f>G211+G273</f>
        <v>1917</v>
      </c>
      <c r="H212" s="35"/>
      <c r="I212" s="35"/>
      <c r="J212" s="7"/>
      <c r="K212" s="7"/>
    </row>
    <row r="213">
      <c r="A213" s="7"/>
      <c r="B213" s="33" t="s">
        <v>895</v>
      </c>
      <c r="C213" s="35"/>
      <c r="D213" s="35">
        <f>D212+D330</f>
        <v>1858</v>
      </c>
      <c r="E213" s="35">
        <f>E212+E330</f>
        <v>7341</v>
      </c>
      <c r="F213" s="35">
        <f>F212+F330</f>
        <v>1821</v>
      </c>
      <c r="G213" s="35">
        <f>G212+G330</f>
        <v>1917</v>
      </c>
      <c r="H213" s="35"/>
      <c r="I213" s="35"/>
      <c r="J213" s="7"/>
      <c r="K213" s="7"/>
    </row>
    <row r="214">
      <c r="A214" s="7"/>
      <c r="B214" s="1" t="s">
        <v>896</v>
      </c>
      <c r="C214" s="12"/>
      <c r="D214" s="31">
        <v>1</v>
      </c>
      <c r="E214" s="31">
        <v>1</v>
      </c>
      <c r="F214" s="31">
        <v>1</v>
      </c>
      <c r="G214" s="31">
        <v>1</v>
      </c>
      <c r="H214" s="12"/>
      <c r="I214" s="12"/>
      <c r="J214" s="7"/>
      <c r="K214" s="7"/>
    </row>
    <row r="215">
      <c r="A215" s="7"/>
      <c r="B215" s="1" t="s">
        <v>897</v>
      </c>
      <c r="C215" s="12"/>
      <c r="D215" s="31">
        <v>0</v>
      </c>
      <c r="E215" s="31">
        <v>0</v>
      </c>
      <c r="F215" s="31">
        <v>0</v>
      </c>
      <c r="G215" s="31">
        <v>0</v>
      </c>
      <c r="H215" s="12"/>
      <c r="I215" s="12"/>
      <c r="J215" s="7"/>
      <c r="K215" s="7"/>
    </row>
    <row r="216">
      <c r="A216" s="7"/>
      <c r="B216" s="1" t="s">
        <v>898</v>
      </c>
      <c r="C216" s="12"/>
      <c r="D216" s="31">
        <v>32553</v>
      </c>
      <c r="E216" s="31">
        <v>31989</v>
      </c>
      <c r="F216" s="31">
        <v>32280</v>
      </c>
      <c r="G216" s="31">
        <v>32882</v>
      </c>
      <c r="H216" s="12"/>
      <c r="I216" s="12"/>
      <c r="J216" s="7"/>
      <c r="K216" s="7"/>
    </row>
    <row r="217">
      <c r="A217" s="7"/>
      <c r="B217" s="1" t="s">
        <v>899</v>
      </c>
      <c r="C217" s="12"/>
      <c r="D217" s="31">
        <v>256</v>
      </c>
      <c r="E217" s="31">
        <v>925</v>
      </c>
      <c r="F217" s="31">
        <v>266</v>
      </c>
      <c r="G217" s="31">
        <v>286</v>
      </c>
      <c r="H217" s="12"/>
      <c r="I217" s="12"/>
      <c r="J217" s="7"/>
      <c r="K217" s="7"/>
    </row>
    <row r="218">
      <c r="A218" s="7"/>
      <c r="B218" s="1" t="s">
        <v>900</v>
      </c>
      <c r="C218" s="12"/>
      <c r="D218" s="31">
        <v>766</v>
      </c>
      <c r="E218" s="31">
        <v>610</v>
      </c>
      <c r="F218" s="31">
        <v>441</v>
      </c>
      <c r="G218" s="31">
        <v>500</v>
      </c>
      <c r="H218" s="12"/>
      <c r="I218" s="12"/>
      <c r="J218" s="7"/>
      <c r="K218" s="7"/>
    </row>
    <row r="219">
      <c r="A219" s="7"/>
      <c r="B219" s="1" t="s">
        <v>901</v>
      </c>
      <c r="C219" s="12"/>
      <c r="D219" s="31">
        <v>11</v>
      </c>
      <c r="E219" s="31">
        <v>39</v>
      </c>
      <c r="F219" s="31">
        <v>8</v>
      </c>
      <c r="G219" s="31">
        <v>9</v>
      </c>
      <c r="H219" s="12"/>
      <c r="I219" s="12"/>
      <c r="J219" s="7"/>
      <c r="K219" s="7"/>
    </row>
    <row r="220">
      <c r="A220" s="7"/>
      <c r="B220" s="1" t="s">
        <v>902</v>
      </c>
      <c r="C220" s="12"/>
      <c r="D220" s="31">
        <v>49357</v>
      </c>
      <c r="E220" s="31">
        <v>49834</v>
      </c>
      <c r="F220" s="31">
        <v>49209</v>
      </c>
      <c r="G220" s="31">
        <v>49033</v>
      </c>
      <c r="H220" s="12"/>
      <c r="I220" s="12"/>
      <c r="J220" s="7"/>
      <c r="K220" s="7"/>
    </row>
    <row r="221">
      <c r="A221" s="7"/>
      <c r="B221" s="1" t="s">
        <v>903</v>
      </c>
      <c r="C221" s="12"/>
      <c r="D221" s="31">
        <v>746</v>
      </c>
      <c r="E221" s="31">
        <v>3025</v>
      </c>
      <c r="F221" s="31">
        <v>687</v>
      </c>
      <c r="G221" s="31">
        <v>708</v>
      </c>
      <c r="H221" s="12"/>
      <c r="I221" s="12"/>
      <c r="J221" s="7"/>
      <c r="K221" s="7"/>
    </row>
    <row r="222">
      <c r="A222" s="7"/>
      <c r="B222" s="1" t="s">
        <v>904</v>
      </c>
      <c r="C222" s="12"/>
      <c r="D222" s="31">
        <v>4869</v>
      </c>
      <c r="E222" s="31">
        <v>4836</v>
      </c>
      <c r="F222" s="31">
        <v>4863</v>
      </c>
      <c r="G222" s="31">
        <v>4900</v>
      </c>
      <c r="H222" s="12"/>
      <c r="I222" s="12"/>
      <c r="J222" s="7"/>
      <c r="K222" s="7"/>
    </row>
    <row r="223">
      <c r="A223" s="7"/>
      <c r="B223" s="1" t="s">
        <v>905</v>
      </c>
      <c r="C223" s="12"/>
      <c r="D223" s="31">
        <v>61</v>
      </c>
      <c r="E223" s="31">
        <v>233</v>
      </c>
      <c r="F223" s="31">
        <v>59</v>
      </c>
      <c r="G223" s="31">
        <v>63</v>
      </c>
      <c r="H223" s="12"/>
      <c r="I223" s="12"/>
      <c r="J223" s="7"/>
      <c r="K223" s="7"/>
    </row>
    <row r="224">
      <c r="A224" s="7"/>
      <c r="B224" s="1" t="s">
        <v>906</v>
      </c>
      <c r="C224" s="12"/>
      <c r="D224" s="31">
        <v>343</v>
      </c>
      <c r="E224" s="31">
        <v>332</v>
      </c>
      <c r="F224" s="31">
        <v>317</v>
      </c>
      <c r="G224" s="31">
        <v>270</v>
      </c>
      <c r="H224" s="12"/>
      <c r="I224" s="12"/>
      <c r="J224" s="7"/>
      <c r="K224" s="7"/>
    </row>
    <row r="225">
      <c r="A225" s="7"/>
      <c r="B225" s="1" t="s">
        <v>907</v>
      </c>
      <c r="C225" s="12"/>
      <c r="D225" s="31">
        <v>5</v>
      </c>
      <c r="E225" s="31">
        <v>21</v>
      </c>
      <c r="F225" s="31">
        <v>5</v>
      </c>
      <c r="G225" s="31">
        <v>4</v>
      </c>
      <c r="H225" s="12"/>
      <c r="I225" s="12"/>
      <c r="J225" s="7"/>
      <c r="K225" s="7"/>
    </row>
    <row r="226">
      <c r="A226" s="7"/>
      <c r="B226" s="1" t="s">
        <v>908</v>
      </c>
      <c r="C226" s="12"/>
      <c r="D226" s="31">
        <v>6491</v>
      </c>
      <c r="E226" s="31">
        <v>6538</v>
      </c>
      <c r="F226" s="31">
        <v>6484</v>
      </c>
      <c r="G226" s="31">
        <v>6805</v>
      </c>
      <c r="H226" s="12"/>
      <c r="I226" s="12"/>
      <c r="J226" s="7"/>
      <c r="K226" s="7"/>
    </row>
    <row r="227">
      <c r="A227" s="7"/>
      <c r="B227" s="1" t="s">
        <v>909</v>
      </c>
      <c r="C227" s="12"/>
      <c r="D227" s="31">
        <v>105</v>
      </c>
      <c r="E227" s="31">
        <v>460</v>
      </c>
      <c r="F227" s="31">
        <v>100</v>
      </c>
      <c r="G227" s="31">
        <v>113</v>
      </c>
      <c r="H227" s="12"/>
      <c r="I227" s="12"/>
      <c r="J227" s="7"/>
      <c r="K227" s="7"/>
    </row>
    <row r="228">
      <c r="A228" s="7"/>
      <c r="B228" s="1" t="s">
        <v>910</v>
      </c>
      <c r="C228" s="12"/>
      <c r="D228" s="31">
        <v>2165</v>
      </c>
      <c r="E228" s="31">
        <v>2233</v>
      </c>
      <c r="F228" s="31">
        <v>2267</v>
      </c>
      <c r="G228" s="31">
        <v>2204</v>
      </c>
      <c r="H228" s="12"/>
      <c r="I228" s="12"/>
      <c r="J228" s="7"/>
      <c r="K228" s="7"/>
    </row>
    <row r="229">
      <c r="A229" s="7"/>
      <c r="B229" s="1" t="s">
        <v>911</v>
      </c>
      <c r="C229" s="12"/>
      <c r="D229" s="31">
        <v>41</v>
      </c>
      <c r="E229" s="31">
        <v>178</v>
      </c>
      <c r="F229" s="31">
        <v>40</v>
      </c>
      <c r="G229" s="31">
        <v>40</v>
      </c>
      <c r="H229" s="12"/>
      <c r="I229" s="12"/>
      <c r="J229" s="7"/>
      <c r="K229" s="7"/>
    </row>
    <row r="230">
      <c r="A230" s="7"/>
      <c r="B230" s="33" t="s">
        <v>912</v>
      </c>
      <c r="C230" s="35"/>
      <c r="D230" s="35">
        <f>D220+D222+D224+D226+D228</f>
        <v>63225</v>
      </c>
      <c r="E230" s="35">
        <f>E220+E222+E224+E226+E228</f>
        <v>63773</v>
      </c>
      <c r="F230" s="35">
        <f>F220+F222+F224+F226+F228</f>
        <v>63140</v>
      </c>
      <c r="G230" s="35">
        <f>G220+G222+G224+G226+G228</f>
        <v>63212</v>
      </c>
      <c r="H230" s="35"/>
      <c r="I230" s="35"/>
      <c r="J230" s="7"/>
      <c r="K230" s="7"/>
    </row>
    <row r="231">
      <c r="A231" s="7"/>
      <c r="B231" s="33" t="s">
        <v>913</v>
      </c>
      <c r="C231" s="35"/>
      <c r="D231" s="35">
        <f>D221+D223+D225+D227+D229</f>
        <v>958</v>
      </c>
      <c r="E231" s="35">
        <f>E221+E223+E225+E227+E229</f>
        <v>3917</v>
      </c>
      <c r="F231" s="35">
        <f>F221+F223+F225+F227+F229</f>
        <v>891</v>
      </c>
      <c r="G231" s="35">
        <f>G221+G223+G225+G227+G229</f>
        <v>928</v>
      </c>
      <c r="H231" s="35"/>
      <c r="I231" s="35"/>
      <c r="J231" s="7"/>
      <c r="K231" s="7"/>
    </row>
    <row r="232">
      <c r="A232" s="7"/>
      <c r="B232" s="1" t="s">
        <v>914</v>
      </c>
      <c r="C232" s="12"/>
      <c r="D232" s="31">
        <v>20107</v>
      </c>
      <c r="E232" s="31">
        <v>20158</v>
      </c>
      <c r="F232" s="31">
        <v>20037</v>
      </c>
      <c r="G232" s="31">
        <v>19992</v>
      </c>
      <c r="H232" s="12"/>
      <c r="I232" s="12"/>
      <c r="J232" s="7"/>
      <c r="K232" s="7"/>
    </row>
    <row r="233">
      <c r="A233" s="7"/>
      <c r="B233" s="1" t="s">
        <v>915</v>
      </c>
      <c r="C233" s="12"/>
      <c r="D233" s="31">
        <v>199</v>
      </c>
      <c r="E233" s="31">
        <v>777</v>
      </c>
      <c r="F233" s="31">
        <v>198</v>
      </c>
      <c r="G233" s="31">
        <v>200</v>
      </c>
      <c r="H233" s="12"/>
      <c r="I233" s="12"/>
      <c r="J233" s="7"/>
      <c r="K233" s="7"/>
    </row>
    <row r="234">
      <c r="A234" s="7"/>
      <c r="B234" s="1" t="s">
        <v>916</v>
      </c>
      <c r="C234" s="12"/>
      <c r="D234" s="31">
        <v>3135</v>
      </c>
      <c r="E234" s="31">
        <v>3147</v>
      </c>
      <c r="F234" s="31">
        <v>3135</v>
      </c>
      <c r="G234" s="31">
        <v>3168</v>
      </c>
      <c r="H234" s="12"/>
      <c r="I234" s="12"/>
      <c r="J234" s="7"/>
      <c r="K234" s="7"/>
    </row>
    <row r="235">
      <c r="A235" s="7"/>
      <c r="B235" s="1" t="s">
        <v>917</v>
      </c>
      <c r="C235" s="12"/>
      <c r="D235" s="31">
        <v>2392</v>
      </c>
      <c r="E235" s="31">
        <v>2407</v>
      </c>
      <c r="F235" s="31">
        <v>2374</v>
      </c>
      <c r="G235" s="31">
        <v>2357</v>
      </c>
      <c r="H235" s="12"/>
      <c r="I235" s="12"/>
      <c r="J235" s="7"/>
      <c r="K235" s="7"/>
    </row>
    <row r="236">
      <c r="A236" s="7"/>
      <c r="B236" s="33" t="s">
        <v>918</v>
      </c>
      <c r="C236" s="35"/>
      <c r="D236" s="35">
        <f>D234+D235</f>
        <v>5527</v>
      </c>
      <c r="E236" s="35">
        <f>E234+E235</f>
        <v>5554</v>
      </c>
      <c r="F236" s="35">
        <f>F234+F235</f>
        <v>5509</v>
      </c>
      <c r="G236" s="35">
        <f>G234+G235</f>
        <v>5525</v>
      </c>
      <c r="H236" s="35"/>
      <c r="I236" s="35"/>
      <c r="J236" s="7"/>
      <c r="K236" s="7"/>
    </row>
    <row r="237">
      <c r="A237" s="7"/>
      <c r="B237" s="1" t="s">
        <v>919</v>
      </c>
      <c r="C237" s="12"/>
      <c r="D237" s="31">
        <v>94</v>
      </c>
      <c r="E237" s="31">
        <v>380</v>
      </c>
      <c r="F237" s="31">
        <v>91</v>
      </c>
      <c r="G237" s="31">
        <v>90</v>
      </c>
      <c r="H237" s="12"/>
      <c r="I237" s="12"/>
      <c r="J237" s="7"/>
      <c r="K237" s="7"/>
    </row>
    <row r="238">
      <c r="A238" s="7"/>
      <c r="B238" s="1" t="s">
        <v>920</v>
      </c>
      <c r="C238" s="12"/>
      <c r="D238" s="31">
        <v>1398</v>
      </c>
      <c r="E238" s="31">
        <v>1351</v>
      </c>
      <c r="F238" s="31">
        <v>1394</v>
      </c>
      <c r="G238" s="31">
        <v>1397</v>
      </c>
      <c r="H238" s="12"/>
      <c r="I238" s="12"/>
      <c r="J238" s="7"/>
      <c r="K238" s="7"/>
    </row>
    <row r="239">
      <c r="A239" s="7"/>
      <c r="B239" s="1" t="s">
        <v>921</v>
      </c>
      <c r="C239" s="12"/>
      <c r="D239" s="31">
        <v>50</v>
      </c>
      <c r="E239" s="31">
        <v>199</v>
      </c>
      <c r="F239" s="31">
        <v>50</v>
      </c>
      <c r="G239" s="31">
        <v>50</v>
      </c>
      <c r="H239" s="12"/>
      <c r="I239" s="12"/>
      <c r="J239" s="7"/>
      <c r="K239" s="7"/>
    </row>
    <row r="240">
      <c r="A240" s="7"/>
      <c r="B240" s="1" t="s">
        <v>922</v>
      </c>
      <c r="C240" s="12"/>
      <c r="D240" s="31">
        <v>6151</v>
      </c>
      <c r="E240" s="31">
        <v>6200</v>
      </c>
      <c r="F240" s="31">
        <v>6042</v>
      </c>
      <c r="G240" s="31">
        <v>5951</v>
      </c>
      <c r="H240" s="12"/>
      <c r="I240" s="12"/>
      <c r="J240" s="7"/>
      <c r="K240" s="7"/>
    </row>
    <row r="241">
      <c r="A241" s="7"/>
      <c r="B241" s="1" t="s">
        <v>923</v>
      </c>
      <c r="C241" s="12"/>
      <c r="D241" s="31">
        <v>128</v>
      </c>
      <c r="E241" s="31">
        <v>509</v>
      </c>
      <c r="F241" s="31">
        <v>124</v>
      </c>
      <c r="G241" s="31">
        <v>121</v>
      </c>
      <c r="H241" s="12"/>
      <c r="I241" s="12"/>
      <c r="J241" s="7"/>
      <c r="K241" s="7"/>
    </row>
    <row r="242">
      <c r="A242" s="7"/>
      <c r="B242" s="33" t="s">
        <v>924</v>
      </c>
      <c r="C242" s="35"/>
      <c r="D242" s="35">
        <f>D232+D236+D238+D240</f>
        <v>33183</v>
      </c>
      <c r="E242" s="35">
        <f>E232+E236+E238+E240</f>
        <v>33263</v>
      </c>
      <c r="F242" s="35">
        <f>F232+F236+F238+F240</f>
        <v>32982</v>
      </c>
      <c r="G242" s="35">
        <f>G232+G236+G238+G240</f>
        <v>32865</v>
      </c>
      <c r="H242" s="35"/>
      <c r="I242" s="35"/>
      <c r="J242" s="7"/>
      <c r="K242" s="7"/>
    </row>
    <row r="243">
      <c r="A243" s="7"/>
      <c r="B243" s="33" t="s">
        <v>925</v>
      </c>
      <c r="C243" s="35"/>
      <c r="D243" s="35">
        <f>D233+D237+D239+D241</f>
        <v>471</v>
      </c>
      <c r="E243" s="35">
        <f>E233+E237+E239+E241</f>
        <v>1865</v>
      </c>
      <c r="F243" s="35">
        <f>F233+F237+F239+F241</f>
        <v>463</v>
      </c>
      <c r="G243" s="35">
        <f>G233+G237+G239+G241</f>
        <v>461</v>
      </c>
      <c r="H243" s="35"/>
      <c r="I243" s="35"/>
      <c r="J243" s="7"/>
      <c r="K243" s="7"/>
    </row>
    <row r="244">
      <c r="A244" s="7"/>
      <c r="B244" s="33" t="s">
        <v>926</v>
      </c>
      <c r="C244" s="35"/>
      <c r="D244" s="35">
        <f>D220+D222+D224+D226+D228+D232+D236+D238+D240</f>
        <v>96408</v>
      </c>
      <c r="E244" s="35">
        <f>E220+E222+E224+E226+E228+E232+E236+E238+E240</f>
        <v>97036</v>
      </c>
      <c r="F244" s="35">
        <f>F220+F222+F224+F226+F228+F232+F236+F238+F240</f>
        <v>96122</v>
      </c>
      <c r="G244" s="35">
        <f>G220+G222+G224+G226+G228+G232+G236+G238+G240</f>
        <v>96077</v>
      </c>
      <c r="H244" s="35"/>
      <c r="I244" s="35"/>
      <c r="J244" s="7"/>
      <c r="K244" s="7"/>
    </row>
    <row r="245">
      <c r="A245" s="7"/>
      <c r="B245" s="33" t="s">
        <v>927</v>
      </c>
      <c r="C245" s="35"/>
      <c r="D245" s="35">
        <f>D221+D223+D225+D227+D229+D233+D237+D239+D241</f>
        <v>1429</v>
      </c>
      <c r="E245" s="35">
        <f>E221+E223+E225+E227+E229+E233+E237+E239+E241</f>
        <v>5782</v>
      </c>
      <c r="F245" s="35">
        <f>F221+F223+F225+F227+F229+F233+F237+F239+F241</f>
        <v>1354</v>
      </c>
      <c r="G245" s="35">
        <f>G221+G223+G225+G227+G229+G233+G237+G239+G241</f>
        <v>1389</v>
      </c>
      <c r="H245" s="35"/>
      <c r="I245" s="35"/>
      <c r="J245" s="7"/>
      <c r="K245" s="7"/>
    </row>
    <row r="246">
      <c r="A246" s="7"/>
      <c r="B246" s="1" t="s">
        <v>928</v>
      </c>
      <c r="C246" s="12"/>
      <c r="D246" s="31">
        <v>7978</v>
      </c>
      <c r="E246" s="31">
        <v>6398</v>
      </c>
      <c r="F246" s="31">
        <v>8537</v>
      </c>
      <c r="G246" s="31">
        <v>8737</v>
      </c>
      <c r="H246" s="12"/>
      <c r="I246" s="12"/>
      <c r="J246" s="7"/>
      <c r="K246" s="7"/>
    </row>
    <row r="247">
      <c r="A247" s="7"/>
      <c r="B247" s="1" t="s">
        <v>929</v>
      </c>
      <c r="C247" s="12"/>
      <c r="D247" s="31">
        <v>98</v>
      </c>
      <c r="E247" s="31">
        <v>344</v>
      </c>
      <c r="F247" s="31">
        <v>94</v>
      </c>
      <c r="G247" s="31">
        <v>97</v>
      </c>
      <c r="H247" s="12"/>
      <c r="I247" s="12"/>
      <c r="J247" s="7"/>
      <c r="K247" s="7"/>
    </row>
    <row r="248">
      <c r="A248" s="7"/>
      <c r="B248" s="1" t="s">
        <v>930</v>
      </c>
      <c r="C248" s="12"/>
      <c r="D248" s="31">
        <v>1510</v>
      </c>
      <c r="E248" s="31">
        <v>1438</v>
      </c>
      <c r="F248" s="31">
        <v>1483</v>
      </c>
      <c r="G248" s="31">
        <v>1466</v>
      </c>
      <c r="H248" s="12"/>
      <c r="I248" s="12"/>
      <c r="J248" s="7"/>
      <c r="K248" s="7"/>
    </row>
    <row r="249">
      <c r="A249" s="7"/>
      <c r="B249" s="1" t="s">
        <v>931</v>
      </c>
      <c r="C249" s="12"/>
      <c r="D249" s="31">
        <v>21</v>
      </c>
      <c r="E249" s="31">
        <v>68</v>
      </c>
      <c r="F249" s="31">
        <v>15</v>
      </c>
      <c r="G249" s="31">
        <v>15</v>
      </c>
      <c r="H249" s="12"/>
      <c r="I249" s="12"/>
      <c r="J249" s="7"/>
      <c r="K249" s="7"/>
    </row>
    <row r="250">
      <c r="A250" s="7"/>
      <c r="B250" s="33" t="s">
        <v>932</v>
      </c>
      <c r="C250" s="35"/>
      <c r="D250" s="35">
        <f>D214+D216+D218+D220+D222+D224+D226+D228+D232+D236+D238+D240+D246+D248</f>
        <v>139216</v>
      </c>
      <c r="E250" s="35">
        <f>E214+E216+E218+E220+E222+E224+E226+E228+E232+E236+E238+E240+E246+E248</f>
        <v>137472</v>
      </c>
      <c r="F250" s="35">
        <f>F214+F216+F218+F220+F222+F224+F226+F228+F232+F236+F238+F240+F246+F248</f>
        <v>138864</v>
      </c>
      <c r="G250" s="35">
        <f>G214+G216+G218+G220+G222+G224+G226+G228+G232+G236+G238+G240+G246+G248</f>
        <v>139663</v>
      </c>
      <c r="H250" s="35"/>
      <c r="I250" s="35"/>
      <c r="J250" s="7"/>
      <c r="K250" s="7"/>
    </row>
    <row r="251">
      <c r="A251" s="7"/>
      <c r="B251" s="33" t="s">
        <v>933</v>
      </c>
      <c r="C251" s="35"/>
      <c r="D251" s="35">
        <f>D215+D217+D219+D221+D223+D225+D227+D229+D233+D237+D239+D241+D247+D249</f>
        <v>1815</v>
      </c>
      <c r="E251" s="35">
        <f>E215+E217+E219+E221+E223+E225+E227+E229+E233+E237+E239+E241+E247+E249</f>
        <v>7158</v>
      </c>
      <c r="F251" s="35">
        <f>F215+F217+F219+F221+F223+F225+F227+F229+F233+F237+F239+F241+F247+F249</f>
        <v>1737</v>
      </c>
      <c r="G251" s="35">
        <f>G215+G217+G219+G221+G223+G225+G227+G229+G233+G237+G239+G241+G247+G249</f>
        <v>1796</v>
      </c>
      <c r="H251" s="35"/>
      <c r="I251" s="35"/>
      <c r="J251" s="7"/>
      <c r="K251" s="7"/>
    </row>
    <row r="252">
      <c r="A252" s="7"/>
      <c r="B252" s="1" t="s">
        <v>934</v>
      </c>
      <c r="C252" s="12"/>
      <c r="D252" s="31">
        <v>12020</v>
      </c>
      <c r="E252" s="31">
        <v>12332</v>
      </c>
      <c r="F252" s="31">
        <v>12177</v>
      </c>
      <c r="G252" s="31">
        <v>12300</v>
      </c>
      <c r="H252" s="12"/>
      <c r="I252" s="12"/>
      <c r="J252" s="7"/>
      <c r="K252" s="7"/>
    </row>
    <row r="253">
      <c r="A253" s="7"/>
      <c r="B253" s="1" t="s">
        <v>935</v>
      </c>
      <c r="C253" s="12"/>
      <c r="D253" s="31">
        <v>3</v>
      </c>
      <c r="E253" s="31">
        <v>15</v>
      </c>
      <c r="F253" s="31">
        <v>4</v>
      </c>
      <c r="G253" s="31">
        <v>4</v>
      </c>
      <c r="H253" s="12"/>
      <c r="I253" s="12"/>
      <c r="J253" s="7"/>
      <c r="K253" s="7"/>
    </row>
    <row r="254">
      <c r="A254" s="7"/>
      <c r="B254" s="1" t="s">
        <v>936</v>
      </c>
      <c r="C254" s="12"/>
      <c r="D254" s="31">
        <v>24060</v>
      </c>
      <c r="E254" s="31">
        <v>24090</v>
      </c>
      <c r="F254" s="31">
        <v>25033</v>
      </c>
      <c r="G254" s="31">
        <v>24865</v>
      </c>
      <c r="H254" s="12"/>
      <c r="I254" s="12"/>
      <c r="J254" s="7"/>
      <c r="K254" s="7"/>
    </row>
    <row r="255">
      <c r="A255" s="7"/>
      <c r="B255" s="1" t="s">
        <v>937</v>
      </c>
      <c r="C255" s="12"/>
      <c r="D255" s="31">
        <v>92</v>
      </c>
      <c r="E255" s="31">
        <v>395</v>
      </c>
      <c r="F255" s="31">
        <v>89</v>
      </c>
      <c r="G255" s="31">
        <v>88</v>
      </c>
      <c r="H255" s="12"/>
      <c r="I255" s="12"/>
      <c r="J255" s="7"/>
      <c r="K255" s="7"/>
    </row>
    <row r="256">
      <c r="A256" s="7"/>
      <c r="B256" s="1" t="s">
        <v>938</v>
      </c>
      <c r="C256" s="12"/>
      <c r="D256" s="31">
        <v>35264</v>
      </c>
      <c r="E256" s="31">
        <v>34586</v>
      </c>
      <c r="F256" s="31">
        <v>35625</v>
      </c>
      <c r="G256" s="31">
        <v>37389</v>
      </c>
      <c r="H256" s="12"/>
      <c r="I256" s="12"/>
      <c r="J256" s="7"/>
      <c r="K256" s="7"/>
    </row>
    <row r="257">
      <c r="A257" s="7"/>
      <c r="B257" s="1" t="s">
        <v>939</v>
      </c>
      <c r="C257" s="12"/>
      <c r="D257" s="31">
        <v>217</v>
      </c>
      <c r="E257" s="31">
        <v>930</v>
      </c>
      <c r="F257" s="31">
        <v>204</v>
      </c>
      <c r="G257" s="31">
        <v>220</v>
      </c>
      <c r="H257" s="12"/>
      <c r="I257" s="12"/>
      <c r="J257" s="7"/>
      <c r="K257" s="7"/>
    </row>
    <row r="258">
      <c r="A258" s="7"/>
      <c r="B258" s="1" t="s">
        <v>940</v>
      </c>
      <c r="C258" s="12"/>
      <c r="D258" s="31">
        <v>15725</v>
      </c>
      <c r="E258" s="31">
        <v>15471</v>
      </c>
      <c r="F258" s="31">
        <v>15799</v>
      </c>
      <c r="G258" s="31">
        <v>15334</v>
      </c>
      <c r="H258" s="12"/>
      <c r="I258" s="12"/>
      <c r="J258" s="7"/>
      <c r="K258" s="7"/>
    </row>
    <row r="259">
      <c r="A259" s="7"/>
      <c r="B259" s="1" t="s">
        <v>941</v>
      </c>
      <c r="C259" s="12"/>
      <c r="D259" s="31">
        <v>155</v>
      </c>
      <c r="E259" s="31">
        <v>631</v>
      </c>
      <c r="F259" s="31">
        <v>145</v>
      </c>
      <c r="G259" s="31">
        <v>135</v>
      </c>
      <c r="H259" s="12"/>
      <c r="I259" s="12"/>
      <c r="J259" s="7"/>
      <c r="K259" s="7"/>
    </row>
    <row r="260">
      <c r="A260" s="7"/>
      <c r="B260" s="33" t="s">
        <v>942</v>
      </c>
      <c r="C260" s="35"/>
      <c r="D260" s="35">
        <f>D252+D254+D256+D258</f>
        <v>87069</v>
      </c>
      <c r="E260" s="35">
        <f>E252+E254+E256+E258</f>
        <v>86479</v>
      </c>
      <c r="F260" s="35">
        <f>F252+F254+F256+F258</f>
        <v>88634</v>
      </c>
      <c r="G260" s="35">
        <f>G252+G254+G256+G258</f>
        <v>89888</v>
      </c>
      <c r="H260" s="35"/>
      <c r="I260" s="35"/>
      <c r="J260" s="7"/>
      <c r="K260" s="7"/>
    </row>
    <row r="261">
      <c r="A261" s="7"/>
      <c r="B261" s="33" t="s">
        <v>943</v>
      </c>
      <c r="C261" s="35"/>
      <c r="D261" s="35">
        <f>D253+D255+D257+D259</f>
        <v>467</v>
      </c>
      <c r="E261" s="35">
        <f>E253+E255+E257+E259</f>
        <v>1971</v>
      </c>
      <c r="F261" s="35">
        <f>F253+F255+F257+F259</f>
        <v>442</v>
      </c>
      <c r="G261" s="35">
        <f>G253+G255+G257+G259</f>
        <v>447</v>
      </c>
      <c r="H261" s="35"/>
      <c r="I261" s="35"/>
      <c r="J261" s="7"/>
      <c r="K261" s="7"/>
    </row>
    <row r="262">
      <c r="A262" s="7"/>
      <c r="B262" s="1" t="s">
        <v>944</v>
      </c>
      <c r="C262" s="12"/>
      <c r="D262" s="31">
        <v>24</v>
      </c>
      <c r="E262" s="31">
        <v>15</v>
      </c>
      <c r="F262" s="31">
        <v>39</v>
      </c>
      <c r="G262" s="31">
        <v>80</v>
      </c>
      <c r="H262" s="12"/>
      <c r="I262" s="12"/>
      <c r="J262" s="7"/>
      <c r="K262" s="7"/>
    </row>
    <row r="263">
      <c r="A263" s="7"/>
      <c r="B263" s="1" t="s">
        <v>945</v>
      </c>
      <c r="C263" s="12"/>
      <c r="D263" s="31">
        <v>0</v>
      </c>
      <c r="E263" s="31">
        <v>0</v>
      </c>
      <c r="F263" s="31">
        <v>0</v>
      </c>
      <c r="G263" s="31">
        <v>1</v>
      </c>
      <c r="H263" s="12"/>
      <c r="I263" s="12"/>
      <c r="J263" s="7"/>
      <c r="K263" s="7"/>
    </row>
    <row r="264">
      <c r="A264" s="7"/>
      <c r="B264" s="1" t="s">
        <v>946</v>
      </c>
      <c r="C264" s="12"/>
      <c r="D264" s="31">
        <v>1207</v>
      </c>
      <c r="E264" s="31">
        <v>723</v>
      </c>
      <c r="F264" s="31">
        <v>339</v>
      </c>
      <c r="G264" s="31">
        <v>0</v>
      </c>
      <c r="H264" s="12"/>
      <c r="I264" s="12"/>
      <c r="J264" s="7"/>
      <c r="K264" s="7"/>
    </row>
    <row r="265">
      <c r="A265" s="7"/>
      <c r="B265" s="1" t="s">
        <v>947</v>
      </c>
      <c r="C265" s="12"/>
      <c r="D265" s="31">
        <v>16</v>
      </c>
      <c r="E265" s="31">
        <v>40</v>
      </c>
      <c r="F265" s="31">
        <v>4</v>
      </c>
      <c r="G265" s="31">
        <v>0</v>
      </c>
      <c r="H265" s="12"/>
      <c r="I265" s="12"/>
      <c r="J265" s="7"/>
      <c r="K265" s="7"/>
    </row>
    <row r="266">
      <c r="A266" s="7"/>
      <c r="B266" s="1" t="s">
        <v>948</v>
      </c>
      <c r="C266" s="12"/>
      <c r="D266" s="31">
        <v>6025</v>
      </c>
      <c r="E266" s="31">
        <v>4352</v>
      </c>
      <c r="F266" s="31">
        <v>6001</v>
      </c>
      <c r="G266" s="31">
        <v>5660</v>
      </c>
      <c r="H266" s="12"/>
      <c r="I266" s="12"/>
      <c r="J266" s="7"/>
      <c r="K266" s="7"/>
    </row>
    <row r="267">
      <c r="A267" s="7"/>
      <c r="B267" s="1" t="s">
        <v>949</v>
      </c>
      <c r="C267" s="12"/>
      <c r="D267" s="31">
        <v>89</v>
      </c>
      <c r="E267" s="31">
        <v>279</v>
      </c>
      <c r="F267" s="31">
        <v>85</v>
      </c>
      <c r="G267" s="31">
        <v>77</v>
      </c>
      <c r="H267" s="12"/>
      <c r="I267" s="12"/>
      <c r="J267" s="7"/>
      <c r="K267" s="7"/>
    </row>
    <row r="268">
      <c r="A268" s="7"/>
      <c r="B268" s="33" t="s">
        <v>950</v>
      </c>
      <c r="C268" s="35"/>
      <c r="D268" s="35">
        <f>D252+D254+D256+D258+D262+D264+D266</f>
        <v>94325</v>
      </c>
      <c r="E268" s="35">
        <f>E252+E254+E256+E258+E262+E264+E266</f>
        <v>91569</v>
      </c>
      <c r="F268" s="35">
        <f>F252+F254+F256+F258+F262+F264+F266</f>
        <v>95013</v>
      </c>
      <c r="G268" s="35">
        <f>G252+G254+G256+G258+G262+G264+G266</f>
        <v>95628</v>
      </c>
      <c r="H268" s="35"/>
      <c r="I268" s="35"/>
      <c r="J268" s="7"/>
      <c r="K268" s="7"/>
    </row>
    <row r="269">
      <c r="A269" s="7"/>
      <c r="B269" s="33" t="s">
        <v>951</v>
      </c>
      <c r="C269" s="35"/>
      <c r="D269" s="35">
        <f>D253+D255+D257+D259+D263+D265+D267</f>
        <v>572</v>
      </c>
      <c r="E269" s="35">
        <f>E253+E255+E257+E259+E263+E265+E267</f>
        <v>2290</v>
      </c>
      <c r="F269" s="35">
        <f>F253+F255+F257+F259+F263+F265+F267</f>
        <v>531</v>
      </c>
      <c r="G269" s="35">
        <f>G253+G255+G257+G259+G263+G265+G267</f>
        <v>525</v>
      </c>
      <c r="H269" s="35"/>
      <c r="I269" s="35"/>
      <c r="J269" s="7"/>
      <c r="K269" s="7"/>
    </row>
    <row r="270">
      <c r="A270" s="7"/>
      <c r="B270" s="1" t="s">
        <v>952</v>
      </c>
      <c r="C270" s="12"/>
      <c r="D270" s="31">
        <v>39424</v>
      </c>
      <c r="E270" s="31">
        <v>40136</v>
      </c>
      <c r="F270" s="31">
        <v>39053</v>
      </c>
      <c r="G270" s="31">
        <v>39556</v>
      </c>
      <c r="H270" s="12"/>
      <c r="I270" s="12"/>
      <c r="J270" s="7"/>
      <c r="K270" s="7"/>
    </row>
    <row r="271">
      <c r="A271" s="7"/>
      <c r="B271" s="33" t="s">
        <v>953</v>
      </c>
      <c r="C271" s="35"/>
      <c r="D271" s="35">
        <f>D260+D270</f>
        <v>126493</v>
      </c>
      <c r="E271" s="35">
        <f>E260+E270</f>
        <v>126615</v>
      </c>
      <c r="F271" s="35">
        <f>F260+F270</f>
        <v>127687</v>
      </c>
      <c r="G271" s="35">
        <f>G260+G270</f>
        <v>129444</v>
      </c>
      <c r="H271" s="35"/>
      <c r="I271" s="35"/>
      <c r="J271" s="7"/>
      <c r="K271" s="7"/>
    </row>
    <row r="272">
      <c r="A272" s="7"/>
      <c r="B272" s="33" t="s">
        <v>954</v>
      </c>
      <c r="C272" s="35"/>
      <c r="D272" s="35">
        <f>D251-D269</f>
        <v>1243</v>
      </c>
      <c r="E272" s="35">
        <f>E251-E269</f>
        <v>4868</v>
      </c>
      <c r="F272" s="35">
        <f>F251-F269</f>
        <v>1206</v>
      </c>
      <c r="G272" s="35">
        <f>G251-G269</f>
        <v>1271</v>
      </c>
      <c r="H272" s="35"/>
      <c r="I272" s="35"/>
      <c r="J272" s="7"/>
      <c r="K272" s="7"/>
    </row>
    <row r="273">
      <c r="A273" s="7"/>
      <c r="B273" s="1" t="s">
        <v>955</v>
      </c>
      <c r="C273" s="12"/>
      <c r="D273" s="31">
        <v>13</v>
      </c>
      <c r="E273" s="31">
        <v>50</v>
      </c>
      <c r="F273" s="31">
        <v>12</v>
      </c>
      <c r="G273" s="31">
        <v>12</v>
      </c>
      <c r="H273" s="12"/>
      <c r="I273" s="12"/>
      <c r="J273" s="7"/>
      <c r="K273" s="7"/>
    </row>
    <row r="274">
      <c r="A274" s="7"/>
      <c r="B274" s="1" t="s">
        <v>956</v>
      </c>
      <c r="C274" s="31">
        <v>33</v>
      </c>
      <c r="D274" s="12">
        <f>E274-H274</f>
        <v>-3</v>
      </c>
      <c r="E274" s="31">
        <v>118</v>
      </c>
      <c r="F274" s="31">
        <v>16</v>
      </c>
      <c r="G274" s="31">
        <v>38</v>
      </c>
      <c r="H274" s="31">
        <v>121</v>
      </c>
      <c r="I274" s="31">
        <v>42</v>
      </c>
      <c r="J274" s="7"/>
      <c r="K274" s="7"/>
    </row>
    <row r="275">
      <c r="A275" s="7"/>
      <c r="B275" s="1" t="s">
        <v>957</v>
      </c>
      <c r="C275" s="31">
        <v>-47</v>
      </c>
      <c r="D275" s="12">
        <f>E275-H275</f>
        <v>-40</v>
      </c>
      <c r="E275" s="31">
        <v>-153</v>
      </c>
      <c r="F275" s="31">
        <v>0</v>
      </c>
      <c r="G275" s="31">
        <v>12</v>
      </c>
      <c r="H275" s="31">
        <v>-113</v>
      </c>
      <c r="I275" s="31">
        <v>-112</v>
      </c>
      <c r="J275" s="7"/>
      <c r="K275" s="7"/>
    </row>
    <row r="276">
      <c r="A276" s="7"/>
      <c r="B276" s="1" t="s">
        <v>958</v>
      </c>
      <c r="C276" s="31">
        <v>-46</v>
      </c>
      <c r="D276" s="12">
        <f>E276-H276</f>
        <v>-39</v>
      </c>
      <c r="E276" s="31">
        <v>-161</v>
      </c>
      <c r="F276" s="31">
        <v>-34</v>
      </c>
      <c r="G276" s="31">
        <v>-41</v>
      </c>
      <c r="H276" s="31">
        <v>-122</v>
      </c>
      <c r="I276" s="31">
        <v>-85</v>
      </c>
      <c r="J276" s="7"/>
      <c r="K276" s="7"/>
    </row>
    <row r="277">
      <c r="A277" s="7"/>
      <c r="B277" s="1" t="s">
        <v>959</v>
      </c>
      <c r="C277" s="12"/>
      <c r="D277" s="12"/>
      <c r="E277" s="12"/>
      <c r="F277" s="12"/>
      <c r="G277" s="31">
        <v>3513</v>
      </c>
      <c r="H277" s="12"/>
      <c r="I277" s="12"/>
      <c r="J277" s="7"/>
      <c r="K277" s="7"/>
    </row>
    <row r="278">
      <c r="A278" s="7"/>
      <c r="B278" s="1" t="s">
        <v>960</v>
      </c>
      <c r="C278" s="31">
        <v>1463</v>
      </c>
      <c r="D278" s="31">
        <v>1416</v>
      </c>
      <c r="E278" s="31">
        <v>5732</v>
      </c>
      <c r="F278" s="31">
        <v>1342</v>
      </c>
      <c r="G278" s="31">
        <v>1377</v>
      </c>
      <c r="H278" s="12"/>
      <c r="I278" s="12"/>
      <c r="J278" s="7"/>
      <c r="K278" s="7"/>
    </row>
    <row r="279">
      <c r="A279" s="7"/>
      <c r="B279" s="1" t="s">
        <v>961</v>
      </c>
      <c r="C279" s="31">
        <v>241</v>
      </c>
      <c r="D279" s="31">
        <v>256</v>
      </c>
      <c r="E279" s="31">
        <v>925</v>
      </c>
      <c r="F279" s="31">
        <v>266</v>
      </c>
      <c r="G279" s="31">
        <v>286</v>
      </c>
      <c r="H279" s="12"/>
      <c r="I279" s="12"/>
      <c r="J279" s="7"/>
      <c r="K279" s="7"/>
    </row>
    <row r="280">
      <c r="A280" s="7"/>
      <c r="B280" s="1" t="s">
        <v>962</v>
      </c>
      <c r="C280" s="31">
        <v>11</v>
      </c>
      <c r="D280" s="31">
        <v>11</v>
      </c>
      <c r="E280" s="31">
        <v>39</v>
      </c>
      <c r="F280" s="31">
        <v>8</v>
      </c>
      <c r="G280" s="31">
        <v>9</v>
      </c>
      <c r="H280" s="12"/>
      <c r="I280" s="12"/>
      <c r="J280" s="7"/>
      <c r="K280" s="7"/>
    </row>
    <row r="281">
      <c r="A281" s="7"/>
      <c r="B281" s="1" t="s">
        <v>963</v>
      </c>
      <c r="C281" s="31">
        <v>105</v>
      </c>
      <c r="D281" s="31">
        <v>119</v>
      </c>
      <c r="E281" s="31">
        <v>412</v>
      </c>
      <c r="F281" s="31">
        <v>109</v>
      </c>
      <c r="G281" s="31">
        <v>112</v>
      </c>
      <c r="H281" s="12"/>
      <c r="I281" s="12"/>
      <c r="J281" s="7"/>
      <c r="K281" s="7"/>
    </row>
    <row r="282">
      <c r="A282" s="7"/>
      <c r="B282" s="33" t="s">
        <v>964</v>
      </c>
      <c r="C282" s="35">
        <f>C278+C279+C280+C281</f>
        <v>1820</v>
      </c>
      <c r="D282" s="35">
        <f>D278+D279+D280+D281</f>
        <v>1802</v>
      </c>
      <c r="E282" s="35">
        <f>E278+E279+E280+E281</f>
        <v>7108</v>
      </c>
      <c r="F282" s="35">
        <f>F278+F279+F280+F281</f>
        <v>1725</v>
      </c>
      <c r="G282" s="35">
        <f>G278+G279+G280+G281</f>
        <v>1784</v>
      </c>
      <c r="H282" s="35"/>
      <c r="I282" s="35"/>
      <c r="J282" s="7"/>
      <c r="K282" s="7"/>
    </row>
    <row r="283">
      <c r="A283" s="7"/>
      <c r="B283" s="1" t="s">
        <v>965</v>
      </c>
      <c r="C283" s="31">
        <v>507</v>
      </c>
      <c r="D283" s="31">
        <v>467</v>
      </c>
      <c r="E283" s="31">
        <v>1971</v>
      </c>
      <c r="F283" s="31">
        <v>442</v>
      </c>
      <c r="G283" s="31">
        <v>447</v>
      </c>
      <c r="H283" s="12"/>
      <c r="I283" s="12"/>
      <c r="J283" s="7"/>
      <c r="K283" s="7"/>
    </row>
    <row r="284">
      <c r="A284" s="7"/>
      <c r="B284" s="1" t="s">
        <v>966</v>
      </c>
      <c r="C284" s="31">
        <v>10</v>
      </c>
      <c r="D284" s="31">
        <v>16</v>
      </c>
      <c r="E284" s="31">
        <v>40</v>
      </c>
      <c r="F284" s="31">
        <v>4</v>
      </c>
      <c r="G284" s="31">
        <v>1</v>
      </c>
      <c r="H284" s="12"/>
      <c r="I284" s="12"/>
      <c r="J284" s="7"/>
      <c r="K284" s="7"/>
    </row>
    <row r="285">
      <c r="A285" s="7"/>
      <c r="B285" s="1" t="s">
        <v>967</v>
      </c>
      <c r="C285" s="31">
        <v>85</v>
      </c>
      <c r="D285" s="31">
        <v>89</v>
      </c>
      <c r="E285" s="31">
        <v>279</v>
      </c>
      <c r="F285" s="31">
        <v>85</v>
      </c>
      <c r="G285" s="31">
        <v>77</v>
      </c>
      <c r="H285" s="12"/>
      <c r="I285" s="12"/>
      <c r="J285" s="7"/>
      <c r="K285" s="7"/>
    </row>
    <row r="286">
      <c r="A286" s="7"/>
      <c r="B286" s="33" t="s">
        <v>968</v>
      </c>
      <c r="C286" s="35">
        <f>C283+C284+C285</f>
        <v>602</v>
      </c>
      <c r="D286" s="35">
        <f>D283+D284+D285</f>
        <v>572</v>
      </c>
      <c r="E286" s="35">
        <f>E283+E284+E285</f>
        <v>2290</v>
      </c>
      <c r="F286" s="35">
        <f>F283+F284+F285</f>
        <v>531</v>
      </c>
      <c r="G286" s="35">
        <f>G283+G284+G285</f>
        <v>525</v>
      </c>
      <c r="H286" s="35"/>
      <c r="I286" s="35"/>
      <c r="J286" s="7"/>
      <c r="K286" s="7"/>
    </row>
    <row r="287">
      <c r="A287" s="7"/>
      <c r="B287" s="33" t="s">
        <v>969</v>
      </c>
      <c r="C287" s="35">
        <f>C282-C286</f>
        <v>1218</v>
      </c>
      <c r="D287" s="35">
        <f>D282-D286</f>
        <v>1230</v>
      </c>
      <c r="E287" s="35">
        <f>E282-E286</f>
        <v>4818</v>
      </c>
      <c r="F287" s="35">
        <f>F282-F286</f>
        <v>1194</v>
      </c>
      <c r="G287" s="35">
        <f>G282-G286</f>
        <v>1259</v>
      </c>
      <c r="H287" s="35"/>
      <c r="I287" s="35"/>
      <c r="J287" s="7"/>
      <c r="K287" s="7"/>
    </row>
    <row r="288">
      <c r="A288" s="7"/>
      <c r="B288" s="33" t="s">
        <v>970</v>
      </c>
      <c r="C288" s="35"/>
      <c r="D288" s="35">
        <f>D287+D273</f>
        <v>1243</v>
      </c>
      <c r="E288" s="35">
        <f>E287+E273</f>
        <v>4868</v>
      </c>
      <c r="F288" s="35">
        <f>F287+F273</f>
        <v>1206</v>
      </c>
      <c r="G288" s="35">
        <f>G287+G273</f>
        <v>1271</v>
      </c>
      <c r="H288" s="35"/>
      <c r="I288" s="35"/>
      <c r="J288" s="7"/>
      <c r="K288" s="7"/>
    </row>
    <row r="289">
      <c r="A289" s="7"/>
      <c r="B289" s="1" t="s">
        <v>971</v>
      </c>
      <c r="C289" s="12"/>
      <c r="D289" s="31">
        <v>119</v>
      </c>
      <c r="E289" s="31">
        <v>458</v>
      </c>
      <c r="F289" s="31">
        <v>123</v>
      </c>
      <c r="G289" s="31">
        <v>113</v>
      </c>
      <c r="H289" s="12"/>
      <c r="I289" s="12"/>
      <c r="J289" s="7"/>
      <c r="K289" s="7"/>
    </row>
    <row r="290">
      <c r="A290" s="7"/>
      <c r="B290" s="1" t="s">
        <v>972</v>
      </c>
      <c r="C290" s="12"/>
      <c r="D290" s="31">
        <v>1</v>
      </c>
      <c r="E290" s="31">
        <v>29</v>
      </c>
      <c r="F290" s="31">
        <v>1</v>
      </c>
      <c r="G290" s="31">
        <v>13</v>
      </c>
      <c r="H290" s="12"/>
      <c r="I290" s="12"/>
      <c r="J290" s="7"/>
      <c r="K290" s="7"/>
    </row>
    <row r="291">
      <c r="A291" s="7"/>
      <c r="B291" s="1" t="s">
        <v>973</v>
      </c>
      <c r="C291" s="31">
        <v>113</v>
      </c>
      <c r="D291" s="31">
        <v>120</v>
      </c>
      <c r="E291" s="31">
        <v>487</v>
      </c>
      <c r="F291" s="31">
        <v>124</v>
      </c>
      <c r="G291" s="31">
        <v>126</v>
      </c>
      <c r="H291" s="12"/>
      <c r="I291" s="12"/>
      <c r="J291" s="7"/>
      <c r="K291" s="7"/>
    </row>
    <row r="292">
      <c r="A292" s="7"/>
      <c r="B292" s="33" t="s">
        <v>974</v>
      </c>
      <c r="C292" s="35">
        <f>C287-C291</f>
        <v>1105</v>
      </c>
      <c r="D292" s="35">
        <f>D287-D291</f>
        <v>1110</v>
      </c>
      <c r="E292" s="35">
        <f>E287-E291</f>
        <v>4331</v>
      </c>
      <c r="F292" s="35">
        <f>F287-F291</f>
        <v>1070</v>
      </c>
      <c r="G292" s="35">
        <f>G287-G291</f>
        <v>1133</v>
      </c>
      <c r="H292" s="35"/>
      <c r="I292" s="35"/>
      <c r="J292" s="7"/>
      <c r="K292" s="7"/>
    </row>
    <row r="293">
      <c r="A293" s="7"/>
      <c r="B293" s="1" t="s">
        <v>975</v>
      </c>
      <c r="C293" s="31">
        <v>158</v>
      </c>
      <c r="D293" s="31">
        <v>155</v>
      </c>
      <c r="E293" s="31">
        <v>612</v>
      </c>
      <c r="F293" s="31">
        <v>161</v>
      </c>
      <c r="G293" s="31">
        <v>151</v>
      </c>
      <c r="H293" s="12"/>
      <c r="I293" s="12"/>
      <c r="J293" s="7"/>
      <c r="K293" s="7"/>
    </row>
    <row r="294">
      <c r="A294" s="7"/>
      <c r="B294" s="1" t="s">
        <v>976</v>
      </c>
      <c r="C294" s="31">
        <v>118</v>
      </c>
      <c r="D294" s="31">
        <v>113</v>
      </c>
      <c r="E294" s="31">
        <v>467</v>
      </c>
      <c r="F294" s="31">
        <v>117</v>
      </c>
      <c r="G294" s="31">
        <v>125</v>
      </c>
      <c r="H294" s="12"/>
      <c r="I294" s="12"/>
      <c r="J294" s="7"/>
      <c r="K294" s="7"/>
    </row>
    <row r="295">
      <c r="A295" s="7"/>
      <c r="B295" s="1" t="s">
        <v>977</v>
      </c>
      <c r="C295" s="31">
        <v>128</v>
      </c>
      <c r="D295" s="31">
        <v>126</v>
      </c>
      <c r="E295" s="31">
        <v>495</v>
      </c>
      <c r="F295" s="31">
        <v>129</v>
      </c>
      <c r="G295" s="31">
        <v>133</v>
      </c>
      <c r="H295" s="12"/>
      <c r="I295" s="12"/>
      <c r="J295" s="7"/>
      <c r="K295" s="7"/>
    </row>
    <row r="296">
      <c r="A296" s="7"/>
      <c r="B296" s="1" t="s">
        <v>978</v>
      </c>
      <c r="C296" s="31">
        <v>92</v>
      </c>
      <c r="D296" s="31">
        <v>97</v>
      </c>
      <c r="E296" s="31">
        <v>348</v>
      </c>
      <c r="F296" s="31">
        <v>80</v>
      </c>
      <c r="G296" s="31">
        <v>83</v>
      </c>
      <c r="H296" s="12"/>
      <c r="I296" s="12"/>
      <c r="J296" s="7"/>
      <c r="K296" s="7"/>
    </row>
    <row r="297">
      <c r="A297" s="7"/>
      <c r="B297" s="1" t="s">
        <v>979</v>
      </c>
      <c r="C297" s="31">
        <v>36</v>
      </c>
      <c r="D297" s="31">
        <v>35</v>
      </c>
      <c r="E297" s="31">
        <v>146</v>
      </c>
      <c r="F297" s="31">
        <v>40</v>
      </c>
      <c r="G297" s="31">
        <v>48</v>
      </c>
      <c r="H297" s="12"/>
      <c r="I297" s="12"/>
      <c r="J297" s="7"/>
      <c r="K297" s="7"/>
    </row>
    <row r="298">
      <c r="A298" s="7"/>
      <c r="B298" s="1" t="s">
        <v>980</v>
      </c>
      <c r="C298" s="31">
        <v>28</v>
      </c>
      <c r="D298" s="31">
        <v>28</v>
      </c>
      <c r="E298" s="31">
        <v>111</v>
      </c>
      <c r="F298" s="31">
        <v>27</v>
      </c>
      <c r="G298" s="31">
        <v>29</v>
      </c>
      <c r="H298" s="12"/>
      <c r="I298" s="12"/>
      <c r="J298" s="7"/>
      <c r="K298" s="7"/>
    </row>
    <row r="299">
      <c r="A299" s="7"/>
      <c r="B299" s="1" t="s">
        <v>981</v>
      </c>
      <c r="C299" s="31">
        <v>28</v>
      </c>
      <c r="D299" s="31">
        <v>21</v>
      </c>
      <c r="E299" s="31">
        <v>102</v>
      </c>
      <c r="F299" s="31">
        <v>23</v>
      </c>
      <c r="G299" s="31">
        <v>24</v>
      </c>
      <c r="H299" s="12"/>
      <c r="I299" s="12"/>
      <c r="J299" s="7"/>
      <c r="K299" s="7"/>
    </row>
    <row r="300">
      <c r="A300" s="7"/>
      <c r="B300" s="1" t="s">
        <v>982</v>
      </c>
      <c r="C300" s="31">
        <v>13</v>
      </c>
      <c r="D300" s="31">
        <v>-5</v>
      </c>
      <c r="E300" s="31">
        <v>25</v>
      </c>
      <c r="F300" s="31">
        <v>-3</v>
      </c>
      <c r="G300" s="31">
        <v>16</v>
      </c>
      <c r="H300" s="12"/>
      <c r="I300" s="12"/>
      <c r="J300" s="7"/>
      <c r="K300" s="7"/>
    </row>
    <row r="301">
      <c r="A301" s="7"/>
      <c r="B301" s="1" t="s">
        <v>983</v>
      </c>
      <c r="C301" s="31">
        <v>-78</v>
      </c>
      <c r="D301" s="31">
        <v>-30</v>
      </c>
      <c r="E301" s="31">
        <v>-208</v>
      </c>
      <c r="F301" s="31">
        <v>-25</v>
      </c>
      <c r="G301" s="31">
        <v>-1</v>
      </c>
      <c r="H301" s="12"/>
      <c r="I301" s="12"/>
      <c r="J301" s="7"/>
      <c r="K301" s="7"/>
    </row>
    <row r="302">
      <c r="A302" s="7"/>
      <c r="B302" s="1" t="s">
        <v>984</v>
      </c>
      <c r="C302" s="31">
        <v>49</v>
      </c>
      <c r="D302" s="31">
        <v>45</v>
      </c>
      <c r="E302" s="31">
        <v>167</v>
      </c>
      <c r="F302" s="31">
        <v>41</v>
      </c>
      <c r="G302" s="31">
        <v>38</v>
      </c>
      <c r="H302" s="12"/>
      <c r="I302" s="12"/>
      <c r="J302" s="7"/>
      <c r="K302" s="7"/>
    </row>
    <row r="303">
      <c r="A303" s="7"/>
      <c r="B303" s="1" t="s">
        <v>985</v>
      </c>
      <c r="C303" s="12"/>
      <c r="D303" s="31">
        <v>-1</v>
      </c>
      <c r="E303" s="31">
        <v>-6</v>
      </c>
      <c r="F303" s="31">
        <v>-1</v>
      </c>
      <c r="G303" s="31">
        <v>-2</v>
      </c>
      <c r="H303" s="12"/>
      <c r="I303" s="12"/>
      <c r="J303" s="7"/>
      <c r="K303" s="7"/>
    </row>
    <row r="304">
      <c r="A304" s="7"/>
      <c r="B304" s="33" t="s">
        <v>986</v>
      </c>
      <c r="C304" s="35"/>
      <c r="D304" s="35">
        <f>D296-D303</f>
        <v>98</v>
      </c>
      <c r="E304" s="35">
        <f>E296-E303</f>
        <v>354</v>
      </c>
      <c r="F304" s="35">
        <f>F296-F303</f>
        <v>81</v>
      </c>
      <c r="G304" s="35">
        <f>G296-G303</f>
        <v>85</v>
      </c>
      <c r="H304" s="35"/>
      <c r="I304" s="35"/>
      <c r="J304" s="7"/>
      <c r="K304" s="7"/>
    </row>
    <row r="305">
      <c r="A305" s="7"/>
      <c r="B305" s="33" t="s">
        <v>987</v>
      </c>
      <c r="C305" s="35">
        <f>C293+C294+C295+C296+C297+C298+C299+C300+C301+C302</f>
        <v>572</v>
      </c>
      <c r="D305" s="35">
        <f>D293+D294+D295+D296+D297+D298+D299+D300+D301+D302</f>
        <v>585</v>
      </c>
      <c r="E305" s="35">
        <f>E293+E294+E295+E296+E297+E298+E299+E300+E301+E302</f>
        <v>2265</v>
      </c>
      <c r="F305" s="35">
        <f>F293+F294+F295+F296+F297+F298+F299+F300+F301+F302</f>
        <v>590</v>
      </c>
      <c r="G305" s="35">
        <f>G293+G294+G295+G296+G297+G298+G299+G300+G301+G302</f>
        <v>646</v>
      </c>
      <c r="H305" s="35"/>
      <c r="I305" s="35"/>
      <c r="J305" s="7"/>
      <c r="K305" s="7"/>
    </row>
    <row r="306">
      <c r="A306" s="7"/>
      <c r="B306" s="1" t="s">
        <v>988</v>
      </c>
      <c r="C306" s="12"/>
      <c r="D306" s="31">
        <v>615</v>
      </c>
      <c r="E306" s="31">
        <v>2473</v>
      </c>
      <c r="F306" s="31">
        <v>615</v>
      </c>
      <c r="G306" s="31">
        <v>646</v>
      </c>
      <c r="H306" s="12"/>
      <c r="I306" s="12"/>
      <c r="J306" s="7"/>
      <c r="K306" s="7"/>
    </row>
    <row r="307">
      <c r="A307" s="7"/>
      <c r="B307" s="33" t="s">
        <v>989</v>
      </c>
      <c r="C307" s="35">
        <f>C287+C305</f>
        <v>1790</v>
      </c>
      <c r="D307" s="35">
        <f>D287+D305</f>
        <v>1815</v>
      </c>
      <c r="E307" s="35">
        <f>E287+E305</f>
        <v>7083</v>
      </c>
      <c r="F307" s="35">
        <f>F287+F305</f>
        <v>1784</v>
      </c>
      <c r="G307" s="35">
        <f>G287+G305</f>
        <v>1905</v>
      </c>
      <c r="H307" s="35"/>
      <c r="I307" s="35"/>
      <c r="J307" s="7"/>
      <c r="K307" s="7"/>
    </row>
    <row r="308">
      <c r="A308" s="7"/>
      <c r="B308" s="33" t="s">
        <v>990</v>
      </c>
      <c r="C308" s="35"/>
      <c r="D308" s="35">
        <f>D307+D273</f>
        <v>1828</v>
      </c>
      <c r="E308" s="35">
        <f>E307+E273</f>
        <v>7133</v>
      </c>
      <c r="F308" s="35">
        <f>F307+F273</f>
        <v>1796</v>
      </c>
      <c r="G308" s="35">
        <f>G307+G273</f>
        <v>1917</v>
      </c>
      <c r="H308" s="35"/>
      <c r="I308" s="35"/>
      <c r="J308" s="7"/>
      <c r="K308" s="7"/>
    </row>
    <row r="309">
      <c r="A309" s="7"/>
      <c r="B309" s="1" t="s">
        <v>991</v>
      </c>
      <c r="C309" s="31">
        <v>645</v>
      </c>
      <c r="D309" s="31">
        <v>617</v>
      </c>
      <c r="E309" s="31">
        <v>2529</v>
      </c>
      <c r="F309" s="31">
        <v>625</v>
      </c>
      <c r="G309" s="31">
        <v>658</v>
      </c>
      <c r="H309" s="12"/>
      <c r="I309" s="12"/>
      <c r="J309" s="7"/>
      <c r="K309" s="7"/>
    </row>
    <row r="310">
      <c r="A310" s="7"/>
      <c r="B310" s="1" t="s">
        <v>992</v>
      </c>
      <c r="C310" s="31">
        <v>101</v>
      </c>
      <c r="D310" s="31">
        <v>104</v>
      </c>
      <c r="E310" s="31">
        <v>406</v>
      </c>
      <c r="F310" s="31">
        <v>99</v>
      </c>
      <c r="G310" s="31">
        <v>104</v>
      </c>
      <c r="H310" s="12"/>
      <c r="I310" s="12"/>
      <c r="J310" s="7"/>
      <c r="K310" s="7"/>
    </row>
    <row r="311">
      <c r="A311" s="7"/>
      <c r="B311" s="1" t="s">
        <v>993</v>
      </c>
      <c r="C311" s="31">
        <v>69</v>
      </c>
      <c r="D311" s="31">
        <v>67</v>
      </c>
      <c r="E311" s="31">
        <v>278</v>
      </c>
      <c r="F311" s="31">
        <v>70</v>
      </c>
      <c r="G311" s="31">
        <v>72</v>
      </c>
      <c r="H311" s="12"/>
      <c r="I311" s="12"/>
      <c r="J311" s="7"/>
      <c r="K311" s="7"/>
    </row>
    <row r="312">
      <c r="A312" s="7"/>
      <c r="B312" s="1" t="s">
        <v>994</v>
      </c>
      <c r="C312" s="12"/>
      <c r="D312" s="31">
        <v>42</v>
      </c>
      <c r="E312" s="31">
        <v>162</v>
      </c>
      <c r="F312" s="31">
        <v>40</v>
      </c>
      <c r="G312" s="31">
        <v>39</v>
      </c>
      <c r="H312" s="12"/>
      <c r="I312" s="12"/>
      <c r="J312" s="7"/>
      <c r="K312" s="7"/>
    </row>
    <row r="313">
      <c r="A313" s="7"/>
      <c r="B313" s="1" t="s">
        <v>995</v>
      </c>
      <c r="C313" s="12"/>
      <c r="D313" s="31">
        <v>28</v>
      </c>
      <c r="E313" s="31">
        <v>110</v>
      </c>
      <c r="F313" s="31">
        <v>30</v>
      </c>
      <c r="G313" s="31">
        <v>26</v>
      </c>
      <c r="H313" s="12"/>
      <c r="I313" s="12"/>
      <c r="J313" s="7"/>
      <c r="K313" s="7"/>
    </row>
    <row r="314">
      <c r="A314" s="7"/>
      <c r="B314" s="1" t="s">
        <v>996</v>
      </c>
      <c r="C314" s="12"/>
      <c r="D314" s="31">
        <v>20</v>
      </c>
      <c r="E314" s="31">
        <v>94</v>
      </c>
      <c r="F314" s="31">
        <v>23</v>
      </c>
      <c r="G314" s="31">
        <v>28</v>
      </c>
      <c r="H314" s="12"/>
      <c r="I314" s="12"/>
      <c r="J314" s="7"/>
      <c r="K314" s="7"/>
    </row>
    <row r="315">
      <c r="A315" s="7"/>
      <c r="B315" s="1" t="s">
        <v>997</v>
      </c>
      <c r="C315" s="12"/>
      <c r="D315" s="31">
        <v>16</v>
      </c>
      <c r="E315" s="31">
        <v>59</v>
      </c>
      <c r="F315" s="31">
        <v>15</v>
      </c>
      <c r="G315" s="31">
        <v>16</v>
      </c>
      <c r="H315" s="12"/>
      <c r="I315" s="12"/>
      <c r="J315" s="7"/>
      <c r="K315" s="7"/>
    </row>
    <row r="316">
      <c r="A316" s="7"/>
      <c r="B316" s="1" t="s">
        <v>998</v>
      </c>
      <c r="C316" s="12"/>
      <c r="D316" s="31">
        <v>20</v>
      </c>
      <c r="E316" s="31">
        <v>109</v>
      </c>
      <c r="F316" s="31">
        <v>20</v>
      </c>
      <c r="G316" s="31">
        <v>20</v>
      </c>
      <c r="H316" s="12"/>
      <c r="I316" s="12"/>
      <c r="J316" s="7"/>
      <c r="K316" s="7"/>
    </row>
    <row r="317">
      <c r="A317" s="7"/>
      <c r="B317" s="1" t="s">
        <v>999</v>
      </c>
      <c r="C317" s="12"/>
      <c r="D317" s="31">
        <v>6</v>
      </c>
      <c r="E317" s="31">
        <v>32</v>
      </c>
      <c r="F317" s="31">
        <v>7</v>
      </c>
      <c r="G317" s="31">
        <v>4</v>
      </c>
      <c r="H317" s="12"/>
      <c r="I317" s="12"/>
      <c r="J317" s="7"/>
      <c r="K317" s="7"/>
    </row>
    <row r="318">
      <c r="A318" s="7"/>
      <c r="B318" s="1" t="s">
        <v>1000</v>
      </c>
      <c r="C318" s="12"/>
      <c r="D318" s="31">
        <v>16</v>
      </c>
      <c r="E318" s="31">
        <v>95</v>
      </c>
      <c r="F318" s="31">
        <v>13</v>
      </c>
      <c r="G318" s="31">
        <v>13</v>
      </c>
      <c r="H318" s="12"/>
      <c r="I318" s="12"/>
      <c r="J318" s="7"/>
      <c r="K318" s="7"/>
    </row>
    <row r="319">
      <c r="A319" s="7"/>
      <c r="B319" s="1" t="s">
        <v>1001</v>
      </c>
      <c r="C319" s="12"/>
      <c r="D319" s="31">
        <v>1</v>
      </c>
      <c r="E319" s="31">
        <v>3</v>
      </c>
      <c r="F319" s="31">
        <v>0</v>
      </c>
      <c r="G319" s="31">
        <v>0</v>
      </c>
      <c r="H319" s="12"/>
      <c r="I319" s="12"/>
      <c r="J319" s="7"/>
      <c r="K319" s="7"/>
    </row>
    <row r="320">
      <c r="A320" s="7"/>
      <c r="B320" s="1" t="s">
        <v>1002</v>
      </c>
      <c r="C320" s="12"/>
      <c r="D320" s="31">
        <v>101</v>
      </c>
      <c r="E320" s="31">
        <v>365</v>
      </c>
      <c r="F320" s="31">
        <v>97</v>
      </c>
      <c r="G320" s="31">
        <v>93</v>
      </c>
      <c r="H320" s="12"/>
      <c r="I320" s="12"/>
      <c r="J320" s="7"/>
      <c r="K320" s="7"/>
    </row>
    <row r="321">
      <c r="A321" s="7"/>
      <c r="B321" s="33" t="s">
        <v>1003</v>
      </c>
      <c r="C321" s="72">
        <v>1069</v>
      </c>
      <c r="D321" s="35">
        <f>D309+D310+D311+D312+D313+D314+D315+D316+D317+D318+D319+D320</f>
        <v>1038</v>
      </c>
      <c r="E321" s="35">
        <f>E309+E310+E311+E312+E313+E314+E315+E316+E317+E318+E319+E320</f>
        <v>4242</v>
      </c>
      <c r="F321" s="35">
        <f>F309+F310+F311+F312+F313+F314+F315+F316+F317+F318+F319+F320</f>
        <v>1039</v>
      </c>
      <c r="G321" s="35">
        <f>G309+G310+G311+G312+G313+G314+G315+G316+G317+G318+G319+G320</f>
        <v>1073</v>
      </c>
      <c r="H321" s="35"/>
      <c r="I321" s="35"/>
      <c r="J321" s="7"/>
      <c r="K321" s="7"/>
    </row>
    <row r="322">
      <c r="A322" s="7"/>
      <c r="B322" s="1" t="s">
        <v>1004</v>
      </c>
      <c r="C322" s="12"/>
      <c r="D322" s="31">
        <v>1028</v>
      </c>
      <c r="E322" s="31">
        <v>4227</v>
      </c>
      <c r="F322" s="31">
        <v>1035</v>
      </c>
      <c r="G322" s="31">
        <v>1073</v>
      </c>
      <c r="H322" s="12"/>
      <c r="I322" s="12"/>
      <c r="J322" s="7"/>
      <c r="K322" s="7"/>
    </row>
    <row r="323">
      <c r="A323" s="7"/>
      <c r="B323" s="33" t="s">
        <v>1005</v>
      </c>
      <c r="C323" s="35">
        <f>C307-C321</f>
        <v>721</v>
      </c>
      <c r="D323" s="35">
        <f>D307-D321</f>
        <v>777</v>
      </c>
      <c r="E323" s="35">
        <f>E307-E321</f>
        <v>2841</v>
      </c>
      <c r="F323" s="35">
        <f>F307-F321</f>
        <v>745</v>
      </c>
      <c r="G323" s="35">
        <f>G307-G321</f>
        <v>832</v>
      </c>
      <c r="H323" s="35"/>
      <c r="I323" s="35"/>
      <c r="J323" s="7"/>
      <c r="K323" s="7"/>
    </row>
    <row r="324">
      <c r="A324" s="7"/>
      <c r="B324" s="33" t="s">
        <v>1006</v>
      </c>
      <c r="C324" s="35">
        <f>C323-C291</f>
        <v>608</v>
      </c>
      <c r="D324" s="35">
        <f>D323-D291</f>
        <v>657</v>
      </c>
      <c r="E324" s="35">
        <f>E323-E291</f>
        <v>2354</v>
      </c>
      <c r="F324" s="35">
        <f>F323-F291</f>
        <v>621</v>
      </c>
      <c r="G324" s="35">
        <f>G323-G291</f>
        <v>706</v>
      </c>
      <c r="H324" s="35"/>
      <c r="I324" s="35"/>
      <c r="J324" s="7"/>
      <c r="K324" s="7"/>
    </row>
    <row r="325">
      <c r="A325" s="7"/>
      <c r="B325" s="1" t="s">
        <v>1007</v>
      </c>
      <c r="C325" s="31">
        <v>118</v>
      </c>
      <c r="D325" s="31">
        <v>123</v>
      </c>
      <c r="E325" s="31">
        <v>461</v>
      </c>
      <c r="F325" s="31">
        <v>131</v>
      </c>
      <c r="G325" s="31">
        <v>143</v>
      </c>
      <c r="H325" s="12"/>
      <c r="I325" s="12"/>
      <c r="J325" s="7"/>
      <c r="K325" s="7"/>
    </row>
    <row r="326">
      <c r="A326" s="7"/>
      <c r="B326" s="33" t="s">
        <v>1008</v>
      </c>
      <c r="C326" s="35">
        <f>C324-C325</f>
        <v>490</v>
      </c>
      <c r="D326" s="35">
        <f>D324-D325</f>
        <v>534</v>
      </c>
      <c r="E326" s="35">
        <f>E324-E325</f>
        <v>1893</v>
      </c>
      <c r="F326" s="35">
        <f>F324-F325</f>
        <v>490</v>
      </c>
      <c r="G326" s="35">
        <f>G324-G325</f>
        <v>563</v>
      </c>
      <c r="H326" s="35"/>
      <c r="I326" s="35"/>
      <c r="J326" s="7"/>
      <c r="K326" s="7"/>
    </row>
    <row r="327">
      <c r="A327" s="7"/>
      <c r="B327" s="1" t="s">
        <v>1009</v>
      </c>
      <c r="C327" s="31">
        <v>44</v>
      </c>
      <c r="D327" s="31">
        <v>26</v>
      </c>
      <c r="E327" s="31">
        <v>119</v>
      </c>
      <c r="F327" s="31">
        <v>25</v>
      </c>
      <c r="G327" s="31">
        <v>29</v>
      </c>
      <c r="H327" s="12"/>
      <c r="I327" s="12"/>
      <c r="J327" s="7"/>
      <c r="K327" s="7"/>
    </row>
    <row r="328">
      <c r="A328" s="7"/>
      <c r="B328" s="1" t="s">
        <v>1010</v>
      </c>
      <c r="C328" s="31">
        <v>446</v>
      </c>
      <c r="D328" s="31">
        <v>508</v>
      </c>
      <c r="E328" s="31">
        <v>1774</v>
      </c>
      <c r="F328" s="31">
        <v>465</v>
      </c>
      <c r="G328" s="31">
        <v>534</v>
      </c>
      <c r="H328" s="12"/>
      <c r="I328" s="12"/>
      <c r="J328" s="7"/>
      <c r="K328" s="7"/>
    </row>
    <row r="329">
      <c r="A329" s="7"/>
      <c r="B329" s="1" t="s">
        <v>1011</v>
      </c>
      <c r="C329" s="37">
        <v>0.49</v>
      </c>
      <c r="D329" s="37">
        <v>0.56</v>
      </c>
      <c r="E329" s="37">
        <v>1.93</v>
      </c>
      <c r="F329" s="37">
        <v>0.51</v>
      </c>
      <c r="G329" s="37">
        <v>0.59</v>
      </c>
      <c r="H329" s="23"/>
      <c r="I329" s="23"/>
      <c r="J329" s="7"/>
      <c r="K329" s="7"/>
    </row>
    <row r="330">
      <c r="A330" s="7"/>
      <c r="B330" s="1" t="s">
        <v>1012</v>
      </c>
      <c r="C330" s="12"/>
      <c r="D330" s="31">
        <v>30</v>
      </c>
      <c r="E330" s="31">
        <v>208</v>
      </c>
      <c r="F330" s="31">
        <v>25</v>
      </c>
      <c r="G330" s="31">
        <v>0</v>
      </c>
      <c r="H330" s="12"/>
      <c r="I330" s="12"/>
      <c r="J330" s="7"/>
      <c r="K330" s="7"/>
    </row>
    <row r="331">
      <c r="A331" s="7"/>
      <c r="B331" s="1" t="s">
        <v>1013</v>
      </c>
      <c r="C331" s="12"/>
      <c r="D331" s="31">
        <v>538</v>
      </c>
      <c r="E331" s="31">
        <v>1952</v>
      </c>
      <c r="F331" s="31">
        <v>487</v>
      </c>
      <c r="G331" s="31">
        <v>538</v>
      </c>
      <c r="H331" s="12"/>
      <c r="I331" s="12"/>
      <c r="J331" s="7"/>
      <c r="K331" s="7"/>
    </row>
    <row r="332">
      <c r="A332" s="7"/>
      <c r="B332" s="1" t="s">
        <v>1014</v>
      </c>
      <c r="C332" s="23"/>
      <c r="D332" s="37">
        <v>0.59</v>
      </c>
      <c r="E332" s="37">
        <v>2.13</v>
      </c>
      <c r="F332" s="37">
        <v>0.54</v>
      </c>
      <c r="G332" s="37">
        <v>0.6</v>
      </c>
      <c r="H332" s="23"/>
      <c r="I332" s="23"/>
      <c r="J332" s="7"/>
      <c r="K332" s="7"/>
    </row>
    <row r="333">
      <c r="A333" s="7"/>
      <c r="B333" s="1" t="s">
        <v>1015</v>
      </c>
      <c r="C333" s="12"/>
      <c r="D333" s="31">
        <v>96727</v>
      </c>
      <c r="E333" s="31">
        <v>96727</v>
      </c>
      <c r="F333" s="31">
        <v>95733</v>
      </c>
      <c r="G333" s="31">
        <v>96723</v>
      </c>
      <c r="H333" s="12"/>
      <c r="I333" s="12"/>
      <c r="J333" s="7"/>
      <c r="K333" s="7"/>
    </row>
    <row r="334">
      <c r="A334" s="7"/>
      <c r="B334" s="1" t="s">
        <v>1016</v>
      </c>
      <c r="C334" s="12"/>
      <c r="D334" s="31">
        <v>127603</v>
      </c>
      <c r="E334" s="31">
        <v>127603</v>
      </c>
      <c r="F334" s="31">
        <v>130971</v>
      </c>
      <c r="G334" s="31">
        <v>130919</v>
      </c>
      <c r="H334" s="12"/>
      <c r="I334" s="12"/>
      <c r="J334" s="7"/>
      <c r="K334" s="7"/>
    </row>
    <row r="335">
      <c r="A335" s="7"/>
      <c r="B335" s="1" t="s">
        <v>1017</v>
      </c>
      <c r="C335" s="31">
        <v>914</v>
      </c>
      <c r="D335" s="31">
        <v>911</v>
      </c>
      <c r="E335" s="31">
        <v>916</v>
      </c>
      <c r="F335" s="31">
        <v>906</v>
      </c>
      <c r="G335" s="31">
        <v>898</v>
      </c>
      <c r="H335" s="12"/>
      <c r="I335" s="12"/>
      <c r="J335" s="7"/>
      <c r="K335" s="7"/>
    </row>
    <row r="336">
      <c r="A336" s="7"/>
      <c r="B336" s="33" t="s">
        <v>1018</v>
      </c>
      <c r="C336" s="35">
        <f>C337-C335</f>
        <v>4</v>
      </c>
      <c r="D336" s="35">
        <f>D337-D335</f>
        <v>4</v>
      </c>
      <c r="E336" s="35">
        <f>E337-E335</f>
        <v>2</v>
      </c>
      <c r="F336" s="35">
        <f>F337-F335</f>
        <v>4</v>
      </c>
      <c r="G336" s="35">
        <f>G337-G335</f>
        <v>2</v>
      </c>
      <c r="H336" s="35"/>
      <c r="I336" s="35"/>
      <c r="J336" s="7"/>
      <c r="K336" s="7"/>
    </row>
    <row r="337">
      <c r="A337" s="7"/>
      <c r="B337" s="1" t="s">
        <v>1019</v>
      </c>
      <c r="C337" s="31">
        <v>918</v>
      </c>
      <c r="D337" s="31">
        <v>915</v>
      </c>
      <c r="E337" s="31">
        <v>918</v>
      </c>
      <c r="F337" s="31">
        <v>910</v>
      </c>
      <c r="G337" s="31">
        <v>900</v>
      </c>
      <c r="H337" s="12"/>
      <c r="I337" s="12"/>
      <c r="J337" s="7"/>
      <c r="K337" s="7"/>
    </row>
    <row r="338">
      <c r="A338" s="7"/>
      <c r="B338" s="1" t="s">
        <v>1020</v>
      </c>
      <c r="C338" s="12"/>
      <c r="D338" s="31">
        <v>909</v>
      </c>
      <c r="E338" s="31">
        <v>909</v>
      </c>
      <c r="F338" s="31">
        <v>899</v>
      </c>
      <c r="G338" s="31">
        <v>894</v>
      </c>
      <c r="H338" s="12"/>
      <c r="I338" s="12"/>
      <c r="J338" s="7"/>
      <c r="K338" s="7"/>
    </row>
    <row r="339">
      <c r="A339" s="7"/>
      <c r="B339" s="1" t="s">
        <v>1021</v>
      </c>
      <c r="C339" s="12"/>
      <c r="D339" s="31">
        <v>58</v>
      </c>
      <c r="E339" s="31">
        <v>348</v>
      </c>
      <c r="F339" s="31">
        <v>242</v>
      </c>
      <c r="G339" s="31">
        <v>144</v>
      </c>
      <c r="H339" s="12"/>
      <c r="I339" s="12"/>
      <c r="J339" s="7"/>
      <c r="K339" s="7"/>
    </row>
    <row r="340">
      <c r="A340" s="7"/>
      <c r="B340" s="1" t="s">
        <v>1022</v>
      </c>
      <c r="C340" s="31">
        <v>25</v>
      </c>
      <c r="D340" s="31">
        <v>25</v>
      </c>
      <c r="E340" s="31">
        <v>98</v>
      </c>
      <c r="F340" s="31">
        <v>25</v>
      </c>
      <c r="G340" s="31">
        <v>25</v>
      </c>
      <c r="H340" s="12"/>
      <c r="I340" s="12"/>
      <c r="J340" s="7"/>
      <c r="K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>
      <c r="A342" s="7"/>
      <c r="B342" s="34" t="s">
        <v>1023</v>
      </c>
      <c r="C342" s="9"/>
      <c r="D342" s="9"/>
      <c r="E342" s="9"/>
      <c r="F342" s="9"/>
      <c r="G342" s="9"/>
      <c r="H342" s="9"/>
      <c r="I342" s="9"/>
      <c r="J342" s="7"/>
      <c r="K342" s="7"/>
    </row>
    <row r="343">
      <c r="A343" s="7"/>
      <c r="B343" s="34" t="s">
        <v>1024</v>
      </c>
      <c r="C343" s="108" t="s">
        <v>1025</v>
      </c>
      <c r="D343" s="108" t="s">
        <v>1026</v>
      </c>
      <c r="E343" s="108" t="s">
        <v>1027</v>
      </c>
      <c r="F343" s="108" t="s">
        <v>1028</v>
      </c>
      <c r="G343" s="108" t="s">
        <v>1029</v>
      </c>
      <c r="H343" s="9"/>
      <c r="I343" s="9"/>
      <c r="J343" s="7"/>
      <c r="K343" s="7"/>
    </row>
    <row r="344">
      <c r="A344" s="7"/>
      <c r="B344" s="1" t="s">
        <v>212</v>
      </c>
      <c r="C344" s="31">
        <v>1053</v>
      </c>
      <c r="D344" s="31">
        <v>1622</v>
      </c>
      <c r="E344" s="31">
        <v>2156</v>
      </c>
      <c r="F344" s="31">
        <v>559</v>
      </c>
      <c r="G344" s="31">
        <v>1129</v>
      </c>
      <c r="H344" s="12"/>
      <c r="I344" s="12"/>
      <c r="J344" s="7"/>
      <c r="K344" s="7"/>
    </row>
    <row r="345">
      <c r="A345" s="7"/>
      <c r="B345" s="1" t="s">
        <v>207</v>
      </c>
      <c r="C345" s="31">
        <v>250</v>
      </c>
      <c r="D345" s="31">
        <v>355</v>
      </c>
      <c r="E345" s="31">
        <v>470</v>
      </c>
      <c r="F345" s="31">
        <v>91</v>
      </c>
      <c r="G345" s="31">
        <v>159</v>
      </c>
      <c r="H345" s="12"/>
      <c r="I345" s="12"/>
      <c r="J345" s="7"/>
      <c r="K345" s="7"/>
    </row>
    <row r="346">
      <c r="A346" s="7"/>
      <c r="B346" s="1" t="s">
        <v>396</v>
      </c>
      <c r="C346" s="31">
        <v>41</v>
      </c>
      <c r="D346" s="31">
        <v>62</v>
      </c>
      <c r="E346" s="31">
        <v>84</v>
      </c>
      <c r="F346" s="31">
        <v>23</v>
      </c>
      <c r="G346" s="31">
        <v>47</v>
      </c>
      <c r="H346" s="12"/>
      <c r="I346" s="12"/>
      <c r="J346" s="7"/>
      <c r="K346" s="7"/>
    </row>
    <row r="347">
      <c r="A347" s="7"/>
      <c r="B347" s="1" t="s">
        <v>397</v>
      </c>
      <c r="C347" s="31">
        <v>26</v>
      </c>
      <c r="D347" s="31">
        <v>53</v>
      </c>
      <c r="E347" s="31">
        <v>53</v>
      </c>
      <c r="F347" s="31">
        <v>3</v>
      </c>
      <c r="G347" s="31">
        <v>44</v>
      </c>
      <c r="H347" s="12"/>
      <c r="I347" s="12"/>
      <c r="J347" s="7"/>
      <c r="K347" s="7"/>
    </row>
    <row r="348">
      <c r="A348" s="7"/>
      <c r="B348" s="1" t="s">
        <v>398</v>
      </c>
      <c r="C348" s="31">
        <v>17</v>
      </c>
      <c r="D348" s="31">
        <v>105</v>
      </c>
      <c r="E348" s="31">
        <v>78</v>
      </c>
      <c r="F348" s="31">
        <v>-15</v>
      </c>
      <c r="G348" s="31">
        <v>142</v>
      </c>
      <c r="H348" s="12"/>
      <c r="I348" s="12"/>
      <c r="J348" s="7"/>
      <c r="K348" s="7"/>
    </row>
    <row r="349">
      <c r="A349" s="7"/>
      <c r="B349" s="1" t="s">
        <v>399</v>
      </c>
      <c r="C349" s="31">
        <v>-2491</v>
      </c>
      <c r="D349" s="31">
        <v>-4034</v>
      </c>
      <c r="E349" s="31">
        <v>-5453</v>
      </c>
      <c r="F349" s="31">
        <v>-1967</v>
      </c>
      <c r="G349" s="31">
        <v>-3307</v>
      </c>
      <c r="H349" s="12"/>
      <c r="I349" s="12"/>
      <c r="J349" s="7"/>
      <c r="K349" s="7"/>
    </row>
    <row r="350">
      <c r="A350" s="7"/>
      <c r="B350" s="1" t="s">
        <v>400</v>
      </c>
      <c r="C350" s="31">
        <v>2585</v>
      </c>
      <c r="D350" s="31">
        <v>4177</v>
      </c>
      <c r="E350" s="31">
        <v>5566</v>
      </c>
      <c r="F350" s="31">
        <v>2052</v>
      </c>
      <c r="G350" s="31">
        <v>3268</v>
      </c>
      <c r="H350" s="12"/>
      <c r="I350" s="12"/>
      <c r="J350" s="7"/>
      <c r="K350" s="7"/>
    </row>
    <row r="351">
      <c r="A351" s="7"/>
      <c r="B351" s="1" t="s">
        <v>402</v>
      </c>
      <c r="C351" s="31">
        <v>-23</v>
      </c>
      <c r="D351" s="31">
        <v>-44</v>
      </c>
      <c r="E351" s="31">
        <v>-84</v>
      </c>
      <c r="F351" s="31">
        <v>-12</v>
      </c>
      <c r="G351" s="31">
        <v>-18</v>
      </c>
      <c r="H351" s="12"/>
      <c r="I351" s="12"/>
      <c r="J351" s="7"/>
      <c r="K351" s="7"/>
    </row>
    <row r="352">
      <c r="A352" s="7"/>
      <c r="B352" s="1" t="s">
        <v>403</v>
      </c>
      <c r="C352" s="31">
        <v>-66</v>
      </c>
      <c r="D352" s="31">
        <v>103</v>
      </c>
      <c r="E352" s="31">
        <v>-87</v>
      </c>
      <c r="F352" s="31">
        <v>68</v>
      </c>
      <c r="G352" s="31">
        <v>129</v>
      </c>
      <c r="H352" s="12"/>
      <c r="I352" s="12"/>
      <c r="J352" s="7"/>
      <c r="K352" s="7"/>
    </row>
    <row r="353">
      <c r="A353" s="7"/>
      <c r="B353" s="1" t="s">
        <v>404</v>
      </c>
      <c r="C353" s="31">
        <v>611</v>
      </c>
      <c r="D353" s="31">
        <v>282</v>
      </c>
      <c r="E353" s="31">
        <v>251</v>
      </c>
      <c r="F353" s="31">
        <v>172</v>
      </c>
      <c r="G353" s="31">
        <v>-713</v>
      </c>
      <c r="H353" s="12"/>
      <c r="I353" s="12"/>
      <c r="J353" s="7"/>
      <c r="K353" s="7"/>
    </row>
    <row r="354">
      <c r="A354" s="7"/>
      <c r="B354" s="1" t="s">
        <v>405</v>
      </c>
      <c r="C354" s="31">
        <v>-353</v>
      </c>
      <c r="D354" s="31">
        <v>-173</v>
      </c>
      <c r="E354" s="31">
        <v>-896</v>
      </c>
      <c r="F354" s="31">
        <v>-135</v>
      </c>
      <c r="G354" s="31">
        <v>268</v>
      </c>
      <c r="H354" s="12"/>
      <c r="I354" s="12"/>
      <c r="J354" s="7"/>
      <c r="K354" s="7"/>
    </row>
    <row r="355">
      <c r="A355" s="7"/>
      <c r="B355" s="1" t="s">
        <v>406</v>
      </c>
      <c r="C355" s="31">
        <v>-11</v>
      </c>
      <c r="D355" s="31">
        <v>-8</v>
      </c>
      <c r="E355" s="31">
        <v>43</v>
      </c>
      <c r="F355" s="31">
        <v>28</v>
      </c>
      <c r="G355" s="31">
        <v>88</v>
      </c>
      <c r="H355" s="12"/>
      <c r="I355" s="12"/>
      <c r="J355" s="7"/>
      <c r="K355" s="7"/>
    </row>
    <row r="356">
      <c r="A356" s="7"/>
      <c r="B356" s="1" t="s">
        <v>409</v>
      </c>
      <c r="C356" s="31">
        <v>288</v>
      </c>
      <c r="D356" s="31">
        <v>499</v>
      </c>
      <c r="E356" s="31">
        <v>684</v>
      </c>
      <c r="F356" s="31">
        <v>193</v>
      </c>
      <c r="G356" s="31">
        <v>379</v>
      </c>
      <c r="H356" s="12"/>
      <c r="I356" s="12"/>
      <c r="J356" s="7"/>
      <c r="K356" s="7"/>
    </row>
    <row r="357">
      <c r="A357" s="7"/>
      <c r="B357" s="1" t="s">
        <v>410</v>
      </c>
      <c r="C357" s="31">
        <v>615</v>
      </c>
      <c r="D357" s="31">
        <v>1239</v>
      </c>
      <c r="E357" s="31">
        <v>1333</v>
      </c>
      <c r="F357" s="31">
        <v>341</v>
      </c>
      <c r="G357" s="31">
        <v>1212</v>
      </c>
      <c r="H357" s="12"/>
      <c r="I357" s="12"/>
      <c r="J357" s="7"/>
      <c r="K357" s="7"/>
    </row>
    <row r="358">
      <c r="A358" s="7"/>
      <c r="B358" s="1" t="s">
        <v>411</v>
      </c>
      <c r="C358" s="31">
        <v>1558</v>
      </c>
      <c r="D358" s="31">
        <v>2579</v>
      </c>
      <c r="E358" s="31">
        <v>3289</v>
      </c>
      <c r="F358" s="31">
        <v>827</v>
      </c>
      <c r="G358" s="31">
        <v>1654</v>
      </c>
      <c r="H358" s="12"/>
      <c r="I358" s="12"/>
      <c r="J358" s="7"/>
      <c r="K358" s="7"/>
    </row>
    <row r="359">
      <c r="A359" s="7"/>
      <c r="B359" s="1" t="s">
        <v>412</v>
      </c>
      <c r="C359" s="31">
        <v>-3987</v>
      </c>
      <c r="D359" s="31">
        <v>-5949</v>
      </c>
      <c r="E359" s="31">
        <v>-7262</v>
      </c>
      <c r="F359" s="31">
        <v>-1079</v>
      </c>
      <c r="G359" s="31">
        <v>-2911</v>
      </c>
      <c r="H359" s="12"/>
      <c r="I359" s="12"/>
      <c r="J359" s="7"/>
      <c r="K359" s="7"/>
    </row>
    <row r="360">
      <c r="A360" s="7"/>
      <c r="B360" s="1" t="s">
        <v>413</v>
      </c>
      <c r="C360" s="31">
        <v>3</v>
      </c>
      <c r="D360" s="31">
        <v>4</v>
      </c>
      <c r="E360" s="31">
        <v>5</v>
      </c>
      <c r="F360" s="31">
        <v>6</v>
      </c>
      <c r="G360" s="31">
        <v>7</v>
      </c>
      <c r="H360" s="12"/>
      <c r="I360" s="12"/>
      <c r="J360" s="7"/>
      <c r="K360" s="7"/>
    </row>
    <row r="361">
      <c r="A361" s="7"/>
      <c r="B361" s="1" t="s">
        <v>414</v>
      </c>
      <c r="C361" s="31">
        <v>190</v>
      </c>
      <c r="D361" s="31">
        <v>470</v>
      </c>
      <c r="E361" s="31">
        <v>755</v>
      </c>
      <c r="F361" s="31">
        <v>38</v>
      </c>
      <c r="G361" s="31">
        <v>110</v>
      </c>
      <c r="H361" s="12"/>
      <c r="I361" s="12"/>
      <c r="J361" s="7"/>
      <c r="K361" s="7"/>
    </row>
    <row r="362">
      <c r="A362" s="7"/>
      <c r="B362" s="1" t="s">
        <v>415</v>
      </c>
      <c r="C362" s="31">
        <v>-187</v>
      </c>
      <c r="D362" s="31">
        <v>-307</v>
      </c>
      <c r="E362" s="31">
        <v>-370</v>
      </c>
      <c r="F362" s="31">
        <v>-76</v>
      </c>
      <c r="G362" s="31">
        <v>-137</v>
      </c>
      <c r="H362" s="12"/>
      <c r="I362" s="12"/>
      <c r="J362" s="7"/>
      <c r="K362" s="7"/>
    </row>
    <row r="363">
      <c r="A363" s="7"/>
      <c r="B363" s="1" t="s">
        <v>416</v>
      </c>
      <c r="C363" s="31">
        <v>-274</v>
      </c>
      <c r="D363" s="31">
        <v>56</v>
      </c>
      <c r="E363" s="31">
        <v>333</v>
      </c>
      <c r="F363" s="31">
        <v>-2364</v>
      </c>
      <c r="G363" s="31">
        <v>-3733</v>
      </c>
      <c r="H363" s="12"/>
      <c r="I363" s="12"/>
      <c r="J363" s="7"/>
      <c r="K363" s="7"/>
    </row>
    <row r="364">
      <c r="A364" s="7"/>
      <c r="B364" s="1" t="s">
        <v>417</v>
      </c>
      <c r="C364" s="31">
        <v>-19</v>
      </c>
      <c r="D364" s="31">
        <v>-27</v>
      </c>
      <c r="E364" s="31">
        <v>-30</v>
      </c>
      <c r="F364" s="31">
        <v>-4</v>
      </c>
      <c r="G364" s="31">
        <v>-17</v>
      </c>
      <c r="H364" s="12"/>
      <c r="I364" s="12"/>
      <c r="J364" s="7"/>
      <c r="K364" s="7"/>
    </row>
    <row r="365">
      <c r="A365" s="7"/>
      <c r="B365" s="1" t="s">
        <v>418</v>
      </c>
      <c r="C365" s="31">
        <v>-169</v>
      </c>
      <c r="D365" s="31">
        <v>-200</v>
      </c>
      <c r="E365" s="31">
        <v>-155</v>
      </c>
      <c r="F365" s="31">
        <v>-62</v>
      </c>
      <c r="G365" s="31">
        <v>-124</v>
      </c>
      <c r="H365" s="12"/>
      <c r="I365" s="12"/>
      <c r="J365" s="7"/>
      <c r="K365" s="7"/>
    </row>
    <row r="366">
      <c r="A366" s="7"/>
      <c r="B366" s="1" t="s">
        <v>421</v>
      </c>
      <c r="C366" s="31">
        <v>3316</v>
      </c>
      <c r="D366" s="31">
        <v>2731</v>
      </c>
      <c r="E366" s="31">
        <v>3525</v>
      </c>
      <c r="F366" s="31">
        <v>752</v>
      </c>
      <c r="G366" s="31">
        <v>-418</v>
      </c>
      <c r="H366" s="12"/>
      <c r="I366" s="12"/>
      <c r="J366" s="7"/>
      <c r="K366" s="7"/>
    </row>
    <row r="367">
      <c r="A367" s="7"/>
      <c r="B367" s="1" t="s">
        <v>422</v>
      </c>
      <c r="C367" s="31">
        <v>-500</v>
      </c>
      <c r="D367" s="31">
        <v>800</v>
      </c>
      <c r="E367" s="31">
        <v>250</v>
      </c>
      <c r="F367" s="31">
        <v>2450</v>
      </c>
      <c r="G367" s="31">
        <v>2250</v>
      </c>
      <c r="H367" s="12"/>
      <c r="I367" s="12"/>
      <c r="J367" s="7"/>
      <c r="K367" s="7"/>
    </row>
    <row r="368">
      <c r="A368" s="7"/>
      <c r="B368" s="1" t="s">
        <v>423</v>
      </c>
      <c r="C368" s="31">
        <v>0</v>
      </c>
      <c r="D368" s="31">
        <v>0</v>
      </c>
      <c r="E368" s="31">
        <v>0</v>
      </c>
      <c r="F368" s="31">
        <v>0</v>
      </c>
      <c r="G368" s="31">
        <v>1499</v>
      </c>
      <c r="H368" s="12"/>
      <c r="I368" s="12"/>
      <c r="J368" s="7"/>
      <c r="K368" s="7"/>
    </row>
    <row r="369">
      <c r="A369" s="7"/>
      <c r="B369" s="1" t="s">
        <v>424</v>
      </c>
      <c r="C369" s="31">
        <v>-750</v>
      </c>
      <c r="D369" s="31">
        <v>-1250</v>
      </c>
      <c r="E369" s="31">
        <v>-1900</v>
      </c>
      <c r="F369" s="31">
        <v>-1000</v>
      </c>
      <c r="G369" s="31">
        <v>-1000</v>
      </c>
      <c r="H369" s="12"/>
      <c r="I369" s="12"/>
      <c r="J369" s="7"/>
      <c r="K369" s="7"/>
    </row>
    <row r="370">
      <c r="A370" s="7"/>
      <c r="B370" s="1" t="s">
        <v>425</v>
      </c>
      <c r="C370" s="31">
        <v>-453</v>
      </c>
      <c r="D370" s="31">
        <v>-677</v>
      </c>
      <c r="E370" s="31">
        <v>-912</v>
      </c>
      <c r="F370" s="31">
        <v>-230</v>
      </c>
      <c r="G370" s="31">
        <v>-458</v>
      </c>
      <c r="H370" s="12"/>
      <c r="I370" s="12"/>
      <c r="J370" s="7"/>
      <c r="K370" s="7"/>
    </row>
    <row r="371">
      <c r="A371" s="7"/>
      <c r="B371" s="1" t="s">
        <v>427</v>
      </c>
      <c r="C371" s="31">
        <v>-50</v>
      </c>
      <c r="D371" s="31">
        <v>-71</v>
      </c>
      <c r="E371" s="31">
        <v>-91</v>
      </c>
      <c r="F371" s="31">
        <v>-20</v>
      </c>
      <c r="G371" s="31">
        <v>-41</v>
      </c>
      <c r="H371" s="12"/>
      <c r="I371" s="12"/>
      <c r="J371" s="7"/>
      <c r="K371" s="7"/>
    </row>
    <row r="372">
      <c r="A372" s="7"/>
      <c r="B372" s="1" t="s">
        <v>428</v>
      </c>
      <c r="C372" s="31">
        <v>-350</v>
      </c>
      <c r="D372" s="31">
        <v>-350</v>
      </c>
      <c r="E372" s="31">
        <v>-350</v>
      </c>
      <c r="F372" s="31">
        <v>0</v>
      </c>
      <c r="G372" s="31">
        <v>0</v>
      </c>
      <c r="H372" s="12"/>
      <c r="I372" s="12"/>
      <c r="J372" s="7"/>
      <c r="K372" s="7"/>
    </row>
    <row r="373">
      <c r="A373" s="7"/>
      <c r="B373" s="1" t="s">
        <v>429</v>
      </c>
      <c r="C373" s="31">
        <v>-386</v>
      </c>
      <c r="D373" s="31">
        <v>-637</v>
      </c>
      <c r="E373" s="31">
        <v>-1067</v>
      </c>
      <c r="F373" s="31">
        <v>-401</v>
      </c>
      <c r="G373" s="31">
        <v>-460</v>
      </c>
      <c r="H373" s="12"/>
      <c r="I373" s="12"/>
      <c r="J373" s="7"/>
      <c r="K373" s="7"/>
    </row>
    <row r="374">
      <c r="A374" s="7"/>
      <c r="B374" s="1" t="s">
        <v>430</v>
      </c>
      <c r="C374" s="31">
        <v>-21</v>
      </c>
      <c r="D374" s="31">
        <v>-23</v>
      </c>
      <c r="E374" s="31">
        <v>-23</v>
      </c>
      <c r="F374" s="31">
        <v>-2</v>
      </c>
      <c r="G374" s="31">
        <v>-25</v>
      </c>
      <c r="H374" s="12"/>
      <c r="I374" s="12"/>
      <c r="J374" s="7"/>
      <c r="K374" s="7"/>
    </row>
    <row r="375">
      <c r="A375" s="7"/>
      <c r="B375" s="1" t="s">
        <v>431</v>
      </c>
      <c r="C375" s="31">
        <v>0</v>
      </c>
      <c r="D375" s="31">
        <v>0</v>
      </c>
      <c r="E375" s="31">
        <v>0</v>
      </c>
      <c r="F375" s="31">
        <v>0</v>
      </c>
      <c r="G375" s="31">
        <v>-4</v>
      </c>
      <c r="H375" s="12"/>
      <c r="I375" s="12"/>
      <c r="J375" s="7"/>
      <c r="K375" s="7"/>
    </row>
    <row r="376">
      <c r="A376" s="7"/>
      <c r="B376" s="34" t="s">
        <v>1030</v>
      </c>
      <c r="C376" s="72">
        <v>1639</v>
      </c>
      <c r="D376" s="72">
        <v>2500</v>
      </c>
      <c r="E376" s="72">
        <v>2181</v>
      </c>
      <c r="F376" s="72">
        <v>867</v>
      </c>
      <c r="G376" s="72">
        <v>1236</v>
      </c>
      <c r="H376" s="35"/>
      <c r="I376" s="35"/>
      <c r="J376" s="7"/>
      <c r="K376" s="7"/>
    </row>
    <row r="377">
      <c r="A377" s="7"/>
      <c r="B377" s="34" t="s">
        <v>1031</v>
      </c>
      <c r="C377" s="72">
        <v>-1982</v>
      </c>
      <c r="D377" s="72">
        <v>-1636</v>
      </c>
      <c r="E377" s="72">
        <v>-1418</v>
      </c>
      <c r="F377" s="72">
        <v>-2180</v>
      </c>
      <c r="G377" s="72">
        <v>-3560</v>
      </c>
      <c r="H377" s="35"/>
      <c r="I377" s="35"/>
      <c r="J377" s="7"/>
      <c r="K377" s="7"/>
    </row>
    <row r="378">
      <c r="A378" s="7"/>
      <c r="B378" s="34" t="s">
        <v>1032</v>
      </c>
      <c r="C378" s="72">
        <v>806</v>
      </c>
      <c r="D378" s="72">
        <v>523</v>
      </c>
      <c r="E378" s="72">
        <v>-568</v>
      </c>
      <c r="F378" s="72">
        <v>1549</v>
      </c>
      <c r="G378" s="72">
        <v>1343</v>
      </c>
      <c r="H378" s="35"/>
      <c r="I378" s="35"/>
      <c r="J378" s="7"/>
      <c r="K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>
      <c r="A380" s="7"/>
      <c r="B380" s="34" t="s">
        <v>1033</v>
      </c>
      <c r="C380" s="9"/>
      <c r="D380" s="9"/>
      <c r="E380" s="9"/>
      <c r="F380" s="9"/>
      <c r="G380" s="9"/>
      <c r="H380" s="9"/>
      <c r="I380" s="9"/>
      <c r="J380" s="7"/>
      <c r="K380" s="7"/>
    </row>
    <row r="381">
      <c r="A381" s="7"/>
      <c r="B381" s="1" t="s">
        <v>1034</v>
      </c>
      <c r="C381" s="31">
        <v>11175</v>
      </c>
      <c r="D381" s="12"/>
      <c r="E381" s="12"/>
      <c r="F381" s="12"/>
      <c r="G381" s="12"/>
      <c r="H381" s="12"/>
      <c r="I381" s="12"/>
      <c r="J381" s="7"/>
      <c r="K381" s="7"/>
    </row>
    <row r="382">
      <c r="A382" s="7"/>
      <c r="B382" s="1" t="s">
        <v>1035</v>
      </c>
      <c r="C382" s="31">
        <v>10712</v>
      </c>
      <c r="D382" s="12"/>
      <c r="E382" s="12"/>
      <c r="F382" s="12"/>
      <c r="G382" s="12"/>
      <c r="H382" s="12"/>
      <c r="I382" s="12"/>
      <c r="J382" s="7"/>
      <c r="K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</sheetData>
  <mergeCells count="2">
    <mergeCell ref="D119:K119"/>
    <mergeCell ref="D117:K117"/>
  </mergeCells>
  <legacyDrawing r:id="rId2"/>
</worksheet>
</file>