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Investor Services" sheetId="3" r:id="rId4"/>
    <sheet name="Segment - Advisor Services" sheetId="4" r:id="rId5"/>
    <sheet name="Income Statement" sheetId="5" r:id="rId6"/>
    <sheet name="Balance Sheet" sheetId="6" r:id="rId7"/>
    <sheet name="Cash Flow Statement" sheetId="7" r:id="rId8"/>
    <sheet name="Share Count" sheetId="8" r:id="rId9"/>
    <sheet name="Guidance" sheetId="9" r:id="rId10"/>
    <sheet name="Inputs" sheetId="10" r:id="rId11"/>
    <sheet name="Sources" sheetId="11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24" authorId="0">
      <text>
        <t>Consensus = CapIQ net_income_excl_excep_m (consistent with $1.66 × ~1,736m shares).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5" authorId="0">
      <text>
        <t>Forge (closed 2026-03-02) is assigned to Investor Services; 3Q25 base had no Forge revenue.</t>
      </text>
    </comment>
    <comment ref="B16" authorId="0">
      <text>
        <t>FX not separately disclosed: Schwab reports in USD with effectively all-US revenue (10-K), so FX impact is entered explicitly as 0.0% by construction (not a missing value).</t>
      </text>
    </comment>
    <comment ref="B17" authorId="0">
      <text>
        <t>Organic = (1+Y/Y)/((1+M&amp;A)*(1+FX))-1.</t>
      </text>
    </comment>
    <comment ref="B23" authorId="0">
      <text>
        <t>No acquisition in Advisor Services in the period (Forge goodwill assigned to Investor Services, 2Q26 10-Q); 0.0% M&amp;A.</t>
      </text>
    </comment>
    <comment ref="B24" authorId="0">
      <text>
        <t>FX not separately disclosed: Schwab reports in USD with effectively all-US revenue (10-K), so FX impact is entered explicitly as 0.0% by construction (not a missing value).</t>
      </text>
    </comment>
    <comment ref="B25" authorId="0">
      <text>
        <t>Organic = (1+Y/Y)/((1+M&amp;A)*(1+FX))-1.</t>
      </text>
    </comment>
    <comment ref="B30" authorId="0">
      <text>
        <t>Forge revenue (2Q26 $40m disclosed in 10-Q; 3Q26E assumption) over 3Q25 base.</t>
      </text>
    </comment>
    <comment ref="B31" authorId="0">
      <text>
        <t>FX not separately disclosed: Schwab reports in USD with effectively all-US revenue (10-K), so FX impact is entered explicitly as 0.0% by construction (not a missing value).</t>
      </text>
    </comment>
    <comment ref="B32" authorId="0">
      <text>
        <t>Organic = (1+Y/Y)/((1+M&amp;A)*(1+FX))-1.</t>
      </text>
    </comment>
    <comment ref="B37" authorId="0">
      <text>
        <t>3Q26E: assumption informed by Jul/Aug monthly avg IEA ($449.9bn/$453.0bn) and EOP June balances.</t>
      </text>
    </comment>
    <comment ref="B80" authorId="0">
      <text>
        <t>Model allocates all Forge revenue to Other revenue (line-level split not disclosed); M&amp;A contribution to this line is 0.0% by model construction.</t>
      </text>
    </comment>
    <comment ref="B81" authorId="0">
      <text>
        <t>FX not separately disclosed: Schwab reports in USD with effectively all-US revenue (10-K), so FX impact is entered explicitly as 0.0% by construction (not a missing value).</t>
      </text>
    </comment>
    <comment ref="B82" authorId="0">
      <text>
        <t>Organic = (1+Y/Y)/((1+M&amp;A)*(1+FX))-1.</t>
      </text>
    </comment>
    <comment ref="B87" authorId="0">
      <text>
        <t>Model allocates all Forge revenue to Other revenue (line-level split not disclosed); M&amp;A contribution to this line is 0.0% by model construction.</t>
      </text>
    </comment>
    <comment ref="B88" authorId="0">
      <text>
        <t>FX not separately disclosed: Schwab reports in USD with effectively all-US revenue (10-K), so FX impact is entered explicitly as 0.0% by construction (not a missing value).</t>
      </text>
    </comment>
    <comment ref="B89" authorId="0">
      <text>
        <t>Organic = (1+Y/Y)/((1+M&amp;A)*(1+FX))-1.</t>
      </text>
    </comment>
    <comment ref="B94" authorId="0">
      <text>
        <t>Model allocates all Forge revenue to Other revenue (line-level split not disclosed); M&amp;A contribution to this line is 0.0% by model construction.</t>
      </text>
    </comment>
    <comment ref="B95" authorId="0">
      <text>
        <t>FX not separately disclosed: Schwab reports in USD with effectively all-US revenue (10-K), so FX impact is entered explicitly as 0.0% by construction (not a missing value).</t>
      </text>
    </comment>
    <comment ref="B96" authorId="0">
      <text>
        <t>Organic = (1+Y/Y)/((1+M&amp;A)*(1+FX))-1.</t>
      </text>
    </comment>
    <comment ref="B101" authorId="0">
      <text>
        <t>Model allocates all Forge revenue to Other revenue (line-level split not disclosed); M&amp;A contribution to this line is 0.0% by model construction.</t>
      </text>
    </comment>
    <comment ref="B102" authorId="0">
      <text>
        <t>FX not separately disclosed: Schwab reports in USD with effectively all-US revenue (10-K), so FX impact is entered explicitly as 0.0% by construction (not a missing value).</t>
      </text>
    </comment>
    <comment ref="B103" authorId="0">
      <text>
        <t>Organic = (1+Y/Y)/((1+M&amp;A)*(1+FX))-1.</t>
      </text>
    </comment>
    <comment ref="B108" authorId="0">
      <text>
        <t>Model allocates all Forge revenue to Other revenue (line-level split not disclosed); M&amp;A contribution to this line is 0.0% by model construction.</t>
      </text>
    </comment>
    <comment ref="B109" authorId="0">
      <text>
        <t>FX not separately disclosed: Schwab reports in USD with effectively all-US revenue (10-K), so FX impact is entered explicitly as 0.0% by construction (not a missing value).</t>
      </text>
    </comment>
    <comment ref="B110" authorId="0">
      <text>
        <t>Organic = (1+Y/Y)/((1+M&amp;A)*(1+FX))-1.</t>
      </text>
    </comment>
    <comment ref="B115" authorId="0">
      <text>
        <t>Model allocates all Forge revenue to Other revenue (line-level split not disclosed); M&amp;A contribution to this line is 0.0% by model construction.</t>
      </text>
    </comment>
    <comment ref="B116" authorId="0">
      <text>
        <t>FX not separately disclosed: Schwab reports in USD with effectively all-US revenue (10-K), so FX impact is entered explicitly as 0.0% by construction (not a missing value).</t>
      </text>
    </comment>
    <comment ref="B117" authorId="0">
      <text>
        <t>Organic = (1+Y/Y)/((1+M&amp;A)*(1+FX))-1.</t>
      </text>
    </comment>
    <comment ref="B122" authorId="0">
      <text>
        <t>Model allocates all Forge revenue to Other revenue (line-level split not disclosed); M&amp;A contribution to this line is 0.0% by model construction.</t>
      </text>
    </comment>
    <comment ref="B123" authorId="0">
      <text>
        <t>FX not separately disclosed: Schwab reports in USD with effectively all-US revenue (10-K), so FX impact is entered explicitly as 0.0% by construction (not a missing value).</t>
      </text>
    </comment>
    <comment ref="B124" authorId="0">
      <text>
        <t>Organic = (1+Y/Y)/((1+M&amp;A)*(1+FX))-1.</t>
      </text>
    </comment>
    <comment ref="B125" authorId="0">
      <text>
        <t>3Q26E: assumption; mgmt (2Q26 call) said sec lending not expected to contribute meaningfully to 2H NIM; 2Q26 boosted by hard-to-borrow activity.</t>
      </text>
    </comment>
    <comment ref="B129" authorId="0">
      <text>
        <t>Model allocates all Forge revenue to Other revenue (line-level split not disclosed); M&amp;A contribution to this line is 0.0% by model construction.</t>
      </text>
    </comment>
    <comment ref="B130" authorId="0">
      <text>
        <t>FX not separately disclosed: Schwab reports in USD with effectively all-US revenue (10-K), so FX impact is entered explicitly as 0.0% by construction (not a missing value).</t>
      </text>
    </comment>
    <comment ref="B131" authorId="0">
      <text>
        <t>Organic = (1+Y/Y)/((1+M&amp;A)*(1+FX))-1.</t>
      </text>
    </comment>
    <comment ref="B132" authorId="0">
      <text>
        <t>Disclosed: 4Q25 $7.2bn, 2Q26 $33.1bn (1Q26 only 6M avg $23.7bn disclosed). 3Q26E from L/S margin $46.2bn (Jul) / $53.7bn (Aug).</t>
      </text>
    </comment>
    <comment ref="B138" authorId="0">
      <text>
        <t>3Q25 is pre-reclassification (L/S revenue then in receivables interest).</t>
      </text>
    </comment>
    <comment ref="B141" authorId="0">
      <text>
        <t>3Q25 base is pre-reclassification (long/short revenue then in receivables interest); growth not meaningful.</t>
      </text>
    </comment>
    <comment ref="B142" authorId="0">
      <text>
        <t>Model allocates all Forge revenue to Other revenue (line-level split not disclosed); M&amp;A contribution to this line is 0.0% by model construction.</t>
      </text>
    </comment>
    <comment ref="B143" authorId="0">
      <text>
        <t>FX not separately disclosed: Schwab reports in USD with effectively all-US revenue (10-K), so FX impact is entered explicitly as 0.0% by construction (not a missing value).</t>
      </text>
    </comment>
    <comment ref="B149" authorId="0">
      <text>
        <t>Model allocates all Forge revenue to Other revenue (line-level split not disclosed); M&amp;A contribution to this line is 0.0% by model construction.</t>
      </text>
    </comment>
    <comment ref="B150" authorId="0">
      <text>
        <t>FX not separately disclosed: Schwab reports in USD with effectively all-US revenue (10-K), so FX impact is entered explicitly as 0.0% by construction (not a missing value).</t>
      </text>
    </comment>
    <comment ref="B151" authorId="0">
      <text>
        <t>Organic = (1+Y/Y)/((1+M&amp;A)*(1+FX))-1.</t>
      </text>
    </comment>
    <comment ref="B215" authorId="0">
      <text>
        <t>Disclosed: 4Q25 $7.4bn, 2Q26 $34.3bn. 3Q26E from L/S short credits $48.0bn (Jul) / $55.8bn (Aug).</t>
      </text>
    </comment>
    <comment ref="B231" authorId="0">
      <text>
        <t>Model allocates all Forge revenue to Other revenue (line-level split not disclosed); M&amp;A contribution to this line is 0.0% by model construction.</t>
      </text>
    </comment>
    <comment ref="B232" authorId="0">
      <text>
        <t>FX not separately disclosed: Schwab reports in USD with effectively all-US revenue (10-K), so FX impact is entered explicitly as 0.0% by construction (not a missing value).</t>
      </text>
    </comment>
    <comment ref="B233" authorId="0">
      <text>
        <t>Organic = (1+Y/Y)/((1+M&amp;A)*(1+FX))-1.</t>
      </text>
    </comment>
    <comment ref="B237" authorId="0">
      <text>
        <t>3Q25 2.86% as originally reported (4Q25 release: L/S reclass adds +0.02%). 3Q26E scales calc NIM by the 2Q26 reported/calc ratio.</t>
      </text>
    </comment>
    <comment ref="B254" authorId="0">
      <text>
        <t>3Q25/4Q25/FY25 exclude alternatives (moved from other balance-based fees in 1Q26).</t>
      </text>
    </comment>
    <comment ref="B262" authorId="0">
      <text>
        <t>3Q25/4Q25/FY25 exclude alternatives (moved from other balance-based fees in 1Q26).</t>
      </text>
    </comment>
    <comment ref="B266" authorId="0">
      <text>
        <t>Non-fee-based managed assets earn no AMA revenue.</t>
      </text>
    </comment>
    <comment ref="B292" authorId="0">
      <text>
        <t>Model allocates all Forge revenue to Other revenue (line-level split not disclosed); M&amp;A contribution to this line is 0.0% by model construction.</t>
      </text>
    </comment>
    <comment ref="B293" authorId="0">
      <text>
        <t>FX not separately disclosed: Schwab reports in USD with effectively all-US revenue (10-K), so FX impact is entered explicitly as 0.0% by construction (not a missing value).</t>
      </text>
    </comment>
    <comment ref="B294" authorId="0">
      <text>
        <t>Organic = (1+Y/Y)/((1+M&amp;A)*(1+FX))-1.</t>
      </text>
    </comment>
    <comment ref="B299" authorId="0">
      <text>
        <t>Model allocates all Forge revenue to Other revenue (line-level split not disclosed); M&amp;A contribution to this line is 0.0% by model construction.</t>
      </text>
    </comment>
    <comment ref="B300" authorId="0">
      <text>
        <t>FX not separately disclosed: Schwab reports in USD with effectively all-US revenue (10-K), so FX impact is entered explicitly as 0.0% by construction (not a missing value).</t>
      </text>
    </comment>
    <comment ref="B301" authorId="0">
      <text>
        <t>Organic = (1+Y/Y)/((1+M&amp;A)*(1+FX))-1.</t>
      </text>
    </comment>
    <comment ref="B306" authorId="0">
      <text>
        <t>Model allocates all Forge revenue to Other revenue (line-level split not disclosed); M&amp;A contribution to this line is 0.0% by model construction.</t>
      </text>
    </comment>
    <comment ref="B307" authorId="0">
      <text>
        <t>FX not separately disclosed: Schwab reports in USD with effectively all-US revenue (10-K), so FX impact is entered explicitly as 0.0% by construction (not a missing value).</t>
      </text>
    </comment>
    <comment ref="B308" authorId="0">
      <text>
        <t>Organic = (1+Y/Y)/((1+M&amp;A)*(1+FX))-1.</t>
      </text>
    </comment>
    <comment ref="B313" authorId="0">
      <text>
        <t>Model allocates all Forge revenue to Other revenue (line-level split not disclosed); M&amp;A contribution to this line is 0.0% by model construction.</t>
      </text>
    </comment>
    <comment ref="B314" authorId="0">
      <text>
        <t>FX not separately disclosed: Schwab reports in USD with effectively all-US revenue (10-K), so FX impact is entered explicitly as 0.0% by construction (not a missing value).</t>
      </text>
    </comment>
    <comment ref="B315" authorId="0">
      <text>
        <t>Organic = (1+Y/Y)/((1+M&amp;A)*(1+FX))-1.</t>
      </text>
    </comment>
    <comment ref="B320" authorId="0">
      <text>
        <t>Model allocates all Forge revenue to Other revenue (line-level split not disclosed); M&amp;A contribution to this line is 0.0% by model construction.</t>
      </text>
    </comment>
    <comment ref="B321" authorId="0">
      <text>
        <t>FX not separately disclosed: Schwab reports in USD with effectively all-US revenue (10-K), so FX impact is entered explicitly as 0.0% by construction (not a missing value).</t>
      </text>
    </comment>
    <comment ref="B322" authorId="0">
      <text>
        <t>Organic = (1+Y/Y)/((1+M&amp;A)*(1+FX))-1.</t>
      </text>
    </comment>
    <comment ref="B327" authorId="0">
      <text>
        <t>Model allocates all Forge revenue to Other revenue (line-level split not disclosed); M&amp;A contribution to this line is 0.0% by model construction.</t>
      </text>
    </comment>
    <comment ref="B328" authorId="0">
      <text>
        <t>FX not separately disclosed: Schwab reports in USD with effectively all-US revenue (10-K), so FX impact is entered explicitly as 0.0% by construction (not a missing value).</t>
      </text>
    </comment>
    <comment ref="B329" authorId="0">
      <text>
        <t>Organic = (1+Y/Y)/((1+M&amp;A)*(1+FX))-1.</t>
      </text>
    </comment>
    <comment ref="B334" authorId="0">
      <text>
        <t>Model allocates all Forge revenue to Other revenue (line-level split not disclosed); M&amp;A contribution to this line is 0.0% by model construction.</t>
      </text>
    </comment>
    <comment ref="B335" authorId="0">
      <text>
        <t>FX not separately disclosed: Schwab reports in USD with effectively all-US revenue (10-K), so FX impact is entered explicitly as 0.0% by construction (not a missing value).</t>
      </text>
    </comment>
    <comment ref="B336" authorId="0">
      <text>
        <t>Organic = (1+Y/Y)/((1+M&amp;A)*(1+FX))-1.</t>
      </text>
    </comment>
    <comment ref="B341" authorId="0">
      <text>
        <t>Model allocates all Forge revenue to Other revenue (line-level split not disclosed); M&amp;A contribution to this line is 0.0% by model construction.</t>
      </text>
    </comment>
    <comment ref="B342" authorId="0">
      <text>
        <t>FX not separately disclosed: Schwab reports in USD with effectively all-US revenue (10-K), so FX impact is entered explicitly as 0.0% by construction (not a missing value).</t>
      </text>
    </comment>
    <comment ref="B343" authorId="0">
      <text>
        <t>Organic = (1+Y/Y)/((1+M&amp;A)*(1+FX))-1.</t>
      </text>
    </comment>
    <comment ref="B348" authorId="0">
      <text>
        <t>Model allocates all Forge revenue to Other revenue (line-level split not disclosed); M&amp;A contribution to this line is 0.0% by model construction.</t>
      </text>
    </comment>
    <comment ref="B349" authorId="0">
      <text>
        <t>FX not separately disclosed: Schwab reports in USD with effectively all-US revenue (10-K), so FX impact is entered explicitly as 0.0% by construction (not a missing value).</t>
      </text>
    </comment>
    <comment ref="B350" authorId="0">
      <text>
        <t>Organic = (1+Y/Y)/((1+M&amp;A)*(1+FX))-1.</t>
      </text>
    </comment>
    <comment ref="B355" authorId="0">
      <text>
        <t>Estimate: IBKR Sept DARTs −4% M/M (Oct 1); Robinhood Sept 1–24 equity/options ADV level with August; Schwab STAX rose to 58.92 in Sept.</t>
      </text>
    </comment>
    <comment ref="B358" authorId="0">
      <text>
        <t>22 weekdays less Labor Day (Sept 7).</t>
      </text>
    </comment>
    <comment ref="B368" authorId="0">
      <text>
        <t>Monthly activity reports: Jul-26 20.6%, Aug-26 24.2%; Sept estimate below.</t>
      </text>
    </comment>
    <comment ref="B374" authorId="0">
      <text>
        <t>3Q26E assumption: mgmt guided RPT to rise modestly from 2Q26 ($1.64) as volume moderates; derivative mix up 2–4pts.</t>
      </text>
    </comment>
    <comment ref="B381" authorId="0">
      <text>
        <t>Model allocates all Forge revenue to Other revenue (line-level split not disclosed); M&amp;A contribution to this line is 0.0% by model construction.</t>
      </text>
    </comment>
    <comment ref="B382" authorId="0">
      <text>
        <t>FX not separately disclosed: Schwab reports in USD with effectively all-US revenue (10-K), so FX impact is entered explicitly as 0.0% by construction (not a missing value).</t>
      </text>
    </comment>
    <comment ref="B383" authorId="0">
      <text>
        <t>Organic = (1+Y/Y)/((1+M&amp;A)*(1+FX))-1.</t>
      </text>
    </comment>
    <comment ref="B387" authorId="0">
      <text>
        <t>3Q26E: continued run-off (−$2.9bn/qtr in 1H26; $3.0bn moved on balance sheet 1H26).</t>
      </text>
    </comment>
    <comment ref="B395" authorId="0">
      <text>
        <t>Yield rose 38bp in 1Q26 and 26bp in 2Q26 as fixed-rate IDA tranches repriced; 3Q26E assumes a smaller +12bp step.</t>
      </text>
    </comment>
    <comment ref="B400" authorId="0">
      <text>
        <t>Model allocates all Forge revenue to Other revenue (line-level split not disclosed); M&amp;A contribution to this line is 0.0% by model construction.</t>
      </text>
    </comment>
    <comment ref="B401" authorId="0">
      <text>
        <t>FX not separately disclosed: Schwab reports in USD with effectively all-US revenue (10-K), so FX impact is entered explicitly as 0.0% by construction (not a missing value).</t>
      </text>
    </comment>
    <comment ref="B402" authorId="0">
      <text>
        <t>Organic = (1+Y/Y)/((1+M&amp;A)*(1+FX))-1.</t>
      </text>
    </comment>
    <comment ref="B405" authorId="0">
      <text>
        <t>2Q26 10-Q: Forge revenue $40m (3M) and $54m (Mar 2–Jun 30) → 1Q26 $14m. 3Q26E assumption $45m.</t>
      </text>
    </comment>
    <comment ref="B409" authorId="0">
      <text>
        <t>Forge acquired 2-Mar-26: all of its revenue is acquisition scope versus 3Q25.</t>
      </text>
    </comment>
    <comment ref="B410" authorId="0">
      <text>
        <t>FX not separately disclosed: Schwab reports in USD with effectively all-US revenue (10-K), so FX impact is entered explicitly as 0.0% by construction (not a missing value).</t>
      </text>
    </comment>
    <comment ref="B411" authorId="0">
      <text>
        <t>No year-ago base (pre-acquisition); organic growth not meaningful.</t>
      </text>
    </comment>
    <comment ref="B412" authorId="0">
      <text>
        <t>3Q26E assumption: 2Q26 seasonal high (proxy/industry fees, equity-investment gains) reverses; 3Q25 ex-Forge was $170m.</t>
      </text>
    </comment>
    <comment ref="B416" authorId="0">
      <text>
        <t>Model allocates all Forge revenue to Other revenue (line-level split not disclosed); M&amp;A contribution to this line is 0.0% by model construction.</t>
      </text>
    </comment>
    <comment ref="B417" authorId="0">
      <text>
        <t>FX not separately disclosed: Schwab reports in USD with effectively all-US revenue (10-K), so FX impact is entered explicitly as 0.0% by construction (not a missing value).</t>
      </text>
    </comment>
    <comment ref="B418" authorId="0">
      <text>
        <t>Organic = (1+Y/Y)/((1+M&amp;A)*(1+FX))-1.</t>
      </text>
    </comment>
    <comment ref="B423" authorId="0">
      <text>
        <t>Forge revenue modelled in Other revenue; 3Q25 base had none.</t>
      </text>
    </comment>
    <comment ref="B424" authorId="0">
      <text>
        <t>FX not separately disclosed: Schwab reports in USD with effectively all-US revenue (10-K), so FX impact is entered explicitly as 0.0% by construction (not a missing value).</t>
      </text>
    </comment>
    <comment ref="B425" authorId="0">
      <text>
        <t>Organic = (1+Y/Y)/((1+M&amp;A)*(1+FX))-1.</t>
      </text>
    </comment>
    <comment ref="B452" authorId="0">
      <text>
        <t>BofA (Oct 5) est. ~$80bn Sept; we haircut to $70bn.</t>
      </text>
    </comment>
    <comment ref="B458" authorId="0">
      <text>
        <t>S&amp;P 500 −0.45%, Dow −4.3%, Nasdaq +1.9% in September 2026.</t>
      </text>
    </comment>
    <comment ref="B465" authorId="0">
      <text>
        <t>3Q26E: July and August reported core NNA plus September estimate (Sept NNA assumed all core).</t>
      </text>
    </comment>
    <comment ref="B486" authorId="0">
      <text>
        <t>3Q26E: 40,090k at Aug-26 (reported) plus ~150k September net adds.</t>
      </text>
    </comment>
    <comment ref="B501" authorId="0">
      <text>
        <t>3Q26E: 2,407k at Aug-26 plus September estimate.</t>
      </text>
    </comment>
    <comment ref="B507" authorId="0">
      <text>
        <t>Aug-26 reported $177.6bn; Sept estimate.</t>
      </text>
    </comment>
    <comment ref="B510" authorId="0">
      <text>
        <t>Aug-26 reported $483.3bn; Sept estimate.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4" authorId="0">
      <text>
        <t>3Q26E assumption: Investor Services share of NNA (39% 3Q25, 38% 4Q25, 39% 1Q26, 32% 2Q26).</t>
      </text>
    </comment>
    <comment ref="B17" authorId="0">
      <text>
        <t>History derived as closing − opening − NNA; 3Q26E allocates company market gains pro rata to opening assets.</t>
      </text>
    </comment>
    <comment ref="B32" authorId="0">
      <text>
        <t>Aug-26 reported $956.4bn; Sept estimate.</t>
      </text>
    </comment>
    <comment ref="B40" authorId="0">
      <text>
        <t>3Q26E assumption vs 2Q26 share; Advisor Services takes the complement so segments sum to the company line.</t>
      </text>
    </comment>
    <comment ref="B43" authorId="0">
      <text>
        <t>4Q25 = FY25 (10-K) − 1H25 − 3Q25.</t>
      </text>
    </comment>
    <comment ref="B47" authorId="0">
      <text>
        <t>Model allocates all Forge revenue to Other revenue (line-level split not disclosed); M&amp;A contribution to this line is 0.0% by model construction.</t>
      </text>
    </comment>
    <comment ref="B48" authorId="0">
      <text>
        <t>FX not separately disclosed: Schwab reports in USD with effectively all-US revenue (10-K), so FX impact is entered explicitly as 0.0% by construction (not a missing value).</t>
      </text>
    </comment>
    <comment ref="B49" authorId="0">
      <text>
        <t>Organic = (1+Y/Y)/((1+M&amp;A)*(1+FX))-1.</t>
      </text>
    </comment>
    <comment ref="B50" authorId="0">
      <text>
        <t>3Q26E assumption vs 2Q26 share; Advisor Services takes the complement so segments sum to the company line.</t>
      </text>
    </comment>
    <comment ref="B57" authorId="0">
      <text>
        <t>Model allocates all Forge revenue to Other revenue (line-level split not disclosed); M&amp;A contribution to this line is 0.0% by model construction.</t>
      </text>
    </comment>
    <comment ref="B58" authorId="0">
      <text>
        <t>FX not separately disclosed: Schwab reports in USD with effectively all-US revenue (10-K), so FX impact is entered explicitly as 0.0% by construction (not a missing value).</t>
      </text>
    </comment>
    <comment ref="B59" authorId="0">
      <text>
        <t>Organic = (1+Y/Y)/((1+M&amp;A)*(1+FX))-1.</t>
      </text>
    </comment>
    <comment ref="B60" authorId="0">
      <text>
        <t>3Q26E assumption vs 2Q26 share; Advisor Services takes the complement so segments sum to the company line.</t>
      </text>
    </comment>
    <comment ref="B67" authorId="0">
      <text>
        <t>Model allocates all Forge revenue to Other revenue (line-level split not disclosed); M&amp;A contribution to this line is 0.0% by model construction.</t>
      </text>
    </comment>
    <comment ref="B68" authorId="0">
      <text>
        <t>FX not separately disclosed: Schwab reports in USD with effectively all-US revenue (10-K), so FX impact is entered explicitly as 0.0% by construction (not a missing value).</t>
      </text>
    </comment>
    <comment ref="B69" authorId="0">
      <text>
        <t>Organic = (1+Y/Y)/((1+M&amp;A)*(1+FX))-1.</t>
      </text>
    </comment>
    <comment ref="B70" authorId="0">
      <text>
        <t>3Q26E assumption vs 2Q26 share; Advisor Services takes the complement so segments sum to the company line.</t>
      </text>
    </comment>
    <comment ref="B77" authorId="0">
      <text>
        <t>Model allocates all Forge revenue to Other revenue (line-level split not disclosed); M&amp;A contribution to this line is 0.0% by model construction.</t>
      </text>
    </comment>
    <comment ref="B78" authorId="0">
      <text>
        <t>FX not separately disclosed: Schwab reports in USD with effectively all-US revenue (10-K), so FX impact is entered explicitly as 0.0% by construction (not a missing value).</t>
      </text>
    </comment>
    <comment ref="B79" authorId="0">
      <text>
        <t>Organic = (1+Y/Y)/((1+M&amp;A)*(1+FX))-1.</t>
      </text>
    </comment>
    <comment ref="B80" authorId="0">
      <text>
        <t>3Q26E assumption vs 2Q26 share; Advisor Services takes the complement so segments sum to the company line.</t>
      </text>
    </comment>
    <comment ref="B87" authorId="0">
      <text>
        <t>Forge revenue assumed in Investor Services other revenue.</t>
      </text>
    </comment>
    <comment ref="B88" authorId="0">
      <text>
        <t>FX not separately disclosed: Schwab reports in USD with effectively all-US revenue (10-K), so FX impact is entered explicitly as 0.0% by construction (not a missing value).</t>
      </text>
    </comment>
    <comment ref="B89" authorId="0">
      <text>
        <t>Organic = (1+Y/Y)/((1+M&amp;A)*(1+FX))-1.</t>
      </text>
    </comment>
    <comment ref="B94" authorId="0">
      <text>
        <t>Forge revenue / 3Q25 segment revenue.</t>
      </text>
    </comment>
    <comment ref="B95" authorId="0">
      <text>
        <t>FX not separately disclosed: Schwab reports in USD with effectively all-US revenue (10-K), so FX impact is entered explicitly as 0.0% by construction (not a missing value).</t>
      </text>
    </comment>
    <comment ref="B96" authorId="0">
      <text>
        <t>Organic = (1+Y/Y)/((1+M&amp;A)*(1+FX))-1.</t>
      </text>
    </comment>
    <comment ref="B102" authorId="0">
      <text>
        <t>3Q26E holds the 2Q26 share.</t>
      </text>
    </comment>
    <comment ref="B107" authorId="0">
      <text>
        <t>3Q26E holds the 2Q26 share.</t>
      </text>
    </comment>
    <comment ref="B112" authorId="0">
      <text>
        <t>3Q26E holds the 2Q26 share.</t>
      </text>
    </comment>
    <comment ref="B117" authorId="0">
      <text>
        <t>3Q26E holds the 2Q26 share.</t>
      </text>
    </comment>
    <comment ref="B122" authorId="0">
      <text>
        <t>3Q26E holds the 2Q26 share.</t>
      </text>
    </comment>
    <comment ref="B127" authorId="0">
      <text>
        <t>3Q26E holds the 2Q26 share.</t>
      </text>
    </comment>
    <comment ref="B132" authorId="0">
      <text>
        <t>3Q26E holds the 2Q26 share.</t>
      </text>
    </comment>
    <comment ref="B137" authorId="0">
      <text>
        <t>3Q26E holds the 2Q26 share.</t>
      </text>
    </comment>
    <comment ref="B142" authorId="0">
      <text>
        <t>3Q26E holds the 2Q26 share.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17" authorId="0">
      <text>
        <t>History derived as closing − opening − NNA; 3Q26E allocates company market gains pro rata to opening assets.</t>
      </text>
    </comment>
    <comment ref="B34" authorId="0">
      <text>
        <t>Complement of the Investor Services share (formula).</t>
      </text>
    </comment>
    <comment ref="B37" authorId="0">
      <text>
        <t>4Q25 = FY25 (10-K) − 1H25 − 3Q25.</t>
      </text>
    </comment>
    <comment ref="B41" authorId="0">
      <text>
        <t>No acquisition in Advisor Services in the period (Forge goodwill assigned to Investor Services, 2Q26 10-Q); 0.0% M&amp;A.</t>
      </text>
    </comment>
    <comment ref="B42" authorId="0">
      <text>
        <t>FX not separately disclosed: Schwab reports in USD with effectively all-US revenue (10-K), so FX impact is entered explicitly as 0.0% by construction (not a missing value).</t>
      </text>
    </comment>
    <comment ref="B43" authorId="0">
      <text>
        <t>Organic = (1+Y/Y)/((1+M&amp;A)*(1+FX))-1.</t>
      </text>
    </comment>
    <comment ref="B44" authorId="0">
      <text>
        <t>Complement of the Investor Services share (formula).</t>
      </text>
    </comment>
    <comment ref="B51" authorId="0">
      <text>
        <t>No acquisition in Advisor Services in the period (Forge goodwill assigned to Investor Services, 2Q26 10-Q); 0.0% M&amp;A.</t>
      </text>
    </comment>
    <comment ref="B52" authorId="0">
      <text>
        <t>FX not separately disclosed: Schwab reports in USD with effectively all-US revenue (10-K), so FX impact is entered explicitly as 0.0% by construction (not a missing value).</t>
      </text>
    </comment>
    <comment ref="B53" authorId="0">
      <text>
        <t>Organic = (1+Y/Y)/((1+M&amp;A)*(1+FX))-1.</t>
      </text>
    </comment>
    <comment ref="B54" authorId="0">
      <text>
        <t>Complement of the Investor Services share (formula).</t>
      </text>
    </comment>
    <comment ref="B61" authorId="0">
      <text>
        <t>No acquisition in Advisor Services in the period (Forge goodwill assigned to Investor Services, 2Q26 10-Q); 0.0% M&amp;A.</t>
      </text>
    </comment>
    <comment ref="B62" authorId="0">
      <text>
        <t>FX not separately disclosed: Schwab reports in USD with effectively all-US revenue (10-K), so FX impact is entered explicitly as 0.0% by construction (not a missing value).</t>
      </text>
    </comment>
    <comment ref="B63" authorId="0">
      <text>
        <t>Organic = (1+Y/Y)/((1+M&amp;A)*(1+FX))-1.</t>
      </text>
    </comment>
    <comment ref="B64" authorId="0">
      <text>
        <t>Complement of the Investor Services share (formula).</t>
      </text>
    </comment>
    <comment ref="B71" authorId="0">
      <text>
        <t>No acquisition in Advisor Services in the period (Forge goodwill assigned to Investor Services, 2Q26 10-Q); 0.0% M&amp;A.</t>
      </text>
    </comment>
    <comment ref="B72" authorId="0">
      <text>
        <t>FX not separately disclosed: Schwab reports in USD with effectively all-US revenue (10-K), so FX impact is entered explicitly as 0.0% by construction (not a missing value).</t>
      </text>
    </comment>
    <comment ref="B73" authorId="0">
      <text>
        <t>Organic = (1+Y/Y)/((1+M&amp;A)*(1+FX))-1.</t>
      </text>
    </comment>
    <comment ref="B74" authorId="0">
      <text>
        <t>Complement of the Investor Services share (formula).</t>
      </text>
    </comment>
    <comment ref="B81" authorId="0">
      <text>
        <t>No acquisition in Advisor Services in the period (Forge goodwill assigned to Investor Services, 2Q26 10-Q); 0.0% M&amp;A.</t>
      </text>
    </comment>
    <comment ref="B82" authorId="0">
      <text>
        <t>FX not separately disclosed: Schwab reports in USD with effectively all-US revenue (10-K), so FX impact is entered explicitly as 0.0% by construction (not a missing value).</t>
      </text>
    </comment>
    <comment ref="B83" authorId="0">
      <text>
        <t>Organic = (1+Y/Y)/((1+M&amp;A)*(1+FX))-1.</t>
      </text>
    </comment>
    <comment ref="B88" authorId="0">
      <text>
        <t>No acquisition in Advisor Services in the period (Forge goodwill assigned to Investor Services, 2Q26 10-Q); 0.0% M&amp;A.</t>
      </text>
    </comment>
    <comment ref="B89" authorId="0">
      <text>
        <t>FX not separately disclosed: Schwab reports in USD with effectively all-US revenue (10-K), so FX impact is entered explicitly as 0.0% by construction (not a missing value).</t>
      </text>
    </comment>
    <comment ref="B90" authorId="0">
      <text>
        <t>Organic = (1+Y/Y)/((1+M&amp;A)*(1+FX))-1.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32" authorId="0">
      <text>
        <t>3Q26E: 2Q26 adj. comp ~$1,764m + merit/headcount (+1% FTE) + $12m Forge integration comp; incentive accrual held near 2Q26.</t>
      </text>
    </comment>
    <comment ref="B40" authorId="0">
      <text>
        <t>3Q26E: 2Q26 proxy-season high reverses (3Q25 fell 15% vs 2Q25).</t>
      </text>
    </comment>
    <comment ref="B42" authorId="0">
      <text>
        <t>3Q26E: adds amortisation of the $633m software licence capitalised in 2Q26.</t>
      </text>
    </comment>
    <comment ref="B44" authorId="0">
      <text>
        <t>3Q26E: 2Q26 run-rate incl. Forge intangibles.</t>
      </text>
    </comment>
    <comment ref="B48" authorId="0">
      <text>
        <t>3Q26E: volume-related costs ease with lower DATs.</t>
      </text>
    </comment>
    <comment ref="B60" authorId="0">
      <text>
        <t>3Q26E assumption 22.9%: FY25 22.8%, 3Q25 21.9%, 4Q25 22.7%, 1Q26 22.2%, 2Q26 23.7%.</t>
      </text>
    </comment>
    <comment ref="B69" authorId="0">
      <text>
        <t>3Q26E: Series I (4%, $2.1bn) redeemed 1-Jun-26; first Series L (6.10%, $1.5bn) dividend paid 1-Sep-26; ~$12m participating-securities allocation. 2Q26 incl. $25m redemption charge.</t>
      </text>
    </comment>
    <comment ref="B86" authorId="0">
      <text>
        <t>3Q26E: Forge integration costs assumed $15m (1Q26 $11m, 2Q26 $28m).</t>
      </text>
    </comment>
    <comment ref="C123" authorId="0">
      <text>
        <t>schw-20250930.htm (S6) | Note 7, Balance at June 30, 2025 → September 30, 2025 | Provision for credit losses | — |</t>
      </text>
    </comment>
    <comment ref="F123" authorId="0">
      <text>
        <t>schw-20260331.htm (S9) | Note 7, Balance at December 31, 2025 → March 31, 2026 | Provision for credit losses | 1 | — | 1 | — | (1) | — |</t>
      </text>
    </comment>
    <comment ref="G123" authorId="0">
      <text>
        <t>schw-20260630.htm (S2) | Note 7, Balance at March 31, 2026 → June 30, 2026 | Provision for credit losses | 1 | — | 1 | — | — | 1 |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0" authorId="0">
      <text>
        <t>3Q26E: balancing item (total liabilities + equity − other assets).</t>
      </text>
    </comment>
    <comment ref="B25" authorId="0">
      <text>
        <t>3Q26E period end implied by the modelled 3Q26 average balance (Revenue summary) and the June period end: 2 × average − opening.</t>
      </text>
    </comment>
    <comment ref="B31" authorId="0">
      <text>
        <t>3Q26E: + $2.6bn senior notes issued 12-Aug-26 (net proceeds $2,582m).</t>
      </text>
    </comment>
    <comment ref="B46" authorId="0">
      <text>
        <t>Dec-25 = $69,661m total cash incl. restricted (10-K) − $46,030m cash.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29" authorId="0">
      <text>
        <t>3Q26E: AFS/HTM rows show net change in balances (purchases/sales not modelled separately).</t>
      </text>
    </comment>
    <comment ref="B67" authorId="0">
      <text>
        <t>3Q25–1Q26 cash capex $140–155m/qtr; 2Q26 $185m (excl. $633m non-cash software licence).</t>
      </text>
    </comment>
    <comment ref="B68" authorId="0">
      <text>
        <t>8-K 12-Aug-26: $1.25bn 5.108% 2032 + $1.35bn 5.655% 2037 senior notes; net proceeds ~$2,582m. No maturities assumed.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B20" authorId="0">
      <text>
        <t>3Q26E assumption 4.5m (4–6m over the last four quarters).</t>
      </text>
    </comment>
    <comment ref="B29" authorId="0">
      <text>
        <t>3Q26E assumption $0.5bn: mgmt scenario excluded 2H buybacks, but repurchases are "opportunistic" and the stock fell ~15% from its July high; adj. Tier 1 leverage 6.8% sits inside the 6.75–7.0% target.</t>
      </text>
    </comment>
    <comment ref="B32" authorId="0">
      <text>
        <t>3Q26E: approximate 3Q26 average SCHW price (~$96–114 range).</t>
      </text>
    </comment>
    <comment ref="B35" authorId="0">
      <text>
        <t>Disclosed only for 2Q26 (11.2m shares for $1.0bn); other quarters not disclosed in sources used.</t>
      </text>
    </comment>
    <comment ref="B38" authorId="0">
      <text>
        <t>3Q26E assumption.</t>
      </text>
    </comment>
    <comment ref="B40" authorId="0">
      <text>
        <t>3Q26E: $0.32 declared 23-Jul-26 (payable 28-Aug-26).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B32" authorId="0">
      <text>
        <t>Assumption: 4Q26 NIM guided to 3.25–3.30% lifts 4Q above 3Q.</t>
      </text>
    </comment>
    <comment ref="B36" authorId="0">
      <text>
        <t>Assumption: 4Q seasonally higher (4Q25 +1.4% vs 3Q25).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B16" authorId="0">
      <text>
        <t>Blank in source (unavailable)</t>
      </text>
    </comment>
    <comment ref="B28" authorId="0">
      <text>
        <t>Blank in source (unavailable)</t>
      </text>
    </comment>
    <comment ref="B29" authorId="0">
      <text>
        <t>Blank in source (unavailable)</t>
      </text>
    </comment>
    <comment ref="B30" authorId="0">
      <text>
        <t>Blank in source (unavailable)</t>
      </text>
    </comment>
    <comment ref="B37" authorId="0">
      <text>
        <t>Blank in source (unavailable)</t>
      </text>
    </comment>
    <comment ref="B44" authorId="0">
      <text>
        <t>Blank in source (unavailable)</t>
      </text>
    </comment>
    <comment ref="B45" authorId="0">
      <text>
        <t>Blank in source (unavailable)</t>
      </text>
    </comment>
    <comment ref="B46" authorId="0">
      <text>
        <t>Blank in source (unavailable)</t>
      </text>
    </comment>
    <comment ref="B53" authorId="0">
      <text>
        <t>Blank in source (unavailable)</t>
      </text>
    </comment>
    <comment ref="B54" authorId="0">
      <text>
        <t>Blank in source (unavailable)</t>
      </text>
    </comment>
    <comment ref="B56" authorId="0">
      <text>
        <t>Blank in source (unavailable)</t>
      </text>
    </comment>
    <comment ref="B57" authorId="0">
      <text>
        <t>Blank in source (unavailable)</t>
      </text>
    </comment>
    <comment ref="B58" authorId="0">
      <text>
        <t>Blank in source (unavailable)</t>
      </text>
    </comment>
    <comment ref="B61" authorId="0">
      <text>
        <t>Blank in source (unavailable)</t>
      </text>
    </comment>
    <comment ref="B62" authorId="0">
      <text>
        <t>Blank in source (unavailable)</t>
      </text>
    </comment>
    <comment ref="B63" authorId="0">
      <text>
        <t>Blank in source (unavailable)</t>
      </text>
    </comment>
    <comment ref="B64" authorId="0">
      <text>
        <t>Blank in source (unavailable)</t>
      </text>
    </comment>
    <comment ref="B65" authorId="0">
      <text>
        <t>Blank in source (unavailable)</t>
      </text>
    </comment>
    <comment ref="B66" authorId="0">
      <text>
        <t>Blank in source (unavailable)</t>
      </text>
    </comment>
    <comment ref="B99" authorId="0">
      <text>
        <t>Columns map to SCHW_history.csv: report_date, eps_normalized_consensus, eps_normalized_actual, eps_gaap_consensus, eps_gaap_actual, revenue_m_consensus, revenue_m_actual; J:L are derived.</t>
      </text>
    </comment>
    <comment ref="B109" authorId="0">
      <text>
        <t>stockanalysis.com: $167.23B as of Oct 9, 2026 (CapIQ export market_cap_usd_m is blank). Source S20.</t>
      </text>
    </comment>
    <comment ref="B122" authorId="0">
      <text>
        <t>Model EPS sits on consensus (~$1.66); strict beat needs &gt;=$1.67 reported. Trading normalised (Jul/Aug DATs 11.6M/9.8M), BofA trimmed 3Q to $1.66 on lower IEA, Zacks ESP -0.08%; offsets: Sept 16 Fed hike, record Aug NNA, margin balances +7.6% since June.</t>
      </text>
    </comment>
    <comment ref="B179" authorId="0">
      <text>
        <t>Sum of 2025 monthly core NNA (4Q25 release monthly table): 1H25 $218.0bn; FY25 $519.4bn (release rounds to $519B).</t>
      </text>
    </comment>
  </commentList>
</comments>
</file>

<file path=xl/sharedStrings.xml><?xml version="1.0" encoding="utf-8"?>
<sst xmlns="http://schemas.openxmlformats.org/spreadsheetml/2006/main" count="1766" uniqueCount="890">
  <si>
    <t>The Charles Schwab Corporation (NYSE: SCHW)</t>
  </si>
  <si>
    <t>Company Model — built by Shortcut</t>
  </si>
  <si>
    <t>$ millions, except per share</t>
  </si>
  <si>
    <t>Period (navigation only)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</si>
  <si>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</si>
  <si>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</si>
  <si>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</si>
  <si>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</si>
  <si>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</si>
  <si>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</si>
  <si>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</si>
  <si>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</si>
  <si>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Company information</t>
  </si>
  <si>
    <t>Company</t>
  </si>
  <si>
    <t>The Charles Schwab Corporation</t>
  </si>
  <si>
    <t>Ticker</t>
  </si>
  <si>
    <t>SCHW</t>
  </si>
  <si>
    <t>Exchange</t>
  </si>
  <si>
    <t>NYSE</t>
  </si>
  <si>
    <t>Fiscal year end</t>
  </si>
  <si>
    <t>Currency</t>
  </si>
  <si>
    <t>USD</t>
  </si>
  <si>
    <t>EPS basis</t>
  </si>
  <si>
    <t>Adjusted (non-GAAP) diluted EPS = CapIQ normalized; excludes amortization of acquired intangibles, acquisition/integration and restructuring costs, net of tax</t>
  </si>
  <si>
    <t>Forecast period</t>
  </si>
  <si>
    <t>3Q26E = FQ3 2026 (supplied label "FQ3 2026 - Sep 2026"); fiscal quarter = calendar quarter ended 2026-09-30</t>
  </si>
  <si>
    <t>Information cutoff</t>
  </si>
  <si>
    <t>2026-10-11 22:24 UTC</t>
  </si>
  <si>
    <t>Expected report date</t>
  </si>
  <si>
    <t>Author</t>
  </si>
  <si>
    <t>Shortcut</t>
  </si>
  <si>
    <t>Headline 3Q26E — estimate vs consensus at cutoff vs guidance</t>
  </si>
  <si>
    <t>Metric</t>
  </si>
  <si>
    <t>Shortcut estimate</t>
  </si>
  <si>
    <t>Consensus (CapIQ, 2026-10-11)</t>
  </si>
  <si>
    <t>Variance</t>
  </si>
  <si>
    <t>Variance %</t>
  </si>
  <si>
    <t>Guidance midpoint (derived)</t>
  </si>
  <si>
    <t>Est. vs guidance</t>
  </si>
  <si>
    <t>Total net revenues ($m)</t>
  </si>
  <si>
    <t>Adjusted net income to common ($m)</t>
  </si>
  <si>
    <t>Adjusted diluted EPS (consensus basis)</t>
  </si>
  <si>
    <t>GAAP net income to common ($m)</t>
  </si>
  <si>
    <t>n/a</t>
  </si>
  <si>
    <t>GAAP diluted EPS</t>
  </si>
  <si>
    <t>Adjusted pre-tax income ($m)</t>
  </si>
  <si>
    <t>P(beat consensus EPS)</t>
  </si>
  <si>
    <t>Confidence</t>
  </si>
  <si>
    <t>Overall model check result</t>
  </si>
  <si>
    <t>C31 gate composition. Genuine historical/source ties: C:G columns of Revenue summary row 33, Balance Sheet row 43, Cash Flow rows 61/62, Cash Flow C117:G117 (YTD), Segment AS C150:G151; FY25 10-K ties IS E121/E122 and Revenue summary E445; NNA terms inside Seg IS E156 and Seg AS E152; plus C32. Partial check: Revenue summary E442 is an FY25 additivity check (genuine only for the NII/AMA detail lines; trading/BDA/other terms are identities because E377/E396/E419 = 1H25 + 3Q25 + 4Q25). Construction identities (cannot fail; kept for traceability, NOT independent evidence for 3Q26E): H column of Revenue summary H33 (segments = company × complementary shares), Balance Sheet H43 (cash H10 is the balancing plug), Seg AS H150/H151; and the FY25 segment-line terms in Seg IS E156 / Seg AS E152 (4Q25 segment lines backsolved as FY − 1H25 − 3Q25). Wiring checks (can fail, but test only that every BS movement maps into the CF, not the forecast): Cash Flow H61/H62. IS H104 EPS×shares identity is excluded. A PASS therefore does not independently validate the 3Q26E forecast.</t>
  </si>
  <si>
    <t>Historical source-tie check</t>
  </si>
  <si>
    <t>C32 = historical source ties: CapIQ revenue (Revenue summary C441:G441), reported GAAP EPS (IS C81:G81), reported adj. EPS (IS C102:G102), CapIQ normalized EPS (IS C103:G103).</t>
  </si>
  <si>
    <t>Consensus detail at cutoff (frozen scoring baseline) and newer references (recorded separately)</t>
  </si>
  <si>
    <t>EPS ests: n / high / low / sd</t>
  </si>
  <si>
    <t>Revenue ests: n / high / low / sd</t>
  </si>
  <si>
    <t>Other references (not used to replace the frozen baseline): Benzinga/Tickeron $1.67 &amp; $7.21bn; Earnings Whispers whisper $1.68; BofA $1.66</t>
  </si>
  <si>
    <t>Mkt cap $bn / bucket / start P</t>
  </si>
  <si>
    <t>Revenue summary and company revenue drivers</t>
  </si>
  <si>
    <t>Period</t>
  </si>
  <si>
    <t>Net revenues by reported segment</t>
  </si>
  <si>
    <t>Investor Services net revenues</t>
  </si>
  <si>
    <t xml:space="preserve">   % Y/Y</t>
  </si>
  <si>
    <t xml:space="preserve">   % Q/Q</t>
  </si>
  <si>
    <t xml:space="preserve">   % of total net revenues</t>
  </si>
  <si>
    <t xml:space="preserve">   Total growth Y/Y</t>
  </si>
  <si>
    <t xml:space="preserve">   M&amp;A / scope contribution (Forge)</t>
  </si>
  <si>
    <t>Forge scope allocated with the segment build's other-revenue shares (IS 78% / AS 22%; Seg IS!H80, Seg AS!H74). 10-Q assigns Forge goodwill to Investor Services, but no segment revenue split for Forge is disclosed (unresolved); consolidated revenue/EPS unaffected.</t>
  </si>
  <si>
    <t xml:space="preserve">   FX impact</t>
  </si>
  <si>
    <t xml:space="preserve">   Organic growth</t>
  </si>
  <si>
    <t>Advisor Services net revenues</t>
  </si>
  <si>
    <t xml:space="preserve">   M&amp;A / scope contribution</t>
  </si>
  <si>
    <t>Total net revenues</t>
  </si>
  <si>
    <t>Chk: segments − total revenue</t>
  </si>
  <si>
    <t>C:G = historical source tie. H (3Q26E) = construction identity: segment revenues are company lines × complementary shares, so H33 cannot fail.</t>
  </si>
  <si>
    <t>Geography: substantially all revenue is US-based; no geographic split is disclosed (2025 10-K) — Geo tab omitted</t>
  </si>
  <si>
    <t>Net interest revenue build — average balances, interest and yields (act/365 model basis)</t>
  </si>
  <si>
    <t>Avg bal: Cash &amp; equivalents</t>
  </si>
  <si>
    <t xml:space="preserve">   % Y/Y change</t>
  </si>
  <si>
    <t xml:space="preserve">   Q/Q change (abs)</t>
  </si>
  <si>
    <t>Avg bal: Segregated cash &amp; inv.</t>
  </si>
  <si>
    <t>Avg bal: Margin receivables</t>
  </si>
  <si>
    <t>Avg bal: AFS securities</t>
  </si>
  <si>
    <t>Avg bal: HTM securities</t>
  </si>
  <si>
    <t>Avg bal: Bank loans</t>
  </si>
  <si>
    <t>Total avg interest-earning assets</t>
  </si>
  <si>
    <t>Yield: Cash &amp; equivalents</t>
  </si>
  <si>
    <t xml:space="preserve">   Chg Q/Q (bp); 3Q26E input</t>
  </si>
  <si>
    <t xml:space="preserve">   Change Y/Y (bp)</t>
  </si>
  <si>
    <t>Yield: Segregated cash &amp; inv.</t>
  </si>
  <si>
    <t>Yield: Margin receivables</t>
  </si>
  <si>
    <t>Yield: AFS securities</t>
  </si>
  <si>
    <t>Yield: HTM securities</t>
  </si>
  <si>
    <t>Yield: Bank loans</t>
  </si>
  <si>
    <t>Int. inc: Cash &amp; equivalents</t>
  </si>
  <si>
    <t>Int. inc: Segregated cash &amp; inv.</t>
  </si>
  <si>
    <t>Int. inc: Margin receivables</t>
  </si>
  <si>
    <t>Int. inc: AFS securities</t>
  </si>
  <si>
    <t>Int. inc: HTM securities</t>
  </si>
  <si>
    <t>Int. inc: Bank loans</t>
  </si>
  <si>
    <t>Int. revenue on IEA</t>
  </si>
  <si>
    <t>Securities lending revenue</t>
  </si>
  <si>
    <t>Avg L/S margin loans (ex-IEA)</t>
  </si>
  <si>
    <t>Other int. rev. yield on L/S</t>
  </si>
  <si>
    <t>Assumption: all 'Other interest revenue' is attributed to L/S margin balances (G138/G132); issuer gives no L/S vs non-L/S split (3Q25 C138 = 21 with no L/S balance). Possible upward bias ≈ $0.005 EPS; not adjusted. Sensitivity: holding a $21m non-L/S component flat (3Q25 C138) gives H138 ≈ 562.1 vs 573.1, ≈ −$0.0049 EPS. 1Q26 L/S balances (F132, F215) are unavailable in preserved sources and stay blank, not zero. Original assumption retained; unresolved.</t>
  </si>
  <si>
    <t>Other int. revenue (incl. L/S)</t>
  </si>
  <si>
    <t>n/m (reclass)</t>
  </si>
  <si>
    <t>n/m</t>
  </si>
  <si>
    <t>Total interest revenue</t>
  </si>
  <si>
    <t>Avg bal: Bank deposits</t>
  </si>
  <si>
    <t>Avg bal: Payables to B/Ds</t>
  </si>
  <si>
    <t>Avg bal: Payables to clients</t>
  </si>
  <si>
    <t>Avg bal: Other ST borrowings</t>
  </si>
  <si>
    <t>Avg bal: FHLB borrowings</t>
  </si>
  <si>
    <t>Avg bal: Long-term debt</t>
  </si>
  <si>
    <t>Total avg int.-bearing liabs.</t>
  </si>
  <si>
    <t>Yield: Bank deposits</t>
  </si>
  <si>
    <t>Yield: Payables to B/Ds</t>
  </si>
  <si>
    <t>Yield: Payables to clients</t>
  </si>
  <si>
    <t>Yield: Other ST borrowings</t>
  </si>
  <si>
    <t>Yield: FHLB borrowings</t>
  </si>
  <si>
    <t>Yield: Long-term debt</t>
  </si>
  <si>
    <t>Int. exp: Bank deposits</t>
  </si>
  <si>
    <t>Int. exp: Payables to B/Ds</t>
  </si>
  <si>
    <t>Int. exp: Payables to clients</t>
  </si>
  <si>
    <t>Int. exp: Other ST borrowings</t>
  </si>
  <si>
    <t>Int. exp: FHLB borrowings</t>
  </si>
  <si>
    <t>Int. exp: Long-term debt</t>
  </si>
  <si>
    <t>Non-int.-bearing funding</t>
  </si>
  <si>
    <t>Int. expense on IBL</t>
  </si>
  <si>
    <t>Avg L/S short credits</t>
  </si>
  <si>
    <t>Other int. exp. rate on L/S</t>
  </si>
  <si>
    <t>Other int. expense (L/S)</t>
  </si>
  <si>
    <t>Total interest expense</t>
  </si>
  <si>
    <t>Net interest revenue</t>
  </si>
  <si>
    <t>Net interest margin (calc, act/365)</t>
  </si>
  <si>
    <t xml:space="preserve">   Change Q/Q (bp)</t>
  </si>
  <si>
    <t>Net interest margin (reported basis)</t>
  </si>
  <si>
    <t>Asset management and administration fees build — average client assets ($m), revenue and fee rate</t>
  </si>
  <si>
    <t>Avg assets: Schwab MMFs</t>
  </si>
  <si>
    <t xml:space="preserve">   % Q/Q (3Q26E input)</t>
  </si>
  <si>
    <t>Avg assets: Schwab eq/bond funds</t>
  </si>
  <si>
    <t>Avg assets: OneSource &amp; NTF</t>
  </si>
  <si>
    <t>Avg assets: other 3P funds/alts</t>
  </si>
  <si>
    <t>Avg assets: managed fee-based</t>
  </si>
  <si>
    <t>Avg assets: other balance-based</t>
  </si>
  <si>
    <t>Avg assets: managed non-fee (memo)</t>
  </si>
  <si>
    <t>Fee rate: Schwab MMFs</t>
  </si>
  <si>
    <t>Fee rate: Schwab eq/bond funds</t>
  </si>
  <si>
    <t>Fee rate: OneSource &amp; NTF</t>
  </si>
  <si>
    <t>Fee rate: other 3P funds/alts</t>
  </si>
  <si>
    <t>Fee rate: managed fee-based</t>
  </si>
  <si>
    <t>Fee rate: other balance-based</t>
  </si>
  <si>
    <t>Rev: Schwab MMFs</t>
  </si>
  <si>
    <t>Rev: Schwab eq/bond funds</t>
  </si>
  <si>
    <t>Rev: OneSource &amp; NTF</t>
  </si>
  <si>
    <t>Rev: other 3P funds/alts</t>
  </si>
  <si>
    <t>Subtotal — funds, ETFs, CTFs, alts</t>
  </si>
  <si>
    <t>Rev: managed fee-based</t>
  </si>
  <si>
    <t>Rev: other balance-based</t>
  </si>
  <si>
    <t>Rev: other service fees</t>
  </si>
  <si>
    <t>Asset mgmt &amp; admin fees</t>
  </si>
  <si>
    <t>Trading revenue build — client daily average trades (DATs, 000s), trading days and revenue per trade</t>
  </si>
  <si>
    <t>Jul-26 DATs (reported)</t>
  </si>
  <si>
    <t>Aug-26 DATs (reported)</t>
  </si>
  <si>
    <t>Sep-26 DATs (estimate)</t>
  </si>
  <si>
    <t>Jul-26 trading days</t>
  </si>
  <si>
    <t>Aug-26 trading days</t>
  </si>
  <si>
    <t>Sep-26 trading days</t>
  </si>
  <si>
    <t>Client daily average trades (000s)</t>
  </si>
  <si>
    <t>Trading days</t>
  </si>
  <si>
    <t>Total client trades (millions)</t>
  </si>
  <si>
    <t>Derivative % of trades (avg)</t>
  </si>
  <si>
    <t>3Q26E = trade-weighted (monthly DATs × trading days); memo only, does not feed revenue per trade (H374 input).</t>
  </si>
  <si>
    <t>Jul-26 derivative share (reported)</t>
  </si>
  <si>
    <t>Aug-26 derivative share (reported)</t>
  </si>
  <si>
    <t>Sep-26 derivative share (estimate)</t>
  </si>
  <si>
    <t>Revenue per trade ($)</t>
  </si>
  <si>
    <t xml:space="preserve">   Q/Q change ($)</t>
  </si>
  <si>
    <t>Trading revenue</t>
  </si>
  <si>
    <t>Bank deposit account fees build — BDA balances swept to TD Bank ($bn)</t>
  </si>
  <si>
    <t>BDA balances, opening ($bn)</t>
  </si>
  <si>
    <t>BDA balances, closing ($bn)</t>
  </si>
  <si>
    <t>BDA balances, average ($bn)</t>
  </si>
  <si>
    <t>FY25 column = two-point (Dec-24/Dec-25) average proxy; FY yield E393 is approximate (quarter-end 1Q25/2Q25 balances not in workbook).</t>
  </si>
  <si>
    <t>BDA net fee yield (act/365)</t>
  </si>
  <si>
    <t>Bank deposit account fees</t>
  </si>
  <si>
    <t>Other revenue build</t>
  </si>
  <si>
    <t>Forge revenue (acquired 2026-03-02)</t>
  </si>
  <si>
    <t>Other revenue excluding Forge</t>
  </si>
  <si>
    <t>Other revenue</t>
  </si>
  <si>
    <t>Total net revenues by line item</t>
  </si>
  <si>
    <t>Chk: CapIQ revenue − model</t>
  </si>
  <si>
    <t>Chk: FY25 = 1H25 + 3Q25 + 4Q25</t>
  </si>
  <si>
    <t>Client assets and accounts (company)</t>
  </si>
  <si>
    <t>Chk: FY25 client KPIs vs 10-K</t>
  </si>
  <si>
    <t>Full label: FY25 NNA, market gains, core NNA, new brokerage accounts vs reported (sum of abs. diffs vs Inputs D175, D178:D180). Genuine source tie (quarterly inputs).</t>
  </si>
  <si>
    <t>Client assets, opening ($bn)</t>
  </si>
  <si>
    <t>Net new assets ($bn)</t>
  </si>
  <si>
    <t>Jul-26 NNA (reported)</t>
  </si>
  <si>
    <t>Aug-26 NNA (reported)</t>
  </si>
  <si>
    <t>Sep-26 NNA (estimate)</t>
  </si>
  <si>
    <t>Net market gains (losses) ($bn)</t>
  </si>
  <si>
    <t>Jul-26 market gains (reported)</t>
  </si>
  <si>
    <t>Aug-26 market gains (reported)</t>
  </si>
  <si>
    <t>Sep-26 market gains (estimate)</t>
  </si>
  <si>
    <t>Client assets, closing ($bn)</t>
  </si>
  <si>
    <t>Client assets, average ($bn)</t>
  </si>
  <si>
    <t>FY25 column = two-point (Dec-24/Dec-25) average proxy; FY ratio E498 is approximate.</t>
  </si>
  <si>
    <t>Core NNA ($bn)</t>
  </si>
  <si>
    <t>3Q26E core NNA = Jul + Aug reported core NNA + September TOTAL NNA estimate (H452) used as core proxy; memo only.</t>
  </si>
  <si>
    <t>Jul-26 core NNA (reported)</t>
  </si>
  <si>
    <t>Aug-26 core NNA (reported)</t>
  </si>
  <si>
    <t>Organic growth (core NNA, ann.)</t>
  </si>
  <si>
    <t>Active accounts, opening (000s)</t>
  </si>
  <si>
    <t>New accounts, gross adds (000s)</t>
  </si>
  <si>
    <t>Jul-26 new accounts (000s)</t>
  </si>
  <si>
    <t>Aug-26 new accounts (000s)</t>
  </si>
  <si>
    <t>Sep-26 new accts (est., 000s)</t>
  </si>
  <si>
    <t>Attrition, derived (000s)</t>
  </si>
  <si>
    <t>Net account additions (000s)</t>
  </si>
  <si>
    <t>Active accounts, closing (000s)</t>
  </si>
  <si>
    <t>Active accounts, average (000s)</t>
  </si>
  <si>
    <t>FY25 column = two-point (Dec-24/Dec-25) average proxy; FY ratio E495 is approximate.</t>
  </si>
  <si>
    <t>Attrition rate (ann. % of open)</t>
  </si>
  <si>
    <t>Ann. revenue per avg account ($)</t>
  </si>
  <si>
    <t>Rev / avg client assets (bp, ann.)</t>
  </si>
  <si>
    <t>Banking accounts, closing (000s)</t>
  </si>
  <si>
    <t>Workplace participants (000s)</t>
  </si>
  <si>
    <t>Margin balances incl. L/S ($bn)</t>
  </si>
  <si>
    <t>Sweep cash, EOP ($bn)</t>
  </si>
  <si>
    <t>Segment — Investor Services</t>
  </si>
  <si>
    <t>Segment client assets ladder ($bn)</t>
  </si>
  <si>
    <t>Segment client assets, opening</t>
  </si>
  <si>
    <t>Segment NNA</t>
  </si>
  <si>
    <t>Seg. share: NNA</t>
  </si>
  <si>
    <t>Segment market gains (derived)</t>
  </si>
  <si>
    <t>Segment client assets, closing</t>
  </si>
  <si>
    <t>Segment client assets, average</t>
  </si>
  <si>
    <t>FY25 column = two-point (Dec-24/Dec-25) average proxy; FY ratio E97 is approximate.</t>
  </si>
  <si>
    <t>Seg. % of company assets</t>
  </si>
  <si>
    <t>Seg. organic growth (ann.)</t>
  </si>
  <si>
    <t>Advisory assets, closing</t>
  </si>
  <si>
    <t>Advisory assets % of segment assets</t>
  </si>
  <si>
    <t>Segment net revenues by line ($m) — 3Q26E = company line × segment share</t>
  </si>
  <si>
    <t>Seg. share: NII</t>
  </si>
  <si>
    <t>Seg. share: AMA fees</t>
  </si>
  <si>
    <t>Seg. share: trading revenue</t>
  </si>
  <si>
    <t>Seg. share: BDA fees</t>
  </si>
  <si>
    <t>Seg. share: other revenue</t>
  </si>
  <si>
    <t>Forge scope × IS other-revenue share (H80), consistent with the segment revenue build.</t>
  </si>
  <si>
    <t>Segment total net revenues</t>
  </si>
  <si>
    <t>Seg. rev / avg assets (bp, ann.)</t>
  </si>
  <si>
    <t>Segment expenses excluding interest ($m) — 3Q26E = company line × segment share</t>
  </si>
  <si>
    <t>Seg. share: comp &amp; benefits</t>
  </si>
  <si>
    <t>Compensation &amp; benefits</t>
  </si>
  <si>
    <t>Seg. share: prof. services</t>
  </si>
  <si>
    <t>Professional services</t>
  </si>
  <si>
    <t>Seg. share: occupancy &amp; equip.</t>
  </si>
  <si>
    <t>Occupancy &amp; equipment</t>
  </si>
  <si>
    <t>Seg. share: advertising</t>
  </si>
  <si>
    <t>Advertising &amp; mkt development</t>
  </si>
  <si>
    <t>Seg. share: communications</t>
  </si>
  <si>
    <t>Communications</t>
  </si>
  <si>
    <t>Seg. share: D&amp;A</t>
  </si>
  <si>
    <t>Depreciation &amp; amortization</t>
  </si>
  <si>
    <t>Seg. share: amort. of intangibles</t>
  </si>
  <si>
    <t>Amort. of acquired intangibles</t>
  </si>
  <si>
    <t>Seg. share: regulatory fees</t>
  </si>
  <si>
    <t>Regulatory fees &amp; assessments</t>
  </si>
  <si>
    <t>Seg. share: other expense</t>
  </si>
  <si>
    <t>Other expense</t>
  </si>
  <si>
    <t>Seg. total expenses ex-interest</t>
  </si>
  <si>
    <t>Segment income before taxes</t>
  </si>
  <si>
    <t>Segment pre-tax margin</t>
  </si>
  <si>
    <t>Chk: FY25 seg. lines &amp; NNA</t>
  </si>
  <si>
    <t>Full label: FY25 segment lines &amp; NNA vs 10-K. Line terms are construction identities (4Q25 segment lines backsolved as FY − 1H25 − 3Q25, so E = FY by construction); only the NNA term (E11 vs Inputs D176) is an independent source tie.</t>
  </si>
  <si>
    <t>Segment — Advisor Services</t>
  </si>
  <si>
    <t>FY25 column = two-point (Dec-24/Dec-25) average proxy; FY ratio E91 is approximate.</t>
  </si>
  <si>
    <t>Forge scope × AS other-revenue share (H74), consistent with the segment revenue build (was hard-coded 0).</t>
  </si>
  <si>
    <t>Chk: IS+AS expenses − total</t>
  </si>
  <si>
    <t>Full label: IS + AS expenses − company expenses. C:G = historical source tie; H (3Q26E) = construction identity (AS share = 1 − IS share).</t>
  </si>
  <si>
    <t>Chk: IS+AS revenue − total</t>
  </si>
  <si>
    <t>Full label: IS + AS revenue − company revenue. C:G = historical source tie; H (3Q26E) = construction identity (AS share = 1 − IS share).</t>
  </si>
  <si>
    <t>Full label: FY25 segment lines &amp; NNA vs 10-K. Line terms are construction identities (4Q25 segment lines backsolved as FY − 1H25 − 3Q25); only the NNA term (E11 vs Inputs D177) is an independent source tie.</t>
  </si>
  <si>
    <t>Income Statement</t>
  </si>
  <si>
    <t>Net revenues</t>
  </si>
  <si>
    <t>Interest revenue</t>
  </si>
  <si>
    <t>Interest expense</t>
  </si>
  <si>
    <t>Other</t>
  </si>
  <si>
    <t>Expenses excluding interest</t>
  </si>
  <si>
    <t>Total expenses excluding interest</t>
  </si>
  <si>
    <t>Income before taxes on income</t>
  </si>
  <si>
    <t>Pre-tax profit margin (GAAP)</t>
  </si>
  <si>
    <t>Taxes on income</t>
  </si>
  <si>
    <t>Effective tax rate</t>
  </si>
  <si>
    <t>Net income</t>
  </si>
  <si>
    <t>Net margin</t>
  </si>
  <si>
    <t>Preferred stock dividends and other</t>
  </si>
  <si>
    <t>Net income to common</t>
  </si>
  <si>
    <t>Shares and GAAP EPS</t>
  </si>
  <si>
    <t>Weighted-average basic shares (m)</t>
  </si>
  <si>
    <t>Weighted-average diluted shares (m)</t>
  </si>
  <si>
    <t>Basic EPS (GAAP)</t>
  </si>
  <si>
    <t>Diluted EPS (GAAP)</t>
  </si>
  <si>
    <t>Chk: GAAP EPS − reported</t>
  </si>
  <si>
    <t>GAAP to non-GAAP (adjusted) bridge — consensus EPS basis (CapIQ normalized = Schwab adjusted)</t>
  </si>
  <si>
    <t>Net income to common (GAAP)</t>
  </si>
  <si>
    <t>+ Amort. of acquired intangibles</t>
  </si>
  <si>
    <t>+ Acq./integration costs</t>
  </si>
  <si>
    <t>3Q26E $15m = original Forge integration assumption (B86 comment; 1Q26 $11m, 2Q26 $28m), retained. Embedding: preserved rationale places $12m in Compensation H32 (B32 comment: '+ $12m Forge integration comp') and builds GAAP expenses as adjusted $3,300m + $142m amortization + $15m (H107 = H50 − H85 − H86 − H87). The remaining $3m is not assigned to a specific GAAP line in preserved sources. Unresolved, non-material: if the $3m is not embedded, adj. EPS −$0.0013; if none of the $15m is embedded, −$0.0066 (1.6573). Not adjusted.</t>
  </si>
  <si>
    <t>+ Restructuring costs</t>
  </si>
  <si>
    <t>FY25 restructuring = 0 per 4Q25 release (S10): 'There were no restructuring costs for the three and twelve months ended December 31, 2025.'</t>
  </si>
  <si>
    <t>− Income tax effects of adjustments</t>
  </si>
  <si>
    <t xml:space="preserve">   Tax rate on adjustments</t>
  </si>
  <si>
    <t>Adj. net income to common</t>
  </si>
  <si>
    <t>+ Amort. of intangibles / share</t>
  </si>
  <si>
    <t>+ Acq./restructuring / share</t>
  </si>
  <si>
    <t>− Tax effects per share</t>
  </si>
  <si>
    <t>Adj. diluted EPS (consensus basis)</t>
  </si>
  <si>
    <t>Chk: adj. EPS − reported</t>
  </si>
  <si>
    <t>Chk: CapIQ norm. EPS − model</t>
  </si>
  <si>
    <t>Chk: EPS×shares − NI (identity)</t>
  </si>
  <si>
    <t>Arithmetic identity (H78 = H70/H76), cannot fail; kept for traceability, excluded from Cover!C31 gate.</t>
  </si>
  <si>
    <t>Adjusted (non-GAAP) profitability memo</t>
  </si>
  <si>
    <t>Adjusted total expenses</t>
  </si>
  <si>
    <t>Adjusted income before taxes</t>
  </si>
  <si>
    <t>Adjusted pre-tax profit margin</t>
  </si>
  <si>
    <t>Non-interest revenue</t>
  </si>
  <si>
    <t>Adjusted net income (before preferred)</t>
  </si>
  <si>
    <t>Operating income / EBITDA: not issuer-defined for Schwab (bank holding co.) — pre-tax income used instead</t>
  </si>
  <si>
    <t>Chk: FY25 lines vs 10-K</t>
  </si>
  <si>
    <t>Full label: FY25 lines vs 10-K, sum of absolute differences vs Inputs D128:D146. Genuine source tie.</t>
  </si>
  <si>
    <t>Chk: FY25 revenue &amp; NI vs 10-K</t>
  </si>
  <si>
    <t>Memo: credit-loss provision</t>
  </si>
  <si>
    <t>Provision for credit losses on bank loans is reported inside Other revenue (row 24), not expenses (10-Q MD&amp;A). 3Q25 and 1Q26 shown as '—' (nil), 2Q26 $1m (10-Q Note 7). 4Q25/FY25 not in preserved sources (n/a, not zero). 3Q26E not separately modeled; embedded in Other revenue H24.</t>
  </si>
  <si>
    <t>Balance Sheet (period end)</t>
  </si>
  <si>
    <t>Assets</t>
  </si>
  <si>
    <t>Cash &amp; equivalents</t>
  </si>
  <si>
    <t>3Q26E balance sheet ILLUSTRATIVE / low confidence: cash (H10) is the balancing residual. Broker/client receivables &amp; payables (H12, H13, H26) are not linked to the margin/L/S drivers (Revenue summary H132, H215, H507), and the reported margin-balance series does not map uniquely to these BS lines (2Q26: 165.1bn vs G12+G13 = 144.9bn). Unresolved; NII/EPS use average-balance inputs, not the BS.</t>
  </si>
  <si>
    <t>Segregated cash &amp; investments</t>
  </si>
  <si>
    <t>Average-vs-endpoint mismatch (illustrative BS, unresolved): at current inputs BS average cash (G10 + H10)/2 ≈ 35,466 vs NII driver Revenue summary H37 = 29,000; segregated H11 held flat at 33,011 vs Revenue summary H40 average 36,000. Definitions also differ historically. NII/EPS use the average-balance drivers, not these endpoints; BS H43 and CF H61/H62 are not forecast evidence.</t>
  </si>
  <si>
    <t>Receivables from brokers/dealers</t>
  </si>
  <si>
    <t>Receivables from clients, net</t>
  </si>
  <si>
    <t>AFS securities</t>
  </si>
  <si>
    <t>HTM securities</t>
  </si>
  <si>
    <t>Bank loans — net</t>
  </si>
  <si>
    <t>Equipment &amp; property, net</t>
  </si>
  <si>
    <t>Goodwill</t>
  </si>
  <si>
    <t>Acquired intangible assets — net</t>
  </si>
  <si>
    <t>Other assets</t>
  </si>
  <si>
    <t>Total assets</t>
  </si>
  <si>
    <t>Liabilities</t>
  </si>
  <si>
    <t>Bank deposits</t>
  </si>
  <si>
    <t>Payables to brokers/dealers</t>
  </si>
  <si>
    <t>Payables to clients</t>
  </si>
  <si>
    <t>Accrued &amp; other liabilities</t>
  </si>
  <si>
    <t>Other ST borrowings</t>
  </si>
  <si>
    <t>FHLB borrowings</t>
  </si>
  <si>
    <t>Long-term debt</t>
  </si>
  <si>
    <t>Total liabilities</t>
  </si>
  <si>
    <t>Stockholders' equity</t>
  </si>
  <si>
    <t>Preferred stock</t>
  </si>
  <si>
    <t>Common stock</t>
  </si>
  <si>
    <t>Additional paid-in capital</t>
  </si>
  <si>
    <t>Retained earnings</t>
  </si>
  <si>
    <t>3Q26E deducts the full IS!H69 'Preferred stock dividends and other' (original $88m assumption, retained). The preserved IS B69 rationale includes ~$12m participating-securities allocation, which may be partly non-cash; no source split, so RE/cash could be over-deducted by up to ~$12m (EPS unaffected). See Cash Flow Statement!I53.</t>
  </si>
  <si>
    <t>Treasury stock, at cost</t>
  </si>
  <si>
    <t>AOCI</t>
  </si>
  <si>
    <t>Total stockholders' equity</t>
  </si>
  <si>
    <t>Total liabilities &amp; equity</t>
  </si>
  <si>
    <t>Chk: assets − liabs − equity</t>
  </si>
  <si>
    <t>C:G = historical source tie. H (3Q26E) = construction identity: cash H10 is the balancing plug, so H43 cannot fail.</t>
  </si>
  <si>
    <t>Memo</t>
  </si>
  <si>
    <t>Restricted cash in segregated</t>
  </si>
  <si>
    <t>Total cash incl. restricted</t>
  </si>
  <si>
    <t>Common equity per share ($)</t>
  </si>
  <si>
    <t>Bank loans / bank deposits</t>
  </si>
  <si>
    <t>Cash Flow Statement (quarterly derived from reported year-to-date)</t>
  </si>
  <si>
    <t>Cash flows from operating activities (quarterly = YTD − prior YTD; 3Q26E from balance-sheet changes)</t>
  </si>
  <si>
    <t>Share-based compensation</t>
  </si>
  <si>
    <t>Deferred income taxes</t>
  </si>
  <si>
    <t>3Q26E 0 = not modeled (no source-supported forecast), not a forecast of nil.</t>
  </si>
  <si>
    <t>Premium amort. (AFS/HTM)</t>
  </si>
  <si>
    <t>3Q26E 0 = not modeled: premium amortization is implicitly inside the AFS/HTM balance changes (H29, H31) in investing; net cash unaffected. Historical averages not carried forward.</t>
  </si>
  <si>
    <t>Other non-cash items</t>
  </si>
  <si>
    <t>Δ segregated investments</t>
  </si>
  <si>
    <t>Δ receivables from brokers</t>
  </si>
  <si>
    <t>Δ receivables from clients</t>
  </si>
  <si>
    <t>Δ other assets</t>
  </si>
  <si>
    <t>Δ payables to brokers</t>
  </si>
  <si>
    <t>Δ payables to clients</t>
  </si>
  <si>
    <t>Δ accrued &amp; other liabs</t>
  </si>
  <si>
    <t>CFO</t>
  </si>
  <si>
    <t>3Q26E CFO is a mechanical, ILLUSTRATIVE / low-confidence figure derived from the illustrative balance sheet (see Balance Sheet!I10).</t>
  </si>
  <si>
    <t>Cash flows from investing activities (quarterly = YTD − prior YTD; 3Q26E from balance-sheet changes)</t>
  </si>
  <si>
    <t>Purchases of AFS securities</t>
  </si>
  <si>
    <t>Sales of AFS securities</t>
  </si>
  <si>
    <t>AFS principal payments</t>
  </si>
  <si>
    <t>3Q26E = net AFS balance-change proxy (−ΔBalance Sheet H14), not gross principal payments; purchases/sales (H27:H28) not modeled and premium amortization netted in (I15). No gross flows invented; net cash unaffected.</t>
  </si>
  <si>
    <t>Purchases of HTM securities</t>
  </si>
  <si>
    <t>HTM principal payments</t>
  </si>
  <si>
    <t>3Q26E = net HTM balance-change proxy (−ΔBalance Sheet H15), not gross principal payments; purchases (H30) not modeled and premium amortization netted in (I15). No gross flows invented; net cash unaffected.</t>
  </si>
  <si>
    <t>Net change in bank loans</t>
  </si>
  <si>
    <t>Acquisition, net of cash</t>
  </si>
  <si>
    <t>Capex (equipment &amp; facilities)</t>
  </si>
  <si>
    <t>Purchases of FHLB stock</t>
  </si>
  <si>
    <t>Sales of FHLB stock</t>
  </si>
  <si>
    <t>Purchases of FRB stock</t>
  </si>
  <si>
    <t>Sales of FRB stock</t>
  </si>
  <si>
    <t>Other investing activities</t>
  </si>
  <si>
    <t>CFI</t>
  </si>
  <si>
    <t>Cash flows from financing activities (quarterly = YTD − prior YTD; 3Q26E from balance-sheet changes)</t>
  </si>
  <si>
    <t>Net change in bank deposits</t>
  </si>
  <si>
    <t>Proceeds from FHLB borrowings</t>
  </si>
  <si>
    <t>Repayments of FHLB borrowings</t>
  </si>
  <si>
    <t>Other ST borrowings issued</t>
  </si>
  <si>
    <t>Other ST borrowings repaid</t>
  </si>
  <si>
    <t>Issuances of long-term debt</t>
  </si>
  <si>
    <t>Repayments of long-term debt</t>
  </si>
  <si>
    <t>Repurchases of common stock</t>
  </si>
  <si>
    <t>Preferred issuance, net</t>
  </si>
  <si>
    <t>Redemption of preferred stock</t>
  </si>
  <si>
    <t>Dividends paid</t>
  </si>
  <si>
    <t>3Q26E includes IS!H69 'Preferred stock dividends and other' (original $88m P&amp;L allocation, retained) with common dividends; cash timing assumed equal to declaration. Unresolved ancillary scope: the preserved IS B69 rationale includes ~$12m participating-securities allocation that may be partly non-cash; no issuer split, so the full amount is retained here and in Balance Sheet H38. Cash/RE effect ≤ ~$12m; EPS unaffected (historical RE residual 6–9m/qtr, Share Count I43).</t>
  </si>
  <si>
    <t>Stock options exercised</t>
  </si>
  <si>
    <t>Other financing activities</t>
  </si>
  <si>
    <t>CFF</t>
  </si>
  <si>
    <t>Net change in cash incl. restricted</t>
  </si>
  <si>
    <t>Beginning cash incl. restricted</t>
  </si>
  <si>
    <t>Ending cash incl. restricted</t>
  </si>
  <si>
    <t>Chk: end cash − BS total cash</t>
  </si>
  <si>
    <t>C:G = historical source tie. H (3Q26E) = articulation/wiring check only: 3Q26E CF lines are BS deltas and BS cash (H10) is the balancing plug, so H61 tests mapping completeness, not the forecast.</t>
  </si>
  <si>
    <t>Chk: Δ cash − BS Δ total cash</t>
  </si>
  <si>
    <t>D/F/G = historical source tie. H (3Q26E) = articulation/wiring check only (CF lines are BS deltas; BS cash is the plug); tests mapping completeness, not the forecast.</t>
  </si>
  <si>
    <t>Cash-flow metrics and 3Q26E assumptions</t>
  </si>
  <si>
    <t>Capital expenditures (cash)</t>
  </si>
  <si>
    <t>Free cash flow: not issuer-defined by Schwab — not reported (CFO for a broker/bank is dominated by client balance flows)</t>
  </si>
  <si>
    <t>3Q26E capex assumption</t>
  </si>
  <si>
    <t>Capex 160 (original assumption, retained) = 2.24% of 3Q26E revenue (IS H27); 9M26 cash capex 485 = 2.34% of revenue vs FY26 guide 3–5% of revenue (Guidance row 25, S7). Guide basis unconfirmed: cash capex excludes the 2Q26 $633m non-cash software licence (B67 comment); including it, 9M26 ≈ 5.4%. Unresolved definitional difference; EPS unaffected.</t>
  </si>
  <si>
    <t>3Q26E LTD issuance (net)</t>
  </si>
  <si>
    <t>Reported year-to-date cash flows (as filed)</t>
  </si>
  <si>
    <t>YTD period (as filed)</t>
  </si>
  <si>
    <t>9M25 YTD</t>
  </si>
  <si>
    <t>FY25 YTD</t>
  </si>
  <si>
    <t>FY25 (= D)</t>
  </si>
  <si>
    <t>3M26 YTD</t>
  </si>
  <si>
    <t>6M26 YTD</t>
  </si>
  <si>
    <t>Rows 72–115 are cumulative year-to-date as filed, not quarters (row 116 = BOY cash, row 117 = check): C = 9M25, D = FY25, E = FY25 duplicate of D (FY column), F = 3M26, G = 6M26. Historical quarterly CF lines in C/D/G that are not linked to the IS equal YTD − prior YTD (rows 121–161); E and F use YTD directly; H (3Q26E) is balance-sheet-delta based.</t>
  </si>
  <si>
    <t>YTD: Net income</t>
  </si>
  <si>
    <t>YTD: Share-based compensation</t>
  </si>
  <si>
    <t>YTD: Depreciation &amp; amortization</t>
  </si>
  <si>
    <t>YTD: Amort. of acquired intangibles</t>
  </si>
  <si>
    <t>YTD: Deferred income taxes</t>
  </si>
  <si>
    <t>YTD: Premium amort. (AFS/HTM)</t>
  </si>
  <si>
    <t>YTD: Other non-cash items</t>
  </si>
  <si>
    <t>YTD: Δ segregated investments</t>
  </si>
  <si>
    <t>YTD: Δ receivables from brokers</t>
  </si>
  <si>
    <t>YTD: Δ receivables from clients</t>
  </si>
  <si>
    <t>YTD: Δ other assets</t>
  </si>
  <si>
    <t>YTD: Δ payables to brokers</t>
  </si>
  <si>
    <t>YTD: Δ payables to clients</t>
  </si>
  <si>
    <t>YTD: Δ accrued &amp; other liabs</t>
  </si>
  <si>
    <t>YTD: Purchases of AFS securities</t>
  </si>
  <si>
    <t>YTD: Sales of AFS securities</t>
  </si>
  <si>
    <t>YTD: AFS principal payments</t>
  </si>
  <si>
    <t>YTD: Purchases of HTM securities</t>
  </si>
  <si>
    <t>YTD: HTM principal payments</t>
  </si>
  <si>
    <t>YTD: Net change in bank loans</t>
  </si>
  <si>
    <t>YTD: Acquisition, net of cash</t>
  </si>
  <si>
    <t>YTD: Capex (equipment &amp; facilities)</t>
  </si>
  <si>
    <t>YTD: Purchases of FHLB stock</t>
  </si>
  <si>
    <t>YTD: Sales of FHLB stock</t>
  </si>
  <si>
    <t>YTD: Purchases of FRB stock</t>
  </si>
  <si>
    <t>YTD: Sales of FRB stock</t>
  </si>
  <si>
    <t>YTD: Other investing activities</t>
  </si>
  <si>
    <t>YTD: Net change in bank deposits</t>
  </si>
  <si>
    <t>YTD: Proceeds from FHLB borrowings</t>
  </si>
  <si>
    <t>YTD: Repayments of FHLB borrowings</t>
  </si>
  <si>
    <t>YTD: Other ST borrowings issued</t>
  </si>
  <si>
    <t>YTD: Other ST borrowings repaid</t>
  </si>
  <si>
    <t>YTD: Issuances of long-term debt</t>
  </si>
  <si>
    <t>YTD: Repayments of long-term debt</t>
  </si>
  <si>
    <t>YTD: Repurchases of common stock</t>
  </si>
  <si>
    <t>YTD: Preferred issuance, net</t>
  </si>
  <si>
    <t>YTD: Redemption of preferred stock</t>
  </si>
  <si>
    <t>YTD: Dividends paid</t>
  </si>
  <si>
    <t>YTD: Stock options exercised</t>
  </si>
  <si>
    <t>YTD: Other financing activities</t>
  </si>
  <si>
    <t>YTD rep.: CFO</t>
  </si>
  <si>
    <t>YTD rep.: CFI</t>
  </si>
  <si>
    <t>YTD rep.: CFF</t>
  </si>
  <si>
    <t>YTD: Δ cash incl. restricted</t>
  </si>
  <si>
    <t>BOY cash incl. restricted</t>
  </si>
  <si>
    <t>Chk: YTD lines − YTD totals</t>
  </si>
  <si>
    <t>Prior year-to-date (deducted to derive the quarter)</t>
  </si>
  <si>
    <t>Prior YTD period (as filed)</t>
  </si>
  <si>
    <t>6M25 YTD</t>
  </si>
  <si>
    <t>Prior YTD deducted to derive the quarter: C = 6M25 (for 3Q25), D = 9M25 (for 4Q25), G = 3M26 (for 2Q26). E (FY) and F (1Q26 = 3M YTD) need no prior period and are blank, not zero.</t>
  </si>
  <si>
    <t>Prior: Net income</t>
  </si>
  <si>
    <t>Prior: Share-based compensation</t>
  </si>
  <si>
    <t>Prior: Depreciation &amp; amortization</t>
  </si>
  <si>
    <t>Prior: Amort. of acquired intangibles</t>
  </si>
  <si>
    <t>Prior: Deferred income taxes</t>
  </si>
  <si>
    <t>Prior: Premium amort. (AFS/HTM)</t>
  </si>
  <si>
    <t>Prior: Other non-cash items</t>
  </si>
  <si>
    <t>Prior: Δ segregated investments</t>
  </si>
  <si>
    <t>Prior: Δ receivables from brokers</t>
  </si>
  <si>
    <t>Prior: Δ receivables from clients</t>
  </si>
  <si>
    <t>Prior: Δ other assets</t>
  </si>
  <si>
    <t>Prior: Δ payables to brokers</t>
  </si>
  <si>
    <t>Prior: Δ payables to clients</t>
  </si>
  <si>
    <t>Prior: Δ accrued &amp; other liabs</t>
  </si>
  <si>
    <t>Prior: Purchases of AFS securities</t>
  </si>
  <si>
    <t>Prior: Sales of AFS securities</t>
  </si>
  <si>
    <t>Prior: AFS principal payments</t>
  </si>
  <si>
    <t>Prior: Purchases of HTM securities</t>
  </si>
  <si>
    <t>Prior: HTM principal payments</t>
  </si>
  <si>
    <t>Prior: Net change in bank loans</t>
  </si>
  <si>
    <t>Prior: Acquisition, net of cash</t>
  </si>
  <si>
    <t>Prior: Capex (equipment &amp; facilities)</t>
  </si>
  <si>
    <t>Prior: Purchases of FHLB stock</t>
  </si>
  <si>
    <t>Prior: Sales of FHLB stock</t>
  </si>
  <si>
    <t>Prior: Purchases of FRB stock</t>
  </si>
  <si>
    <t>Prior: Sales of FRB stock</t>
  </si>
  <si>
    <t>Prior: Other investing activities</t>
  </si>
  <si>
    <t>Prior: Net change in bank deposits</t>
  </si>
  <si>
    <t>Prior: Proceeds from FHLB borrowings</t>
  </si>
  <si>
    <t>Prior: Repayments of FHLB borrowings</t>
  </si>
  <si>
    <t>Prior: Other ST borrowings issued</t>
  </si>
  <si>
    <t>Prior: Other ST borrowings repaid</t>
  </si>
  <si>
    <t>Prior: Issuances of long-term debt</t>
  </si>
  <si>
    <t>Prior: Repayments of long-term debt</t>
  </si>
  <si>
    <t>Prior: Repurchases of common stock</t>
  </si>
  <si>
    <t>Prior: Preferred issuance, net</t>
  </si>
  <si>
    <t>Prior: Redemption of preferred stock</t>
  </si>
  <si>
    <t>Prior: Dividends paid</t>
  </si>
  <si>
    <t>Prior: Stock options exercised</t>
  </si>
  <si>
    <t>Prior: Other financing activities</t>
  </si>
  <si>
    <t>Prior YTD: Δ cash incl. restricted</t>
  </si>
  <si>
    <t>Share Count</t>
  </si>
  <si>
    <t>Period-end shares (millions)</t>
  </si>
  <si>
    <t>Common shares issued</t>
  </si>
  <si>
    <t>Treasury shares</t>
  </si>
  <si>
    <t>Common shares outstanding, period end</t>
  </si>
  <si>
    <t xml:space="preserve">   Q/Q change (m)</t>
  </si>
  <si>
    <t>Weighted-average shares (millions)</t>
  </si>
  <si>
    <t>Weighted-average basic shares</t>
  </si>
  <si>
    <t>Dilutive securities (diluted − basic)</t>
  </si>
  <si>
    <t>Weighted-average diluted shares</t>
  </si>
  <si>
    <t>Buybacks, issuance and dividends</t>
  </si>
  <si>
    <t>Common share repurchases ($m, cash)</t>
  </si>
  <si>
    <t>Average repurchase price ($)</t>
  </si>
  <si>
    <t>3Q26E $106 = original judgmental input; no 3Q26 execution price in preserved sources (last close $96.70, 52-wk 83.96–114.53). At $96.70 EPS ≈ +$0.0002. Unresolved, retained.</t>
  </si>
  <si>
    <t>Shares repurchased (m)</t>
  </si>
  <si>
    <t>Shares issued under equity plans (m)</t>
  </si>
  <si>
    <t>Convention: 0.8m equity-plan shares are reissued from treasury (H11 = H10 − H12), at 0.5 weight in average shares. No treasury-cost/APIC reclass (~$50m at ~$62.81 avg treasury cost) is booked in Balance Sheet H39, and no option-exercise cash is forecast (Cash Flow H54 = 0 by assumption, not observed). Total equity, cash and EPS unaffected; unresolved ancillary scope.</t>
  </si>
  <si>
    <t>Intra-quarter weighting factor</t>
  </si>
  <si>
    <t>DPS declared ($)</t>
  </si>
  <si>
    <t>Common dividends ($m)</t>
  </si>
  <si>
    <t>Convention: DPS × weighted-average basic shares (not record-date shares); historical RE rollforward leaves ~$6–9m/qtr residual, not plugged.</t>
  </si>
  <si>
    <t>Diluted shares behind 3Q26E EPS (m)</t>
  </si>
  <si>
    <t>Guidance (management scenarios) and record</t>
  </si>
  <si>
    <t>Guidance given — B metric | C date | D period | E low | F high | G midpoint | H actual / latest | I beat/miss</t>
  </si>
  <si>
    <t>Date</t>
  </si>
  <si>
    <t>Low</t>
  </si>
  <si>
    <t>High</t>
  </si>
  <si>
    <t>Midpoint</t>
  </si>
  <si>
    <t>Actual</t>
  </si>
  <si>
    <t>Beat / miss</t>
  </si>
  <si>
    <t>Source</t>
  </si>
  <si>
    <t>Total revenue growth</t>
  </si>
  <si>
    <t>FY25</t>
  </si>
  <si>
    <t>S12</t>
  </si>
  <si>
    <t>Adjusted diluted EPS</t>
  </si>
  <si>
    <t>FY26</t>
  </si>
  <si>
    <t>pending</t>
  </si>
  <si>
    <t>Pending (FY26 not reported)</t>
  </si>
  <si>
    <t>S13</t>
  </si>
  <si>
    <t>Net interest margin</t>
  </si>
  <si>
    <t>Adjusted expense growth</t>
  </si>
  <si>
    <t>S14</t>
  </si>
  <si>
    <t>S3</t>
  </si>
  <si>
    <t>Net interest margin (quarter average)</t>
  </si>
  <si>
    <t>4Q26</t>
  </si>
  <si>
    <t>Daily average trades (millions, point)</t>
  </si>
  <si>
    <t>Adjusted Tier 1 leverage ratio</t>
  </si>
  <si>
    <t>Ongoing</t>
  </si>
  <si>
    <t>S1</t>
  </si>
  <si>
    <t>Capital expenditures, % of revenue</t>
  </si>
  <si>
    <t>S7</t>
  </si>
  <si>
    <t>Record: FY25 revenue and EPS beat the July-25 range; FY26 revenue guide raised twice (Jan → May → Jul) — conservative guider</t>
  </si>
  <si>
    <t>3Q26 implied by the latest FY26 guidance midpoints (derived; Schwab gives no quarterly guidance)</t>
  </si>
  <si>
    <t>FY26 revenue at growth midpoint</t>
  </si>
  <si>
    <t>Less: 1H26 reported revenue</t>
  </si>
  <si>
    <t>2H26 implied revenue</t>
  </si>
  <si>
    <t>3Q26 share of 2H26 revenue</t>
  </si>
  <si>
    <t>3Q26 implied revenue</t>
  </si>
  <si>
    <t>FY26 adj. expenses at midpoint</t>
  </si>
  <si>
    <t>2H26 implied adjusted expenses</t>
  </si>
  <si>
    <t>3Q26 share of 2H26 adj. expenses</t>
  </si>
  <si>
    <t>3Q26 adjusted expenses implied</t>
  </si>
  <si>
    <t>3Q26 implied adj. pre-tax</t>
  </si>
  <si>
    <t>3Q26 implied adj. NI to common</t>
  </si>
  <si>
    <t>Tax at model adjusted-basis ETR (GAAP tax + tax effect of adjustments) / adjusted pre-tax, not GAAP ETR (IS!H60).</t>
  </si>
  <si>
    <t>3Q26 implied adj. EPS</t>
  </si>
  <si>
    <t>Model 3Q26E NIM (memo)</t>
  </si>
  <si>
    <t>Inputs — CapIQ snapshot, memo actuals and prior calibration</t>
  </si>
  <si>
    <t>A. CapIQ summary row (SCHW_consensus.json → summary_row), complete and unmodified; blanks preserved</t>
  </si>
  <si>
    <t>Field  |  value in column C</t>
  </si>
  <si>
    <t>ticker</t>
  </si>
  <si>
    <t>company_name</t>
  </si>
  <si>
    <t>exchange_ticker</t>
  </si>
  <si>
    <t>NYSE:SCHW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</si>
  <si>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</si>
  <si>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</si>
  <si>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</si>
  <si>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</si>
  <si>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</si>
  <si>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</si>
  <si>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</si>
  <si>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</si>
  <si>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</si>
  <si>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</si>
  <si>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</si>
  <si>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</si>
  <si>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</si>
  <si>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</si>
  <si>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</si>
  <si>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</si>
  <si>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</si>
  <si>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</si>
  <si>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</si>
  <si>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</si>
  <si>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</si>
  <si>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</si>
  <si>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</si>
  <si>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</si>
  <si>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</si>
  <si>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</si>
  <si>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</si>
  <si>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</si>
  <si>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</si>
  <si>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</si>
  <si>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</si>
  <si>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</si>
  <si>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</si>
  <si>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</si>
  <si>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</si>
  <si>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</si>
  <si>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</si>
  <si>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</si>
  <si>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</si>
  <si>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</si>
  <si>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</si>
  <si>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</si>
  <si>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</si>
  <si>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</si>
  <si>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</si>
  <si>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</si>
  <si>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</si>
  <si>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</si>
  <si>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</si>
  <si>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</si>
  <si>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</si>
  <si>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</si>
  <si>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</si>
  <si>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</si>
  <si>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</si>
  <si>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</si>
  <si>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</si>
  <si>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</si>
  <si>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</si>
  <si>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</si>
  <si>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</si>
  <si>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</si>
  <si>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</si>
  <si>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</si>
  <si>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</si>
  <si>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</si>
  <si>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</si>
  <si>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114.53/83.96</t>
  </si>
  <si>
    <t>currency</t>
  </si>
  <si>
    <t>units</t>
  </si>
  <si>
    <t>per-share in USD; revenue and income in USD millions</t>
  </si>
  <si>
    <t>estimates_captured_at</t>
  </si>
  <si>
    <t>notes</t>
  </si>
  <si>
    <t>A GAAP EPS "Guidance 0.32" value on the CapIQ page looks like a different line item and was excluded.</t>
  </si>
  <si>
    <t>B. CapIQ consensus file header fields</t>
  </si>
  <si>
    <t>source</t>
  </si>
  <si>
    <t>S&amp;P Capital IQ</t>
  </si>
  <si>
    <t>company</t>
  </si>
  <si>
    <t>fiscal_period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</si>
  <si>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</si>
  <si>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</si>
  <si>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</si>
  <si>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</si>
  <si>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</si>
  <si>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</si>
  <si>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</si>
  <si>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</si>
  <si>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</si>
  <si>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</si>
  <si>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</si>
  <si>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</si>
  <si>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C. CapIQ history (SCHW_history.csv), all six rows as supplied</t>
  </si>
  <si>
    <t>report_date</t>
  </si>
  <si>
    <t>EPS n. cons</t>
  </si>
  <si>
    <t>EPS n. act</t>
  </si>
  <si>
    <t>EPS g. cons</t>
  </si>
  <si>
    <t>EPS g. act</t>
  </si>
  <si>
    <t>Rev cons</t>
  </si>
  <si>
    <t>Rev act</t>
  </si>
  <si>
    <t>Beat (1/0)</t>
  </si>
  <si>
    <t>Surprise $</t>
  </si>
  <si>
    <t>Rev surp.</t>
  </si>
  <si>
    <t>Strict beats (b) / mean surprise</t>
  </si>
  <si>
    <t>D. Size-aware starting probability (playbook v2) — feeds Cover P(beat)</t>
  </si>
  <si>
    <t>Market cap ($bn), 2026-10-09 close</t>
  </si>
  <si>
    <t>S&amp;P 500 member (CapIQ sp500_member)</t>
  </si>
  <si>
    <t>Large-cap threshold ($bn)</t>
  </si>
  <si>
    <t>Mid-cap threshold ($bn)</t>
  </si>
  <si>
    <t>Size bucket</t>
  </si>
  <si>
    <t>Cohort prior: large / S&amp;P 500</t>
  </si>
  <si>
    <t>Playbook v2 (forecasting-playbook.md, preserved run file): cohort prior 0.60 small / 0.70 mid / 0.78 large OR S&amp;P 500 (applied once); pseudo-count 8 is a fixed regularization weight. Reference only: FactSet 31-Jul-2026 S&amp;P 500 five-year beat average 78%. Rounded hypotheses, not fitted probabilities.</t>
  </si>
  <si>
    <t>Cohort prior: mid cap</t>
  </si>
  <si>
    <t>Cohort prior: small cap</t>
  </si>
  <si>
    <t>Cohort prior (applied once)</t>
  </si>
  <si>
    <t>Strict beats b (six CapIQ pairs)</t>
  </si>
  <si>
    <t>Valid pairs n</t>
  </si>
  <si>
    <t>Pseudo-count (fixed)</t>
  </si>
  <si>
    <t>Starting p = (k*prior + b)/(k + n)</t>
  </si>
  <si>
    <t>Quarter evidence update (pp)</t>
  </si>
  <si>
    <t>Judgmental (original forecaster): model EPS sits on consensus (1.664 vs 1.66, ties at 2dp); BofA trimmed 3Q26 to $1.66 on lower IEA; trading activity cooled in Sept (IBKR −4% m/m). Partial offsets: record Aug core NNA, Sept 16 Fed hike. No quantitative derivation; source-limited.</t>
  </si>
  <si>
    <t>Final P(beat consensus EPS)</t>
  </si>
  <si>
    <t>medium</t>
  </si>
  <si>
    <t>E. Memo actuals used to reconcile FY25 to quarters (1H25 = six months ended 2025-06-30, as reported)</t>
  </si>
  <si>
    <t>Line  |  C = 1H25 reported (6M 2025)  |  D = FY25 as reported (10-K)</t>
  </si>
  <si>
    <t>Acq./integration costs (pre-tax)</t>
  </si>
  <si>
    <t>Tax effects of adjustments</t>
  </si>
  <si>
    <t>IS seg: Net interest revenue</t>
  </si>
  <si>
    <t>IS seg: Asset mgmt &amp; admin fees</t>
  </si>
  <si>
    <t>IS seg: Trading revenue</t>
  </si>
  <si>
    <t>IS seg: Bank deposit account fees</t>
  </si>
  <si>
    <t>IS seg: Other revenue</t>
  </si>
  <si>
    <t>IS seg: Compensation &amp; benefits</t>
  </si>
  <si>
    <t>IS seg: Professional services</t>
  </si>
  <si>
    <t>IS seg: Occupancy &amp; equipment</t>
  </si>
  <si>
    <t>IS seg: Advertising &amp; mkt development</t>
  </si>
  <si>
    <t>IS seg: Communications</t>
  </si>
  <si>
    <t>IS seg: Depreciation &amp; amortization</t>
  </si>
  <si>
    <t>IS seg: Amort. of acquired intangibles</t>
  </si>
  <si>
    <t>IS seg: Regulatory fees &amp; assessments</t>
  </si>
  <si>
    <t>IS seg: Other expense</t>
  </si>
  <si>
    <t>AS seg: Net interest revenue</t>
  </si>
  <si>
    <t>AS seg: Asset mgmt &amp; admin fees</t>
  </si>
  <si>
    <t>AS seg: Trading revenue</t>
  </si>
  <si>
    <t>AS seg: Bank deposit account fees</t>
  </si>
  <si>
    <t>AS seg: Other revenue</t>
  </si>
  <si>
    <t>AS seg: Compensation &amp; benefits</t>
  </si>
  <si>
    <t>AS seg: Professional services</t>
  </si>
  <si>
    <t>AS seg: Occupancy &amp; equipment</t>
  </si>
  <si>
    <t>AS seg: Advertising &amp; mkt development</t>
  </si>
  <si>
    <t>AS seg: Communications</t>
  </si>
  <si>
    <t>AS seg: Depreciation &amp; amortization</t>
  </si>
  <si>
    <t>AS seg: Amort. of acquired intangibles</t>
  </si>
  <si>
    <t>AS seg: Regulatory fees &amp; assessments</t>
  </si>
  <si>
    <t>AS seg: Other expense</t>
  </si>
  <si>
    <t>NNA ($bn), total company</t>
  </si>
  <si>
    <t>NNA ($bn), Investor Services</t>
  </si>
  <si>
    <t>NNA ($bn), Advisor Services</t>
  </si>
  <si>
    <t>Market gains ($bn), total</t>
  </si>
  <si>
    <t>New brokerage accounts (000s)</t>
  </si>
  <si>
    <t>1Q25 DATs (000s) / trading days</t>
  </si>
  <si>
    <t>2Q25 DATs (000s) / trading days</t>
  </si>
  <si>
    <t>Client assets Dec-24: tot/IS/AS</t>
  </si>
  <si>
    <t>Client assets Jun-25: tot/IS/AS</t>
  </si>
  <si>
    <t>Active accts Dec-24 / Jun-25</t>
  </si>
  <si>
    <t>BDA bal. Jun-25 / Dec-24 ($bn)</t>
  </si>
  <si>
    <t>FY25 net revenues (10-K)</t>
  </si>
  <si>
    <t>FY25 net income (10-K)</t>
  </si>
  <si>
    <t>FY24 net revenues (10-K)</t>
  </si>
  <si>
    <t>FY25 adj. expenses (4Q25 rel.)</t>
  </si>
  <si>
    <t>1H26 adj. expenses (2Q26 rel.)</t>
  </si>
  <si>
    <t>Reported adj. EPS (C..G)</t>
  </si>
  <si>
    <t>Reported GAAP EPS (C..G)</t>
  </si>
  <si>
    <t>Sources</t>
  </si>
  <si>
    <t>Sources — B ID | C publication date | D publisher | E URL or file | F what it feeds | G retrieved (UTC)</t>
  </si>
  <si>
    <t>ID</t>
  </si>
  <si>
    <t>Published</t>
  </si>
  <si>
    <t>Publisher</t>
  </si>
  <si>
    <t>URL / file</t>
  </si>
  <si>
    <t>Feeds</t>
  </si>
  <si>
    <t>Retrieved (UTC)</t>
  </si>
  <si>
    <t>Charles Schwab (SEC 8-K Ex.99.1)</t>
  </si>
  <si>
    <t>https://www.sec.gov/Archives/edgar/data/316709/000031670926000027/a2q26exhibit991.htm</t>
  </si>
  <si>
    <t>2Q26/1Q26/4Q25/3Q25 income statement, NII and AMA tables, client assets, monthly data, non-GAAP bridge</t>
  </si>
  <si>
    <t>S2</t>
  </si>
  <si>
    <t>Charles Schwab (SEC 10-Q 2Q26)</t>
  </si>
  <si>
    <t>https://www.sec.gov/Archives/edgar/data/316709/000031670926000031/schw-20260630.htm</t>
  </si>
  <si>
    <t>Segment tables, balance sheet Jun-26, 6M26/6M25 cash flows, Forge revenue, equity roll</t>
  </si>
  <si>
    <t>The Motley Fool (2Q26 call transcript)</t>
  </si>
  <si>
    <t>https://www.fool.com/earnings/call-transcripts/2026/07/21/schwab-schw-q2-2026-earnings-call-transcript/</t>
  </si>
  <si>
    <t>FY26 scenario: revenue +17.5–18.5%, NIM 3.00–3.10%, 4Q NIM 3.25–3.30%, expenses +9.5–10.5%, DATs 10.6M</t>
  </si>
  <si>
    <t>S4</t>
  </si>
  <si>
    <t>Business Wire / Yahoo Finance (July 2026 monthly activity)</t>
  </si>
  <si>
    <t>https://finance.yahoo.com/markets/stocks/articles/schwab-reports-monthly-activity-highlights-124500778.html</t>
  </si>
  <si>
    <t>July NNA, market gains, DATs, margin, sweep cash, IEA</t>
  </si>
  <si>
    <t>S5</t>
  </si>
  <si>
    <t>Charles Schwab pressroom (August 2026 monthly activity)</t>
  </si>
  <si>
    <t>https://pressroom.aboutschwab.com/press-releases/press-release/2026/Schwab-Reports-Monthly-Activity-Highlights-7c5bb81a9/default.aspx</t>
  </si>
  <si>
    <t>August NNA, market gains, DATs, accounts, margin, sweep cash, IEA, derivative %</t>
  </si>
  <si>
    <t>S6</t>
  </si>
  <si>
    <t>Charles Schwab (SEC 10-Q 3Q25)</t>
  </si>
  <si>
    <t>https://www.sec.gov/Archives/edgar/data/316709/000031670925000051/schw-20250930.htm</t>
  </si>
  <si>
    <t>3Q25 segments, balance sheet Sep-25, 9M25 cash flows</t>
  </si>
  <si>
    <t>Charles Schwab (SEC 10-K FY25)</t>
  </si>
  <si>
    <t>https://www.sec.gov/Archives/edgar/data/316709/000031670926000009/schw-20251231.htm</t>
  </si>
  <si>
    <t>FY25 segments and expenses; Geo check (no geographic split disclosed); capex 3–5% of revenue</t>
  </si>
  <si>
    <t>S8</t>
  </si>
  <si>
    <t>Charles Schwab (SEC 10-K XBRL R9)</t>
  </si>
  <si>
    <t>https://www.sec.gov/Archives/edgar/data/316709/000031670926000009/R9.htm</t>
  </si>
  <si>
    <t>FY25 cash flow statement</t>
  </si>
  <si>
    <t>S9</t>
  </si>
  <si>
    <t>Charles Schwab (SEC 10-Q 1Q26)</t>
  </si>
  <si>
    <t>https://www.sec.gov/Archives/edgar/data/316709/000031670926000019/schw-20260331.htm</t>
  </si>
  <si>
    <t>1Q26 segments, balance sheet Mar-26, 3M26 cash flows</t>
  </si>
  <si>
    <t>S10</t>
  </si>
  <si>
    <t>Charles Schwab (SEC 8-K Ex.99.1, 4Q25)</t>
  </si>
  <si>
    <t>https://www.sec.gov/Archives/edgar/data/316709/000031670926000004/a4q25exhibit991.htm</t>
  </si>
  <si>
    <t>4Q25/FY25 IS, NII and AMA tables, FY25 adjusted expenses $11,950m, Dec-24 client assets</t>
  </si>
  <si>
    <t>S11</t>
  </si>
  <si>
    <t>2025-10-16 / 2026-04-16</t>
  </si>
  <si>
    <t>Charles Schwab (SEC 8-K Ex.99.1, 3Q25 and 1Q26)</t>
  </si>
  <si>
    <t>https://www.sec.gov/Archives/edgar/data/316709/000031670925000046/a3q25exhibit991.htm ; https://www.sec.gov/Archives/edgar/data/316709/000031670926000016/a1q26exhibit991.htm</t>
  </si>
  <si>
    <t>3Q25 and 1Q26 NII/AMA tables and non-GAAP bridges</t>
  </si>
  <si>
    <t>MarketBeat (2Q25 call summary)</t>
  </si>
  <si>
    <t>https://www.marketbeat.com/earnings/reports/2025-7-18-the-charles-schwab-co-stock/</t>
  </si>
  <si>
    <t>FY25 guidance: revenue +18.5–19.5%, adj. EPS $4.55–4.65</t>
  </si>
  <si>
    <t>MarketBeat / Yahoo Finance (Winter Business Update)</t>
  </si>
  <si>
    <t>https://www.marketbeat.com/earnings/reports/2026-1-21-the-charles-schwab-co-stock/</t>
  </si>
  <si>
    <t>FY26 initial scenario: revenue +9.5–10.5%, NIM 2.85–2.95%, expenses +5.5–6.5%, EPS $5.70–5.80</t>
  </si>
  <si>
    <t>Yahoo Finance (Zacks) / Intellectia</t>
  </si>
  <si>
    <t>https://finance.yahoo.com/markets/stocks/articles/schw-ups-2026-outlook-targets-142500776.html</t>
  </si>
  <si>
    <t>Investor Day FY26 scenario: revenue +14–15%; expenses +8.5–9.5%</t>
  </si>
  <si>
    <t>S15</t>
  </si>
  <si>
    <t>S&amp;P Capital IQ (supplied files)</t>
  </si>
  <si>
    <t>SCHW_consensus.json (file sha256 cad8d301…; header field summary_sha256 edbf949d… = Inputs!C94, as recorded — hashed object not independently reproduced); SCHW_history.csv (file sha256 d4a1df0a…)</t>
  </si>
  <si>
    <t>Frozen consensus (EPS $1.66, revenue $7,199.92m, 19 EPS estimates), six-quarter beat history</t>
  </si>
  <si>
    <t>S16</t>
  </si>
  <si>
    <t>Investing.com (BofA note)</t>
  </si>
  <si>
    <t>https://uk.investing.com/news/stock-market-news/bofa-raises-charles-schwab-stock-price-target-on-higher-revenue-outlook-93CH-4895062</t>
  </si>
  <si>
    <t>BofA 3Q26 EPS trimmed to $1.66 on lower IEA; Sept NNA ~$80bn; $2.6bn notes</t>
  </si>
  <si>
    <t>S17</t>
  </si>
  <si>
    <t>Earnings Whispers</t>
  </si>
  <si>
    <t>https://beta.earningswhispers.com/article/SCHW/20337</t>
  </si>
  <si>
    <t>Street $1.66 / $7.20bn, whisper $1.68, report date 15-Oct-26 BMO</t>
  </si>
  <si>
    <t>S18</t>
  </si>
  <si>
    <t>Federal Reserve</t>
  </si>
  <si>
    <t>https://www.federalreserve.gov/newsevents/pressreleases/monetary20260916a.htm</t>
  </si>
  <si>
    <t>25bp hike to 3.75–4.00% (IORB 3.90% eff. 17-Sep-26) — yield step-ups</t>
  </si>
  <si>
    <t>S19</t>
  </si>
  <si>
    <t>2026-10-01 / 2026-09-28</t>
  </si>
  <si>
    <t>Newsquawk (IBKR Sept DARTs) / ad-hoc-news (Robinhood Sept MTD)</t>
  </si>
  <si>
    <t>https://www.newsquawk.com/headlines/interactive-brokers-ibkr-september-darts-411mn--4-mm ; https://www.ad-hoc-news.de/boerse/news/nachboerse/robinhood-stock-after-hours-company-reports-september-trading-volumes/70199804</t>
  </si>
  <si>
    <t>Peer read-through for September DATs</t>
  </si>
  <si>
    <t>S20</t>
  </si>
  <si>
    <t>StockAnalysis.com</t>
  </si>
  <si>
    <t>https://stockanalysis.com/stocks/schw/market-cap/</t>
  </si>
  <si>
    <t>Market cap $167.23bn (prior calibration size bucket)</t>
  </si>
  <si>
    <t>S21</t>
  </si>
  <si>
    <t>Morningstar / Dow Jones; MarketScreener (Reuters)</t>
  </si>
  <si>
    <t>https://www.morningstar.com/news/dow-jones/202609307962/sp-500-rises-203-this-quarter-to-765154-data-talk</t>
  </si>
  <si>
    <t>S&amp;P 500 3Q26 +2.03% to 7,651.54; Sept −0.45% — AMA asset growth, Sept market gains</t>
  </si>
  <si>
    <t>S22</t>
  </si>
  <si>
    <t>Charles Schwab (SEC 8-K)</t>
  </si>
  <si>
    <t>https://www.sec.gov/Archives/edgar/data/316709/000119312526347083/d42452d8k.htm</t>
  </si>
  <si>
    <t>$2.6bn senior notes (LTD, interest expense)</t>
  </si>
  <si>
    <t>S23</t>
  </si>
  <si>
    <t>2026-07-23 / 2026-05-04</t>
  </si>
  <si>
    <t>Charles Schwab pressroom</t>
  </si>
  <si>
    <t>https://pressroom.aboutschwab.com/press-releases/press-release/2026/Schwab-Declares-Quarterly-Common-Stock-Dividend-and-Declares-Preferred-Stock-Dividends-c3172a394/default.aspx</t>
  </si>
  <si>
    <t>Common DPS $0.32; preferred series dividends; Series I redemption</t>
  </si>
  <si>
    <t>S24</t>
  </si>
  <si>
    <t>Charles Schwab pressroom (STAX September)</t>
  </si>
  <si>
    <t>https://pressroom.aboutschwab.com/press-releases/press-release/2026/Schwab-Trading-Activity-Index-STAX-Score-up-in-September-Despite-Inflation-Concerns/default.aspx</t>
  </si>
  <si>
    <t>September client engagement read</t>
  </si>
  <si>
    <t>Omitted tab: Geo — the 2025 Form 10-K (S7) discloses no geographic revenue split; revenue is effectively all US, noted on Revenue summary.</t>
  </si>
  <si>
    <t>Inputs tab carries the complete CapIQ summary row and six history rows (required by the task) plus memo actuals and the prior calibration.</t>
  </si>
  <si>
    <t>Target-quarter (3Q26) actual results were not available at the cutoff and are not used anywhere in this model.</t>
  </si>
  <si>
    <t>Retrieved dates are date-only (2026-10-12) and may post-date the 2026-10-11 22:24 UTC cutoff; all cited items were published on or before the cutoff date (S15 CapIQ capture 2026-10-11; all others on or before 2026-10-09). No capture timestamps or frozen page snapshots are asserted (documented limitation, not post-cutoff information).</t>
  </si>
</sst>
</file>

<file path=xl/styles.xml><?xml version="1.0" encoding="utf-8"?>
<styleSheet xmlns="http://schemas.openxmlformats.org/spreadsheetml/2006/main">
  <numFmts count="9">
    <numFmt numFmtId="164" formatCode="0.0%_);(0.0%);&quot;–&quot;_)"/>
    <numFmt numFmtId="165" formatCode="$0.00_);($0.00);&quot;–&quot;_)"/>
    <numFmt numFmtId="166" formatCode="General"/>
    <numFmt numFmtId="167" formatCode="#,##0.0_);(#,##0.0);&quot;–&quot;_)"/>
    <numFmt numFmtId="168" formatCode="0_)"/>
    <numFmt numFmtId="169" formatCode="0.00%_);(0.00%);&quot;–&quot;_)"/>
    <numFmt numFmtId="170" formatCode="yyyy-mm-dd"/>
    <numFmt numFmtId="171" formatCode="#,##0_);(#,##0);&quot;–&quot;_)"/>
    <numFmt numFmtId="172" formatCode="#,##0.00_);(#,##0.00);&quot;–&quot;_)"/>
  </numFmts>
  <fonts count="33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8F0FA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  <border>
      <top style="thin">
        <color rgb="FF000000"/>
      </top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6" fontId="3" fillId="0" borderId="0" xfId="0" applyNumberFormat="1" applyFont="1" applyFill="1" applyAlignment="1" applyProtection="1">
      <alignment horizontal="general" vertical="bottom"/>
      <protection locked="1" hidden="0"/>
    </xf>
    <xf numFmtId="0" fontId="4" fillId="3" borderId="1" xfId="0" applyFont="1" applyFill="1" applyBorder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6" fontId="4" fillId="2" borderId="0" xfId="0" applyNumberFormat="1" applyFont="1" applyFill="1" applyAlignment="1" applyProtection="1">
      <alignment horizontal="general" vertical="bottom"/>
      <protection locked="1" hidden="0"/>
    </xf>
    <xf numFmtId="168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bottom" shrinkToFit="1"/>
      <protection locked="1" hidden="0"/>
    </xf>
    <xf numFmtId="169" fontId="2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165" fontId="6" fillId="0" borderId="0" xfId="0" applyNumberFormat="1" applyFont="1" applyFill="1" applyAlignment="1" applyProtection="1">
      <alignment horizontal="general" vertical="bottom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67" fontId="4" fillId="0" borderId="3" xfId="0" applyNumberFormat="1" applyFont="1" applyFill="1" applyBorder="1" applyAlignment="1" applyProtection="1">
      <alignment horizontal="general" vertical="bottom"/>
      <protection locked="1" hidden="0"/>
    </xf>
    <xf numFmtId="164" fontId="7" fillId="2" borderId="0" xfId="0" applyNumberFormat="1" applyFont="1" applyFill="1" applyAlignment="1" applyProtection="1">
      <alignment horizontal="general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66" fontId="5" fillId="0" borderId="0" xfId="0" applyNumberFormat="1" applyFont="1" applyFill="1" applyAlignment="1" applyProtection="1">
      <alignment horizontal="general" vertical="bottom"/>
      <protection locked="1" hidden="0"/>
    </xf>
    <xf numFmtId="164" fontId="9" fillId="0" borderId="0" xfId="0" applyNumberFormat="1" applyFont="1" applyFill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left" vertical="bottom" shrinkToFit="1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6" fontId="4" fillId="2" borderId="0" xfId="0" applyNumberFormat="1" applyFont="1" applyFill="1" applyAlignment="1" applyProtection="1">
      <alignment horizontal="right" vertical="bottom"/>
      <protection locked="1" hidden="0"/>
    </xf>
    <xf numFmtId="166" fontId="2" fillId="2" borderId="0" xfId="0" applyNumberFormat="1" applyFont="1" applyFill="1" applyAlignment="1" applyProtection="1">
      <alignment horizontal="general" vertical="bottom"/>
      <protection locked="1" hidden="0"/>
    </xf>
    <xf numFmtId="164" fontId="7" fillId="0" borderId="0" xfId="0" applyNumberFormat="1" applyFont="1" applyFill="1" applyAlignment="1" applyProtection="1">
      <alignment horizontal="general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167" fontId="4" fillId="2" borderId="3" xfId="0" applyNumberFormat="1" applyFont="1" applyFill="1" applyBorder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 wrapText="1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71" fontId="5" fillId="0" borderId="0" xfId="0" applyNumberFormat="1" applyFont="1" applyFill="1" applyAlignment="1" applyProtection="1">
      <alignment horizontal="general" vertical="bottom"/>
      <protection locked="1" hidden="0"/>
    </xf>
    <xf numFmtId="167" fontId="5" fillId="2" borderId="0" xfId="0" applyNumberFormat="1" applyFont="1" applyFill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8" fontId="1" fillId="2" borderId="2" xfId="0" applyNumberFormat="1" applyFont="1" applyFill="1" applyBorder="1" applyAlignment="1" applyProtection="1">
      <alignment horizontal="right" vertical="bottom"/>
      <protection locked="1" hidden="0"/>
    </xf>
    <xf numFmtId="164" fontId="10" fillId="2" borderId="0" xfId="0" applyNumberFormat="1" applyFont="1" applyFill="1" applyAlignment="1" applyProtection="1">
      <alignment horizontal="general" vertical="bottom"/>
      <protection locked="1" hidden="0"/>
    </xf>
    <xf numFmtId="167" fontId="6" fillId="0" borderId="0" xfId="0" applyNumberFormat="1" applyFont="1" applyFill="1" applyAlignment="1" applyProtection="1">
      <alignment horizontal="general" vertical="bottom"/>
      <protection locked="1" hidden="0"/>
    </xf>
    <xf numFmtId="165" fontId="4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left" vertical="bottom"/>
      <protection locked="1" hidden="0"/>
    </xf>
    <xf numFmtId="165" fontId="4" fillId="2" borderId="0" xfId="0" applyNumberFormat="1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left" vertical="bottom" shrinkToFit="1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167" fontId="4" fillId="0" borderId="0" xfId="0" applyNumberFormat="1" applyFont="1" applyFill="1" applyAlignment="1" applyProtection="1">
      <alignment horizontal="general" vertical="bottom"/>
      <protection locked="1" hidden="0"/>
    </xf>
    <xf numFmtId="169" fontId="7" fillId="0" borderId="0" xfId="0" applyNumberFormat="1" applyFont="1" applyFill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169" fontId="10" fillId="2" borderId="0" xfId="0" applyNumberFormat="1" applyFont="1" applyFill="1" applyAlignment="1" applyProtection="1">
      <alignment horizontal="general" vertical="bottom"/>
      <protection locked="1" hidden="0"/>
    </xf>
    <xf numFmtId="0" fontId="9" fillId="0" borderId="0" xfId="0" applyFont="1" applyFill="1" applyAlignment="1" applyProtection="1">
      <alignment horizontal="left" vertical="bottom" shrinkToFit="1"/>
      <protection locked="1" hidden="0"/>
    </xf>
    <xf numFmtId="165" fontId="6" fillId="2" borderId="0" xfId="0" applyNumberFormat="1" applyFont="1" applyFill="1" applyAlignment="1" applyProtection="1">
      <alignment horizontal="general" vertical="bottom"/>
      <protection locked="1" hidden="0"/>
    </xf>
    <xf numFmtId="165" fontId="5" fillId="2" borderId="0" xfId="0" applyNumberFormat="1" applyFont="1" applyFill="1" applyAlignment="1" applyProtection="1">
      <alignment horizontal="general" vertical="bottom"/>
      <protection locked="1" hidden="0"/>
    </xf>
    <xf numFmtId="165" fontId="3" fillId="2" borderId="3" xfId="0" applyNumberFormat="1" applyFont="1" applyFill="1" applyBorder="1" applyAlignment="1" applyProtection="1">
      <alignment horizontal="general" vertical="bottom"/>
      <protection locked="1" hidden="0"/>
    </xf>
    <xf numFmtId="164" fontId="9" fillId="2" borderId="0" xfId="0" applyNumberFormat="1" applyFont="1" applyFill="1" applyAlignment="1" applyProtection="1">
      <alignment horizontal="general" vertical="bottom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  <xf numFmtId="166" fontId="4" fillId="2" borderId="0" xfId="0" applyNumberFormat="1" applyFont="1" applyFill="1" applyAlignment="1" applyProtection="1">
      <alignment horizontal="right" vertical="bottom" wrapText="1"/>
      <protection locked="1" hidden="0"/>
    </xf>
    <xf numFmtId="0" fontId="4" fillId="2" borderId="1" xfId="0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70" fontId="6" fillId="0" borderId="0" xfId="0" applyNumberFormat="1" applyFont="1" applyFill="1" applyAlignment="1" applyProtection="1">
      <alignment horizontal="right" vertical="top" wrapText="1"/>
      <protection locked="1" hidden="0"/>
    </xf>
    <xf numFmtId="166" fontId="1" fillId="0" borderId="0" xfId="0" applyNumberFormat="1" applyFont="1" applyFill="1" applyAlignment="1" applyProtection="1">
      <alignment horizontal="general" vertical="top" wrapText="1"/>
      <protection locked="1" hidden="0"/>
    </xf>
    <xf numFmtId="169" fontId="2" fillId="2" borderId="0" xfId="0" applyNumberFormat="1" applyFont="1" applyFill="1" applyAlignment="1" applyProtection="1">
      <alignment horizontal="general" vertical="bottom"/>
      <protection locked="1" hidden="0"/>
    </xf>
    <xf numFmtId="167" fontId="12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top" shrinkToFit="1"/>
      <protection locked="1" hidden="0"/>
    </xf>
    <xf numFmtId="167" fontId="6" fillId="2" borderId="0" xfId="0" applyNumberFormat="1" applyFont="1" applyFill="1" applyAlignment="1" applyProtection="1">
      <alignment horizontal="general" vertical="bottom"/>
      <protection locked="1" hidden="0"/>
    </xf>
    <xf numFmtId="167" fontId="2" fillId="0" borderId="0" xfId="0" applyNumberFormat="1" applyFont="1" applyFill="1" applyAlignment="1" applyProtection="1">
      <alignment horizontal="general" vertical="bottom"/>
      <protection locked="1" hidden="0"/>
    </xf>
    <xf numFmtId="167" fontId="2" fillId="2" borderId="0" xfId="0" applyNumberFormat="1" applyFont="1" applyFill="1" applyAlignment="1" applyProtection="1">
      <alignment horizontal="general" vertical="bottom"/>
      <protection locked="1" hidden="0"/>
    </xf>
    <xf numFmtId="167" fontId="10" fillId="0" borderId="0" xfId="0" applyNumberFormat="1" applyFont="1" applyFill="1" applyAlignment="1" applyProtection="1">
      <alignment horizontal="general" vertical="bottom"/>
      <protection locked="1" hidden="0"/>
    </xf>
    <xf numFmtId="164" fontId="10" fillId="0" borderId="0" xfId="0" applyNumberFormat="1" applyFont="1" applyFill="1" applyAlignment="1" applyProtection="1">
      <alignment horizontal="general" vertical="bottom"/>
      <protection locked="1" hidden="0"/>
    </xf>
    <xf numFmtId="167" fontId="10" fillId="2" borderId="0" xfId="0" applyNumberFormat="1" applyFont="1" applyFill="1" applyAlignment="1" applyProtection="1">
      <alignment horizontal="general" vertical="bottom"/>
      <protection locked="1" hidden="0"/>
    </xf>
    <xf numFmtId="165" fontId="2" fillId="2" borderId="0" xfId="0" applyNumberFormat="1" applyFont="1" applyFill="1" applyAlignment="1" applyProtection="1">
      <alignment horizontal="general" vertical="bottom"/>
      <protection locked="1" hidden="0"/>
    </xf>
    <xf numFmtId="165" fontId="10" fillId="0" borderId="0" xfId="0" applyNumberFormat="1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general" vertical="bottom"/>
      <protection locked="1" hidden="0"/>
    </xf>
    <xf numFmtId="165" fontId="4" fillId="2" borderId="3" xfId="0" applyNumberFormat="1" applyFont="1" applyFill="1" applyBorder="1" applyAlignment="1" applyProtection="1">
      <alignment horizontal="general" vertical="bottom"/>
      <protection locked="1" hidden="0"/>
    </xf>
    <xf numFmtId="172" fontId="1" fillId="0" borderId="0" xfId="0" applyNumberFormat="1" applyFont="1" applyFill="1" applyAlignment="1" applyProtection="1">
      <alignment horizontal="general" vertical="bottom"/>
      <protection locked="1" hidden="0"/>
    </xf>
    <xf numFmtId="172" fontId="1" fillId="2" borderId="0" xfId="0" applyNumberFormat="1" applyFont="1" applyFill="1" applyAlignment="1" applyProtection="1">
      <alignment horizontal="general" vertical="bottom"/>
      <protection locked="1" hidden="0"/>
    </xf>
    <xf numFmtId="166" fontId="4" fillId="0" borderId="3" xfId="0" applyNumberFormat="1" applyFont="1" applyFill="1" applyBorder="1" applyAlignment="1" applyProtection="1">
      <alignment horizontal="general" vertical="bottom"/>
      <protection locked="1" hidden="0"/>
    </xf>
    <xf numFmtId="171" fontId="1" fillId="2" borderId="0" xfId="0" applyNumberFormat="1" applyFont="1" applyFill="1" applyAlignment="1" applyProtection="1">
      <alignment horizontal="general" vertical="bottom"/>
      <protection locked="1" hidden="0"/>
    </xf>
    <xf numFmtId="172" fontId="6" fillId="0" borderId="0" xfId="0" applyNumberFormat="1" applyFont="1" applyFill="1" applyAlignment="1" applyProtection="1">
      <alignment horizontal="general" vertical="bottom"/>
      <protection locked="1" hidden="0"/>
    </xf>
    <xf numFmtId="171" fontId="1" fillId="0" borderId="0" xfId="0" applyNumberFormat="1" applyFont="1" applyFill="1" applyAlignment="1" applyProtection="1">
      <alignment horizontal="general" vertical="bottom"/>
      <protection locked="1" hidden="0"/>
    </xf>
    <xf numFmtId="166" fontId="4" fillId="2" borderId="3" xfId="0" applyNumberFormat="1" applyFont="1" applyFill="1" applyBorder="1" applyAlignment="1" applyProtection="1">
      <alignment horizontal="general" vertical="bottom"/>
      <protection locked="1" hidden="0"/>
    </xf>
    <xf numFmtId="171" fontId="6" fillId="0" borderId="0" xfId="0" applyNumberFormat="1" applyFont="1" applyFill="1" applyAlignment="1" applyProtection="1">
      <alignment horizontal="general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 shrinkToFit="1"/>
      <protection locked="1" hidden="0"/>
    </xf>
    <xf numFmtId="166" fontId="6" fillId="0" borderId="0" xfId="0" applyNumberFormat="1" applyFont="1" applyFill="1" applyAlignment="1" applyProtection="1">
      <alignment horizontal="general" vertical="bottom"/>
      <protection locked="1" hidden="0"/>
    </xf>
    <xf numFmtId="171" fontId="4" fillId="0" borderId="3" xfId="0" applyNumberFormat="1" applyFont="1" applyFill="1" applyBorder="1" applyAlignment="1" applyProtection="1">
      <alignment horizontal="general" vertical="bottom"/>
      <protection locked="1" hidden="0"/>
    </xf>
    <xf numFmtId="171" fontId="12" fillId="0" borderId="3" xfId="0" applyNumberFormat="1" applyFont="1" applyFill="1" applyBorder="1" applyAlignment="1" applyProtection="1">
      <alignment horizontal="general" vertical="bottom"/>
      <protection locked="1" hidden="0"/>
    </xf>
    <xf numFmtId="171" fontId="6" fillId="2" borderId="0" xfId="0" applyNumberFormat="1" applyFont="1" applyFill="1" applyAlignment="1" applyProtection="1">
      <alignment horizontal="general" vertical="bottom"/>
      <protection locked="1" hidden="0"/>
    </xf>
    <xf numFmtId="167" fontId="7" fillId="2" borderId="0" xfId="0" applyNumberFormat="1" applyFont="1" applyFill="1" applyAlignment="1" applyProtection="1">
      <alignment horizontal="general" vertical="bottom"/>
      <protection locked="1" hidden="0"/>
    </xf>
    <xf numFmtId="167" fontId="3" fillId="0" borderId="3" xfId="0" applyNumberFormat="1" applyFont="1" applyFill="1" applyBorder="1" applyAlignment="1" applyProtection="1">
      <alignment horizontal="general" vertical="bottom"/>
      <protection locked="1" hidden="0"/>
    </xf>
    <xf numFmtId="171" fontId="4" fillId="0" borderId="0" xfId="0" applyNumberFormat="1" applyFont="1" applyFill="1" applyAlignment="1" applyProtection="1">
      <alignment horizontal="general" vertical="bottom"/>
      <protection locked="1" hidden="0"/>
    </xf>
    <xf numFmtId="171" fontId="12" fillId="2" borderId="3" xfId="0" applyNumberFormat="1" applyFont="1" applyFill="1" applyBorder="1" applyAlignment="1" applyProtection="1">
      <alignment horizontal="general" vertical="bottom"/>
      <protection locked="1" hidden="0"/>
    </xf>
    <xf numFmtId="165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7" fontId="14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7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4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3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3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4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3" fillId="0" borderId="0" xfId="0" applyFont="1" applyFill="1" applyAlignment="1" applyProtection="1">
      <alignment horizontal="left" vertical="bottom"/>
      <protection locked="1" hidden="0"/>
    </xf>
    <xf numFmtId="164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shrinkToFit="1" readingOrder="0"/>
      <protection locked="1" hidden="0"/>
    </xf>
    <xf numFmtId="164" fontId="19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20" fillId="0" borderId="0" xfId="0" applyNumberFormat="1" applyFont="1" applyFill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left" vertical="bottom"/>
      <protection locked="1" hidden="0"/>
    </xf>
    <xf numFmtId="167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1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21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2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1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24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67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7" fontId="2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7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8" fillId="0" borderId="0" xfId="0" applyNumberFormat="1" applyFont="1" applyFill="1" applyAlignment="1" applyProtection="1">
      <alignment horizontal="left" vertical="bottom" textRotation="0" indent="0" shrinkToFit="1" readingOrder="0"/>
      <protection locked="1" hidden="0"/>
    </xf>
    <xf numFmtId="165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3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3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theme" Target="theme/them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showGridLines="0" tabSelected="1" workbookViewId="0"/>
  </sheetViews>
  <sheetFormatPr defaultColWidth="8.42578125" defaultRowHeight="15"/>
  <cols>
    <col min="1" max="1" width="9" customWidth="1"/>
    <col min="2" max="2" width="32" customWidth="1"/>
    <col min="3" max="9" width="12" customWidth="1"/>
  </cols>
  <sheetData>
    <row r="1" ht="16.5">
      <c r="A1" s="1"/>
      <c r="B1" s="65" t="s">
        <v>0</v>
      </c>
      <c r="C1" s="1"/>
      <c r="D1" s="1"/>
      <c r="E1" s="1"/>
      <c r="F1" s="1"/>
      <c r="G1" s="1"/>
      <c r="H1" s="1"/>
      <c r="I1" s="1"/>
    </row>
    <row r="2" ht="16.5">
      <c r="A2" s="1"/>
      <c r="B2" s="33" t="s">
        <v>1</v>
      </c>
      <c r="C2" s="1"/>
      <c r="D2" s="1"/>
      <c r="E2" s="1"/>
      <c r="F2" s="1"/>
      <c r="G2" s="1"/>
      <c r="H2" s="1"/>
      <c r="I2" s="1"/>
    </row>
    <row r="3" ht="16.5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12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13</v>
      </c>
      <c r="C10" s="8" t="s">
        <v>14</v>
      </c>
      <c r="D10" s="8"/>
      <c r="E10" s="8"/>
      <c r="F10" s="8"/>
      <c r="G10" s="8"/>
      <c r="H10" s="5"/>
      <c r="I10" s="8"/>
    </row>
    <row r="11">
      <c r="A11" s="1"/>
      <c r="B11" s="15" t="s">
        <v>15</v>
      </c>
      <c r="C11" s="8" t="s">
        <v>16</v>
      </c>
      <c r="D11" s="8"/>
      <c r="E11" s="8"/>
      <c r="F11" s="8"/>
      <c r="G11" s="8"/>
      <c r="H11" s="5"/>
      <c r="I11" s="8"/>
    </row>
    <row r="12">
      <c r="A12" s="1"/>
      <c r="B12" s="15" t="s">
        <v>17</v>
      </c>
      <c r="C12" s="8" t="s">
        <v>18</v>
      </c>
      <c r="D12" s="8"/>
      <c r="E12" s="8"/>
      <c r="F12" s="8"/>
      <c r="G12" s="8"/>
      <c r="H12" s="5"/>
      <c r="I12" s="8"/>
    </row>
    <row r="13">
      <c r="A13" s="1"/>
      <c r="B13" s="15" t="s">
        <v>19</v>
      </c>
      <c r="C13" s="30" t="str">
        <f>"December 31 (CapIQ: "&amp;Inputs!C20&amp;")"</f>
        <v>December 31 (CapIQ: Dec-31)</v>
      </c>
      <c r="D13" s="8"/>
      <c r="E13" s="8"/>
      <c r="F13" s="8"/>
      <c r="G13" s="8"/>
      <c r="H13" s="5"/>
      <c r="I13" s="8"/>
    </row>
    <row r="14">
      <c r="A14" s="1"/>
      <c r="B14" s="15" t="s">
        <v>20</v>
      </c>
      <c r="C14" s="8" t="s">
        <v>21</v>
      </c>
      <c r="D14" s="8"/>
      <c r="E14" s="8"/>
      <c r="F14" s="8"/>
      <c r="G14" s="8"/>
      <c r="H14" s="5"/>
      <c r="I14" s="8"/>
    </row>
    <row r="15">
      <c r="A15" s="1"/>
      <c r="B15" s="15" t="s">
        <v>22</v>
      </c>
      <c r="C15" s="8" t="s">
        <v>23</v>
      </c>
      <c r="D15" s="8"/>
      <c r="E15" s="8"/>
      <c r="F15" s="8"/>
      <c r="G15" s="8"/>
      <c r="H15" s="5"/>
      <c r="I15" s="8"/>
    </row>
    <row r="16">
      <c r="A16" s="1"/>
      <c r="B16" s="15" t="s">
        <v>24</v>
      </c>
      <c r="C16" s="8" t="s">
        <v>25</v>
      </c>
      <c r="D16" s="8"/>
      <c r="E16" s="8"/>
      <c r="F16" s="8"/>
      <c r="G16" s="8"/>
      <c r="H16" s="5"/>
      <c r="I16" s="8"/>
    </row>
    <row r="17">
      <c r="A17" s="1"/>
      <c r="B17" s="15" t="s">
        <v>26</v>
      </c>
      <c r="C17" s="8" t="s">
        <v>27</v>
      </c>
      <c r="D17" s="8"/>
      <c r="E17" s="8"/>
      <c r="F17" s="8"/>
      <c r="G17" s="8"/>
      <c r="H17" s="5"/>
      <c r="I17" s="8"/>
    </row>
    <row r="18">
      <c r="A18" s="1"/>
      <c r="B18" s="15" t="s">
        <v>28</v>
      </c>
      <c r="C18" s="30" t="str">
        <f>TEXT(Inputs!C19,"yyyy-mm-dd")&amp;" (before market open per MarketBeat/Earnings Whispers; not confirmed by an issuer release in our sources)"</f>
        <v>2026-10-15 (before market open per MarketBeat/Earnings Whispers; not confirmed by an issuer release in our sources)</v>
      </c>
      <c r="D18" s="8"/>
      <c r="E18" s="8"/>
      <c r="F18" s="8"/>
      <c r="G18" s="8"/>
      <c r="H18" s="5"/>
      <c r="I18" s="8"/>
    </row>
    <row r="19">
      <c r="A19" s="1"/>
      <c r="B19" s="15" t="s">
        <v>29</v>
      </c>
      <c r="C19" s="8" t="s">
        <v>30</v>
      </c>
      <c r="D19" s="8"/>
      <c r="E19" s="8"/>
      <c r="F19" s="8"/>
      <c r="G19" s="8"/>
      <c r="H19" s="5"/>
      <c r="I19" s="8"/>
    </row>
    <row r="20">
      <c r="A20" s="1"/>
      <c r="B20" s="42"/>
      <c r="C20" s="8"/>
      <c r="D20" s="8"/>
      <c r="E20" s="8"/>
      <c r="F20" s="8"/>
      <c r="G20" s="8"/>
      <c r="H20" s="5"/>
      <c r="I20" s="8"/>
    </row>
    <row r="21">
      <c r="A21" s="1"/>
      <c r="B21" s="51" t="s">
        <v>31</v>
      </c>
      <c r="C21" s="7"/>
      <c r="D21" s="7"/>
      <c r="E21" s="7"/>
      <c r="F21" s="7"/>
      <c r="G21" s="7"/>
      <c r="H21" s="12"/>
      <c r="I21" s="7"/>
    </row>
    <row r="22" ht="49.5">
      <c r="A22" s="1"/>
      <c r="B22" s="53" t="s">
        <v>32</v>
      </c>
      <c r="C22" s="41" t="s">
        <v>33</v>
      </c>
      <c r="D22" s="41" t="s">
        <v>34</v>
      </c>
      <c r="E22" s="41" t="s">
        <v>35</v>
      </c>
      <c r="F22" s="41" t="s">
        <v>36</v>
      </c>
      <c r="G22" s="41" t="s">
        <v>37</v>
      </c>
      <c r="H22" s="66" t="s">
        <v>38</v>
      </c>
      <c r="I22" s="7"/>
    </row>
    <row r="23">
      <c r="A23" s="1"/>
      <c r="B23" s="15" t="s">
        <v>39</v>
      </c>
      <c r="C23" s="11">
        <f>'Income Statement'!H27</f>
        <v>7150.479004731006</v>
      </c>
      <c r="D23" s="11">
        <f>Inputs!C38</f>
        <v>7199.92</v>
      </c>
      <c r="E23" s="17">
        <f>C23-D23</f>
        <v>-49.4409952689939</v>
      </c>
      <c r="F23" s="6">
        <f>C23/D23-1</f>
        <v>-0.006866881197151398</v>
      </c>
      <c r="G23" s="11">
        <f>Guidance!H33</f>
        <v>7219.0077599999995</v>
      </c>
      <c r="H23" s="32">
        <f>C23-G23</f>
        <v>-68.52875526899334</v>
      </c>
      <c r="I23" s="17"/>
    </row>
    <row r="24">
      <c r="A24" s="1"/>
      <c r="B24" s="15" t="s">
        <v>40</v>
      </c>
      <c r="C24" s="11">
        <f>'Income Statement'!H92</f>
        <v>2879.777312647606</v>
      </c>
      <c r="D24" s="11">
        <f>Inputs!C51</f>
        <v>2882.55</v>
      </c>
      <c r="E24" s="17">
        <f>C24-D24</f>
        <v>-2.772687352394314</v>
      </c>
      <c r="F24" s="6">
        <f>C24/D24-1</f>
        <v>-0.0009618869932505048</v>
      </c>
      <c r="G24" s="11">
        <f>Guidance!H39</f>
        <v>2901.8168733993352</v>
      </c>
      <c r="H24" s="32">
        <f>C24-G24</f>
        <v>-22.03956075172937</v>
      </c>
      <c r="I24" s="17"/>
    </row>
    <row r="25">
      <c r="A25" s="1"/>
      <c r="B25" s="53" t="s">
        <v>41</v>
      </c>
      <c r="C25" s="3">
        <f>'Income Statement'!H99</f>
        <v>1.6639758617878668</v>
      </c>
      <c r="D25" s="3">
        <f>Inputs!C22</f>
        <v>1.66</v>
      </c>
      <c r="E25" s="19">
        <f>C25-D25</f>
        <v>0.003975861787866908</v>
      </c>
      <c r="F25" s="57">
        <f>C25/D25-1</f>
        <v>0.0023950974625703836</v>
      </c>
      <c r="G25" s="3">
        <f>Guidance!H40</f>
        <v>1.6767106301792354</v>
      </c>
      <c r="H25" s="52">
        <f>C25-G25</f>
        <v>-0.012734768391368556</v>
      </c>
      <c r="I25" s="19"/>
    </row>
    <row r="26">
      <c r="A26" s="1"/>
      <c r="B26" s="15" t="s">
        <v>42</v>
      </c>
      <c r="C26" s="11">
        <f>'Income Statement'!H70</f>
        <v>2759.672312647606</v>
      </c>
      <c r="D26" s="11">
        <f>Inputs!C52</f>
        <v>2785.85</v>
      </c>
      <c r="E26" s="17">
        <f>C26-D26</f>
        <v>-26.17768735239406</v>
      </c>
      <c r="F26" s="6">
        <f>C26/D26-1</f>
        <v>-0.00939666075072032</v>
      </c>
      <c r="G26" s="105" t="s">
        <v>43</v>
      </c>
      <c r="H26" s="103" t="s">
        <v>43</v>
      </c>
      <c r="I26" s="17"/>
    </row>
    <row r="27">
      <c r="A27" s="1"/>
      <c r="B27" s="15" t="s">
        <v>44</v>
      </c>
      <c r="C27" s="23">
        <f>'Income Statement'!H78</f>
        <v>1.594577502406984</v>
      </c>
      <c r="D27" s="23">
        <f>Inputs!C31</f>
        <v>1.61</v>
      </c>
      <c r="E27" s="4">
        <f>C27-D27</f>
        <v>-0.015422497593016171</v>
      </c>
      <c r="F27" s="6">
        <f>C27/D27-1</f>
        <v>-0.009579191051562796</v>
      </c>
      <c r="G27" s="112" t="s">
        <v>43</v>
      </c>
      <c r="H27" s="110" t="s">
        <v>43</v>
      </c>
      <c r="I27" s="4"/>
    </row>
    <row r="28">
      <c r="A28" s="1"/>
      <c r="B28" s="15" t="s">
        <v>45</v>
      </c>
      <c r="C28" s="11">
        <f>'Income Statement'!H110</f>
        <v>3850.479004731006</v>
      </c>
      <c r="D28" s="11">
        <f>Inputs!C49</f>
        <v>3888.34</v>
      </c>
      <c r="E28" s="17">
        <f>C28-D28</f>
        <v>-37.860995268993975</v>
      </c>
      <c r="F28" s="6">
        <f>C28/D28-1</f>
        <v>-0.00973705881404252</v>
      </c>
      <c r="G28" s="11">
        <f>Guidance!H38</f>
        <v>3879.073759999999</v>
      </c>
      <c r="H28" s="32">
        <f>C28-G28</f>
        <v>-28.594755268992685</v>
      </c>
      <c r="I28" s="17"/>
    </row>
    <row r="29">
      <c r="A29" s="1"/>
      <c r="B29" s="60" t="s">
        <v>46</v>
      </c>
      <c r="C29" s="24">
        <f>Inputs!C123</f>
        <v>0.6228571428571428</v>
      </c>
      <c r="D29" s="31"/>
      <c r="E29" s="31"/>
      <c r="F29" s="31"/>
      <c r="G29" s="31"/>
      <c r="H29" s="64"/>
      <c r="I29" s="31"/>
    </row>
    <row r="30">
      <c r="A30" s="1"/>
      <c r="B30" s="53" t="s">
        <v>47</v>
      </c>
      <c r="C30" s="106" t="str">
        <f>Inputs!C124</f>
        <v>medium</v>
      </c>
      <c r="D30" s="7"/>
      <c r="E30" s="7"/>
      <c r="F30" s="7"/>
      <c r="G30" s="7"/>
      <c r="H30" s="12"/>
      <c r="I30" s="7"/>
    </row>
    <row r="31">
      <c r="A31" s="1"/>
      <c r="B31" s="53" t="s">
        <v>48</v>
      </c>
      <c r="C31" s="111" t="str">
        <f>IF(AND((SUMIF('Revenue summary'!C33:H33,"&gt;0")-SUMIF('Revenue summary'!C33:H33,"&lt;0")+0*SUM('Revenue summary'!C33:H33))&lt;0.5,(SUMIF('Balance Sheet'!C43:H43,"&gt;0")-SUMIF('Balance Sheet'!C43:H43,"&lt;0")+0*SUM('Balance Sheet'!C43:H43))&lt;0.5,(SUMIF('Cash Flow Statement'!C61:H61,"&gt;0")-SUMIF('Cash Flow Statement'!C61:H61,"&lt;0")+0*SUM('Cash Flow Statement'!C61:H61))&lt;0.5,(SUMIF('Cash Flow Statement'!D62:H62,"&gt;0")-SUMIF('Cash Flow Statement'!D62:H62,"&lt;0")+0*SUM('Cash Flow Statement'!D62:H62))&lt;0.5,(SUMIF('Cash Flow Statement'!C117:G117,"&gt;0")-SUMIF('Cash Flow Statement'!C117:G117,"&lt;0")+0*SUM('Cash Flow Statement'!C117:G117))&lt;0.5,ABS('Income Statement'!E122)&lt;0.5,ABS('Revenue summary'!E442)&lt;0.5,ABS('Income Statement'!E121)&lt;0.5,ABS('Segment - Investor Services'!E156)&lt;0.5,ABS('Segment - Advisor Services'!E152)&lt;0.5,ABS('Revenue summary'!E445)&lt;0.5,(SUMIF('Segment - Advisor Services'!C150:H150,"&gt;0")-SUMIF('Segment - Advisor Services'!C150:H150,"&lt;0")+0*SUM('Segment - Advisor Services'!C150:H150))&lt;0.5,(SUMIF('Segment - Advisor Services'!C151:H151,"&gt;0")-SUMIF('Segment - Advisor Services'!C151:H151,"&lt;0")+0*SUM('Segment - Advisor Services'!C151:H151))&lt;0.5,C32="PASS"),"PASS","FAIL")</f>
        <v>PASS</v>
      </c>
      <c r="D31" s="7"/>
      <c r="E31" s="7"/>
      <c r="F31" s="7"/>
      <c r="G31" s="7"/>
      <c r="H31" s="12"/>
      <c r="I31" s="104" t="s">
        <v>49</v>
      </c>
    </row>
    <row r="32">
      <c r="A32" s="1"/>
      <c r="B32" s="107" t="s">
        <v>50</v>
      </c>
      <c r="C32" s="106" t="str">
        <f>IF(AND((SUMIF('Revenue summary'!C441:G441,"&gt;0")-SUMIF('Revenue summary'!C441:G441,"&lt;0")+0*SUM('Revenue summary'!C441:G441))&lt;0.5,(SUMIF('Income Statement'!C81:G81,"&gt;0")-SUMIF('Income Statement'!C81:G81,"&lt;0")+0*SUM('Income Statement'!C81:G81))&lt;0.005,(SUMIF('Income Statement'!C102:G102,"&gt;0")-SUMIF('Income Statement'!C102:G102,"&lt;0")+0*SUM('Income Statement'!C102:G102))&lt;0.005,(SUMIF('Income Statement'!C103:G103,"&gt;0")-SUMIF('Income Statement'!C103:G103,"&lt;0")+0*SUM('Income Statement'!C103:G103))&lt;0.005),"PASS","FAIL")</f>
        <v>PASS</v>
      </c>
      <c r="D32" s="8"/>
      <c r="E32" s="8"/>
      <c r="F32" s="8"/>
      <c r="G32" s="8"/>
      <c r="H32" s="5"/>
      <c r="I32" s="102" t="s">
        <v>51</v>
      </c>
    </row>
    <row r="33">
      <c r="A33" s="1"/>
      <c r="B33" s="51" t="s">
        <v>52</v>
      </c>
      <c r="C33" s="7"/>
      <c r="D33" s="7"/>
      <c r="E33" s="7"/>
      <c r="F33" s="7"/>
      <c r="G33" s="7"/>
      <c r="H33" s="12"/>
      <c r="I33" s="7"/>
    </row>
    <row r="34">
      <c r="A34" s="1"/>
      <c r="B34" s="15" t="s">
        <v>53</v>
      </c>
      <c r="C34" s="43">
        <f>Inputs!C27</f>
        <v>19</v>
      </c>
      <c r="D34" s="23">
        <f>Inputs!C24</f>
        <v>1.73</v>
      </c>
      <c r="E34" s="23">
        <f>Inputs!C25</f>
        <v>1.59</v>
      </c>
      <c r="F34" s="23">
        <f>Inputs!C26</f>
        <v>0.03</v>
      </c>
      <c r="G34" s="17"/>
      <c r="H34" s="32"/>
      <c r="I34" s="17"/>
    </row>
    <row r="35">
      <c r="A35" s="1"/>
      <c r="B35" s="15" t="s">
        <v>54</v>
      </c>
      <c r="C35" s="43">
        <f>Inputs!C43</f>
        <v>13</v>
      </c>
      <c r="D35" s="11">
        <f>Inputs!C40</f>
        <v>7278</v>
      </c>
      <c r="E35" s="11">
        <f>Inputs!C41</f>
        <v>7060.92</v>
      </c>
      <c r="F35" s="11">
        <f>Inputs!C42</f>
        <v>60.88</v>
      </c>
      <c r="G35" s="17"/>
      <c r="H35" s="32"/>
      <c r="I35" s="17"/>
    </row>
    <row r="36">
      <c r="A36" s="1"/>
      <c r="B36" s="54" t="s">
        <v>55</v>
      </c>
      <c r="C36" s="14"/>
      <c r="D36" s="14"/>
      <c r="E36" s="14"/>
      <c r="F36" s="14"/>
      <c r="G36" s="14"/>
      <c r="H36" s="37"/>
      <c r="I36" s="14"/>
    </row>
    <row r="37">
      <c r="A37" s="1"/>
      <c r="B37" s="15" t="s">
        <v>56</v>
      </c>
      <c r="C37" s="11">
        <f>Inputs!C109</f>
        <v>167.23</v>
      </c>
      <c r="D37" s="108" t="str">
        <f>Inputs!C113</f>
        <v>Large</v>
      </c>
      <c r="E37" s="46">
        <f>Inputs!C121</f>
        <v>0.8028571428571428</v>
      </c>
      <c r="F37" s="17"/>
      <c r="G37" s="17"/>
      <c r="H37" s="32"/>
      <c r="I37" s="17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57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59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60</v>
      </c>
      <c r="C10" s="11">
        <f>'Segment - Investor Services'!C90</f>
        <v>4883</v>
      </c>
      <c r="D10" s="11">
        <f>'Segment - Investor Services'!D90</f>
        <v>5036</v>
      </c>
      <c r="E10" s="11">
        <f>'Segment - Investor Services'!E90</f>
        <v>18999</v>
      </c>
      <c r="F10" s="11">
        <f>'Segment - Investor Services'!F90</f>
        <v>5077</v>
      </c>
      <c r="G10" s="11">
        <f>'Segment - Investor Services'!G90</f>
        <v>5528</v>
      </c>
      <c r="H10" s="44">
        <f>'Segment - Investor Services'!H90</f>
        <v>5574.906616303936</v>
      </c>
      <c r="I10" s="17"/>
    </row>
    <row r="11">
      <c r="A11" s="1"/>
      <c r="B11" s="34" t="s">
        <v>61</v>
      </c>
      <c r="C11" s="2"/>
      <c r="D11" s="2"/>
      <c r="E11" s="2"/>
      <c r="F11" s="2"/>
      <c r="G11" s="2"/>
      <c r="H11" s="20">
        <f>IF(OR(H10="",C10=""),"",IF(C10=0,"n/m",H10/C10-1))</f>
        <v>0.14169703385294619</v>
      </c>
      <c r="I11" s="2"/>
    </row>
    <row r="12">
      <c r="A12" s="1"/>
      <c r="B12" s="34" t="s">
        <v>62</v>
      </c>
      <c r="C12" s="2"/>
      <c r="D12" s="2">
        <f>IF(OR(D10="",C10=""),"",IF(C10=0,"n/m",D10/C10-1))</f>
        <v>0.0313331968052426</v>
      </c>
      <c r="E12" s="2"/>
      <c r="F12" s="2">
        <f>IF(OR(F10="",D10=""),"",IF(D10=0,"n/m",F10/D10-1))</f>
        <v>0.008141382049245527</v>
      </c>
      <c r="G12" s="2">
        <f>IF(OR(G10="",F10=""),"",IF(F10=0,"n/m",G10/F10-1))</f>
        <v>0.08883198739413034</v>
      </c>
      <c r="H12" s="20">
        <f>IF(OR(H10="",G10=""),"",IF(G10=0,"n/m",H10/G10-1))</f>
        <v>0.008485277913157674</v>
      </c>
      <c r="I12" s="2"/>
    </row>
    <row r="13">
      <c r="A13" s="1"/>
      <c r="B13" s="34" t="s">
        <v>63</v>
      </c>
      <c r="C13" s="2">
        <f>C10/C26</f>
        <v>0.7959250203748981</v>
      </c>
      <c r="D13" s="2">
        <f>D10/D26</f>
        <v>0.7948232323232324</v>
      </c>
      <c r="E13" s="2">
        <f>E10/E26</f>
        <v>0.7942393712637431</v>
      </c>
      <c r="F13" s="2">
        <f>F10/F26</f>
        <v>0.783245911755631</v>
      </c>
      <c r="G13" s="2">
        <f>G10/G26</f>
        <v>0.7816742081447964</v>
      </c>
      <c r="H13" s="20">
        <f>H10/H26</f>
        <v>0.779654987115602</v>
      </c>
      <c r="I13" s="2"/>
    </row>
    <row r="14">
      <c r="A14" s="1"/>
      <c r="B14" s="34" t="s">
        <v>64</v>
      </c>
      <c r="C14" s="2"/>
      <c r="D14" s="2"/>
      <c r="E14" s="2"/>
      <c r="F14" s="2"/>
      <c r="G14" s="2"/>
      <c r="H14" s="20">
        <f>IF(C10=0,"n/m",H10/C10-1)</f>
        <v>0.14169703385294619</v>
      </c>
      <c r="I14" s="2"/>
    </row>
    <row r="15">
      <c r="A15" s="1"/>
      <c r="B15" s="34" t="s">
        <v>65</v>
      </c>
      <c r="C15" s="2"/>
      <c r="D15" s="2"/>
      <c r="E15" s="2"/>
      <c r="F15" s="2"/>
      <c r="G15" s="2"/>
      <c r="H15" s="122">
        <f>H405*'Segment - Investor Services'!H80/C10</f>
        <v>0.007188203972967438</v>
      </c>
      <c r="I15" s="120" t="s">
        <v>66</v>
      </c>
    </row>
    <row r="16">
      <c r="A16" s="1"/>
      <c r="B16" s="34" t="s">
        <v>67</v>
      </c>
      <c r="C16" s="2"/>
      <c r="D16" s="2"/>
      <c r="E16" s="2"/>
      <c r="F16" s="2"/>
      <c r="G16" s="2"/>
      <c r="H16" s="28">
        <v>0</v>
      </c>
      <c r="I16" s="2"/>
    </row>
    <row r="17">
      <c r="A17" s="1"/>
      <c r="B17" s="34" t="s">
        <v>68</v>
      </c>
      <c r="C17" s="2"/>
      <c r="D17" s="2"/>
      <c r="E17" s="2"/>
      <c r="F17" s="2"/>
      <c r="G17" s="2"/>
      <c r="H17" s="20">
        <f>(1+H14)/((1+H15)*(1+H16))-1</f>
        <v>0.13354885348080292</v>
      </c>
      <c r="I17" s="2"/>
    </row>
    <row r="18">
      <c r="A18" s="1"/>
      <c r="B18" s="15" t="s">
        <v>69</v>
      </c>
      <c r="C18" s="11">
        <f>'Segment - Advisor Services'!C84</f>
        <v>1252</v>
      </c>
      <c r="D18" s="11">
        <f>'Segment - Advisor Services'!D84</f>
        <v>1300</v>
      </c>
      <c r="E18" s="11">
        <f>'Segment - Advisor Services'!E84</f>
        <v>4922</v>
      </c>
      <c r="F18" s="11">
        <f>'Segment - Advisor Services'!F84</f>
        <v>1405</v>
      </c>
      <c r="G18" s="11">
        <f>'Segment - Advisor Services'!G84</f>
        <v>1544</v>
      </c>
      <c r="H18" s="44">
        <f>'Segment - Advisor Services'!H84</f>
        <v>1575.5723884270706</v>
      </c>
      <c r="I18" s="17"/>
    </row>
    <row r="19">
      <c r="A19" s="1"/>
      <c r="B19" s="34" t="s">
        <v>61</v>
      </c>
      <c r="C19" s="2"/>
      <c r="D19" s="2"/>
      <c r="E19" s="2"/>
      <c r="F19" s="2"/>
      <c r="G19" s="2"/>
      <c r="H19" s="20">
        <f>IF(OR(H18="",C18=""),"",IF(C18=0,"n/m",H18/C18-1))</f>
        <v>0.25844439970213307</v>
      </c>
      <c r="I19" s="2"/>
    </row>
    <row r="20">
      <c r="A20" s="1"/>
      <c r="B20" s="34" t="s">
        <v>62</v>
      </c>
      <c r="C20" s="2"/>
      <c r="D20" s="2">
        <f>IF(OR(D18="",C18=""),"",IF(C18=0,"n/m",D18/C18-1))</f>
        <v>0.03833865814696491</v>
      </c>
      <c r="E20" s="2"/>
      <c r="F20" s="2">
        <f>IF(OR(F18="",D18=""),"",IF(D18=0,"n/m",F18/D18-1))</f>
        <v>0.0807692307692307</v>
      </c>
      <c r="G20" s="2">
        <f>IF(OR(G18="",F18=""),"",IF(F18=0,"n/m",G18/F18-1))</f>
        <v>0.09893238434163698</v>
      </c>
      <c r="H20" s="20">
        <f>IF(OR(H18="",G18=""),"",IF(G18=0,"n/m",H18/G18-1))</f>
        <v>0.020448438100434396</v>
      </c>
      <c r="I20" s="2"/>
    </row>
    <row r="21">
      <c r="A21" s="1"/>
      <c r="B21" s="34" t="s">
        <v>63</v>
      </c>
      <c r="C21" s="2">
        <f>C18/C26</f>
        <v>0.20407497962510188</v>
      </c>
      <c r="D21" s="2">
        <f>D18/D26</f>
        <v>0.20517676767676768</v>
      </c>
      <c r="E21" s="2">
        <f>E18/E26</f>
        <v>0.20576062873625683</v>
      </c>
      <c r="F21" s="2">
        <f>F18/F26</f>
        <v>0.216754088244369</v>
      </c>
      <c r="G21" s="2">
        <f>G18/G26</f>
        <v>0.21832579185520362</v>
      </c>
      <c r="H21" s="20">
        <f>H18/H26</f>
        <v>0.22034501288439792</v>
      </c>
      <c r="I21" s="2"/>
    </row>
    <row r="22">
      <c r="A22" s="1"/>
      <c r="B22" s="34" t="s">
        <v>64</v>
      </c>
      <c r="C22" s="2"/>
      <c r="D22" s="2"/>
      <c r="E22" s="2"/>
      <c r="F22" s="2"/>
      <c r="G22" s="2"/>
      <c r="H22" s="20">
        <f>IF(C18=0,"n/m",H18/C18-1)</f>
        <v>0.25844439970213307</v>
      </c>
      <c r="I22" s="2"/>
    </row>
    <row r="23">
      <c r="A23" s="1"/>
      <c r="B23" s="34" t="s">
        <v>70</v>
      </c>
      <c r="C23" s="2"/>
      <c r="D23" s="2"/>
      <c r="E23" s="2"/>
      <c r="F23" s="2"/>
      <c r="G23" s="2"/>
      <c r="H23" s="122">
        <f>H405*'Segment - Advisor Services'!H74/C18</f>
        <v>0.0079073482428115</v>
      </c>
      <c r="I23" s="2"/>
    </row>
    <row r="24">
      <c r="A24" s="1"/>
      <c r="B24" s="34" t="s">
        <v>67</v>
      </c>
      <c r="C24" s="2"/>
      <c r="D24" s="2"/>
      <c r="E24" s="2"/>
      <c r="F24" s="2"/>
      <c r="G24" s="2"/>
      <c r="H24" s="28">
        <v>0</v>
      </c>
      <c r="I24" s="2"/>
    </row>
    <row r="25">
      <c r="A25" s="1"/>
      <c r="B25" s="34" t="s">
        <v>68</v>
      </c>
      <c r="C25" s="2"/>
      <c r="D25" s="2"/>
      <c r="E25" s="2"/>
      <c r="F25" s="2"/>
      <c r="G25" s="2"/>
      <c r="H25" s="20">
        <f>(1+H22)/((1+H23)*(1+H24))-1</f>
        <v>0.24857150996677269</v>
      </c>
      <c r="I25" s="2"/>
    </row>
    <row r="26">
      <c r="A26" s="1"/>
      <c r="B26" s="53" t="s">
        <v>71</v>
      </c>
      <c r="C26" s="27">
        <f>C10+C18</f>
        <v>6135</v>
      </c>
      <c r="D26" s="27">
        <f>D10+D18</f>
        <v>6336</v>
      </c>
      <c r="E26" s="27">
        <f>E10+E18</f>
        <v>23921</v>
      </c>
      <c r="F26" s="27">
        <f>F10+F18</f>
        <v>6482</v>
      </c>
      <c r="G26" s="27">
        <f>G10+G18</f>
        <v>7072</v>
      </c>
      <c r="H26" s="40">
        <f>H10+H18</f>
        <v>7150.479004731007</v>
      </c>
      <c r="I26" s="55"/>
    </row>
    <row r="27">
      <c r="A27" s="1"/>
      <c r="B27" s="34" t="s">
        <v>61</v>
      </c>
      <c r="C27" s="2"/>
      <c r="D27" s="2"/>
      <c r="E27" s="2"/>
      <c r="F27" s="2"/>
      <c r="G27" s="2"/>
      <c r="H27" s="20">
        <f>IF(OR(H26="",C26=""),"",IF(C26=0,"n/m",H26/C26-1))</f>
        <v>0.1655222501599034</v>
      </c>
      <c r="I27" s="2"/>
    </row>
    <row r="28">
      <c r="A28" s="1"/>
      <c r="B28" s="34" t="s">
        <v>62</v>
      </c>
      <c r="C28" s="2"/>
      <c r="D28" s="2">
        <f>IF(OR(D26="",C26=""),"",IF(C26=0,"n/m",D26/C26-1))</f>
        <v>0.03276283618581899</v>
      </c>
      <c r="E28" s="2"/>
      <c r="F28" s="2">
        <f>IF(OR(F26="",D26=""),"",IF(D26=0,"n/m",F26/D26-1))</f>
        <v>0.02304292929292928</v>
      </c>
      <c r="G28" s="2">
        <f>IF(OR(G26="",F26=""),"",IF(F26=0,"n/m",G26/F26-1))</f>
        <v>0.09102128972539347</v>
      </c>
      <c r="H28" s="20">
        <f>IF(OR(H26="",G26=""),"",IF(G26=0,"n/m",H26/G26-1))</f>
        <v>0.011097144334135667</v>
      </c>
      <c r="I28" s="2"/>
    </row>
    <row r="29">
      <c r="A29" s="1"/>
      <c r="B29" s="34" t="s">
        <v>64</v>
      </c>
      <c r="C29" s="2"/>
      <c r="D29" s="2"/>
      <c r="E29" s="2"/>
      <c r="F29" s="2"/>
      <c r="G29" s="2"/>
      <c r="H29" s="20">
        <f>IF(C26=0,"n/m",H26/C26-1)</f>
        <v>0.1655222501599034</v>
      </c>
      <c r="I29" s="2"/>
    </row>
    <row r="30">
      <c r="A30" s="1"/>
      <c r="B30" s="34" t="s">
        <v>65</v>
      </c>
      <c r="C30" s="2"/>
      <c r="D30" s="2"/>
      <c r="E30" s="2"/>
      <c r="F30" s="2"/>
      <c r="G30" s="2"/>
      <c r="H30" s="20">
        <f>H405/C26</f>
        <v>0.007334963325183374</v>
      </c>
      <c r="I30" s="2"/>
    </row>
    <row r="31">
      <c r="A31" s="1"/>
      <c r="B31" s="34" t="s">
        <v>67</v>
      </c>
      <c r="C31" s="2"/>
      <c r="D31" s="2"/>
      <c r="E31" s="2"/>
      <c r="F31" s="2"/>
      <c r="G31" s="2"/>
      <c r="H31" s="28">
        <v>0</v>
      </c>
      <c r="I31" s="2"/>
    </row>
    <row r="32">
      <c r="A32" s="1"/>
      <c r="B32" s="34" t="s">
        <v>68</v>
      </c>
      <c r="C32" s="2"/>
      <c r="D32" s="2"/>
      <c r="E32" s="2"/>
      <c r="F32" s="2"/>
      <c r="G32" s="2"/>
      <c r="H32" s="20">
        <f>(1+H29)/((1+H30)*(1+H31))-1</f>
        <v>0.15703543765873906</v>
      </c>
      <c r="I32" s="2"/>
    </row>
    <row r="33">
      <c r="A33" s="1"/>
      <c r="B33" s="34" t="s">
        <v>72</v>
      </c>
      <c r="C33" s="75">
        <f>ROUND(C26-C438,3)</f>
        <v>0</v>
      </c>
      <c r="D33" s="75">
        <f>ROUND(D26-D438,3)</f>
        <v>0</v>
      </c>
      <c r="E33" s="75">
        <f>ROUND(E26-E438,3)</f>
        <v>0</v>
      </c>
      <c r="F33" s="75">
        <f>ROUND(F26-F438,3)</f>
        <v>0</v>
      </c>
      <c r="G33" s="75">
        <f>ROUND(G26-G438,3)</f>
        <v>0</v>
      </c>
      <c r="H33" s="76">
        <f>ROUND(H26-H438,3)</f>
        <v>0</v>
      </c>
      <c r="I33" s="134" t="s">
        <v>73</v>
      </c>
    </row>
    <row r="34">
      <c r="A34" s="1"/>
      <c r="B34" s="54" t="s">
        <v>74</v>
      </c>
      <c r="C34" s="14"/>
      <c r="D34" s="14"/>
      <c r="E34" s="14"/>
      <c r="F34" s="14"/>
      <c r="G34" s="14"/>
      <c r="H34" s="37"/>
      <c r="I34" s="14"/>
    </row>
    <row r="35">
      <c r="A35" s="1"/>
      <c r="B35" s="42"/>
      <c r="C35" s="8"/>
      <c r="D35" s="8"/>
      <c r="E35" s="8"/>
      <c r="F35" s="8"/>
      <c r="G35" s="8"/>
      <c r="H35" s="5"/>
      <c r="I35" s="8"/>
    </row>
    <row r="36">
      <c r="A36" s="1"/>
      <c r="B36" s="51" t="s">
        <v>75</v>
      </c>
      <c r="C36" s="7"/>
      <c r="D36" s="7"/>
      <c r="E36" s="7"/>
      <c r="F36" s="7"/>
      <c r="G36" s="7"/>
      <c r="H36" s="12"/>
      <c r="I36" s="7"/>
    </row>
    <row r="37">
      <c r="A37" s="1"/>
      <c r="B37" s="15" t="s">
        <v>76</v>
      </c>
      <c r="C37" s="49">
        <v>24298</v>
      </c>
      <c r="D37" s="49">
        <v>29491</v>
      </c>
      <c r="E37" s="49">
        <v>28054</v>
      </c>
      <c r="F37" s="49">
        <v>32477</v>
      </c>
      <c r="G37" s="49">
        <v>30707</v>
      </c>
      <c r="H37" s="74">
        <v>29000</v>
      </c>
      <c r="I37" s="17"/>
    </row>
    <row r="38">
      <c r="A38" s="1"/>
      <c r="B38" s="34" t="s">
        <v>77</v>
      </c>
      <c r="C38" s="2"/>
      <c r="D38" s="2"/>
      <c r="E38" s="2"/>
      <c r="F38" s="2"/>
      <c r="G38" s="2"/>
      <c r="H38" s="20">
        <f>IF(OR(H37="",C37=""),"",IF(C37=0,"n/m",H37/C37-1))</f>
        <v>0.19351386945427618</v>
      </c>
      <c r="I38" s="2"/>
    </row>
    <row r="39">
      <c r="A39" s="1"/>
      <c r="B39" s="15" t="s">
        <v>78</v>
      </c>
      <c r="C39" s="17"/>
      <c r="D39" s="17">
        <f>IF(OR(D37="",C37=""),"",D37-C37)</f>
        <v>5193</v>
      </c>
      <c r="E39" s="17"/>
      <c r="F39" s="17">
        <f>IF(OR(F37="",D37=""),"",F37-D37)</f>
        <v>2986</v>
      </c>
      <c r="G39" s="17">
        <f>IF(OR(G37="",F37=""),"",G37-F37)</f>
        <v>-1770</v>
      </c>
      <c r="H39" s="32">
        <f>IF(OR(H37="",G37=""),"",H37-G37)</f>
        <v>-1707</v>
      </c>
      <c r="I39" s="17"/>
    </row>
    <row r="40">
      <c r="A40" s="1"/>
      <c r="B40" s="15" t="s">
        <v>79</v>
      </c>
      <c r="C40" s="49">
        <v>46046</v>
      </c>
      <c r="D40" s="49">
        <v>45114</v>
      </c>
      <c r="E40" s="49">
        <v>44359</v>
      </c>
      <c r="F40" s="49">
        <v>43946</v>
      </c>
      <c r="G40" s="49">
        <v>41326</v>
      </c>
      <c r="H40" s="74">
        <v>36000</v>
      </c>
      <c r="I40" s="17"/>
    </row>
    <row r="41">
      <c r="A41" s="1"/>
      <c r="B41" s="34" t="s">
        <v>77</v>
      </c>
      <c r="C41" s="2"/>
      <c r="D41" s="2"/>
      <c r="E41" s="2"/>
      <c r="F41" s="2"/>
      <c r="G41" s="2"/>
      <c r="H41" s="20">
        <f>IF(OR(H40="",C40=""),"",IF(C40=0,"n/m",H40/C40-1))</f>
        <v>-0.21817313121660953</v>
      </c>
      <c r="I41" s="2"/>
    </row>
    <row r="42">
      <c r="A42" s="1"/>
      <c r="B42" s="15" t="s">
        <v>78</v>
      </c>
      <c r="C42" s="17"/>
      <c r="D42" s="17">
        <f>IF(OR(D40="",C40=""),"",D40-C40)</f>
        <v>-932</v>
      </c>
      <c r="E42" s="17"/>
      <c r="F42" s="17">
        <f>IF(OR(F40="",D40=""),"",F40-D40)</f>
        <v>-1168</v>
      </c>
      <c r="G42" s="17">
        <f>IF(OR(G40="",F40=""),"",G40-F40)</f>
        <v>-2620</v>
      </c>
      <c r="H42" s="32">
        <f>IF(OR(H40="",G40=""),"",H40-G40)</f>
        <v>-5326</v>
      </c>
      <c r="I42" s="17"/>
    </row>
    <row r="43">
      <c r="A43" s="1"/>
      <c r="B43" s="15" t="s">
        <v>80</v>
      </c>
      <c r="C43" s="49">
        <v>90121</v>
      </c>
      <c r="D43" s="49">
        <v>100086</v>
      </c>
      <c r="E43" s="49">
        <v>87300</v>
      </c>
      <c r="F43" s="49">
        <v>104520</v>
      </c>
      <c r="G43" s="49">
        <v>112136</v>
      </c>
      <c r="H43" s="74">
        <v>123500</v>
      </c>
      <c r="I43" s="17"/>
    </row>
    <row r="44">
      <c r="A44" s="1"/>
      <c r="B44" s="34" t="s">
        <v>77</v>
      </c>
      <c r="C44" s="2"/>
      <c r="D44" s="2"/>
      <c r="E44" s="2"/>
      <c r="F44" s="2"/>
      <c r="G44" s="2"/>
      <c r="H44" s="20">
        <f>IF(OR(H43="",C43=""),"",IF(C43=0,"n/m",H43/C43-1))</f>
        <v>0.3703798226828374</v>
      </c>
      <c r="I44" s="2"/>
    </row>
    <row r="45">
      <c r="A45" s="1"/>
      <c r="B45" s="15" t="s">
        <v>78</v>
      </c>
      <c r="C45" s="17"/>
      <c r="D45" s="17">
        <f>IF(OR(D43="",C43=""),"",D43-C43)</f>
        <v>9965</v>
      </c>
      <c r="E45" s="17"/>
      <c r="F45" s="17">
        <f>IF(OR(F43="",D43=""),"",F43-D43)</f>
        <v>4434</v>
      </c>
      <c r="G45" s="17">
        <f>IF(OR(G43="",F43=""),"",G43-F43)</f>
        <v>7616</v>
      </c>
      <c r="H45" s="32">
        <f>IF(OR(H43="",G43=""),"",H43-G43)</f>
        <v>11364</v>
      </c>
      <c r="I45" s="17"/>
    </row>
    <row r="46">
      <c r="A46" s="1"/>
      <c r="B46" s="15" t="s">
        <v>81</v>
      </c>
      <c r="C46" s="49">
        <v>69794</v>
      </c>
      <c r="D46" s="49">
        <v>66031</v>
      </c>
      <c r="E46" s="49">
        <v>74478</v>
      </c>
      <c r="F46" s="49">
        <v>65255</v>
      </c>
      <c r="G46" s="49">
        <v>65864</v>
      </c>
      <c r="H46" s="74">
        <v>64500</v>
      </c>
      <c r="I46" s="17"/>
    </row>
    <row r="47">
      <c r="A47" s="1"/>
      <c r="B47" s="34" t="s">
        <v>77</v>
      </c>
      <c r="C47" s="2"/>
      <c r="D47" s="2"/>
      <c r="E47" s="2"/>
      <c r="F47" s="2"/>
      <c r="G47" s="2"/>
      <c r="H47" s="20">
        <f>IF(OR(H46="",C46=""),"",IF(C46=0,"n/m",H46/C46-1))</f>
        <v>-0.07585179241768636</v>
      </c>
      <c r="I47" s="2"/>
    </row>
    <row r="48">
      <c r="A48" s="1"/>
      <c r="B48" s="15" t="s">
        <v>78</v>
      </c>
      <c r="C48" s="17"/>
      <c r="D48" s="17">
        <f>IF(OR(D46="",C46=""),"",D46-C46)</f>
        <v>-3763</v>
      </c>
      <c r="E48" s="17"/>
      <c r="F48" s="17">
        <f>IF(OR(F46="",D46=""),"",F46-D46)</f>
        <v>-776</v>
      </c>
      <c r="G48" s="17">
        <f>IF(OR(G46="",F46=""),"",G46-F46)</f>
        <v>609</v>
      </c>
      <c r="H48" s="32">
        <f>IF(OR(H46="",G46=""),"",H46-G46)</f>
        <v>-1364</v>
      </c>
      <c r="I48" s="17"/>
    </row>
    <row r="49">
      <c r="A49" s="1"/>
      <c r="B49" s="15" t="s">
        <v>82</v>
      </c>
      <c r="C49" s="49">
        <v>137672</v>
      </c>
      <c r="D49" s="49">
        <v>134742</v>
      </c>
      <c r="E49" s="49">
        <v>139447</v>
      </c>
      <c r="F49" s="49">
        <v>132192</v>
      </c>
      <c r="G49" s="49">
        <v>131126</v>
      </c>
      <c r="H49" s="74">
        <v>129800</v>
      </c>
      <c r="I49" s="17"/>
    </row>
    <row r="50">
      <c r="A50" s="1"/>
      <c r="B50" s="34" t="s">
        <v>77</v>
      </c>
      <c r="C50" s="2"/>
      <c r="D50" s="2"/>
      <c r="E50" s="2"/>
      <c r="F50" s="2"/>
      <c r="G50" s="2"/>
      <c r="H50" s="20">
        <f>IF(OR(H49="",C49=""),"",IF(C49=0,"n/m",H49/C49-1))</f>
        <v>-0.05717938288105062</v>
      </c>
      <c r="I50" s="2"/>
    </row>
    <row r="51">
      <c r="A51" s="1"/>
      <c r="B51" s="15" t="s">
        <v>78</v>
      </c>
      <c r="C51" s="17"/>
      <c r="D51" s="17">
        <f>IF(OR(D49="",C49=""),"",D49-C49)</f>
        <v>-2930</v>
      </c>
      <c r="E51" s="17"/>
      <c r="F51" s="17">
        <f>IF(OR(F49="",D49=""),"",F49-D49)</f>
        <v>-2550</v>
      </c>
      <c r="G51" s="17">
        <f>IF(OR(G49="",F49=""),"",G49-F49)</f>
        <v>-1066</v>
      </c>
      <c r="H51" s="32">
        <f>IF(OR(H49="",G49=""),"",H49-G49)</f>
        <v>-1326</v>
      </c>
      <c r="I51" s="17"/>
    </row>
    <row r="52">
      <c r="A52" s="1"/>
      <c r="B52" s="15" t="s">
        <v>83</v>
      </c>
      <c r="C52" s="49">
        <v>51849</v>
      </c>
      <c r="D52" s="49">
        <v>55677</v>
      </c>
      <c r="E52" s="49">
        <v>50595</v>
      </c>
      <c r="F52" s="49">
        <v>59285</v>
      </c>
      <c r="G52" s="49">
        <v>63823</v>
      </c>
      <c r="H52" s="74">
        <v>69500</v>
      </c>
      <c r="I52" s="17"/>
    </row>
    <row r="53">
      <c r="A53" s="1"/>
      <c r="B53" s="34" t="s">
        <v>77</v>
      </c>
      <c r="C53" s="2"/>
      <c r="D53" s="2"/>
      <c r="E53" s="2"/>
      <c r="F53" s="2"/>
      <c r="G53" s="2"/>
      <c r="H53" s="20">
        <f>IF(OR(H52="",C52=""),"",IF(C52=0,"n/m",H52/C52-1))</f>
        <v>0.3404308665548035</v>
      </c>
      <c r="I53" s="2"/>
    </row>
    <row r="54">
      <c r="A54" s="1"/>
      <c r="B54" s="15" t="s">
        <v>78</v>
      </c>
      <c r="C54" s="17"/>
      <c r="D54" s="17">
        <f>IF(OR(D52="",C52=""),"",D52-C52)</f>
        <v>3828</v>
      </c>
      <c r="E54" s="17"/>
      <c r="F54" s="17">
        <f>IF(OR(F52="",D52=""),"",F52-D52)</f>
        <v>3608</v>
      </c>
      <c r="G54" s="17">
        <f>IF(OR(G52="",F52=""),"",G52-F52)</f>
        <v>4538</v>
      </c>
      <c r="H54" s="32">
        <f>IF(OR(H52="",G52=""),"",H52-G52)</f>
        <v>5677</v>
      </c>
      <c r="I54" s="17"/>
    </row>
    <row r="55">
      <c r="A55" s="1"/>
      <c r="B55" s="53" t="s">
        <v>84</v>
      </c>
      <c r="C55" s="27">
        <f>C37+C40+C43+C46+C49+C52</f>
        <v>419780</v>
      </c>
      <c r="D55" s="27">
        <f>D37+D40+D43+D46+D49+D52</f>
        <v>431141</v>
      </c>
      <c r="E55" s="27">
        <f>E37+E40+E43+E46+E49+E52</f>
        <v>424233</v>
      </c>
      <c r="F55" s="27">
        <f>F37+F40+F43+F46+F49+F52</f>
        <v>437675</v>
      </c>
      <c r="G55" s="27">
        <f>G37+G40+G43+G46+G49+G52</f>
        <v>444982</v>
      </c>
      <c r="H55" s="40">
        <f>H37+H40+H43+H46+H49+H52</f>
        <v>452300</v>
      </c>
      <c r="I55" s="55"/>
    </row>
    <row r="56">
      <c r="A56" s="1"/>
      <c r="B56" s="34" t="s">
        <v>77</v>
      </c>
      <c r="C56" s="2"/>
      <c r="D56" s="2"/>
      <c r="E56" s="2"/>
      <c r="F56" s="2"/>
      <c r="G56" s="2"/>
      <c r="H56" s="20">
        <f>IF(OR(H55="",C55=""),"",IF(C55=0,"n/m",H55/C55-1))</f>
        <v>0.07746915050740855</v>
      </c>
      <c r="I56" s="2"/>
    </row>
    <row r="57">
      <c r="A57" s="1"/>
      <c r="B57" s="15" t="s">
        <v>78</v>
      </c>
      <c r="C57" s="17"/>
      <c r="D57" s="17">
        <f>IF(OR(D55="",C55=""),"",D55-C55)</f>
        <v>11361</v>
      </c>
      <c r="E57" s="17"/>
      <c r="F57" s="17">
        <f>IF(OR(F55="",D55=""),"",F55-D55)</f>
        <v>6534</v>
      </c>
      <c r="G57" s="17">
        <f>IF(OR(G55="",F55=""),"",G55-F55)</f>
        <v>7307</v>
      </c>
      <c r="H57" s="32">
        <f>IF(OR(H55="",G55=""),"",H55-G55)</f>
        <v>7318</v>
      </c>
      <c r="I57" s="17"/>
    </row>
    <row r="58">
      <c r="A58" s="1"/>
      <c r="B58" s="34" t="s">
        <v>85</v>
      </c>
      <c r="C58" s="16">
        <f>C76*365/C$6/C37</f>
        <v>0.04310607063741156</v>
      </c>
      <c r="D58" s="16">
        <f>D76*365/D$6/D37</f>
        <v>0.03928243399238972</v>
      </c>
      <c r="E58" s="16">
        <f>E76*365/E$6/E37</f>
        <v>0.0423825479432523</v>
      </c>
      <c r="F58" s="16">
        <f>F76*365/F$6/F37</f>
        <v>0.035963912922991656</v>
      </c>
      <c r="G58" s="16">
        <f>G76*365/G$6/G37</f>
        <v>0.036312728207084546</v>
      </c>
      <c r="H58" s="71">
        <f>G58+H59/10000</f>
        <v>0.036712728207084544</v>
      </c>
      <c r="I58" s="16"/>
    </row>
    <row r="59">
      <c r="A59" s="1"/>
      <c r="B59" s="34" t="s">
        <v>86</v>
      </c>
      <c r="C59" s="75"/>
      <c r="D59" s="75">
        <f>(D58-C58)*10000</f>
        <v>-38.2363664502184</v>
      </c>
      <c r="E59" s="75"/>
      <c r="F59" s="75">
        <f>(F58-D58)*10000</f>
        <v>-33.185210693980615</v>
      </c>
      <c r="G59" s="75">
        <f>(G58-F58)*10000</f>
        <v>3.488152840928904</v>
      </c>
      <c r="H59" s="97">
        <v>4</v>
      </c>
      <c r="I59" s="75"/>
    </row>
    <row r="60">
      <c r="A60" s="1"/>
      <c r="B60" s="34" t="s">
        <v>87</v>
      </c>
      <c r="C60" s="75"/>
      <c r="D60" s="75"/>
      <c r="E60" s="75"/>
      <c r="F60" s="75"/>
      <c r="G60" s="75"/>
      <c r="H60" s="76">
        <f>IF(OR(H58="",C58=""),"",(H58-C58)*10000)</f>
        <v>-63.93342430327014</v>
      </c>
      <c r="I60" s="75"/>
    </row>
    <row r="61">
      <c r="A61" s="1"/>
      <c r="B61" s="34" t="s">
        <v>88</v>
      </c>
      <c r="C61" s="16">
        <f>C83*365/C$6/C40</f>
        <v>0.04256376893427933</v>
      </c>
      <c r="D61" s="16">
        <f>D83*365/D$6/D40</f>
        <v>0.03957365977205572</v>
      </c>
      <c r="E61" s="16">
        <f>E83*365/E$6/E40</f>
        <v>0.04197569827994319</v>
      </c>
      <c r="F61" s="16">
        <f>F83*365/F$6/F40</f>
        <v>0.03663713547434478</v>
      </c>
      <c r="G61" s="16">
        <f>G83*365/G$6/G40</f>
        <v>0.03629942143226758</v>
      </c>
      <c r="H61" s="71">
        <f>G61+H62/10000</f>
        <v>0.03669942143226758</v>
      </c>
      <c r="I61" s="16"/>
    </row>
    <row r="62">
      <c r="A62" s="1"/>
      <c r="B62" s="34" t="s">
        <v>86</v>
      </c>
      <c r="C62" s="75"/>
      <c r="D62" s="75">
        <f>(D61-C61)*10000</f>
        <v>-29.901091622236073</v>
      </c>
      <c r="E62" s="75"/>
      <c r="F62" s="75">
        <f>(F61-D61)*10000</f>
        <v>-29.36524297710942</v>
      </c>
      <c r="G62" s="75">
        <f>(G61-F61)*10000</f>
        <v>-3.3771404207719873</v>
      </c>
      <c r="H62" s="97">
        <v>4</v>
      </c>
      <c r="I62" s="75"/>
    </row>
    <row r="63">
      <c r="A63" s="1"/>
      <c r="B63" s="34" t="s">
        <v>87</v>
      </c>
      <c r="C63" s="75"/>
      <c r="D63" s="75"/>
      <c r="E63" s="75"/>
      <c r="F63" s="75"/>
      <c r="G63" s="75"/>
      <c r="H63" s="76">
        <f>IF(OR(H61="",C61=""),"",(H61-C61)*10000)</f>
        <v>-58.643475020117506</v>
      </c>
      <c r="I63" s="75"/>
    </row>
    <row r="64">
      <c r="A64" s="1"/>
      <c r="B64" s="34" t="s">
        <v>89</v>
      </c>
      <c r="C64" s="16">
        <f>C90*365/C$6/C43</f>
        <v>0.06559417941964982</v>
      </c>
      <c r="D64" s="16">
        <f>D90*365/D$6/D43</f>
        <v>0.06128316604242091</v>
      </c>
      <c r="E64" s="16">
        <f>E90*365/E$6/E43</f>
        <v>0.06529209621993128</v>
      </c>
      <c r="F64" s="16">
        <f>F90*365/F$6/F43</f>
        <v>0.05816377514138708</v>
      </c>
      <c r="G64" s="16">
        <f>G90*365/G$6/G43</f>
        <v>0.05755226973212277</v>
      </c>
      <c r="H64" s="71">
        <f>G64+H65/10000</f>
        <v>0.057952269732122766</v>
      </c>
      <c r="I64" s="16"/>
    </row>
    <row r="65">
      <c r="A65" s="1"/>
      <c r="B65" s="34" t="s">
        <v>86</v>
      </c>
      <c r="C65" s="75"/>
      <c r="D65" s="75">
        <f>(D64-C64)*10000</f>
        <v>-43.1101337722891</v>
      </c>
      <c r="E65" s="75"/>
      <c r="F65" s="75">
        <f>(F64-D64)*10000</f>
        <v>-31.193909010338306</v>
      </c>
      <c r="G65" s="75">
        <f>(G64-F64)*10000</f>
        <v>-6.115054092643082</v>
      </c>
      <c r="H65" s="97">
        <v>4</v>
      </c>
      <c r="I65" s="75"/>
    </row>
    <row r="66">
      <c r="A66" s="1"/>
      <c r="B66" s="34" t="s">
        <v>87</v>
      </c>
      <c r="C66" s="75"/>
      <c r="D66" s="75"/>
      <c r="E66" s="75"/>
      <c r="F66" s="75"/>
      <c r="G66" s="75"/>
      <c r="H66" s="76">
        <f>IF(OR(H64="",C64=""),"",(H64-C64)*10000)</f>
        <v>-76.41909687527051</v>
      </c>
      <c r="I66" s="75"/>
    </row>
    <row r="67">
      <c r="A67" s="1"/>
      <c r="B67" s="34" t="s">
        <v>90</v>
      </c>
      <c r="C67" s="16">
        <f>C97*365/C$6/C46</f>
        <v>0.02046394918711089</v>
      </c>
      <c r="D67" s="16">
        <f>D97*365/D$6/D46</f>
        <v>0.02042848122061245</v>
      </c>
      <c r="E67" s="16">
        <f>E97*365/E$6/E46</f>
        <v>0.020650393404763823</v>
      </c>
      <c r="F67" s="16">
        <f>F97*365/F$6/F46</f>
        <v>0.02026068670770226</v>
      </c>
      <c r="G67" s="16">
        <f>G97*365/G$6/G46</f>
        <v>0.021801501061795</v>
      </c>
      <c r="H67" s="71">
        <f>G67+H68/10000</f>
        <v>0.022601501061795</v>
      </c>
      <c r="I67" s="16"/>
    </row>
    <row r="68">
      <c r="A68" s="1"/>
      <c r="B68" s="34" t="s">
        <v>86</v>
      </c>
      <c r="C68" s="75"/>
      <c r="D68" s="75">
        <f>(D67-C67)*10000</f>
        <v>-0.3546796649844114</v>
      </c>
      <c r="E68" s="75"/>
      <c r="F68" s="75">
        <f>(F67-D67)*10000</f>
        <v>-1.677945129101889</v>
      </c>
      <c r="G68" s="75">
        <f>(G67-F67)*10000</f>
        <v>15.408143540927393</v>
      </c>
      <c r="H68" s="97">
        <v>8</v>
      </c>
      <c r="I68" s="75"/>
    </row>
    <row r="69">
      <c r="A69" s="1"/>
      <c r="B69" s="34" t="s">
        <v>87</v>
      </c>
      <c r="C69" s="75"/>
      <c r="D69" s="75"/>
      <c r="E69" s="75"/>
      <c r="F69" s="75"/>
      <c r="G69" s="75"/>
      <c r="H69" s="76">
        <f>IF(OR(H67="",C67=""),"",(H67-C67)*10000)</f>
        <v>21.375518746841077</v>
      </c>
      <c r="I69" s="75"/>
    </row>
    <row r="70">
      <c r="A70" s="1"/>
      <c r="B70" s="34" t="s">
        <v>91</v>
      </c>
      <c r="C70" s="16">
        <f>C104*365/C$6/C49</f>
        <v>0.01691599377979672</v>
      </c>
      <c r="D70" s="16">
        <f>D104*365/D$6/D49</f>
        <v>0.016930504222885216</v>
      </c>
      <c r="E70" s="16">
        <f>E104*365/E$6/E49</f>
        <v>0.01711044339426449</v>
      </c>
      <c r="F70" s="16">
        <f>F104*365/F$6/F49</f>
        <v>0.017395152505446623</v>
      </c>
      <c r="G70" s="16">
        <f>G104*365/G$6/G49</f>
        <v>0.017435624790382808</v>
      </c>
      <c r="H70" s="71">
        <f>G70+H71/10000</f>
        <v>0.017535624790382807</v>
      </c>
      <c r="I70" s="16"/>
    </row>
    <row r="71">
      <c r="A71" s="1"/>
      <c r="B71" s="34" t="s">
        <v>86</v>
      </c>
      <c r="C71" s="75"/>
      <c r="D71" s="75">
        <f>(D70-C70)*10000</f>
        <v>0.14510443088495278</v>
      </c>
      <c r="E71" s="75"/>
      <c r="F71" s="75">
        <f>(F70-D70)*10000</f>
        <v>4.646482825614064</v>
      </c>
      <c r="G71" s="75">
        <f>(G70-F70)*10000</f>
        <v>0.4047228493618549</v>
      </c>
      <c r="H71" s="97">
        <v>1</v>
      </c>
      <c r="I71" s="75"/>
    </row>
    <row r="72">
      <c r="A72" s="1"/>
      <c r="B72" s="34" t="s">
        <v>87</v>
      </c>
      <c r="C72" s="75"/>
      <c r="D72" s="75"/>
      <c r="E72" s="75"/>
      <c r="F72" s="75"/>
      <c r="G72" s="75"/>
      <c r="H72" s="76">
        <f>IF(OR(H70="",C70=""),"",(H70-C70)*10000)</f>
        <v>6.196310105860865</v>
      </c>
      <c r="I72" s="75"/>
    </row>
    <row r="73">
      <c r="A73" s="1"/>
      <c r="B73" s="34" t="s">
        <v>92</v>
      </c>
      <c r="C73" s="16">
        <f>C111*365/C$6/C52</f>
        <v>0.042620628296046965</v>
      </c>
      <c r="D73" s="16">
        <f>D111*365/D$6/D52</f>
        <v>0.04275436504496822</v>
      </c>
      <c r="E73" s="16">
        <f>E111*365/E$6/E52</f>
        <v>0.0428500840003953</v>
      </c>
      <c r="F73" s="16">
        <f>F111*365/F$6/F52</f>
        <v>0.04289168142588064</v>
      </c>
      <c r="G73" s="16">
        <f>G111*365/G$6/G52</f>
        <v>0.0435519387151244</v>
      </c>
      <c r="H73" s="71">
        <f>G73+H74/10000</f>
        <v>0.043851938715124404</v>
      </c>
      <c r="I73" s="16"/>
    </row>
    <row r="74">
      <c r="A74" s="1"/>
      <c r="B74" s="34" t="s">
        <v>86</v>
      </c>
      <c r="C74" s="75"/>
      <c r="D74" s="75">
        <f>(D73-C73)*10000</f>
        <v>1.3373674892125376</v>
      </c>
      <c r="E74" s="75"/>
      <c r="F74" s="75">
        <f>(F73-D73)*10000</f>
        <v>1.373163809124181</v>
      </c>
      <c r="G74" s="75">
        <f>(G73-F73)*10000</f>
        <v>6.602572892437653</v>
      </c>
      <c r="H74" s="97">
        <v>3</v>
      </c>
      <c r="I74" s="75"/>
    </row>
    <row r="75">
      <c r="A75" s="1"/>
      <c r="B75" s="34" t="s">
        <v>87</v>
      </c>
      <c r="C75" s="75"/>
      <c r="D75" s="75"/>
      <c r="E75" s="75"/>
      <c r="F75" s="75"/>
      <c r="G75" s="75"/>
      <c r="H75" s="76">
        <f>IF(OR(H73="",C73=""),"",(H73-C73)*10000)</f>
        <v>12.313104190774387</v>
      </c>
      <c r="I75" s="75"/>
    </row>
    <row r="76">
      <c r="A76" s="1"/>
      <c r="B76" s="15" t="s">
        <v>93</v>
      </c>
      <c r="C76" s="49">
        <v>264</v>
      </c>
      <c r="D76" s="49">
        <v>292</v>
      </c>
      <c r="E76" s="49">
        <v>1189</v>
      </c>
      <c r="F76" s="49">
        <v>288</v>
      </c>
      <c r="G76" s="49">
        <v>278</v>
      </c>
      <c r="H76" s="32">
        <f>H37*H58*H$6/365</f>
        <v>268.35495577123714</v>
      </c>
      <c r="I76" s="17"/>
    </row>
    <row r="77">
      <c r="A77" s="1"/>
      <c r="B77" s="34" t="s">
        <v>77</v>
      </c>
      <c r="C77" s="2"/>
      <c r="D77" s="2"/>
      <c r="E77" s="2"/>
      <c r="F77" s="2"/>
      <c r="G77" s="2"/>
      <c r="H77" s="20">
        <f>IF(OR(H76="",C76=""),"",IF(C76=0,"n/m",H76/C76-1))</f>
        <v>0.016496044588019565</v>
      </c>
      <c r="I77" s="2"/>
    </row>
    <row r="78">
      <c r="A78" s="1"/>
      <c r="B78" s="15" t="s">
        <v>78</v>
      </c>
      <c r="C78" s="17"/>
      <c r="D78" s="17">
        <f>IF(OR(D76="",C76=""),"",D76-C76)</f>
        <v>28</v>
      </c>
      <c r="E78" s="17"/>
      <c r="F78" s="17">
        <f>IF(OR(F76="",D76=""),"",F76-D76)</f>
        <v>-4</v>
      </c>
      <c r="G78" s="17">
        <f>IF(OR(G76="",F76=""),"",G76-F76)</f>
        <v>-10</v>
      </c>
      <c r="H78" s="32">
        <f>IF(OR(H76="",G76=""),"",H76-G76)</f>
        <v>-9.645044228762856</v>
      </c>
      <c r="I78" s="17"/>
    </row>
    <row r="79">
      <c r="A79" s="1"/>
      <c r="B79" s="34" t="s">
        <v>64</v>
      </c>
      <c r="C79" s="2"/>
      <c r="D79" s="2"/>
      <c r="E79" s="2"/>
      <c r="F79" s="2"/>
      <c r="G79" s="2"/>
      <c r="H79" s="20">
        <f>IF(C76=0,"n/m",H76/C76-1)</f>
        <v>0.016496044588019565</v>
      </c>
      <c r="I79" s="2"/>
    </row>
    <row r="80">
      <c r="A80" s="1"/>
      <c r="B80" s="34" t="s">
        <v>70</v>
      </c>
      <c r="C80" s="2"/>
      <c r="D80" s="2"/>
      <c r="E80" s="2"/>
      <c r="F80" s="2"/>
      <c r="G80" s="2"/>
      <c r="H80" s="28">
        <v>0</v>
      </c>
      <c r="I80" s="2"/>
    </row>
    <row r="81">
      <c r="A81" s="1"/>
      <c r="B81" s="34" t="s">
        <v>67</v>
      </c>
      <c r="C81" s="2"/>
      <c r="D81" s="2"/>
      <c r="E81" s="2"/>
      <c r="F81" s="2"/>
      <c r="G81" s="2"/>
      <c r="H81" s="28">
        <v>0</v>
      </c>
      <c r="I81" s="2"/>
    </row>
    <row r="82">
      <c r="A82" s="1"/>
      <c r="B82" s="34" t="s">
        <v>68</v>
      </c>
      <c r="C82" s="2"/>
      <c r="D82" s="2"/>
      <c r="E82" s="2"/>
      <c r="F82" s="2"/>
      <c r="G82" s="2"/>
      <c r="H82" s="20">
        <f>(1+H79)/((1+H80)*(1+H81))-1</f>
        <v>0.016496044588019565</v>
      </c>
      <c r="I82" s="2"/>
    </row>
    <row r="83">
      <c r="A83" s="1"/>
      <c r="B83" s="15" t="s">
        <v>94</v>
      </c>
      <c r="C83" s="49">
        <v>494</v>
      </c>
      <c r="D83" s="49">
        <v>450</v>
      </c>
      <c r="E83" s="49">
        <v>1862</v>
      </c>
      <c r="F83" s="49">
        <v>397</v>
      </c>
      <c r="G83" s="49">
        <v>374</v>
      </c>
      <c r="H83" s="32">
        <f>H40*H61*H$6/365</f>
        <v>333.0095446127951</v>
      </c>
      <c r="I83" s="17"/>
    </row>
    <row r="84">
      <c r="A84" s="1"/>
      <c r="B84" s="34" t="s">
        <v>77</v>
      </c>
      <c r="C84" s="2"/>
      <c r="D84" s="2"/>
      <c r="E84" s="2"/>
      <c r="F84" s="2"/>
      <c r="G84" s="2"/>
      <c r="H84" s="20">
        <f>IF(OR(H83="",C83=""),"",IF(C83=0,"n/m",H83/C83-1))</f>
        <v>-0.32589161009555656</v>
      </c>
      <c r="I84" s="2"/>
    </row>
    <row r="85">
      <c r="A85" s="1"/>
      <c r="B85" s="15" t="s">
        <v>78</v>
      </c>
      <c r="C85" s="17"/>
      <c r="D85" s="17">
        <f>IF(OR(D83="",C83=""),"",D83-C83)</f>
        <v>-44</v>
      </c>
      <c r="E85" s="17"/>
      <c r="F85" s="17">
        <f>IF(OR(F83="",D83=""),"",F83-D83)</f>
        <v>-53</v>
      </c>
      <c r="G85" s="17">
        <f>IF(OR(G83="",F83=""),"",G83-F83)</f>
        <v>-23</v>
      </c>
      <c r="H85" s="32">
        <f>IF(OR(H83="",G83=""),"",H83-G83)</f>
        <v>-40.99045538720492</v>
      </c>
      <c r="I85" s="17"/>
    </row>
    <row r="86">
      <c r="A86" s="1"/>
      <c r="B86" s="34" t="s">
        <v>64</v>
      </c>
      <c r="C86" s="2"/>
      <c r="D86" s="2"/>
      <c r="E86" s="2"/>
      <c r="F86" s="2"/>
      <c r="G86" s="2"/>
      <c r="H86" s="20">
        <f>IF(C83=0,"n/m",H83/C83-1)</f>
        <v>-0.32589161009555656</v>
      </c>
      <c r="I86" s="2"/>
    </row>
    <row r="87">
      <c r="A87" s="1"/>
      <c r="B87" s="34" t="s">
        <v>70</v>
      </c>
      <c r="C87" s="2"/>
      <c r="D87" s="2"/>
      <c r="E87" s="2"/>
      <c r="F87" s="2"/>
      <c r="G87" s="2"/>
      <c r="H87" s="28">
        <v>0</v>
      </c>
      <c r="I87" s="2"/>
    </row>
    <row r="88">
      <c r="A88" s="1"/>
      <c r="B88" s="34" t="s">
        <v>67</v>
      </c>
      <c r="C88" s="2"/>
      <c r="D88" s="2"/>
      <c r="E88" s="2"/>
      <c r="F88" s="2"/>
      <c r="G88" s="2"/>
      <c r="H88" s="28">
        <v>0</v>
      </c>
      <c r="I88" s="2"/>
    </row>
    <row r="89">
      <c r="A89" s="1"/>
      <c r="B89" s="34" t="s">
        <v>68</v>
      </c>
      <c r="C89" s="2"/>
      <c r="D89" s="2"/>
      <c r="E89" s="2"/>
      <c r="F89" s="2"/>
      <c r="G89" s="2"/>
      <c r="H89" s="20">
        <f>(1+H86)/((1+H87)*(1+H88))-1</f>
        <v>-0.32589161009555656</v>
      </c>
      <c r="I89" s="2"/>
    </row>
    <row r="90">
      <c r="A90" s="1"/>
      <c r="B90" s="15" t="s">
        <v>95</v>
      </c>
      <c r="C90" s="49">
        <v>1490</v>
      </c>
      <c r="D90" s="49">
        <v>1546</v>
      </c>
      <c r="E90" s="49">
        <v>5700</v>
      </c>
      <c r="F90" s="49">
        <v>1499</v>
      </c>
      <c r="G90" s="49">
        <v>1609</v>
      </c>
      <c r="H90" s="32">
        <f>H43*H64*H$6/365</f>
        <v>1803.9827087572025</v>
      </c>
      <c r="I90" s="17"/>
    </row>
    <row r="91">
      <c r="A91" s="1"/>
      <c r="B91" s="34" t="s">
        <v>77</v>
      </c>
      <c r="C91" s="2"/>
      <c r="D91" s="2"/>
      <c r="E91" s="2"/>
      <c r="F91" s="2"/>
      <c r="G91" s="2"/>
      <c r="H91" s="20">
        <f>IF(OR(H90="",C90=""),"",IF(C90=0,"n/m",H90/C90-1))</f>
        <v>0.21072665017261927</v>
      </c>
      <c r="I91" s="2"/>
    </row>
    <row r="92">
      <c r="A92" s="1"/>
      <c r="B92" s="15" t="s">
        <v>78</v>
      </c>
      <c r="C92" s="17"/>
      <c r="D92" s="17">
        <f>IF(OR(D90="",C90=""),"",D90-C90)</f>
        <v>56</v>
      </c>
      <c r="E92" s="17"/>
      <c r="F92" s="17">
        <f>IF(OR(F90="",D90=""),"",F90-D90)</f>
        <v>-47</v>
      </c>
      <c r="G92" s="17">
        <f>IF(OR(G90="",F90=""),"",G90-F90)</f>
        <v>110</v>
      </c>
      <c r="H92" s="32">
        <f>IF(OR(H90="",G90=""),"",H90-G90)</f>
        <v>194.98270875720254</v>
      </c>
      <c r="I92" s="17"/>
    </row>
    <row r="93">
      <c r="A93" s="1"/>
      <c r="B93" s="34" t="s">
        <v>64</v>
      </c>
      <c r="C93" s="2"/>
      <c r="D93" s="2"/>
      <c r="E93" s="2"/>
      <c r="F93" s="2"/>
      <c r="G93" s="2"/>
      <c r="H93" s="20">
        <f>IF(C90=0,"n/m",H90/C90-1)</f>
        <v>0.21072665017261927</v>
      </c>
      <c r="I93" s="2"/>
    </row>
    <row r="94">
      <c r="A94" s="1"/>
      <c r="B94" s="34" t="s">
        <v>70</v>
      </c>
      <c r="C94" s="2"/>
      <c r="D94" s="2"/>
      <c r="E94" s="2"/>
      <c r="F94" s="2"/>
      <c r="G94" s="2"/>
      <c r="H94" s="28">
        <v>0</v>
      </c>
      <c r="I94" s="2"/>
    </row>
    <row r="95">
      <c r="A95" s="1"/>
      <c r="B95" s="34" t="s">
        <v>67</v>
      </c>
      <c r="C95" s="2"/>
      <c r="D95" s="2"/>
      <c r="E95" s="2"/>
      <c r="F95" s="2"/>
      <c r="G95" s="2"/>
      <c r="H95" s="28">
        <v>0</v>
      </c>
      <c r="I95" s="2"/>
    </row>
    <row r="96">
      <c r="A96" s="1"/>
      <c r="B96" s="34" t="s">
        <v>68</v>
      </c>
      <c r="C96" s="2"/>
      <c r="D96" s="2"/>
      <c r="E96" s="2"/>
      <c r="F96" s="2"/>
      <c r="G96" s="2"/>
      <c r="H96" s="20">
        <f>(1+H93)/((1+H94)*(1+H95))-1</f>
        <v>0.21072665017261927</v>
      </c>
      <c r="I96" s="2"/>
    </row>
    <row r="97">
      <c r="A97" s="1"/>
      <c r="B97" s="15" t="s">
        <v>96</v>
      </c>
      <c r="C97" s="49">
        <v>360</v>
      </c>
      <c r="D97" s="49">
        <v>340</v>
      </c>
      <c r="E97" s="49">
        <v>1538</v>
      </c>
      <c r="F97" s="49">
        <v>326</v>
      </c>
      <c r="G97" s="49">
        <v>358</v>
      </c>
      <c r="H97" s="32">
        <f>H46*H67*H$6/365</f>
        <v>367.44467753614117</v>
      </c>
      <c r="I97" s="17"/>
    </row>
    <row r="98">
      <c r="A98" s="1"/>
      <c r="B98" s="34" t="s">
        <v>77</v>
      </c>
      <c r="C98" s="2"/>
      <c r="D98" s="2"/>
      <c r="E98" s="2"/>
      <c r="F98" s="2"/>
      <c r="G98" s="2"/>
      <c r="H98" s="20">
        <f>IF(OR(H97="",C97=""),"",IF(C97=0,"n/m",H97/C97-1))</f>
        <v>0.020679659822614438</v>
      </c>
      <c r="I98" s="2"/>
    </row>
    <row r="99">
      <c r="A99" s="1"/>
      <c r="B99" s="15" t="s">
        <v>78</v>
      </c>
      <c r="C99" s="17"/>
      <c r="D99" s="17">
        <f>IF(OR(D97="",C97=""),"",D97-C97)</f>
        <v>-20</v>
      </c>
      <c r="E99" s="17"/>
      <c r="F99" s="17">
        <f>IF(OR(F97="",D97=""),"",F97-D97)</f>
        <v>-14</v>
      </c>
      <c r="G99" s="17">
        <f>IF(OR(G97="",F97=""),"",G97-F97)</f>
        <v>32</v>
      </c>
      <c r="H99" s="32">
        <f>IF(OR(H97="",G97=""),"",H97-G97)</f>
        <v>9.444677536141171</v>
      </c>
      <c r="I99" s="17"/>
    </row>
    <row r="100">
      <c r="A100" s="1"/>
      <c r="B100" s="34" t="s">
        <v>64</v>
      </c>
      <c r="C100" s="2"/>
      <c r="D100" s="2"/>
      <c r="E100" s="2"/>
      <c r="F100" s="2"/>
      <c r="G100" s="2"/>
      <c r="H100" s="20">
        <f>IF(C97=0,"n/m",H97/C97-1)</f>
        <v>0.020679659822614438</v>
      </c>
      <c r="I100" s="2"/>
    </row>
    <row r="101">
      <c r="A101" s="1"/>
      <c r="B101" s="34" t="s">
        <v>70</v>
      </c>
      <c r="C101" s="2"/>
      <c r="D101" s="2"/>
      <c r="E101" s="2"/>
      <c r="F101" s="2"/>
      <c r="G101" s="2"/>
      <c r="H101" s="28">
        <v>0</v>
      </c>
      <c r="I101" s="2"/>
    </row>
    <row r="102">
      <c r="A102" s="1"/>
      <c r="B102" s="34" t="s">
        <v>67</v>
      </c>
      <c r="C102" s="2"/>
      <c r="D102" s="2"/>
      <c r="E102" s="2"/>
      <c r="F102" s="2"/>
      <c r="G102" s="2"/>
      <c r="H102" s="28">
        <v>0</v>
      </c>
      <c r="I102" s="2"/>
    </row>
    <row r="103">
      <c r="A103" s="1"/>
      <c r="B103" s="34" t="s">
        <v>68</v>
      </c>
      <c r="C103" s="2"/>
      <c r="D103" s="2"/>
      <c r="E103" s="2"/>
      <c r="F103" s="2"/>
      <c r="G103" s="2"/>
      <c r="H103" s="20">
        <f>(1+H100)/((1+H101)*(1+H102))-1</f>
        <v>0.020679659822614438</v>
      </c>
      <c r="I103" s="2"/>
    </row>
    <row r="104">
      <c r="A104" s="1"/>
      <c r="B104" s="15" t="s">
        <v>97</v>
      </c>
      <c r="C104" s="49">
        <v>587</v>
      </c>
      <c r="D104" s="49">
        <v>575</v>
      </c>
      <c r="E104" s="49">
        <v>2386</v>
      </c>
      <c r="F104" s="49">
        <v>567</v>
      </c>
      <c r="G104" s="49">
        <v>570</v>
      </c>
      <c r="H104" s="32">
        <f>H49*H70*H$6/365</f>
        <v>573.7079917721516</v>
      </c>
      <c r="I104" s="17"/>
    </row>
    <row r="105">
      <c r="A105" s="1"/>
      <c r="B105" s="34" t="s">
        <v>77</v>
      </c>
      <c r="C105" s="2"/>
      <c r="D105" s="2"/>
      <c r="E105" s="2"/>
      <c r="F105" s="2"/>
      <c r="G105" s="2"/>
      <c r="H105" s="20">
        <f>IF(OR(H104="",C104=""),"",IF(C104=0,"n/m",H104/C104-1))</f>
        <v>-0.022643966316607256</v>
      </c>
      <c r="I105" s="2"/>
    </row>
    <row r="106">
      <c r="A106" s="1"/>
      <c r="B106" s="15" t="s">
        <v>78</v>
      </c>
      <c r="C106" s="17"/>
      <c r="D106" s="17">
        <f>IF(OR(D104="",C104=""),"",D104-C104)</f>
        <v>-12</v>
      </c>
      <c r="E106" s="17"/>
      <c r="F106" s="17">
        <f>IF(OR(F104="",D104=""),"",F104-D104)</f>
        <v>-8</v>
      </c>
      <c r="G106" s="17">
        <f>IF(OR(G104="",F104=""),"",G104-F104)</f>
        <v>3</v>
      </c>
      <c r="H106" s="32">
        <f>IF(OR(H104="",G104=""),"",H104-G104)</f>
        <v>3.7079917721515585</v>
      </c>
      <c r="I106" s="17"/>
    </row>
    <row r="107">
      <c r="A107" s="1"/>
      <c r="B107" s="34" t="s">
        <v>64</v>
      </c>
      <c r="C107" s="2"/>
      <c r="D107" s="2"/>
      <c r="E107" s="2"/>
      <c r="F107" s="2"/>
      <c r="G107" s="2"/>
      <c r="H107" s="20">
        <f>IF(C104=0,"n/m",H104/C104-1)</f>
        <v>-0.022643966316607256</v>
      </c>
      <c r="I107" s="2"/>
    </row>
    <row r="108">
      <c r="A108" s="1"/>
      <c r="B108" s="34" t="s">
        <v>70</v>
      </c>
      <c r="C108" s="2"/>
      <c r="D108" s="2"/>
      <c r="E108" s="2"/>
      <c r="F108" s="2"/>
      <c r="G108" s="2"/>
      <c r="H108" s="28">
        <v>0</v>
      </c>
      <c r="I108" s="2"/>
    </row>
    <row r="109">
      <c r="A109" s="1"/>
      <c r="B109" s="34" t="s">
        <v>67</v>
      </c>
      <c r="C109" s="2"/>
      <c r="D109" s="2"/>
      <c r="E109" s="2"/>
      <c r="F109" s="2"/>
      <c r="G109" s="2"/>
      <c r="H109" s="28">
        <v>0</v>
      </c>
      <c r="I109" s="2"/>
    </row>
    <row r="110">
      <c r="A110" s="1"/>
      <c r="B110" s="34" t="s">
        <v>68</v>
      </c>
      <c r="C110" s="2"/>
      <c r="D110" s="2"/>
      <c r="E110" s="2"/>
      <c r="F110" s="2"/>
      <c r="G110" s="2"/>
      <c r="H110" s="20">
        <f>(1+H107)/((1+H108)*(1+H109))-1</f>
        <v>-0.022643966316607256</v>
      </c>
      <c r="I110" s="2"/>
    </row>
    <row r="111">
      <c r="A111" s="1"/>
      <c r="B111" s="15" t="s">
        <v>98</v>
      </c>
      <c r="C111" s="49">
        <v>557</v>
      </c>
      <c r="D111" s="49">
        <v>600</v>
      </c>
      <c r="E111" s="49">
        <v>2168</v>
      </c>
      <c r="F111" s="49">
        <v>627</v>
      </c>
      <c r="G111" s="49">
        <v>693</v>
      </c>
      <c r="H111" s="32">
        <f>H52*H73*H$6/365</f>
        <v>768.1898524506998</v>
      </c>
      <c r="I111" s="17"/>
    </row>
    <row r="112">
      <c r="A112" s="1"/>
      <c r="B112" s="34" t="s">
        <v>77</v>
      </c>
      <c r="C112" s="2"/>
      <c r="D112" s="2"/>
      <c r="E112" s="2"/>
      <c r="F112" s="2"/>
      <c r="G112" s="2"/>
      <c r="H112" s="20">
        <f>IF(OR(H111="",C111=""),"",IF(C111=0,"n/m",H111/C111-1))</f>
        <v>0.37915592899587036</v>
      </c>
      <c r="I112" s="2"/>
    </row>
    <row r="113">
      <c r="A113" s="1"/>
      <c r="B113" s="15" t="s">
        <v>78</v>
      </c>
      <c r="C113" s="17"/>
      <c r="D113" s="17">
        <f>IF(OR(D111="",C111=""),"",D111-C111)</f>
        <v>43</v>
      </c>
      <c r="E113" s="17"/>
      <c r="F113" s="17">
        <f>IF(OR(F111="",D111=""),"",F111-D111)</f>
        <v>27</v>
      </c>
      <c r="G113" s="17">
        <f>IF(OR(G111="",F111=""),"",G111-F111)</f>
        <v>66</v>
      </c>
      <c r="H113" s="32">
        <f>IF(OR(H111="",G111=""),"",H111-G111)</f>
        <v>75.18985245069985</v>
      </c>
      <c r="I113" s="17"/>
    </row>
    <row r="114">
      <c r="A114" s="1"/>
      <c r="B114" s="34" t="s">
        <v>64</v>
      </c>
      <c r="C114" s="2"/>
      <c r="D114" s="2"/>
      <c r="E114" s="2"/>
      <c r="F114" s="2"/>
      <c r="G114" s="2"/>
      <c r="H114" s="20">
        <f>IF(C111=0,"n/m",H111/C111-1)</f>
        <v>0.37915592899587036</v>
      </c>
      <c r="I114" s="2"/>
    </row>
    <row r="115">
      <c r="A115" s="1"/>
      <c r="B115" s="34" t="s">
        <v>70</v>
      </c>
      <c r="C115" s="2"/>
      <c r="D115" s="2"/>
      <c r="E115" s="2"/>
      <c r="F115" s="2"/>
      <c r="G115" s="2"/>
      <c r="H115" s="28">
        <v>0</v>
      </c>
      <c r="I115" s="2"/>
    </row>
    <row r="116">
      <c r="A116" s="1"/>
      <c r="B116" s="34" t="s">
        <v>67</v>
      </c>
      <c r="C116" s="2"/>
      <c r="D116" s="2"/>
      <c r="E116" s="2"/>
      <c r="F116" s="2"/>
      <c r="G116" s="2"/>
      <c r="H116" s="28">
        <v>0</v>
      </c>
      <c r="I116" s="2"/>
    </row>
    <row r="117">
      <c r="A117" s="1"/>
      <c r="B117" s="34" t="s">
        <v>68</v>
      </c>
      <c r="C117" s="2"/>
      <c r="D117" s="2"/>
      <c r="E117" s="2"/>
      <c r="F117" s="2"/>
      <c r="G117" s="2"/>
      <c r="H117" s="20">
        <f>(1+H114)/((1+H115)*(1+H116))-1</f>
        <v>0.37915592899587036</v>
      </c>
      <c r="I117" s="2"/>
    </row>
    <row r="118">
      <c r="A118" s="1"/>
      <c r="B118" s="53" t="s">
        <v>99</v>
      </c>
      <c r="C118" s="27">
        <f>C76+C83+C90+C97+C104+C111</f>
        <v>3752</v>
      </c>
      <c r="D118" s="27">
        <f>D76+D83+D90+D97+D104+D111</f>
        <v>3803</v>
      </c>
      <c r="E118" s="27">
        <f>E76+E83+E90+E97+E104+E111</f>
        <v>14843</v>
      </c>
      <c r="F118" s="27">
        <f>F76+F83+F90+F97+F104+F111</f>
        <v>3704</v>
      </c>
      <c r="G118" s="27">
        <f>G76+G83+G90+G97+G104+G111</f>
        <v>3882</v>
      </c>
      <c r="H118" s="40">
        <f>H76+H83+H90+H97+H104+H111</f>
        <v>4114.689730900228</v>
      </c>
      <c r="I118" s="55"/>
    </row>
    <row r="119">
      <c r="A119" s="1"/>
      <c r="B119" s="34" t="s">
        <v>77</v>
      </c>
      <c r="C119" s="2"/>
      <c r="D119" s="2"/>
      <c r="E119" s="2"/>
      <c r="F119" s="2"/>
      <c r="G119" s="2"/>
      <c r="H119" s="20">
        <f>IF(OR(H118="",C118=""),"",IF(C118=0,"n/m",H118/C118-1))</f>
        <v>0.09666570652991147</v>
      </c>
      <c r="I119" s="2"/>
    </row>
    <row r="120">
      <c r="A120" s="1"/>
      <c r="B120" s="15" t="s">
        <v>78</v>
      </c>
      <c r="C120" s="17"/>
      <c r="D120" s="17">
        <f>IF(OR(D118="",C118=""),"",D118-C118)</f>
        <v>51</v>
      </c>
      <c r="E120" s="17"/>
      <c r="F120" s="17">
        <f>IF(OR(F118="",D118=""),"",F118-D118)</f>
        <v>-99</v>
      </c>
      <c r="G120" s="17">
        <f>IF(OR(G118="",F118=""),"",G118-F118)</f>
        <v>178</v>
      </c>
      <c r="H120" s="32">
        <f>IF(OR(H118="",G118=""),"",H118-G118)</f>
        <v>232.68973090022791</v>
      </c>
      <c r="I120" s="17"/>
    </row>
    <row r="121">
      <c r="A121" s="1"/>
      <c r="B121" s="34" t="s">
        <v>64</v>
      </c>
      <c r="C121" s="2"/>
      <c r="D121" s="2"/>
      <c r="E121" s="2"/>
      <c r="F121" s="2"/>
      <c r="G121" s="2"/>
      <c r="H121" s="20">
        <f>IF(C118=0,"n/m",H118/C118-1)</f>
        <v>0.09666570652991147</v>
      </c>
      <c r="I121" s="2"/>
    </row>
    <row r="122">
      <c r="A122" s="1"/>
      <c r="B122" s="34" t="s">
        <v>70</v>
      </c>
      <c r="C122" s="2"/>
      <c r="D122" s="2"/>
      <c r="E122" s="2"/>
      <c r="F122" s="2"/>
      <c r="G122" s="2"/>
      <c r="H122" s="28">
        <v>0</v>
      </c>
      <c r="I122" s="2"/>
    </row>
    <row r="123">
      <c r="A123" s="1"/>
      <c r="B123" s="34" t="s">
        <v>67</v>
      </c>
      <c r="C123" s="2"/>
      <c r="D123" s="2"/>
      <c r="E123" s="2"/>
      <c r="F123" s="2"/>
      <c r="G123" s="2"/>
      <c r="H123" s="28">
        <v>0</v>
      </c>
      <c r="I123" s="2"/>
    </row>
    <row r="124">
      <c r="A124" s="1"/>
      <c r="B124" s="34" t="s">
        <v>68</v>
      </c>
      <c r="C124" s="2"/>
      <c r="D124" s="2"/>
      <c r="E124" s="2"/>
      <c r="F124" s="2"/>
      <c r="G124" s="2"/>
      <c r="H124" s="20">
        <f>(1+H121)/((1+H122)*(1+H123))-1</f>
        <v>0.09666570652991147</v>
      </c>
      <c r="I124" s="2"/>
    </row>
    <row r="125">
      <c r="A125" s="1"/>
      <c r="B125" s="15" t="s">
        <v>100</v>
      </c>
      <c r="C125" s="49">
        <v>183</v>
      </c>
      <c r="D125" s="49">
        <v>98</v>
      </c>
      <c r="E125" s="49">
        <v>437</v>
      </c>
      <c r="F125" s="49">
        <v>91</v>
      </c>
      <c r="G125" s="49">
        <v>178</v>
      </c>
      <c r="H125" s="74">
        <v>160</v>
      </c>
      <c r="I125" s="17"/>
    </row>
    <row r="126">
      <c r="A126" s="1"/>
      <c r="B126" s="34" t="s">
        <v>77</v>
      </c>
      <c r="C126" s="2"/>
      <c r="D126" s="2"/>
      <c r="E126" s="2"/>
      <c r="F126" s="2"/>
      <c r="G126" s="2"/>
      <c r="H126" s="20">
        <f>IF(OR(H125="",C125=""),"",IF(C125=0,"n/m",H125/C125-1))</f>
        <v>-0.12568306010928965</v>
      </c>
      <c r="I126" s="2"/>
    </row>
    <row r="127">
      <c r="A127" s="1"/>
      <c r="B127" s="15" t="s">
        <v>78</v>
      </c>
      <c r="C127" s="17"/>
      <c r="D127" s="17">
        <f>IF(OR(D125="",C125=""),"",D125-C125)</f>
        <v>-85</v>
      </c>
      <c r="E127" s="17"/>
      <c r="F127" s="17">
        <f>IF(OR(F125="",D125=""),"",F125-D125)</f>
        <v>-7</v>
      </c>
      <c r="G127" s="17">
        <f>IF(OR(G125="",F125=""),"",G125-F125)</f>
        <v>87</v>
      </c>
      <c r="H127" s="32">
        <f>IF(OR(H125="",G125=""),"",H125-G125)</f>
        <v>-18</v>
      </c>
      <c r="I127" s="17"/>
    </row>
    <row r="128">
      <c r="A128" s="1"/>
      <c r="B128" s="34" t="s">
        <v>64</v>
      </c>
      <c r="C128" s="2"/>
      <c r="D128" s="2"/>
      <c r="E128" s="2"/>
      <c r="F128" s="2"/>
      <c r="G128" s="2"/>
      <c r="H128" s="20">
        <f>IF(C125=0,"n/m",H125/C125-1)</f>
        <v>-0.12568306010928965</v>
      </c>
      <c r="I128" s="2"/>
    </row>
    <row r="129">
      <c r="A129" s="1"/>
      <c r="B129" s="34" t="s">
        <v>70</v>
      </c>
      <c r="C129" s="2"/>
      <c r="D129" s="2"/>
      <c r="E129" s="2"/>
      <c r="F129" s="2"/>
      <c r="G129" s="2"/>
      <c r="H129" s="28">
        <v>0</v>
      </c>
      <c r="I129" s="2"/>
    </row>
    <row r="130">
      <c r="A130" s="1"/>
      <c r="B130" s="34" t="s">
        <v>67</v>
      </c>
      <c r="C130" s="2"/>
      <c r="D130" s="2"/>
      <c r="E130" s="2"/>
      <c r="F130" s="2"/>
      <c r="G130" s="2"/>
      <c r="H130" s="28">
        <v>0</v>
      </c>
      <c r="I130" s="2"/>
    </row>
    <row r="131">
      <c r="A131" s="1"/>
      <c r="B131" s="34" t="s">
        <v>68</v>
      </c>
      <c r="C131" s="2"/>
      <c r="D131" s="2"/>
      <c r="E131" s="2"/>
      <c r="F131" s="2"/>
      <c r="G131" s="2"/>
      <c r="H131" s="20">
        <f>(1+H128)/((1+H129)*(1+H130))-1</f>
        <v>-0.12568306010928965</v>
      </c>
      <c r="I131" s="2"/>
    </row>
    <row r="132">
      <c r="A132" s="1"/>
      <c r="B132" s="15" t="s">
        <v>101</v>
      </c>
      <c r="C132" s="17"/>
      <c r="D132" s="49">
        <v>7200</v>
      </c>
      <c r="E132" s="17"/>
      <c r="F132" s="17"/>
      <c r="G132" s="49">
        <v>33100</v>
      </c>
      <c r="H132" s="74">
        <v>50000</v>
      </c>
      <c r="I132" s="17"/>
    </row>
    <row r="133">
      <c r="A133" s="1"/>
      <c r="B133" s="34" t="s">
        <v>77</v>
      </c>
      <c r="C133" s="2"/>
      <c r="D133" s="2"/>
      <c r="E133" s="2"/>
      <c r="F133" s="2"/>
      <c r="G133" s="2"/>
      <c r="H133" s="20" t="str">
        <f>IF(OR(H132="",C132=""),"",IF(C132=0,"n/m",H132/C132-1))</f>
        <v/>
      </c>
      <c r="I133" s="2"/>
    </row>
    <row r="134">
      <c r="A134" s="1"/>
      <c r="B134" s="15" t="s">
        <v>78</v>
      </c>
      <c r="C134" s="17"/>
      <c r="D134" s="17" t="str">
        <f>IF(OR(D132="",C132=""),"",D132-C132)</f>
        <v/>
      </c>
      <c r="E134" s="17"/>
      <c r="F134" s="17" t="str">
        <f>IF(OR(F132="",D132=""),"",F132-D132)</f>
        <v/>
      </c>
      <c r="G134" s="17" t="str">
        <f>IF(OR(G132="",F132=""),"",G132-F132)</f>
        <v/>
      </c>
      <c r="H134" s="32">
        <f>IF(OR(H132="",G132=""),"",H132-G132)</f>
        <v>16900</v>
      </c>
      <c r="I134" s="17"/>
    </row>
    <row r="135">
      <c r="A135" s="1"/>
      <c r="B135" s="34" t="s">
        <v>102</v>
      </c>
      <c r="C135" s="16"/>
      <c r="D135" s="16"/>
      <c r="E135" s="16"/>
      <c r="F135" s="16"/>
      <c r="G135" s="16">
        <f>G138*365/G$6/G132</f>
        <v>0.04507818465522393</v>
      </c>
      <c r="H135" s="71">
        <f>G135+H136/10000</f>
        <v>0.04547818465522393</v>
      </c>
      <c r="I135" s="126" t="s">
        <v>103</v>
      </c>
    </row>
    <row r="136">
      <c r="A136" s="1"/>
      <c r="B136" s="34" t="s">
        <v>86</v>
      </c>
      <c r="C136" s="75"/>
      <c r="D136" s="75"/>
      <c r="E136" s="75"/>
      <c r="F136" s="75"/>
      <c r="G136" s="75"/>
      <c r="H136" s="97">
        <v>4</v>
      </c>
      <c r="I136" s="75"/>
    </row>
    <row r="137">
      <c r="A137" s="1"/>
      <c r="B137" s="34" t="s">
        <v>87</v>
      </c>
      <c r="C137" s="75"/>
      <c r="D137" s="75"/>
      <c r="E137" s="75"/>
      <c r="F137" s="75"/>
      <c r="G137" s="75"/>
      <c r="H137" s="76" t="str">
        <f>IF(OR(H135="",C135=""),"",(H135-C135)*10000)</f>
        <v/>
      </c>
      <c r="I137" s="75"/>
    </row>
    <row r="138">
      <c r="A138" s="1"/>
      <c r="B138" s="15" t="s">
        <v>104</v>
      </c>
      <c r="C138" s="49">
        <v>21</v>
      </c>
      <c r="D138" s="49">
        <v>103</v>
      </c>
      <c r="E138" s="49">
        <v>224</v>
      </c>
      <c r="F138" s="49">
        <v>167</v>
      </c>
      <c r="G138" s="49">
        <v>372</v>
      </c>
      <c r="H138" s="32">
        <f>H132*H135*H$6/365</f>
        <v>573.1497244220002</v>
      </c>
      <c r="I138" s="17"/>
    </row>
    <row r="139">
      <c r="A139" s="1"/>
      <c r="B139" s="34" t="s">
        <v>77</v>
      </c>
      <c r="C139" s="2"/>
      <c r="D139" s="2"/>
      <c r="E139" s="2"/>
      <c r="F139" s="2"/>
      <c r="G139" s="2"/>
      <c r="H139" s="113" t="s">
        <v>105</v>
      </c>
      <c r="I139" s="2"/>
    </row>
    <row r="140">
      <c r="A140" s="1"/>
      <c r="B140" s="15" t="s">
        <v>78</v>
      </c>
      <c r="C140" s="17"/>
      <c r="D140" s="17">
        <f>IF(OR(D138="",C138=""),"",D138-C138)</f>
        <v>82</v>
      </c>
      <c r="E140" s="17"/>
      <c r="F140" s="17">
        <f>IF(OR(F138="",D138=""),"",F138-D138)</f>
        <v>64</v>
      </c>
      <c r="G140" s="17">
        <f>IF(OR(G138="",F138=""),"",G138-F138)</f>
        <v>205</v>
      </c>
      <c r="H140" s="32">
        <f>IF(OR(H138="",G138=""),"",H138-G138)</f>
        <v>201.1497244220002</v>
      </c>
      <c r="I140" s="17"/>
    </row>
    <row r="141">
      <c r="A141" s="1"/>
      <c r="B141" s="34" t="s">
        <v>64</v>
      </c>
      <c r="C141" s="2"/>
      <c r="D141" s="2"/>
      <c r="E141" s="2"/>
      <c r="F141" s="2"/>
      <c r="G141" s="2"/>
      <c r="H141" s="113" t="s">
        <v>105</v>
      </c>
      <c r="I141" s="2"/>
    </row>
    <row r="142">
      <c r="A142" s="1"/>
      <c r="B142" s="34" t="s">
        <v>70</v>
      </c>
      <c r="C142" s="2"/>
      <c r="D142" s="2"/>
      <c r="E142" s="2"/>
      <c r="F142" s="2"/>
      <c r="G142" s="2"/>
      <c r="H142" s="28">
        <v>0</v>
      </c>
      <c r="I142" s="2"/>
    </row>
    <row r="143">
      <c r="A143" s="1"/>
      <c r="B143" s="34" t="s">
        <v>67</v>
      </c>
      <c r="C143" s="2"/>
      <c r="D143" s="2"/>
      <c r="E143" s="2"/>
      <c r="F143" s="2"/>
      <c r="G143" s="2"/>
      <c r="H143" s="28">
        <v>0</v>
      </c>
      <c r="I143" s="2"/>
    </row>
    <row r="144">
      <c r="A144" s="1"/>
      <c r="B144" s="34" t="s">
        <v>68</v>
      </c>
      <c r="C144" s="2"/>
      <c r="D144" s="2"/>
      <c r="E144" s="2"/>
      <c r="F144" s="2"/>
      <c r="G144" s="2"/>
      <c r="H144" s="113" t="s">
        <v>106</v>
      </c>
      <c r="I144" s="2"/>
    </row>
    <row r="145">
      <c r="A145" s="1"/>
      <c r="B145" s="53" t="s">
        <v>107</v>
      </c>
      <c r="C145" s="27">
        <f>C118+C125+C138</f>
        <v>3956</v>
      </c>
      <c r="D145" s="27">
        <f>D118+D125+D138</f>
        <v>4004</v>
      </c>
      <c r="E145" s="27">
        <f>E118+E125+E138</f>
        <v>15504</v>
      </c>
      <c r="F145" s="27">
        <f>F118+F125+F138</f>
        <v>3962</v>
      </c>
      <c r="G145" s="27">
        <f>G118+G125+G138</f>
        <v>4432</v>
      </c>
      <c r="H145" s="40">
        <f>H118+H125+H138</f>
        <v>4847.839455322228</v>
      </c>
      <c r="I145" s="55"/>
    </row>
    <row r="146">
      <c r="A146" s="1"/>
      <c r="B146" s="34" t="s">
        <v>61</v>
      </c>
      <c r="C146" s="2"/>
      <c r="D146" s="2"/>
      <c r="E146" s="2"/>
      <c r="F146" s="2"/>
      <c r="G146" s="2"/>
      <c r="H146" s="20">
        <f>IF(OR(H145="",C145=""),"",IF(C145=0,"n/m",H145/C145-1))</f>
        <v>0.2254397005364579</v>
      </c>
      <c r="I146" s="2"/>
    </row>
    <row r="147">
      <c r="A147" s="1"/>
      <c r="B147" s="34" t="s">
        <v>62</v>
      </c>
      <c r="C147" s="2"/>
      <c r="D147" s="2">
        <f>IF(OR(D145="",C145=""),"",IF(C145=0,"n/m",D145/C145-1))</f>
        <v>0.01213346814964611</v>
      </c>
      <c r="E147" s="2"/>
      <c r="F147" s="2">
        <f>IF(OR(F145="",D145=""),"",IF(D145=0,"n/m",F145/D145-1))</f>
        <v>-0.010489510489510523</v>
      </c>
      <c r="G147" s="2">
        <f>IF(OR(G145="",F145=""),"",IF(F145=0,"n/m",G145/F145-1))</f>
        <v>0.1186269560827864</v>
      </c>
      <c r="H147" s="20">
        <f>IF(OR(H145="",G145=""),"",IF(G145=0,"n/m",H145/G145-1))</f>
        <v>0.09382659190483489</v>
      </c>
      <c r="I147" s="2"/>
    </row>
    <row r="148">
      <c r="A148" s="1"/>
      <c r="B148" s="34" t="s">
        <v>64</v>
      </c>
      <c r="C148" s="2"/>
      <c r="D148" s="2"/>
      <c r="E148" s="2"/>
      <c r="F148" s="2"/>
      <c r="G148" s="2"/>
      <c r="H148" s="20">
        <f>IF(C145=0,"n/m",H145/C145-1)</f>
        <v>0.2254397005364579</v>
      </c>
      <c r="I148" s="2"/>
    </row>
    <row r="149">
      <c r="A149" s="1"/>
      <c r="B149" s="34" t="s">
        <v>70</v>
      </c>
      <c r="C149" s="2"/>
      <c r="D149" s="2"/>
      <c r="E149" s="2"/>
      <c r="F149" s="2"/>
      <c r="G149" s="2"/>
      <c r="H149" s="28">
        <v>0</v>
      </c>
      <c r="I149" s="2"/>
    </row>
    <row r="150">
      <c r="A150" s="1"/>
      <c r="B150" s="34" t="s">
        <v>67</v>
      </c>
      <c r="C150" s="2"/>
      <c r="D150" s="2"/>
      <c r="E150" s="2"/>
      <c r="F150" s="2"/>
      <c r="G150" s="2"/>
      <c r="H150" s="28">
        <v>0</v>
      </c>
      <c r="I150" s="2"/>
    </row>
    <row r="151">
      <c r="A151" s="1"/>
      <c r="B151" s="34" t="s">
        <v>68</v>
      </c>
      <c r="C151" s="2"/>
      <c r="D151" s="2"/>
      <c r="E151" s="2"/>
      <c r="F151" s="2"/>
      <c r="G151" s="2"/>
      <c r="H151" s="20">
        <f>(1+H148)/((1+H149)*(1+H150))-1</f>
        <v>0.2254397005364579</v>
      </c>
      <c r="I151" s="2"/>
    </row>
    <row r="152">
      <c r="A152" s="1"/>
      <c r="B152" s="15" t="s">
        <v>108</v>
      </c>
      <c r="C152" s="49">
        <v>229281</v>
      </c>
      <c r="D152" s="49">
        <v>239867</v>
      </c>
      <c r="E152" s="49">
        <v>238088</v>
      </c>
      <c r="F152" s="49">
        <v>242679</v>
      </c>
      <c r="G152" s="49">
        <v>246346</v>
      </c>
      <c r="H152" s="74">
        <v>246000</v>
      </c>
      <c r="I152" s="17"/>
    </row>
    <row r="153">
      <c r="A153" s="1"/>
      <c r="B153" s="34" t="s">
        <v>77</v>
      </c>
      <c r="C153" s="2"/>
      <c r="D153" s="2"/>
      <c r="E153" s="2"/>
      <c r="F153" s="2"/>
      <c r="G153" s="2"/>
      <c r="H153" s="20">
        <f>IF(OR(H152="",C152=""),"",IF(C152=0,"n/m",H152/C152-1))</f>
        <v>0.07291925628377416</v>
      </c>
      <c r="I153" s="2"/>
    </row>
    <row r="154">
      <c r="A154" s="1"/>
      <c r="B154" s="15" t="s">
        <v>78</v>
      </c>
      <c r="C154" s="17"/>
      <c r="D154" s="17">
        <f>IF(OR(D152="",C152=""),"",D152-C152)</f>
        <v>10586</v>
      </c>
      <c r="E154" s="17"/>
      <c r="F154" s="17">
        <f>IF(OR(F152="",D152=""),"",F152-D152)</f>
        <v>2812</v>
      </c>
      <c r="G154" s="17">
        <f>IF(OR(G152="",F152=""),"",G152-F152)</f>
        <v>3667</v>
      </c>
      <c r="H154" s="32">
        <f>IF(OR(H152="",G152=""),"",H152-G152)</f>
        <v>-346</v>
      </c>
      <c r="I154" s="17"/>
    </row>
    <row r="155">
      <c r="A155" s="1"/>
      <c r="B155" s="15" t="s">
        <v>109</v>
      </c>
      <c r="C155" s="49">
        <v>19131</v>
      </c>
      <c r="D155" s="49">
        <v>22871</v>
      </c>
      <c r="E155" s="49">
        <v>18236</v>
      </c>
      <c r="F155" s="49">
        <v>25508</v>
      </c>
      <c r="G155" s="49">
        <v>31693</v>
      </c>
      <c r="H155" s="74">
        <v>38000</v>
      </c>
      <c r="I155" s="17"/>
    </row>
    <row r="156">
      <c r="A156" s="1"/>
      <c r="B156" s="34" t="s">
        <v>77</v>
      </c>
      <c r="C156" s="2"/>
      <c r="D156" s="2"/>
      <c r="E156" s="2"/>
      <c r="F156" s="2"/>
      <c r="G156" s="2"/>
      <c r="H156" s="20">
        <f>IF(OR(H155="",C155=""),"",IF(C155=0,"n/m",H155/C155-1))</f>
        <v>0.9863049500810204</v>
      </c>
      <c r="I156" s="2"/>
    </row>
    <row r="157">
      <c r="A157" s="1"/>
      <c r="B157" s="15" t="s">
        <v>78</v>
      </c>
      <c r="C157" s="17"/>
      <c r="D157" s="17">
        <f>IF(OR(D155="",C155=""),"",D155-C155)</f>
        <v>3740</v>
      </c>
      <c r="E157" s="17"/>
      <c r="F157" s="17">
        <f>IF(OR(F155="",D155=""),"",F155-D155)</f>
        <v>2637</v>
      </c>
      <c r="G157" s="17">
        <f>IF(OR(G155="",F155=""),"",G155-F155)</f>
        <v>6185</v>
      </c>
      <c r="H157" s="32">
        <f>IF(OR(H155="",G155=""),"",H155-G155)</f>
        <v>6307</v>
      </c>
      <c r="I157" s="17"/>
    </row>
    <row r="158">
      <c r="A158" s="1"/>
      <c r="B158" s="15" t="s">
        <v>110</v>
      </c>
      <c r="C158" s="49">
        <v>96064</v>
      </c>
      <c r="D158" s="49">
        <v>100746</v>
      </c>
      <c r="E158" s="49">
        <v>94884</v>
      </c>
      <c r="F158" s="49">
        <v>105095</v>
      </c>
      <c r="G158" s="49">
        <v>108840</v>
      </c>
      <c r="H158" s="74">
        <v>109500</v>
      </c>
      <c r="I158" s="17"/>
    </row>
    <row r="159">
      <c r="A159" s="1"/>
      <c r="B159" s="34" t="s">
        <v>77</v>
      </c>
      <c r="C159" s="2"/>
      <c r="D159" s="2"/>
      <c r="E159" s="2"/>
      <c r="F159" s="2"/>
      <c r="G159" s="2"/>
      <c r="H159" s="20">
        <f>IF(OR(H158="",C158=""),"",IF(C158=0,"n/m",H158/C158-1))</f>
        <v>0.13986508994004</v>
      </c>
      <c r="I159" s="2"/>
    </row>
    <row r="160">
      <c r="A160" s="1"/>
      <c r="B160" s="15" t="s">
        <v>78</v>
      </c>
      <c r="C160" s="17"/>
      <c r="D160" s="17">
        <f>IF(OR(D158="",C158=""),"",D158-C158)</f>
        <v>4682</v>
      </c>
      <c r="E160" s="17"/>
      <c r="F160" s="17">
        <f>IF(OR(F158="",D158=""),"",F158-D158)</f>
        <v>4349</v>
      </c>
      <c r="G160" s="17">
        <f>IF(OR(G158="",F158=""),"",G158-F158)</f>
        <v>3745</v>
      </c>
      <c r="H160" s="32">
        <f>IF(OR(H158="",G158=""),"",H158-G158)</f>
        <v>660</v>
      </c>
      <c r="I160" s="17"/>
    </row>
    <row r="161">
      <c r="A161" s="1"/>
      <c r="B161" s="15" t="s">
        <v>111</v>
      </c>
      <c r="C161" s="49">
        <v>7593</v>
      </c>
      <c r="D161" s="49">
        <v>6148</v>
      </c>
      <c r="E161" s="49">
        <v>7020</v>
      </c>
      <c r="F161" s="49">
        <v>9103</v>
      </c>
      <c r="G161" s="49">
        <v>11082</v>
      </c>
      <c r="H161" s="74">
        <v>12500</v>
      </c>
      <c r="I161" s="17"/>
    </row>
    <row r="162">
      <c r="A162" s="1"/>
      <c r="B162" s="34" t="s">
        <v>77</v>
      </c>
      <c r="C162" s="2"/>
      <c r="D162" s="2"/>
      <c r="E162" s="2"/>
      <c r="F162" s="2"/>
      <c r="G162" s="2"/>
      <c r="H162" s="20">
        <f>IF(OR(H161="",C161=""),"",IF(C161=0,"n/m",H161/C161-1))</f>
        <v>0.6462531278809429</v>
      </c>
      <c r="I162" s="2"/>
    </row>
    <row r="163">
      <c r="A163" s="1"/>
      <c r="B163" s="15" t="s">
        <v>78</v>
      </c>
      <c r="C163" s="17"/>
      <c r="D163" s="17">
        <f>IF(OR(D161="",C161=""),"",D161-C161)</f>
        <v>-1445</v>
      </c>
      <c r="E163" s="17"/>
      <c r="F163" s="17">
        <f>IF(OR(F161="",D161=""),"",F161-D161)</f>
        <v>2955</v>
      </c>
      <c r="G163" s="17">
        <f>IF(OR(G161="",F161=""),"",G161-F161)</f>
        <v>1979</v>
      </c>
      <c r="H163" s="32">
        <f>IF(OR(H161="",G161=""),"",H161-G161)</f>
        <v>1418</v>
      </c>
      <c r="I163" s="17"/>
    </row>
    <row r="164">
      <c r="A164" s="1"/>
      <c r="B164" s="15" t="s">
        <v>112</v>
      </c>
      <c r="C164" s="49">
        <v>7103</v>
      </c>
      <c r="D164" s="49">
        <v>3237</v>
      </c>
      <c r="E164" s="49">
        <v>7682</v>
      </c>
      <c r="F164" s="49">
        <v>1277</v>
      </c>
      <c r="G164" s="49">
        <v>126</v>
      </c>
      <c r="H164" s="74">
        <v>300</v>
      </c>
      <c r="I164" s="17"/>
    </row>
    <row r="165">
      <c r="A165" s="1"/>
      <c r="B165" s="34" t="s">
        <v>77</v>
      </c>
      <c r="C165" s="2"/>
      <c r="D165" s="2"/>
      <c r="E165" s="2"/>
      <c r="F165" s="2"/>
      <c r="G165" s="2"/>
      <c r="H165" s="20">
        <f>IF(OR(H164="",C164=""),"",IF(C164=0,"n/m",H164/C164-1))</f>
        <v>-0.9577643249331268</v>
      </c>
      <c r="I165" s="2"/>
    </row>
    <row r="166">
      <c r="A166" s="1"/>
      <c r="B166" s="15" t="s">
        <v>78</v>
      </c>
      <c r="C166" s="17"/>
      <c r="D166" s="17">
        <f>IF(OR(D164="",C164=""),"",D164-C164)</f>
        <v>-3866</v>
      </c>
      <c r="E166" s="17"/>
      <c r="F166" s="17">
        <f>IF(OR(F164="",D164=""),"",F164-D164)</f>
        <v>-1960</v>
      </c>
      <c r="G166" s="17">
        <f>IF(OR(G164="",F164=""),"",G164-F164)</f>
        <v>-1151</v>
      </c>
      <c r="H166" s="32">
        <f>IF(OR(H164="",G164=""),"",H164-G164)</f>
        <v>174</v>
      </c>
      <c r="I166" s="17"/>
    </row>
    <row r="167">
      <c r="A167" s="1"/>
      <c r="B167" s="15" t="s">
        <v>113</v>
      </c>
      <c r="C167" s="49">
        <v>20204</v>
      </c>
      <c r="D167" s="49">
        <v>21284</v>
      </c>
      <c r="E167" s="49">
        <v>21093</v>
      </c>
      <c r="F167" s="49">
        <v>21702</v>
      </c>
      <c r="G167" s="49">
        <v>21324</v>
      </c>
      <c r="H167" s="74">
        <v>24000</v>
      </c>
      <c r="I167" s="17"/>
    </row>
    <row r="168">
      <c r="A168" s="1"/>
      <c r="B168" s="34" t="s">
        <v>77</v>
      </c>
      <c r="C168" s="2"/>
      <c r="D168" s="2"/>
      <c r="E168" s="2"/>
      <c r="F168" s="2"/>
      <c r="G168" s="2"/>
      <c r="H168" s="20">
        <f>IF(OR(H167="",C167=""),"",IF(C167=0,"n/m",H167/C167-1))</f>
        <v>0.18788358740843392</v>
      </c>
      <c r="I168" s="2"/>
    </row>
    <row r="169">
      <c r="A169" s="1"/>
      <c r="B169" s="15" t="s">
        <v>78</v>
      </c>
      <c r="C169" s="17"/>
      <c r="D169" s="17">
        <f>IF(OR(D167="",C167=""),"",D167-C167)</f>
        <v>1080</v>
      </c>
      <c r="E169" s="17"/>
      <c r="F169" s="17">
        <f>IF(OR(F167="",D167=""),"",F167-D167)</f>
        <v>418</v>
      </c>
      <c r="G169" s="17">
        <f>IF(OR(G167="",F167=""),"",G167-F167)</f>
        <v>-378</v>
      </c>
      <c r="H169" s="32">
        <f>IF(OR(H167="",G167=""),"",H167-G167)</f>
        <v>2676</v>
      </c>
      <c r="I169" s="17"/>
    </row>
    <row r="170">
      <c r="A170" s="1"/>
      <c r="B170" s="53" t="s">
        <v>114</v>
      </c>
      <c r="C170" s="27">
        <f>C152+C155+C158+C161+C164+C167</f>
        <v>379376</v>
      </c>
      <c r="D170" s="27">
        <f>D152+D155+D158+D161+D164+D167</f>
        <v>394153</v>
      </c>
      <c r="E170" s="27">
        <f>E152+E155+E158+E161+E164+E167</f>
        <v>387003</v>
      </c>
      <c r="F170" s="27">
        <f>F152+F155+F158+F161+F164+F167</f>
        <v>405364</v>
      </c>
      <c r="G170" s="27">
        <f>G152+G155+G158+G161+G164+G167</f>
        <v>419411</v>
      </c>
      <c r="H170" s="40">
        <f>H152+H155+H158+H161+H164+H167</f>
        <v>430300</v>
      </c>
      <c r="I170" s="55"/>
    </row>
    <row r="171">
      <c r="A171" s="1"/>
      <c r="B171" s="34" t="s">
        <v>77</v>
      </c>
      <c r="C171" s="2"/>
      <c r="D171" s="2"/>
      <c r="E171" s="2"/>
      <c r="F171" s="2"/>
      <c r="G171" s="2"/>
      <c r="H171" s="20">
        <f>IF(OR(H170="",C170=""),"",IF(C170=0,"n/m",H170/C170-1))</f>
        <v>0.13423094766142296</v>
      </c>
      <c r="I171" s="2"/>
    </row>
    <row r="172">
      <c r="A172" s="1"/>
      <c r="B172" s="15" t="s">
        <v>78</v>
      </c>
      <c r="C172" s="17"/>
      <c r="D172" s="17">
        <f>IF(OR(D170="",C170=""),"",D170-C170)</f>
        <v>14777</v>
      </c>
      <c r="E172" s="17"/>
      <c r="F172" s="17">
        <f>IF(OR(F170="",D170=""),"",F170-D170)</f>
        <v>11211</v>
      </c>
      <c r="G172" s="17">
        <f>IF(OR(G170="",F170=""),"",G170-F170)</f>
        <v>14047</v>
      </c>
      <c r="H172" s="32">
        <f>IF(OR(H170="",G170=""),"",H170-G170)</f>
        <v>10889</v>
      </c>
      <c r="I172" s="17"/>
    </row>
    <row r="173">
      <c r="A173" s="1"/>
      <c r="B173" s="34" t="s">
        <v>115</v>
      </c>
      <c r="C173" s="16">
        <f>C191*365/C$6/C152</f>
        <v>0.004291297767709757</v>
      </c>
      <c r="D173" s="16">
        <f>D191*365/D$6/D152</f>
        <v>0.002894493524581829</v>
      </c>
      <c r="E173" s="16">
        <f>E191*365/E$6/E152</f>
        <v>0.004977151305399684</v>
      </c>
      <c r="F173" s="16">
        <f>F191*365/F$6/F152</f>
        <v>0.0019719693733514457</v>
      </c>
      <c r="G173" s="16">
        <f>G191*365/G$6/G152</f>
        <v>0.0018561403361643674</v>
      </c>
      <c r="H173" s="71">
        <f>G173+H174/10000</f>
        <v>0.0020061403361643676</v>
      </c>
      <c r="I173" s="16"/>
    </row>
    <row r="174">
      <c r="A174" s="1"/>
      <c r="B174" s="34" t="s">
        <v>86</v>
      </c>
      <c r="C174" s="75"/>
      <c r="D174" s="75">
        <f>(D173-C173)*10000</f>
        <v>-13.968042431279281</v>
      </c>
      <c r="E174" s="75"/>
      <c r="F174" s="75">
        <f>(F173-D173)*10000</f>
        <v>-9.225241512303834</v>
      </c>
      <c r="G174" s="75">
        <f>(G173-F173)*10000</f>
        <v>-1.158290371870783</v>
      </c>
      <c r="H174" s="97">
        <v>1.5</v>
      </c>
      <c r="I174" s="75"/>
    </row>
    <row r="175">
      <c r="A175" s="1"/>
      <c r="B175" s="34" t="s">
        <v>87</v>
      </c>
      <c r="C175" s="75"/>
      <c r="D175" s="75"/>
      <c r="E175" s="75"/>
      <c r="F175" s="75"/>
      <c r="G175" s="75"/>
      <c r="H175" s="76">
        <f>IF(OR(H173="",C173=""),"",(H173-C173)*10000)</f>
        <v>-22.851574315453895</v>
      </c>
      <c r="I175" s="75"/>
    </row>
    <row r="176">
      <c r="A176" s="1"/>
      <c r="B176" s="34" t="s">
        <v>116</v>
      </c>
      <c r="C176" s="16">
        <f>C194*365/C$6/C155</f>
        <v>0.03898748446068639</v>
      </c>
      <c r="D176" s="16">
        <f>D194*365/D$6/D155</f>
        <v>0.03625485473344828</v>
      </c>
      <c r="E176" s="16">
        <f>E194*365/E$6/E155</f>
        <v>0.03844044746654968</v>
      </c>
      <c r="F176" s="16">
        <f>F194*365/F$6/F155</f>
        <v>0.03450115867788755</v>
      </c>
      <c r="G176" s="16">
        <f>G194*365/G$6/G155</f>
        <v>0.03492988884084709</v>
      </c>
      <c r="H176" s="71">
        <f>G176+H177/10000</f>
        <v>0.035229888840847094</v>
      </c>
      <c r="I176" s="16"/>
    </row>
    <row r="177">
      <c r="A177" s="1"/>
      <c r="B177" s="34" t="s">
        <v>86</v>
      </c>
      <c r="C177" s="75"/>
      <c r="D177" s="75">
        <f>(D176-C176)*10000</f>
        <v>-27.326297272381105</v>
      </c>
      <c r="E177" s="75"/>
      <c r="F177" s="75">
        <f>(F176-D176)*10000</f>
        <v>-17.536960555607287</v>
      </c>
      <c r="G177" s="75">
        <f>(G176-F176)*10000</f>
        <v>4.287301629595438</v>
      </c>
      <c r="H177" s="97">
        <v>3</v>
      </c>
      <c r="I177" s="75"/>
    </row>
    <row r="178">
      <c r="A178" s="1"/>
      <c r="B178" s="34" t="s">
        <v>87</v>
      </c>
      <c r="C178" s="75"/>
      <c r="D178" s="75"/>
      <c r="E178" s="75"/>
      <c r="F178" s="75"/>
      <c r="G178" s="75"/>
      <c r="H178" s="76">
        <f>IF(OR(H176="",C176=""),"",(H176-C176)*10000)</f>
        <v>-37.57595619839294</v>
      </c>
      <c r="I178" s="75"/>
    </row>
    <row r="179">
      <c r="A179" s="1"/>
      <c r="B179" s="34" t="s">
        <v>117</v>
      </c>
      <c r="C179" s="16">
        <f>C197*365/C$6/C158</f>
        <v>0.004006047598702315</v>
      </c>
      <c r="D179" s="16">
        <f>D197*365/D$6/D158</f>
        <v>0.0026778493309476525</v>
      </c>
      <c r="E179" s="16">
        <f>E197*365/E$6/E158</f>
        <v>0.0025715610640360863</v>
      </c>
      <c r="F179" s="16">
        <f>F197*365/F$6/F158</f>
        <v>0.0021610077654608795</v>
      </c>
      <c r="G179" s="16">
        <f>G197*365/G$6/G158</f>
        <v>0.0021742773947845614</v>
      </c>
      <c r="H179" s="71">
        <f>G179+H180/10000</f>
        <v>0.0022042773947845615</v>
      </c>
      <c r="I179" s="16"/>
    </row>
    <row r="180">
      <c r="A180" s="1"/>
      <c r="B180" s="34" t="s">
        <v>86</v>
      </c>
      <c r="C180" s="75"/>
      <c r="D180" s="75">
        <f>(D179-C179)*10000</f>
        <v>-13.281982677546623</v>
      </c>
      <c r="E180" s="75"/>
      <c r="F180" s="75">
        <f>(F179-D179)*10000</f>
        <v>-5.168415654867729</v>
      </c>
      <c r="G180" s="75">
        <f>(G179-F179)*10000</f>
        <v>0.13269629323681922</v>
      </c>
      <c r="H180" s="97">
        <v>0.3</v>
      </c>
      <c r="I180" s="75"/>
    </row>
    <row r="181">
      <c r="A181" s="1"/>
      <c r="B181" s="34" t="s">
        <v>87</v>
      </c>
      <c r="C181" s="75"/>
      <c r="D181" s="75"/>
      <c r="E181" s="75"/>
      <c r="F181" s="75"/>
      <c r="G181" s="75"/>
      <c r="H181" s="76">
        <f>IF(OR(H179="",C179=""),"",(H179-C179)*10000)</f>
        <v>-18.017702039177532</v>
      </c>
      <c r="I181" s="75"/>
    </row>
    <row r="182">
      <c r="A182" s="1"/>
      <c r="B182" s="34" t="s">
        <v>118</v>
      </c>
      <c r="C182" s="16">
        <f>C200*365/C$6/C161</f>
        <v>0.045458059196399433</v>
      </c>
      <c r="D182" s="16">
        <f>D200*365/D$6/D161</f>
        <v>0.04388136120618936</v>
      </c>
      <c r="E182" s="16">
        <f>E200*365/E$6/E161</f>
        <v>0.046153846153846156</v>
      </c>
      <c r="F182" s="16">
        <f>F200*365/F$6/F161</f>
        <v>0.04098770856982435</v>
      </c>
      <c r="G182" s="16">
        <f>G200*365/G$6/G161</f>
        <v>0.04017503882149253</v>
      </c>
      <c r="H182" s="71">
        <f>G182+H183/10000</f>
        <v>0.04047503882149253</v>
      </c>
      <c r="I182" s="16"/>
    </row>
    <row r="183">
      <c r="A183" s="1"/>
      <c r="B183" s="34" t="s">
        <v>86</v>
      </c>
      <c r="C183" s="75"/>
      <c r="D183" s="75">
        <f>(D182-C182)*10000</f>
        <v>-15.766979902100756</v>
      </c>
      <c r="E183" s="75"/>
      <c r="F183" s="75">
        <f>(F182-D182)*10000</f>
        <v>-28.93652636365006</v>
      </c>
      <c r="G183" s="75">
        <f>(G182-F182)*10000</f>
        <v>-8.126697483318221</v>
      </c>
      <c r="H183" s="97">
        <v>3</v>
      </c>
      <c r="I183" s="75"/>
    </row>
    <row r="184">
      <c r="A184" s="1"/>
      <c r="B184" s="34" t="s">
        <v>87</v>
      </c>
      <c r="C184" s="75"/>
      <c r="D184" s="75"/>
      <c r="E184" s="75"/>
      <c r="F184" s="75"/>
      <c r="G184" s="75"/>
      <c r="H184" s="76">
        <f>IF(OR(H182="",C182=""),"",(H182-C182)*10000)</f>
        <v>-49.83020374906902</v>
      </c>
      <c r="I184" s="75"/>
    </row>
    <row r="185">
      <c r="A185" s="1"/>
      <c r="B185" s="34" t="s">
        <v>119</v>
      </c>
      <c r="C185" s="16">
        <f>C203*365/C$6/C164</f>
        <v>0.04412556849830751</v>
      </c>
      <c r="D185" s="16">
        <f>D203*365/D$6/D164</f>
        <v>0.04167170353655424</v>
      </c>
      <c r="E185" s="16">
        <f>E203*365/E$6/E164</f>
        <v>0.04634209841187191</v>
      </c>
      <c r="F185" s="16">
        <f>F203*365/F$6/F164</f>
        <v>0.03811015400678674</v>
      </c>
      <c r="G185" s="16">
        <f>G203*365/G$6/G164</f>
        <v>0.03183324611896041</v>
      </c>
      <c r="H185" s="71">
        <f>G185+H186/10000</f>
        <v>0.03183324611896041</v>
      </c>
      <c r="I185" s="16"/>
    </row>
    <row r="186">
      <c r="A186" s="1"/>
      <c r="B186" s="34" t="s">
        <v>86</v>
      </c>
      <c r="C186" s="75"/>
      <c r="D186" s="75">
        <f>(D185-C185)*10000</f>
        <v>-24.538649617532673</v>
      </c>
      <c r="E186" s="75"/>
      <c r="F186" s="75">
        <f>(F185-D185)*10000</f>
        <v>-35.61549529767505</v>
      </c>
      <c r="G186" s="75">
        <f>(G185-F185)*10000</f>
        <v>-62.769078878263315</v>
      </c>
      <c r="H186" s="97">
        <v>0</v>
      </c>
      <c r="I186" s="75"/>
    </row>
    <row r="187">
      <c r="A187" s="1"/>
      <c r="B187" s="34" t="s">
        <v>87</v>
      </c>
      <c r="C187" s="75"/>
      <c r="D187" s="75"/>
      <c r="E187" s="75"/>
      <c r="F187" s="75"/>
      <c r="G187" s="75"/>
      <c r="H187" s="76">
        <f>IF(OR(H185="",C185=""),"",(H185-C185)*10000)</f>
        <v>-122.92322379347104</v>
      </c>
      <c r="I187" s="75"/>
    </row>
    <row r="188">
      <c r="A188" s="1"/>
      <c r="B188" s="34" t="s">
        <v>120</v>
      </c>
      <c r="C188" s="16">
        <f>C206*365/C$6/C167</f>
        <v>0.04064789150663235</v>
      </c>
      <c r="D188" s="16">
        <f>D206*365/D$6/D167</f>
        <v>0.03933093240074193</v>
      </c>
      <c r="E188" s="16">
        <f>E206*365/E$6/E167</f>
        <v>0.03963400180154553</v>
      </c>
      <c r="F188" s="16">
        <f>F206*365/F$6/F167</f>
        <v>0.037561822259085186</v>
      </c>
      <c r="G188" s="16">
        <f>G206*365/G$6/G167</f>
        <v>0.0428862077708448</v>
      </c>
      <c r="H188" s="71">
        <f>G188+H189/10000</f>
        <v>0.0439862077708448</v>
      </c>
      <c r="I188" s="16"/>
    </row>
    <row r="189">
      <c r="A189" s="1"/>
      <c r="B189" s="34" t="s">
        <v>86</v>
      </c>
      <c r="C189" s="75"/>
      <c r="D189" s="75">
        <f>(D188-C188)*10000</f>
        <v>-13.16959105890421</v>
      </c>
      <c r="E189" s="75"/>
      <c r="F189" s="75">
        <f>(F188-D188)*10000</f>
        <v>-17.691101416567463</v>
      </c>
      <c r="G189" s="75">
        <f>(G188-F188)*10000</f>
        <v>53.24385511759615</v>
      </c>
      <c r="H189" s="97">
        <v>11</v>
      </c>
      <c r="I189" s="75"/>
    </row>
    <row r="190">
      <c r="A190" s="1"/>
      <c r="B190" s="34" t="s">
        <v>87</v>
      </c>
      <c r="C190" s="75"/>
      <c r="D190" s="75"/>
      <c r="E190" s="75"/>
      <c r="F190" s="75"/>
      <c r="G190" s="75"/>
      <c r="H190" s="76">
        <f>IF(OR(H188="",C188=""),"",(H188-C188)*10000)</f>
        <v>33.38316264212445</v>
      </c>
      <c r="I190" s="75"/>
    </row>
    <row r="191">
      <c r="A191" s="1"/>
      <c r="B191" s="15" t="s">
        <v>121</v>
      </c>
      <c r="C191" s="49">
        <v>248</v>
      </c>
      <c r="D191" s="49">
        <v>175</v>
      </c>
      <c r="E191" s="49">
        <v>1185</v>
      </c>
      <c r="F191" s="49">
        <v>118</v>
      </c>
      <c r="G191" s="49">
        <v>114</v>
      </c>
      <c r="H191" s="32">
        <f>H152*H173*H$6/365</f>
        <v>124.391693391978</v>
      </c>
      <c r="I191" s="17"/>
    </row>
    <row r="192">
      <c r="A192" s="1"/>
      <c r="B192" s="34" t="s">
        <v>77</v>
      </c>
      <c r="C192" s="2"/>
      <c r="D192" s="2"/>
      <c r="E192" s="2"/>
      <c r="F192" s="2"/>
      <c r="G192" s="2"/>
      <c r="H192" s="20">
        <f>IF(OR(H191="",C191=""),"",IF(C191=0,"n/m",H191/C191-1))</f>
        <v>-0.49842059116137905</v>
      </c>
      <c r="I192" s="2"/>
    </row>
    <row r="193">
      <c r="A193" s="1"/>
      <c r="B193" s="15" t="s">
        <v>78</v>
      </c>
      <c r="C193" s="17"/>
      <c r="D193" s="17">
        <f>IF(OR(D191="",C191=""),"",D191-C191)</f>
        <v>-73</v>
      </c>
      <c r="E193" s="17"/>
      <c r="F193" s="17">
        <f>IF(OR(F191="",D191=""),"",F191-D191)</f>
        <v>-57</v>
      </c>
      <c r="G193" s="17">
        <f>IF(OR(G191="",F191=""),"",G191-F191)</f>
        <v>-4</v>
      </c>
      <c r="H193" s="32">
        <f>IF(OR(H191="",G191=""),"",H191-G191)</f>
        <v>10.391693391977995</v>
      </c>
      <c r="I193" s="17"/>
    </row>
    <row r="194">
      <c r="A194" s="1"/>
      <c r="B194" s="15" t="s">
        <v>122</v>
      </c>
      <c r="C194" s="49">
        <v>188</v>
      </c>
      <c r="D194" s="49">
        <v>209</v>
      </c>
      <c r="E194" s="49">
        <v>701</v>
      </c>
      <c r="F194" s="49">
        <v>217</v>
      </c>
      <c r="G194" s="49">
        <v>276</v>
      </c>
      <c r="H194" s="32">
        <f>H155*H176*H$6/365</f>
        <v>337.43477092493544</v>
      </c>
      <c r="I194" s="17"/>
    </row>
    <row r="195">
      <c r="A195" s="1"/>
      <c r="B195" s="34" t="s">
        <v>77</v>
      </c>
      <c r="C195" s="2"/>
      <c r="D195" s="2"/>
      <c r="E195" s="2"/>
      <c r="F195" s="2"/>
      <c r="G195" s="2"/>
      <c r="H195" s="20">
        <f>IF(OR(H194="",C194=""),"",IF(C194=0,"n/m",H194/C194-1))</f>
        <v>0.7948658027922098</v>
      </c>
      <c r="I195" s="2"/>
    </row>
    <row r="196">
      <c r="A196" s="1"/>
      <c r="B196" s="15" t="s">
        <v>78</v>
      </c>
      <c r="C196" s="17"/>
      <c r="D196" s="17">
        <f>IF(OR(D194="",C194=""),"",D194-C194)</f>
        <v>21</v>
      </c>
      <c r="E196" s="17"/>
      <c r="F196" s="17">
        <f>IF(OR(F194="",D194=""),"",F194-D194)</f>
        <v>8</v>
      </c>
      <c r="G196" s="17">
        <f>IF(OR(G194="",F194=""),"",G194-F194)</f>
        <v>59</v>
      </c>
      <c r="H196" s="32">
        <f>IF(OR(H194="",G194=""),"",H194-G194)</f>
        <v>61.434770924935435</v>
      </c>
      <c r="I196" s="17"/>
    </row>
    <row r="197">
      <c r="A197" s="1"/>
      <c r="B197" s="15" t="s">
        <v>123</v>
      </c>
      <c r="C197" s="49">
        <v>97</v>
      </c>
      <c r="D197" s="49">
        <v>68</v>
      </c>
      <c r="E197" s="49">
        <v>244</v>
      </c>
      <c r="F197" s="49">
        <v>56</v>
      </c>
      <c r="G197" s="49">
        <v>59</v>
      </c>
      <c r="H197" s="32">
        <f>H158*H179*H$6/365</f>
        <v>60.838056096053904</v>
      </c>
      <c r="I197" s="17"/>
    </row>
    <row r="198">
      <c r="A198" s="1"/>
      <c r="B198" s="34" t="s">
        <v>77</v>
      </c>
      <c r="C198" s="2"/>
      <c r="D198" s="2"/>
      <c r="E198" s="2"/>
      <c r="F198" s="2"/>
      <c r="G198" s="2"/>
      <c r="H198" s="20">
        <f>IF(OR(H197="",C197=""),"",IF(C197=0,"n/m",H197/C197-1))</f>
        <v>-0.3728035454015062</v>
      </c>
      <c r="I198" s="2"/>
    </row>
    <row r="199">
      <c r="A199" s="1"/>
      <c r="B199" s="15" t="s">
        <v>78</v>
      </c>
      <c r="C199" s="17"/>
      <c r="D199" s="17">
        <f>IF(OR(D197="",C197=""),"",D197-C197)</f>
        <v>-29</v>
      </c>
      <c r="E199" s="17"/>
      <c r="F199" s="17">
        <f>IF(OR(F197="",D197=""),"",F197-D197)</f>
        <v>-12</v>
      </c>
      <c r="G199" s="17">
        <f>IF(OR(G197="",F197=""),"",G197-F197)</f>
        <v>3</v>
      </c>
      <c r="H199" s="32">
        <f>IF(OR(H197="",G197=""),"",H197-G197)</f>
        <v>1.8380560960539043</v>
      </c>
      <c r="I199" s="17"/>
    </row>
    <row r="200">
      <c r="A200" s="1"/>
      <c r="B200" s="15" t="s">
        <v>124</v>
      </c>
      <c r="C200" s="49">
        <v>87</v>
      </c>
      <c r="D200" s="49">
        <v>68</v>
      </c>
      <c r="E200" s="49">
        <v>324</v>
      </c>
      <c r="F200" s="49">
        <v>92</v>
      </c>
      <c r="G200" s="49">
        <v>111</v>
      </c>
      <c r="H200" s="32">
        <f>H161*H182*H$6/365</f>
        <v>127.52409491703125</v>
      </c>
      <c r="I200" s="17"/>
    </row>
    <row r="201">
      <c r="A201" s="1"/>
      <c r="B201" s="34" t="s">
        <v>77</v>
      </c>
      <c r="C201" s="2"/>
      <c r="D201" s="2"/>
      <c r="E201" s="2"/>
      <c r="F201" s="2"/>
      <c r="G201" s="2"/>
      <c r="H201" s="20">
        <f>IF(OR(H200="",C200=""),"",IF(C200=0,"n/m",H200/C200-1))</f>
        <v>0.465794194448635</v>
      </c>
      <c r="I201" s="2"/>
    </row>
    <row r="202">
      <c r="A202" s="1"/>
      <c r="B202" s="15" t="s">
        <v>78</v>
      </c>
      <c r="C202" s="17"/>
      <c r="D202" s="17">
        <f>IF(OR(D200="",C200=""),"",D200-C200)</f>
        <v>-19</v>
      </c>
      <c r="E202" s="17"/>
      <c r="F202" s="17">
        <f>IF(OR(F200="",D200=""),"",F200-D200)</f>
        <v>24</v>
      </c>
      <c r="G202" s="17">
        <f>IF(OR(G200="",F200=""),"",G200-F200)</f>
        <v>19</v>
      </c>
      <c r="H202" s="32">
        <f>IF(OR(H200="",G200=""),"",H200-G200)</f>
        <v>16.52409491703125</v>
      </c>
      <c r="I202" s="17"/>
    </row>
    <row r="203">
      <c r="A203" s="1"/>
      <c r="B203" s="15" t="s">
        <v>125</v>
      </c>
      <c r="C203" s="49">
        <v>79</v>
      </c>
      <c r="D203" s="49">
        <v>34</v>
      </c>
      <c r="E203" s="49">
        <v>356</v>
      </c>
      <c r="F203" s="49">
        <v>12</v>
      </c>
      <c r="G203" s="49">
        <v>1</v>
      </c>
      <c r="H203" s="32">
        <f>H164*H185*H$6/365</f>
        <v>2.4071166928309786</v>
      </c>
      <c r="I203" s="17"/>
    </row>
    <row r="204">
      <c r="A204" s="1"/>
      <c r="B204" s="34" t="s">
        <v>77</v>
      </c>
      <c r="C204" s="2"/>
      <c r="D204" s="2"/>
      <c r="E204" s="2"/>
      <c r="F204" s="2"/>
      <c r="G204" s="2"/>
      <c r="H204" s="20">
        <f>IF(OR(H203="",C203=""),"",IF(C203=0,"n/m",H203/C203-1))</f>
        <v>-0.9695301684451775</v>
      </c>
      <c r="I204" s="2"/>
    </row>
    <row r="205">
      <c r="A205" s="1"/>
      <c r="B205" s="15" t="s">
        <v>78</v>
      </c>
      <c r="C205" s="17"/>
      <c r="D205" s="17">
        <f>IF(OR(D203="",C203=""),"",D203-C203)</f>
        <v>-45</v>
      </c>
      <c r="E205" s="17"/>
      <c r="F205" s="17">
        <f>IF(OR(F203="",D203=""),"",F203-D203)</f>
        <v>-22</v>
      </c>
      <c r="G205" s="17">
        <f>IF(OR(G203="",F203=""),"",G203-F203)</f>
        <v>-11</v>
      </c>
      <c r="H205" s="32">
        <f>IF(OR(H203="",G203=""),"",H203-G203)</f>
        <v>1.4071166928309786</v>
      </c>
      <c r="I205" s="17"/>
    </row>
    <row r="206">
      <c r="A206" s="1"/>
      <c r="B206" s="15" t="s">
        <v>126</v>
      </c>
      <c r="C206" s="49">
        <v>207</v>
      </c>
      <c r="D206" s="49">
        <v>211</v>
      </c>
      <c r="E206" s="49">
        <v>836</v>
      </c>
      <c r="F206" s="49">
        <v>201</v>
      </c>
      <c r="G206" s="49">
        <v>228</v>
      </c>
      <c r="H206" s="32">
        <f>H167*H188*H$6/365</f>
        <v>266.08642947404195</v>
      </c>
      <c r="I206" s="17"/>
    </row>
    <row r="207">
      <c r="A207" s="1"/>
      <c r="B207" s="34" t="s">
        <v>77</v>
      </c>
      <c r="C207" s="2"/>
      <c r="D207" s="2"/>
      <c r="E207" s="2"/>
      <c r="F207" s="2"/>
      <c r="G207" s="2"/>
      <c r="H207" s="20">
        <f>IF(OR(H206="",C206=""),"",IF(C206=0,"n/m",H206/C206-1))</f>
        <v>0.28544168828039584</v>
      </c>
      <c r="I207" s="2"/>
    </row>
    <row r="208">
      <c r="A208" s="1"/>
      <c r="B208" s="15" t="s">
        <v>78</v>
      </c>
      <c r="C208" s="17"/>
      <c r="D208" s="17">
        <f>IF(OR(D206="",C206=""),"",D206-C206)</f>
        <v>4</v>
      </c>
      <c r="E208" s="17"/>
      <c r="F208" s="17">
        <f>IF(OR(F206="",D206=""),"",F206-D206)</f>
        <v>-10</v>
      </c>
      <c r="G208" s="17">
        <f>IF(OR(G206="",F206=""),"",G206-F206)</f>
        <v>27</v>
      </c>
      <c r="H208" s="32">
        <f>IF(OR(H206="",G206=""),"",H206-G206)</f>
        <v>38.08642947404195</v>
      </c>
      <c r="I208" s="17"/>
    </row>
    <row r="209">
      <c r="A209" s="1"/>
      <c r="B209" s="15" t="s">
        <v>127</v>
      </c>
      <c r="C209" s="17">
        <f>C55-C170</f>
        <v>40404</v>
      </c>
      <c r="D209" s="17">
        <f>D55-D170</f>
        <v>36988</v>
      </c>
      <c r="E209" s="17">
        <f>E55-E170</f>
        <v>37230</v>
      </c>
      <c r="F209" s="17">
        <f>F55-F170</f>
        <v>32311</v>
      </c>
      <c r="G209" s="17">
        <f>G55-G170</f>
        <v>25571</v>
      </c>
      <c r="H209" s="32">
        <f>H55-H170</f>
        <v>22000</v>
      </c>
      <c r="I209" s="17"/>
    </row>
    <row r="210">
      <c r="A210" s="1"/>
      <c r="B210" s="34" t="s">
        <v>77</v>
      </c>
      <c r="C210" s="2"/>
      <c r="D210" s="2"/>
      <c r="E210" s="2"/>
      <c r="F210" s="2"/>
      <c r="G210" s="2"/>
      <c r="H210" s="20">
        <f>IF(OR(H209="",C209=""),"",IF(C209=0,"n/m",H209/C209-1))</f>
        <v>-0.4554994554994555</v>
      </c>
      <c r="I210" s="2"/>
    </row>
    <row r="211">
      <c r="A211" s="1"/>
      <c r="B211" s="15" t="s">
        <v>78</v>
      </c>
      <c r="C211" s="17"/>
      <c r="D211" s="17">
        <f>IF(OR(D209="",C209=""),"",D209-C209)</f>
        <v>-3416</v>
      </c>
      <c r="E211" s="17"/>
      <c r="F211" s="17">
        <f>IF(OR(F209="",D209=""),"",F209-D209)</f>
        <v>-4677</v>
      </c>
      <c r="G211" s="17">
        <f>IF(OR(G209="",F209=""),"",G209-F209)</f>
        <v>-6740</v>
      </c>
      <c r="H211" s="32">
        <f>IF(OR(H209="",G209=""),"",H209-G209)</f>
        <v>-3571</v>
      </c>
      <c r="I211" s="17"/>
    </row>
    <row r="212">
      <c r="A212" s="1"/>
      <c r="B212" s="53" t="s">
        <v>128</v>
      </c>
      <c r="C212" s="27">
        <f>C191+C194+C197+C200+C203+C206</f>
        <v>906</v>
      </c>
      <c r="D212" s="27">
        <f>D191+D194+D197+D200+D203+D206</f>
        <v>765</v>
      </c>
      <c r="E212" s="27">
        <f>E191+E194+E197+E200+E203+E206</f>
        <v>3646</v>
      </c>
      <c r="F212" s="27">
        <f>F191+F194+F197+F200+F203+F206</f>
        <v>696</v>
      </c>
      <c r="G212" s="27">
        <f>G191+G194+G197+G200+G203+G206</f>
        <v>789</v>
      </c>
      <c r="H212" s="40">
        <f>H191+H194+H197+H200+H203+H206</f>
        <v>918.6821614968715</v>
      </c>
      <c r="I212" s="55"/>
    </row>
    <row r="213">
      <c r="A213" s="1"/>
      <c r="B213" s="34" t="s">
        <v>77</v>
      </c>
      <c r="C213" s="2"/>
      <c r="D213" s="2"/>
      <c r="E213" s="2"/>
      <c r="F213" s="2"/>
      <c r="G213" s="2"/>
      <c r="H213" s="20">
        <f>IF(OR(H212="",C212=""),"",IF(C212=0,"n/m",H212/C212-1))</f>
        <v>0.013997970747098742</v>
      </c>
      <c r="I213" s="2"/>
    </row>
    <row r="214">
      <c r="A214" s="1"/>
      <c r="B214" s="15" t="s">
        <v>78</v>
      </c>
      <c r="C214" s="17"/>
      <c r="D214" s="17">
        <f>IF(OR(D212="",C212=""),"",D212-C212)</f>
        <v>-141</v>
      </c>
      <c r="E214" s="17"/>
      <c r="F214" s="17">
        <f>IF(OR(F212="",D212=""),"",F212-D212)</f>
        <v>-69</v>
      </c>
      <c r="G214" s="17">
        <f>IF(OR(G212="",F212=""),"",G212-F212)</f>
        <v>93</v>
      </c>
      <c r="H214" s="32">
        <f>IF(OR(H212="",G212=""),"",H212-G212)</f>
        <v>129.68216149687146</v>
      </c>
      <c r="I214" s="17"/>
    </row>
    <row r="215">
      <c r="A215" s="1"/>
      <c r="B215" s="15" t="s">
        <v>129</v>
      </c>
      <c r="C215" s="17"/>
      <c r="D215" s="49">
        <v>7400</v>
      </c>
      <c r="E215" s="17"/>
      <c r="F215" s="17"/>
      <c r="G215" s="49">
        <v>34300</v>
      </c>
      <c r="H215" s="74">
        <v>52000</v>
      </c>
      <c r="I215" s="17"/>
    </row>
    <row r="216">
      <c r="A216" s="1"/>
      <c r="B216" s="34" t="s">
        <v>77</v>
      </c>
      <c r="C216" s="2"/>
      <c r="D216" s="2"/>
      <c r="E216" s="2"/>
      <c r="F216" s="2"/>
      <c r="G216" s="2"/>
      <c r="H216" s="20" t="str">
        <f>IF(OR(H215="",C215=""),"",IF(C215=0,"n/m",H215/C215-1))</f>
        <v/>
      </c>
      <c r="I216" s="2"/>
    </row>
    <row r="217">
      <c r="A217" s="1"/>
      <c r="B217" s="15" t="s">
        <v>78</v>
      </c>
      <c r="C217" s="17"/>
      <c r="D217" s="17" t="str">
        <f>IF(OR(D215="",C215=""),"",D215-C215)</f>
        <v/>
      </c>
      <c r="E217" s="17"/>
      <c r="F217" s="17" t="str">
        <f>IF(OR(F215="",D215=""),"",F215-D215)</f>
        <v/>
      </c>
      <c r="G217" s="17" t="str">
        <f>IF(OR(G215="",F215=""),"",G215-F215)</f>
        <v/>
      </c>
      <c r="H217" s="32">
        <f>IF(OR(H215="",G215=""),"",H215-G215)</f>
        <v>17700</v>
      </c>
      <c r="I217" s="17"/>
    </row>
    <row r="218">
      <c r="A218" s="1"/>
      <c r="B218" s="34" t="s">
        <v>130</v>
      </c>
      <c r="C218" s="16"/>
      <c r="D218" s="16"/>
      <c r="E218" s="16"/>
      <c r="F218" s="16"/>
      <c r="G218" s="16">
        <f>G221*365/G$6/G215</f>
        <v>0.033444398167430237</v>
      </c>
      <c r="H218" s="71">
        <f>G218+H219/10000</f>
        <v>0.033844398167430234</v>
      </c>
      <c r="I218" s="16"/>
    </row>
    <row r="219">
      <c r="A219" s="1"/>
      <c r="B219" s="34" t="s">
        <v>86</v>
      </c>
      <c r="C219" s="75"/>
      <c r="D219" s="75"/>
      <c r="E219" s="75"/>
      <c r="F219" s="75"/>
      <c r="G219" s="75"/>
      <c r="H219" s="97">
        <v>4</v>
      </c>
      <c r="I219" s="75"/>
    </row>
    <row r="220">
      <c r="A220" s="1"/>
      <c r="B220" s="34" t="s">
        <v>87</v>
      </c>
      <c r="C220" s="75"/>
      <c r="D220" s="75"/>
      <c r="E220" s="75"/>
      <c r="F220" s="75"/>
      <c r="G220" s="75"/>
      <c r="H220" s="76" t="str">
        <f>IF(OR(H218="",C218=""),"",(H218-C218)*10000)</f>
        <v/>
      </c>
      <c r="I220" s="75"/>
    </row>
    <row r="221">
      <c r="A221" s="1"/>
      <c r="B221" s="15" t="s">
        <v>131</v>
      </c>
      <c r="C221" s="49">
        <v>0</v>
      </c>
      <c r="D221" s="49">
        <v>67</v>
      </c>
      <c r="E221" s="49">
        <v>108</v>
      </c>
      <c r="F221" s="49">
        <v>122</v>
      </c>
      <c r="G221" s="49">
        <v>286</v>
      </c>
      <c r="H221" s="32">
        <f>H215*H218*H$6/365</f>
        <v>443.5934269396883</v>
      </c>
      <c r="I221" s="17"/>
    </row>
    <row r="222">
      <c r="A222" s="1"/>
      <c r="B222" s="34" t="s">
        <v>77</v>
      </c>
      <c r="C222" s="2"/>
      <c r="D222" s="2"/>
      <c r="E222" s="2"/>
      <c r="F222" s="2"/>
      <c r="G222" s="2"/>
      <c r="H222" s="113" t="str">
        <f>IF(OR(H221="",C221=""),"",IF(C221=0,"n/m",H221/C221-1))</f>
        <v>n/m</v>
      </c>
      <c r="I222" s="2"/>
    </row>
    <row r="223">
      <c r="A223" s="1"/>
      <c r="B223" s="15" t="s">
        <v>78</v>
      </c>
      <c r="C223" s="17"/>
      <c r="D223" s="17">
        <f>IF(OR(D221="",C221=""),"",D221-C221)</f>
        <v>67</v>
      </c>
      <c r="E223" s="17"/>
      <c r="F223" s="17">
        <f>IF(OR(F221="",D221=""),"",F221-D221)</f>
        <v>55</v>
      </c>
      <c r="G223" s="17">
        <f>IF(OR(G221="",F221=""),"",G221-F221)</f>
        <v>164</v>
      </c>
      <c r="H223" s="32">
        <f>IF(OR(H221="",G221=""),"",H221-G221)</f>
        <v>157.5934269396883</v>
      </c>
      <c r="I223" s="17"/>
    </row>
    <row r="224">
      <c r="A224" s="1"/>
      <c r="B224" s="53" t="s">
        <v>132</v>
      </c>
      <c r="C224" s="27">
        <f>C212+C221</f>
        <v>906</v>
      </c>
      <c r="D224" s="27">
        <f>D212+D221</f>
        <v>832</v>
      </c>
      <c r="E224" s="27">
        <f>E212+E221</f>
        <v>3754</v>
      </c>
      <c r="F224" s="27">
        <f>F212+F221</f>
        <v>818</v>
      </c>
      <c r="G224" s="27">
        <f>G212+G221</f>
        <v>1075</v>
      </c>
      <c r="H224" s="40">
        <f>H212+H221</f>
        <v>1362.2755884365597</v>
      </c>
      <c r="I224" s="55"/>
    </row>
    <row r="225">
      <c r="A225" s="1"/>
      <c r="B225" s="34" t="s">
        <v>61</v>
      </c>
      <c r="C225" s="2"/>
      <c r="D225" s="2"/>
      <c r="E225" s="2"/>
      <c r="F225" s="2"/>
      <c r="G225" s="2"/>
      <c r="H225" s="20">
        <f>IF(OR(H224="",C224=""),"",IF(C224=0,"n/m",H224/C224-1))</f>
        <v>0.5036154397754522</v>
      </c>
      <c r="I225" s="2"/>
    </row>
    <row r="226">
      <c r="A226" s="1"/>
      <c r="B226" s="34" t="s">
        <v>62</v>
      </c>
      <c r="C226" s="2"/>
      <c r="D226" s="2">
        <f>IF(OR(D224="",C224=""),"",IF(C224=0,"n/m",D224/C224-1))</f>
        <v>-0.08167770419426046</v>
      </c>
      <c r="E226" s="2"/>
      <c r="F226" s="2">
        <f>IF(OR(F224="",D224=""),"",IF(D224=0,"n/m",F224/D224-1))</f>
        <v>-0.016826923076923128</v>
      </c>
      <c r="G226" s="2">
        <f>IF(OR(G224="",F224=""),"",IF(F224=0,"n/m",G224/F224-1))</f>
        <v>0.31418092909535456</v>
      </c>
      <c r="H226" s="20">
        <f>IF(OR(H224="",G224=""),"",IF(G224=0,"n/m",H224/G224-1))</f>
        <v>0.2672331055223811</v>
      </c>
      <c r="I226" s="2"/>
    </row>
    <row r="227">
      <c r="A227" s="1"/>
      <c r="B227" s="53" t="s">
        <v>133</v>
      </c>
      <c r="C227" s="27">
        <f>C145-C224</f>
        <v>3050</v>
      </c>
      <c r="D227" s="27">
        <f>D145-D224</f>
        <v>3172</v>
      </c>
      <c r="E227" s="27">
        <f>E145-E224</f>
        <v>11750</v>
      </c>
      <c r="F227" s="27">
        <f>F145-F224</f>
        <v>3144</v>
      </c>
      <c r="G227" s="27">
        <f>G145-G224</f>
        <v>3357</v>
      </c>
      <c r="H227" s="40">
        <f>H145-H224</f>
        <v>3485.563866885668</v>
      </c>
      <c r="I227" s="55"/>
    </row>
    <row r="228">
      <c r="A228" s="1"/>
      <c r="B228" s="34" t="s">
        <v>61</v>
      </c>
      <c r="C228" s="2"/>
      <c r="D228" s="2"/>
      <c r="E228" s="2"/>
      <c r="F228" s="2"/>
      <c r="G228" s="2"/>
      <c r="H228" s="20">
        <f>IF(OR(H227="",C227=""),"",IF(C227=0,"n/m",H227/C227-1))</f>
        <v>0.14280782520841573</v>
      </c>
      <c r="I228" s="2"/>
    </row>
    <row r="229">
      <c r="A229" s="1"/>
      <c r="B229" s="34" t="s">
        <v>62</v>
      </c>
      <c r="C229" s="2"/>
      <c r="D229" s="2">
        <f>IF(OR(D227="",C227=""),"",IF(C227=0,"n/m",D227/C227-1))</f>
        <v>0.040000000000000036</v>
      </c>
      <c r="E229" s="2"/>
      <c r="F229" s="2">
        <f>IF(OR(F227="",D227=""),"",IF(D227=0,"n/m",F227/D227-1))</f>
        <v>-0.008827238335435084</v>
      </c>
      <c r="G229" s="2">
        <f>IF(OR(G227="",F227=""),"",IF(F227=0,"n/m",G227/F227-1))</f>
        <v>0.0677480916030535</v>
      </c>
      <c r="H229" s="20">
        <f>IF(OR(H227="",G227=""),"",IF(G227=0,"n/m",H227/G227-1))</f>
        <v>0.03829724959358605</v>
      </c>
      <c r="I229" s="2"/>
    </row>
    <row r="230">
      <c r="A230" s="1"/>
      <c r="B230" s="34" t="s">
        <v>64</v>
      </c>
      <c r="C230" s="2"/>
      <c r="D230" s="2"/>
      <c r="E230" s="2"/>
      <c r="F230" s="2"/>
      <c r="G230" s="2"/>
      <c r="H230" s="20">
        <f>IF(C227=0,"n/m",H227/C227-1)</f>
        <v>0.14280782520841573</v>
      </c>
      <c r="I230" s="2"/>
    </row>
    <row r="231">
      <c r="A231" s="1"/>
      <c r="B231" s="34" t="s">
        <v>70</v>
      </c>
      <c r="C231" s="2"/>
      <c r="D231" s="2"/>
      <c r="E231" s="2"/>
      <c r="F231" s="2"/>
      <c r="G231" s="2"/>
      <c r="H231" s="28">
        <v>0</v>
      </c>
      <c r="I231" s="2"/>
    </row>
    <row r="232">
      <c r="A232" s="1"/>
      <c r="B232" s="34" t="s">
        <v>67</v>
      </c>
      <c r="C232" s="2"/>
      <c r="D232" s="2"/>
      <c r="E232" s="2"/>
      <c r="F232" s="2"/>
      <c r="G232" s="2"/>
      <c r="H232" s="28">
        <v>0</v>
      </c>
      <c r="I232" s="2"/>
    </row>
    <row r="233">
      <c r="A233" s="1"/>
      <c r="B233" s="34" t="s">
        <v>68</v>
      </c>
      <c r="C233" s="2"/>
      <c r="D233" s="2"/>
      <c r="E233" s="2"/>
      <c r="F233" s="2"/>
      <c r="G233" s="2"/>
      <c r="H233" s="20">
        <f>(1+H230)/((1+H231)*(1+H232))-1</f>
        <v>0.14280782520841573</v>
      </c>
      <c r="I233" s="2"/>
    </row>
    <row r="234">
      <c r="A234" s="1"/>
      <c r="B234" s="34" t="s">
        <v>134</v>
      </c>
      <c r="C234" s="16">
        <f>C227*365/C$6/C55</f>
        <v>0.02882591709529008</v>
      </c>
      <c r="D234" s="16">
        <f>D227*365/D$6/D55</f>
        <v>0.029188978124073804</v>
      </c>
      <c r="E234" s="16">
        <f>E227*365/E$6/E55</f>
        <v>0.027697043841473905</v>
      </c>
      <c r="F234" s="16">
        <f>F227*365/F$6/F55</f>
        <v>0.029132727861236458</v>
      </c>
      <c r="G234" s="16">
        <f>G227*365/G$6/G55</f>
        <v>0.030259403998117024</v>
      </c>
      <c r="H234" s="71">
        <f>H227*365/H$6/H55</f>
        <v>0.03057394600095331</v>
      </c>
      <c r="I234" s="16"/>
    </row>
    <row r="235">
      <c r="A235" s="1"/>
      <c r="B235" s="34" t="s">
        <v>135</v>
      </c>
      <c r="C235" s="75"/>
      <c r="D235" s="75">
        <f>IF(OR(D234="",C234=""),"",(D234-C234)*10000)</f>
        <v>3.6306102878372326</v>
      </c>
      <c r="E235" s="75"/>
      <c r="F235" s="75">
        <f>IF(OR(F234="",D234=""),"",(F234-D234)*10000)</f>
        <v>-0.5625026283734638</v>
      </c>
      <c r="G235" s="75">
        <f>IF(OR(G234="",F234=""),"",(G234-F234)*10000)</f>
        <v>11.26676136880566</v>
      </c>
      <c r="H235" s="76">
        <f>IF(OR(H234="",G234=""),"",(H234-G234)*10000)</f>
        <v>3.1454200283628775</v>
      </c>
      <c r="I235" s="75"/>
    </row>
    <row r="236">
      <c r="A236" s="1"/>
      <c r="B236" s="34" t="s">
        <v>87</v>
      </c>
      <c r="C236" s="75"/>
      <c r="D236" s="75"/>
      <c r="E236" s="75"/>
      <c r="F236" s="75"/>
      <c r="G236" s="75"/>
      <c r="H236" s="76">
        <f>IF(OR(H234="",C234=""),"",(H234-C234)*10000)</f>
        <v>17.480289056632305</v>
      </c>
      <c r="I236" s="75"/>
    </row>
    <row r="237">
      <c r="A237" s="1"/>
      <c r="B237" s="34" t="s">
        <v>136</v>
      </c>
      <c r="C237" s="56">
        <v>0.0286</v>
      </c>
      <c r="D237" s="56">
        <v>0.029</v>
      </c>
      <c r="E237" s="56">
        <v>0.0274</v>
      </c>
      <c r="F237" s="56">
        <v>0.0288</v>
      </c>
      <c r="G237" s="56">
        <v>0.03</v>
      </c>
      <c r="H237" s="71">
        <f>H234*G237/G234</f>
        <v>0.030311845536867672</v>
      </c>
      <c r="I237" s="16"/>
    </row>
    <row r="238">
      <c r="A238" s="1"/>
      <c r="B238" s="34" t="s">
        <v>135</v>
      </c>
      <c r="C238" s="75"/>
      <c r="D238" s="75">
        <f>IF(OR(D237="",C237=""),"",(D237-C237)*10000)</f>
        <v>4.000000000000011</v>
      </c>
      <c r="E238" s="75"/>
      <c r="F238" s="75">
        <f>IF(OR(F237="",D237=""),"",(F237-D237)*10000)</f>
        <v>-2.0000000000000226</v>
      </c>
      <c r="G238" s="75">
        <f>IF(OR(G237="",F237=""),"",(G237-F237)*10000)</f>
        <v>11.999999999999996</v>
      </c>
      <c r="H238" s="76">
        <f>IF(OR(H237="",G237=""),"",(H237-G237)*10000)</f>
        <v>3.118455368676734</v>
      </c>
      <c r="I238" s="75"/>
    </row>
    <row r="239">
      <c r="A239" s="1"/>
      <c r="B239" s="34" t="s">
        <v>87</v>
      </c>
      <c r="C239" s="75"/>
      <c r="D239" s="75"/>
      <c r="E239" s="75"/>
      <c r="F239" s="75"/>
      <c r="G239" s="75"/>
      <c r="H239" s="76">
        <f>IF(OR(H237="",C237=""),"",(H237-C237)*10000)</f>
        <v>17.11845536867672</v>
      </c>
      <c r="I239" s="75"/>
    </row>
    <row r="240">
      <c r="A240" s="1"/>
      <c r="B240" s="42"/>
      <c r="C240" s="8"/>
      <c r="D240" s="8"/>
      <c r="E240" s="8"/>
      <c r="F240" s="8"/>
      <c r="G240" s="8"/>
      <c r="H240" s="5"/>
      <c r="I240" s="8"/>
    </row>
    <row r="241">
      <c r="A241" s="1"/>
      <c r="B241" s="51" t="s">
        <v>137</v>
      </c>
      <c r="C241" s="7"/>
      <c r="D241" s="7"/>
      <c r="E241" s="7"/>
      <c r="F241" s="7"/>
      <c r="G241" s="7"/>
      <c r="H241" s="12"/>
      <c r="I241" s="7"/>
    </row>
    <row r="242">
      <c r="A242" s="1"/>
      <c r="B242" s="15" t="s">
        <v>138</v>
      </c>
      <c r="C242" s="49">
        <v>663218</v>
      </c>
      <c r="D242" s="49">
        <v>681688</v>
      </c>
      <c r="E242" s="49">
        <v>652798</v>
      </c>
      <c r="F242" s="49">
        <v>696558</v>
      </c>
      <c r="G242" s="49">
        <v>692896</v>
      </c>
      <c r="H242" s="32">
        <f>G242*(1+H243)</f>
        <v>698439.168</v>
      </c>
      <c r="I242" s="17"/>
    </row>
    <row r="243">
      <c r="A243" s="1"/>
      <c r="B243" s="34" t="s">
        <v>139</v>
      </c>
      <c r="C243" s="2"/>
      <c r="D243" s="2">
        <f>D242/C242-1</f>
        <v>0.027849063203954083</v>
      </c>
      <c r="E243" s="2"/>
      <c r="F243" s="2">
        <f>F242/D242-1</f>
        <v>0.021813498257267305</v>
      </c>
      <c r="G243" s="2">
        <f>G242/F242-1</f>
        <v>-0.005257279365106671</v>
      </c>
      <c r="H243" s="28">
        <v>0.008</v>
      </c>
      <c r="I243" s="2"/>
    </row>
    <row r="244">
      <c r="A244" s="1"/>
      <c r="B244" s="34" t="s">
        <v>77</v>
      </c>
      <c r="C244" s="2"/>
      <c r="D244" s="2"/>
      <c r="E244" s="2"/>
      <c r="F244" s="2"/>
      <c r="G244" s="2"/>
      <c r="H244" s="20">
        <f>IF(OR(H242="",C242=""),"",IF(C242=0,"n/m",H242/C242-1))</f>
        <v>0.053106471778510134</v>
      </c>
      <c r="I244" s="2"/>
    </row>
    <row r="245">
      <c r="A245" s="1"/>
      <c r="B245" s="15" t="s">
        <v>78</v>
      </c>
      <c r="C245" s="17"/>
      <c r="D245" s="17">
        <f>IF(OR(D242="",C242=""),"",D242-C242)</f>
        <v>18470</v>
      </c>
      <c r="E245" s="17"/>
      <c r="F245" s="17">
        <f>IF(OR(F242="",D242=""),"",F242-D242)</f>
        <v>14870</v>
      </c>
      <c r="G245" s="17">
        <f>IF(OR(G242="",F242=""),"",G242-F242)</f>
        <v>-3662</v>
      </c>
      <c r="H245" s="32">
        <f>IF(OR(H242="",G242=""),"",H242-G242)</f>
        <v>5543.167999999947</v>
      </c>
      <c r="I245" s="17"/>
    </row>
    <row r="246">
      <c r="A246" s="1"/>
      <c r="B246" s="15" t="s">
        <v>140</v>
      </c>
      <c r="C246" s="49">
        <v>735519</v>
      </c>
      <c r="D246" s="49">
        <v>777071</v>
      </c>
      <c r="E246" s="49">
        <v>708243</v>
      </c>
      <c r="F246" s="49">
        <v>818316</v>
      </c>
      <c r="G246" s="49">
        <v>882538</v>
      </c>
      <c r="H246" s="32">
        <f>G246*(1+H247)</f>
        <v>935490.28</v>
      </c>
      <c r="I246" s="17"/>
    </row>
    <row r="247">
      <c r="A247" s="1"/>
      <c r="B247" s="34" t="s">
        <v>139</v>
      </c>
      <c r="C247" s="2"/>
      <c r="D247" s="2">
        <f>D246/C246-1</f>
        <v>0.05649344204568485</v>
      </c>
      <c r="E247" s="2"/>
      <c r="F247" s="2">
        <f>F246/D246-1</f>
        <v>0.053077518013154634</v>
      </c>
      <c r="G247" s="2">
        <f>G246/F246-1</f>
        <v>0.07848068472326086</v>
      </c>
      <c r="H247" s="28">
        <v>0.06</v>
      </c>
      <c r="I247" s="2"/>
    </row>
    <row r="248">
      <c r="A248" s="1"/>
      <c r="B248" s="34" t="s">
        <v>77</v>
      </c>
      <c r="C248" s="2"/>
      <c r="D248" s="2"/>
      <c r="E248" s="2"/>
      <c r="F248" s="2"/>
      <c r="G248" s="2"/>
      <c r="H248" s="20">
        <f>IF(OR(H246="",C246=""),"",IF(C246=0,"n/m",H246/C246-1))</f>
        <v>0.2718777896967992</v>
      </c>
      <c r="I248" s="2"/>
    </row>
    <row r="249">
      <c r="A249" s="1"/>
      <c r="B249" s="15" t="s">
        <v>78</v>
      </c>
      <c r="C249" s="17"/>
      <c r="D249" s="17">
        <f>IF(OR(D246="",C246=""),"",D246-C246)</f>
        <v>41552</v>
      </c>
      <c r="E249" s="17"/>
      <c r="F249" s="17">
        <f>IF(OR(F246="",D246=""),"",F246-D246)</f>
        <v>41245</v>
      </c>
      <c r="G249" s="17">
        <f>IF(OR(G246="",F246=""),"",G246-F246)</f>
        <v>64222</v>
      </c>
      <c r="H249" s="32">
        <f>IF(OR(H246="",G246=""),"",H246-G246)</f>
        <v>52952.28000000003</v>
      </c>
      <c r="I249" s="17"/>
    </row>
    <row r="250">
      <c r="A250" s="1"/>
      <c r="B250" s="15" t="s">
        <v>141</v>
      </c>
      <c r="C250" s="49">
        <v>443660</v>
      </c>
      <c r="D250" s="49">
        <v>462417</v>
      </c>
      <c r="E250" s="49">
        <v>404065</v>
      </c>
      <c r="F250" s="49">
        <v>468101</v>
      </c>
      <c r="G250" s="49">
        <v>484076</v>
      </c>
      <c r="H250" s="32">
        <f>G250*(1+H251)</f>
        <v>503439.04000000004</v>
      </c>
      <c r="I250" s="17"/>
    </row>
    <row r="251">
      <c r="A251" s="1"/>
      <c r="B251" s="34" t="s">
        <v>139</v>
      </c>
      <c r="C251" s="2"/>
      <c r="D251" s="2">
        <f>D250/C250-1</f>
        <v>0.04227787044132891</v>
      </c>
      <c r="E251" s="2"/>
      <c r="F251" s="2">
        <f>F250/D250-1</f>
        <v>0.012291935633854223</v>
      </c>
      <c r="G251" s="2">
        <f>G250/F250-1</f>
        <v>0.0341272503156369</v>
      </c>
      <c r="H251" s="28">
        <v>0.04</v>
      </c>
      <c r="I251" s="2"/>
    </row>
    <row r="252">
      <c r="A252" s="1"/>
      <c r="B252" s="34" t="s">
        <v>77</v>
      </c>
      <c r="C252" s="2"/>
      <c r="D252" s="2"/>
      <c r="E252" s="2"/>
      <c r="F252" s="2"/>
      <c r="G252" s="2"/>
      <c r="H252" s="20">
        <f>IF(OR(H250="",C250=""),"",IF(C250=0,"n/m",H250/C250-1))</f>
        <v>0.134740657260064</v>
      </c>
      <c r="I252" s="2"/>
    </row>
    <row r="253">
      <c r="A253" s="1"/>
      <c r="B253" s="15" t="s">
        <v>78</v>
      </c>
      <c r="C253" s="17"/>
      <c r="D253" s="17">
        <f>IF(OR(D250="",C250=""),"",D250-C250)</f>
        <v>18757</v>
      </c>
      <c r="E253" s="17"/>
      <c r="F253" s="17">
        <f>IF(OR(F250="",D250=""),"",F250-D250)</f>
        <v>5684</v>
      </c>
      <c r="G253" s="17">
        <f>IF(OR(G250="",F250=""),"",G250-F250)</f>
        <v>15975</v>
      </c>
      <c r="H253" s="32">
        <f>IF(OR(H250="",G250=""),"",H250-G250)</f>
        <v>19363.040000000037</v>
      </c>
      <c r="I253" s="17"/>
    </row>
    <row r="254">
      <c r="A254" s="1"/>
      <c r="B254" s="15" t="s">
        <v>142</v>
      </c>
      <c r="C254" s="49">
        <v>618032</v>
      </c>
      <c r="D254" s="49">
        <v>627846</v>
      </c>
      <c r="E254" s="49">
        <v>620042</v>
      </c>
      <c r="F254" s="49">
        <v>665887</v>
      </c>
      <c r="G254" s="49">
        <v>677708</v>
      </c>
      <c r="H254" s="32">
        <f>G254*(1+H255)</f>
        <v>701427.7799999999</v>
      </c>
      <c r="I254" s="17"/>
    </row>
    <row r="255">
      <c r="A255" s="1"/>
      <c r="B255" s="34" t="s">
        <v>139</v>
      </c>
      <c r="C255" s="2"/>
      <c r="D255" s="2">
        <f>D254/C254-1</f>
        <v>0.0158794366634738</v>
      </c>
      <c r="E255" s="2"/>
      <c r="F255" s="2">
        <f>F254/D254-1</f>
        <v>0.060589698747782084</v>
      </c>
      <c r="G255" s="2">
        <f>G254/F254-1</f>
        <v>0.017752261269554648</v>
      </c>
      <c r="H255" s="28">
        <v>0.035</v>
      </c>
      <c r="I255" s="2"/>
    </row>
    <row r="256">
      <c r="A256" s="1"/>
      <c r="B256" s="34" t="s">
        <v>77</v>
      </c>
      <c r="C256" s="2"/>
      <c r="D256" s="2"/>
      <c r="E256" s="2"/>
      <c r="F256" s="2"/>
      <c r="G256" s="2"/>
      <c r="H256" s="20">
        <f>IF(OR(H254="",C254=""),"",IF(C254=0,"n/m",H254/C254-1))</f>
        <v>0.13493764076940984</v>
      </c>
      <c r="I256" s="2"/>
    </row>
    <row r="257">
      <c r="A257" s="1"/>
      <c r="B257" s="15" t="s">
        <v>78</v>
      </c>
      <c r="C257" s="17"/>
      <c r="D257" s="17">
        <f>IF(OR(D254="",C254=""),"",D254-C254)</f>
        <v>9814</v>
      </c>
      <c r="E257" s="17"/>
      <c r="F257" s="17">
        <f>IF(OR(F254="",D254=""),"",F254-D254)</f>
        <v>38041</v>
      </c>
      <c r="G257" s="17">
        <f>IF(OR(G254="",F254=""),"",G254-F254)</f>
        <v>11821</v>
      </c>
      <c r="H257" s="32">
        <f>IF(OR(H254="",G254=""),"",H254-G254)</f>
        <v>23719.77999999991</v>
      </c>
      <c r="I257" s="17"/>
    </row>
    <row r="258">
      <c r="A258" s="1"/>
      <c r="B258" s="15" t="s">
        <v>143</v>
      </c>
      <c r="C258" s="49">
        <v>654220</v>
      </c>
      <c r="D258" s="49">
        <v>695933</v>
      </c>
      <c r="E258" s="49">
        <v>633960</v>
      </c>
      <c r="F258" s="49">
        <v>727883</v>
      </c>
      <c r="G258" s="49">
        <v>763716</v>
      </c>
      <c r="H258" s="32">
        <f>G258*(1+H259)</f>
        <v>801901.8</v>
      </c>
      <c r="I258" s="17"/>
    </row>
    <row r="259">
      <c r="A259" s="1"/>
      <c r="B259" s="34" t="s">
        <v>139</v>
      </c>
      <c r="C259" s="2"/>
      <c r="D259" s="2">
        <f>D258/C258-1</f>
        <v>0.06375989728225973</v>
      </c>
      <c r="E259" s="2"/>
      <c r="F259" s="2">
        <f>F258/D258-1</f>
        <v>0.04590959187163124</v>
      </c>
      <c r="G259" s="2">
        <f>G258/F258-1</f>
        <v>0.04922906566027785</v>
      </c>
      <c r="H259" s="28">
        <v>0.05</v>
      </c>
      <c r="I259" s="2"/>
    </row>
    <row r="260">
      <c r="A260" s="1"/>
      <c r="B260" s="34" t="s">
        <v>77</v>
      </c>
      <c r="C260" s="2"/>
      <c r="D260" s="2"/>
      <c r="E260" s="2"/>
      <c r="F260" s="2"/>
      <c r="G260" s="2"/>
      <c r="H260" s="20">
        <f>IF(OR(H258="",C258=""),"",IF(C258=0,"n/m",H258/C258-1))</f>
        <v>0.22573721378129696</v>
      </c>
      <c r="I260" s="2"/>
    </row>
    <row r="261">
      <c r="A261" s="1"/>
      <c r="B261" s="15" t="s">
        <v>78</v>
      </c>
      <c r="C261" s="17"/>
      <c r="D261" s="17">
        <f>IF(OR(D258="",C258=""),"",D258-C258)</f>
        <v>41713</v>
      </c>
      <c r="E261" s="17"/>
      <c r="F261" s="17">
        <f>IF(OR(F258="",D258=""),"",F258-D258)</f>
        <v>31950</v>
      </c>
      <c r="G261" s="17">
        <f>IF(OR(G258="",F258=""),"",G258-F258)</f>
        <v>35833</v>
      </c>
      <c r="H261" s="32">
        <f>IF(OR(H258="",G258=""),"",H258-G258)</f>
        <v>38185.80000000005</v>
      </c>
      <c r="I261" s="17"/>
    </row>
    <row r="262">
      <c r="A262" s="1"/>
      <c r="B262" s="15" t="s">
        <v>144</v>
      </c>
      <c r="C262" s="49">
        <v>922030</v>
      </c>
      <c r="D262" s="49">
        <v>965676</v>
      </c>
      <c r="E262" s="49">
        <v>893953</v>
      </c>
      <c r="F262" s="49">
        <v>963502</v>
      </c>
      <c r="G262" s="49">
        <v>991946</v>
      </c>
      <c r="H262" s="32">
        <f>G262*(1+H263)</f>
        <v>1026664.1099999999</v>
      </c>
      <c r="I262" s="17"/>
    </row>
    <row r="263">
      <c r="A263" s="1"/>
      <c r="B263" s="34" t="s">
        <v>139</v>
      </c>
      <c r="C263" s="2"/>
      <c r="D263" s="2">
        <f>D262/C262-1</f>
        <v>0.047336854549201224</v>
      </c>
      <c r="E263" s="2"/>
      <c r="F263" s="2">
        <f>F262/D262-1</f>
        <v>-0.0022512726835915986</v>
      </c>
      <c r="G263" s="2">
        <f>G262/F262-1</f>
        <v>0.029521474786767365</v>
      </c>
      <c r="H263" s="28">
        <v>0.035</v>
      </c>
      <c r="I263" s="2"/>
    </row>
    <row r="264">
      <c r="A264" s="1"/>
      <c r="B264" s="34" t="s">
        <v>77</v>
      </c>
      <c r="C264" s="2"/>
      <c r="D264" s="2"/>
      <c r="E264" s="2"/>
      <c r="F264" s="2"/>
      <c r="G264" s="2"/>
      <c r="H264" s="20">
        <f>IF(OR(H262="",C262=""),"",IF(C262=0,"n/m",H262/C262-1))</f>
        <v>0.11348232703925021</v>
      </c>
      <c r="I264" s="2"/>
    </row>
    <row r="265">
      <c r="A265" s="1"/>
      <c r="B265" s="15" t="s">
        <v>78</v>
      </c>
      <c r="C265" s="17"/>
      <c r="D265" s="17">
        <f>IF(OR(D262="",C262=""),"",D262-C262)</f>
        <v>43646</v>
      </c>
      <c r="E265" s="17"/>
      <c r="F265" s="17">
        <f>IF(OR(F262="",D262=""),"",F262-D262)</f>
        <v>-2174</v>
      </c>
      <c r="G265" s="17">
        <f>IF(OR(G262="",F262=""),"",G262-F262)</f>
        <v>28444</v>
      </c>
      <c r="H265" s="32">
        <f>IF(OR(H262="",G262=""),"",H262-G262)</f>
        <v>34718.10999999987</v>
      </c>
      <c r="I265" s="17"/>
    </row>
    <row r="266">
      <c r="A266" s="1"/>
      <c r="B266" s="15" t="s">
        <v>145</v>
      </c>
      <c r="C266" s="49">
        <v>127592</v>
      </c>
      <c r="D266" s="49">
        <v>132573</v>
      </c>
      <c r="E266" s="49">
        <v>125333</v>
      </c>
      <c r="F266" s="49">
        <v>145628</v>
      </c>
      <c r="G266" s="49">
        <v>159255</v>
      </c>
      <c r="H266" s="32">
        <f>G266*(1+H267)</f>
        <v>165625.2</v>
      </c>
      <c r="I266" s="17"/>
    </row>
    <row r="267">
      <c r="A267" s="1"/>
      <c r="B267" s="34" t="s">
        <v>139</v>
      </c>
      <c r="C267" s="2"/>
      <c r="D267" s="2">
        <f>D266/C266-1</f>
        <v>0.03903849771145529</v>
      </c>
      <c r="E267" s="2"/>
      <c r="F267" s="2">
        <f>F266/D266-1</f>
        <v>0.09847404826020378</v>
      </c>
      <c r="G267" s="2">
        <f>G266/F266-1</f>
        <v>0.09357403795973296</v>
      </c>
      <c r="H267" s="28">
        <v>0.04</v>
      </c>
      <c r="I267" s="2"/>
    </row>
    <row r="268">
      <c r="A268" s="1"/>
      <c r="B268" s="34" t="s">
        <v>77</v>
      </c>
      <c r="C268" s="2"/>
      <c r="D268" s="2"/>
      <c r="E268" s="2"/>
      <c r="F268" s="2"/>
      <c r="G268" s="2"/>
      <c r="H268" s="20">
        <f>IF(OR(H266="",C266=""),"",IF(C266=0,"n/m",H266/C266-1))</f>
        <v>0.29808451940560543</v>
      </c>
      <c r="I268" s="2"/>
    </row>
    <row r="269">
      <c r="A269" s="1"/>
      <c r="B269" s="15" t="s">
        <v>78</v>
      </c>
      <c r="C269" s="17"/>
      <c r="D269" s="17">
        <f>IF(OR(D266="",C266=""),"",D266-C266)</f>
        <v>4981</v>
      </c>
      <c r="E269" s="17"/>
      <c r="F269" s="17">
        <f>IF(OR(F266="",D266=""),"",F266-D266)</f>
        <v>13055</v>
      </c>
      <c r="G269" s="17">
        <f>IF(OR(G266="",F266=""),"",G266-F266)</f>
        <v>13627</v>
      </c>
      <c r="H269" s="32">
        <f>IF(OR(H266="",G266=""),"",H266-G266)</f>
        <v>6370.200000000012</v>
      </c>
      <c r="I269" s="17"/>
    </row>
    <row r="270">
      <c r="A270" s="1"/>
      <c r="B270" s="34" t="s">
        <v>146</v>
      </c>
      <c r="C270" s="16">
        <f>C288*365/C$6/C242</f>
        <v>0.0027397706597096345</v>
      </c>
      <c r="D270" s="16">
        <f>D288*365/D$6/D242</f>
        <v>0.0027062775881660514</v>
      </c>
      <c r="E270" s="16">
        <f>E288*365/E$6/E242</f>
        <v>0.0027313196425234145</v>
      </c>
      <c r="F270" s="16">
        <f>F288*365/F$6/F242</f>
        <v>0.002724826934727618</v>
      </c>
      <c r="G270" s="16">
        <f>G288*365/G$6/G242</f>
        <v>0.0027380700742936923</v>
      </c>
      <c r="H270" s="71">
        <f>G270+H271/10000</f>
        <v>0.0027380700742936923</v>
      </c>
      <c r="I270" s="16"/>
    </row>
    <row r="271">
      <c r="A271" s="1"/>
      <c r="B271" s="34" t="s">
        <v>86</v>
      </c>
      <c r="C271" s="75"/>
      <c r="D271" s="75">
        <f>(D270-C270)*10000</f>
        <v>-0.33493071543583014</v>
      </c>
      <c r="E271" s="75"/>
      <c r="F271" s="75">
        <f>(F270-D270)*10000</f>
        <v>0.1854934656156642</v>
      </c>
      <c r="G271" s="75">
        <f>(G270-F270)*10000</f>
        <v>0.1324313956607443</v>
      </c>
      <c r="H271" s="97">
        <v>0</v>
      </c>
      <c r="I271" s="75"/>
    </row>
    <row r="272">
      <c r="A272" s="1"/>
      <c r="B272" s="34" t="s">
        <v>87</v>
      </c>
      <c r="C272" s="75"/>
      <c r="D272" s="75"/>
      <c r="E272" s="75"/>
      <c r="F272" s="75"/>
      <c r="G272" s="75"/>
      <c r="H272" s="76">
        <f>IF(OR(H270="",C270=""),"",(H270-C270)*10000)</f>
        <v>-0.017005854159421636</v>
      </c>
      <c r="I272" s="75"/>
    </row>
    <row r="273">
      <c r="A273" s="1"/>
      <c r="B273" s="34" t="s">
        <v>147</v>
      </c>
      <c r="C273" s="16">
        <f>C295*365/C$6/C246</f>
        <v>0.000712008326329997</v>
      </c>
      <c r="D273" s="16">
        <f>D295*365/D$6/D246</f>
        <v>0.0007147799655484449</v>
      </c>
      <c r="E273" s="16">
        <f>E295*365/E$6/E246</f>
        <v>0.0007285635015100749</v>
      </c>
      <c r="F273" s="16">
        <f>F295*365/F$6/F246</f>
        <v>0.0007235726921031864</v>
      </c>
      <c r="G273" s="16">
        <f>G295*365/G$6/G246</f>
        <v>0.0007135389917774359</v>
      </c>
      <c r="H273" s="71">
        <f>G273+H274/10000</f>
        <v>0.0007035389917774359</v>
      </c>
      <c r="I273" s="16"/>
    </row>
    <row r="274">
      <c r="A274" s="1"/>
      <c r="B274" s="34" t="s">
        <v>86</v>
      </c>
      <c r="C274" s="75"/>
      <c r="D274" s="75">
        <f>(D273-C273)*10000</f>
        <v>0.027716392184479667</v>
      </c>
      <c r="E274" s="75"/>
      <c r="F274" s="75">
        <f>(F273-D273)*10000</f>
        <v>0.0879272655474148</v>
      </c>
      <c r="G274" s="75">
        <f>(G273-F273)*10000</f>
        <v>-0.10033700325750519</v>
      </c>
      <c r="H274" s="97">
        <v>-0.1</v>
      </c>
      <c r="I274" s="75"/>
    </row>
    <row r="275">
      <c r="A275" s="1"/>
      <c r="B275" s="34" t="s">
        <v>87</v>
      </c>
      <c r="C275" s="75"/>
      <c r="D275" s="75"/>
      <c r="E275" s="75"/>
      <c r="F275" s="75"/>
      <c r="G275" s="75"/>
      <c r="H275" s="76">
        <f>IF(OR(H273="",C273=""),"",(H273-C273)*10000)</f>
        <v>-0.084693345525611</v>
      </c>
      <c r="I275" s="75"/>
    </row>
    <row r="276">
      <c r="A276" s="1"/>
      <c r="B276" s="34" t="s">
        <v>148</v>
      </c>
      <c r="C276" s="16">
        <f>C302*365/C$6/C250</f>
        <v>0.002316085172938933</v>
      </c>
      <c r="D276" s="16">
        <f>D302*365/D$6/D250</f>
        <v>0.0022907753786319913</v>
      </c>
      <c r="E276" s="16">
        <f>E302*365/E$6/E250</f>
        <v>0.0023907044658656403</v>
      </c>
      <c r="F276" s="16">
        <f>F302*365/F$6/F250</f>
        <v>0.0022699279761324064</v>
      </c>
      <c r="G276" s="16">
        <f>G302*365/G$6/G250</f>
        <v>0.0022620414976160766</v>
      </c>
      <c r="H276" s="71">
        <f>G276+H277/10000</f>
        <v>0.0022620414976160766</v>
      </c>
      <c r="I276" s="16"/>
    </row>
    <row r="277">
      <c r="A277" s="1"/>
      <c r="B277" s="34" t="s">
        <v>86</v>
      </c>
      <c r="C277" s="75"/>
      <c r="D277" s="75">
        <f>(D276-C276)*10000</f>
        <v>-0.2530979430694167</v>
      </c>
      <c r="E277" s="75"/>
      <c r="F277" s="75">
        <f>(F276-D276)*10000</f>
        <v>-0.2084740249958493</v>
      </c>
      <c r="G277" s="75">
        <f>(G276-F276)*10000</f>
        <v>-0.07886478516329776</v>
      </c>
      <c r="H277" s="97">
        <v>0</v>
      </c>
      <c r="I277" s="75"/>
    </row>
    <row r="278">
      <c r="A278" s="1"/>
      <c r="B278" s="34" t="s">
        <v>87</v>
      </c>
      <c r="C278" s="75"/>
      <c r="D278" s="75"/>
      <c r="E278" s="75"/>
      <c r="F278" s="75"/>
      <c r="G278" s="75"/>
      <c r="H278" s="76">
        <f>IF(OR(H276="",C276=""),"",(H276-C276)*10000)</f>
        <v>-0.5404367532285638</v>
      </c>
      <c r="I278" s="75"/>
    </row>
    <row r="279">
      <c r="A279" s="1"/>
      <c r="B279" s="34" t="s">
        <v>149</v>
      </c>
      <c r="C279" s="16">
        <f>C309*365/C$6/C254</f>
        <v>0.0006226812794834881</v>
      </c>
      <c r="D279" s="16">
        <f>D309*365/D$6/D254</f>
        <v>0.000619267062028088</v>
      </c>
      <c r="E279" s="16">
        <f>E309*365/E$6/E254</f>
        <v>0.0006451175888085001</v>
      </c>
      <c r="F279" s="16">
        <f>F309*365/F$6/F254</f>
        <v>0.0007004024540032902</v>
      </c>
      <c r="G279" s="16">
        <f>G309*365/G$6/G254</f>
        <v>0.0006924600481117447</v>
      </c>
      <c r="H279" s="71">
        <f>G279+H280/10000</f>
        <v>0.0006924600481117447</v>
      </c>
      <c r="I279" s="16"/>
    </row>
    <row r="280">
      <c r="A280" s="1"/>
      <c r="B280" s="34" t="s">
        <v>86</v>
      </c>
      <c r="C280" s="75"/>
      <c r="D280" s="75">
        <f>(D279-C279)*10000</f>
        <v>-0.03414217455400127</v>
      </c>
      <c r="E280" s="75"/>
      <c r="F280" s="75">
        <f>(F279-D279)*10000</f>
        <v>0.8113539197520216</v>
      </c>
      <c r="G280" s="75">
        <f>(G279-F279)*10000</f>
        <v>-0.07942405891545458</v>
      </c>
      <c r="H280" s="97">
        <v>0</v>
      </c>
      <c r="I280" s="75"/>
    </row>
    <row r="281">
      <c r="A281" s="1"/>
      <c r="B281" s="34" t="s">
        <v>87</v>
      </c>
      <c r="C281" s="75"/>
      <c r="D281" s="75"/>
      <c r="E281" s="75"/>
      <c r="F281" s="75"/>
      <c r="G281" s="75"/>
      <c r="H281" s="76">
        <f>IF(OR(H279="",C279=""),"",(H279-C279)*10000)</f>
        <v>0.6977876862825658</v>
      </c>
      <c r="I281" s="75"/>
    </row>
    <row r="282">
      <c r="A282" s="1"/>
      <c r="B282" s="34" t="s">
        <v>150</v>
      </c>
      <c r="C282" s="16">
        <f>C323*365/C$6/C258</f>
        <v>0.0037538063914146686</v>
      </c>
      <c r="D282" s="16">
        <f>D323*365/D$6/D258</f>
        <v>0.0037796460791234337</v>
      </c>
      <c r="E282" s="16">
        <f>E323*365/E$6/E258</f>
        <v>0.0038488232696069153</v>
      </c>
      <c r="F282" s="16">
        <f>F323*365/F$6/F258</f>
        <v>0.003755334915699974</v>
      </c>
      <c r="G282" s="16">
        <f>G323*365/G$6/G258</f>
        <v>0.0037131201006254037</v>
      </c>
      <c r="H282" s="71">
        <f>G282+H283/10000</f>
        <v>0.0036831201006254036</v>
      </c>
      <c r="I282" s="16"/>
    </row>
    <row r="283">
      <c r="A283" s="1"/>
      <c r="B283" s="34" t="s">
        <v>86</v>
      </c>
      <c r="C283" s="75"/>
      <c r="D283" s="75">
        <f>(D282-C282)*10000</f>
        <v>0.2583968770876509</v>
      </c>
      <c r="E283" s="75"/>
      <c r="F283" s="75">
        <f>(F282-D282)*10000</f>
        <v>-0.2431116342345961</v>
      </c>
      <c r="G283" s="75">
        <f>(G282-F282)*10000</f>
        <v>-0.4221481507457039</v>
      </c>
      <c r="H283" s="97">
        <v>-0.3</v>
      </c>
      <c r="I283" s="75"/>
    </row>
    <row r="284">
      <c r="A284" s="1"/>
      <c r="B284" s="34" t="s">
        <v>87</v>
      </c>
      <c r="C284" s="75"/>
      <c r="D284" s="75"/>
      <c r="E284" s="75"/>
      <c r="F284" s="75"/>
      <c r="G284" s="75"/>
      <c r="H284" s="76">
        <f>IF(OR(H282="",C282=""),"",(H282-C282)*10000)</f>
        <v>-0.7068629078926499</v>
      </c>
      <c r="I284" s="75"/>
    </row>
    <row r="285">
      <c r="A285" s="1"/>
      <c r="B285" s="34" t="s">
        <v>151</v>
      </c>
      <c r="C285" s="16">
        <f>C330*365/C$6/C262</f>
        <v>0.00034853388246822116</v>
      </c>
      <c r="D285" s="16">
        <f>D330*365/D$6/D262</f>
        <v>0.0003492147064538885</v>
      </c>
      <c r="E285" s="16">
        <f>E330*365/E$6/E262</f>
        <v>0.00035572339932860004</v>
      </c>
      <c r="F285" s="16">
        <f>F330*365/F$6/F262</f>
        <v>0.0002904335780655705</v>
      </c>
      <c r="G285" s="16">
        <f>G330*365/G$6/G262</f>
        <v>0.0002830489066634986</v>
      </c>
      <c r="H285" s="71">
        <f>G285+H286/10000</f>
        <v>0.0002830489066634986</v>
      </c>
      <c r="I285" s="16"/>
    </row>
    <row r="286">
      <c r="A286" s="1"/>
      <c r="B286" s="34" t="s">
        <v>86</v>
      </c>
      <c r="C286" s="75"/>
      <c r="D286" s="75">
        <f>(D285-C285)*10000</f>
        <v>0.006808239856673226</v>
      </c>
      <c r="E286" s="75"/>
      <c r="F286" s="75">
        <f>(F285-D285)*10000</f>
        <v>-0.5878112838831798</v>
      </c>
      <c r="G286" s="75">
        <f>(G285-F285)*10000</f>
        <v>-0.07384671402071888</v>
      </c>
      <c r="H286" s="97">
        <v>0</v>
      </c>
      <c r="I286" s="75"/>
    </row>
    <row r="287">
      <c r="A287" s="1"/>
      <c r="B287" s="34" t="s">
        <v>87</v>
      </c>
      <c r="C287" s="75"/>
      <c r="D287" s="75"/>
      <c r="E287" s="75"/>
      <c r="F287" s="75"/>
      <c r="G287" s="75"/>
      <c r="H287" s="76">
        <f>IF(OR(H285="",C285=""),"",(H285-C285)*10000)</f>
        <v>-0.6548497580472254</v>
      </c>
      <c r="I287" s="75"/>
    </row>
    <row r="288">
      <c r="A288" s="1"/>
      <c r="B288" s="15" t="s">
        <v>152</v>
      </c>
      <c r="C288" s="49">
        <v>458</v>
      </c>
      <c r="D288" s="49">
        <v>465</v>
      </c>
      <c r="E288" s="49">
        <v>1783</v>
      </c>
      <c r="F288" s="49">
        <v>468</v>
      </c>
      <c r="G288" s="49">
        <v>473</v>
      </c>
      <c r="H288" s="32">
        <f>H242*H270*H$6/365</f>
        <v>482.0233846153846</v>
      </c>
      <c r="I288" s="17"/>
    </row>
    <row r="289">
      <c r="A289" s="1"/>
      <c r="B289" s="34" t="s">
        <v>61</v>
      </c>
      <c r="C289" s="2"/>
      <c r="D289" s="2"/>
      <c r="E289" s="2"/>
      <c r="F289" s="2"/>
      <c r="G289" s="2"/>
      <c r="H289" s="20">
        <f>IF(OR(H288="",C288=""),"",IF(C288=0,"n/m",H288/C288-1))</f>
        <v>0.052452804837084255</v>
      </c>
      <c r="I289" s="2"/>
    </row>
    <row r="290">
      <c r="A290" s="1"/>
      <c r="B290" s="34" t="s">
        <v>62</v>
      </c>
      <c r="C290" s="2"/>
      <c r="D290" s="2">
        <f>IF(OR(D288="",C288=""),"",IF(C288=0,"n/m",D288/C288-1))</f>
        <v>0.015283842794759916</v>
      </c>
      <c r="E290" s="2"/>
      <c r="F290" s="2">
        <f>IF(OR(F288="",D288=""),"",IF(D288=0,"n/m",F288/D288-1))</f>
        <v>0.006451612903225712</v>
      </c>
      <c r="G290" s="2">
        <f>IF(OR(G288="",F288=""),"",IF(F288=0,"n/m",G288/F288-1))</f>
        <v>0.010683760683760646</v>
      </c>
      <c r="H290" s="20">
        <f>IF(OR(H288="",G288=""),"",IF(G288=0,"n/m",H288/G288-1))</f>
        <v>0.01907692307692299</v>
      </c>
      <c r="I290" s="2"/>
    </row>
    <row r="291">
      <c r="A291" s="1"/>
      <c r="B291" s="34" t="s">
        <v>64</v>
      </c>
      <c r="C291" s="2"/>
      <c r="D291" s="2"/>
      <c r="E291" s="2"/>
      <c r="F291" s="2"/>
      <c r="G291" s="2"/>
      <c r="H291" s="20">
        <f>IF(C288=0,"n/m",H288/C288-1)</f>
        <v>0.052452804837084255</v>
      </c>
      <c r="I291" s="2"/>
    </row>
    <row r="292">
      <c r="A292" s="1"/>
      <c r="B292" s="34" t="s">
        <v>70</v>
      </c>
      <c r="C292" s="2"/>
      <c r="D292" s="2"/>
      <c r="E292" s="2"/>
      <c r="F292" s="2"/>
      <c r="G292" s="2"/>
      <c r="H292" s="28">
        <v>0</v>
      </c>
      <c r="I292" s="2"/>
    </row>
    <row r="293">
      <c r="A293" s="1"/>
      <c r="B293" s="34" t="s">
        <v>67</v>
      </c>
      <c r="C293" s="2"/>
      <c r="D293" s="2"/>
      <c r="E293" s="2"/>
      <c r="F293" s="2"/>
      <c r="G293" s="2"/>
      <c r="H293" s="28">
        <v>0</v>
      </c>
      <c r="I293" s="2"/>
    </row>
    <row r="294">
      <c r="A294" s="1"/>
      <c r="B294" s="34" t="s">
        <v>68</v>
      </c>
      <c r="C294" s="2"/>
      <c r="D294" s="2"/>
      <c r="E294" s="2"/>
      <c r="F294" s="2"/>
      <c r="G294" s="2"/>
      <c r="H294" s="20">
        <f>(1+H291)/((1+H292)*(1+H293))-1</f>
        <v>0.052452804837084255</v>
      </c>
      <c r="I294" s="2"/>
    </row>
    <row r="295">
      <c r="A295" s="1"/>
      <c r="B295" s="15" t="s">
        <v>153</v>
      </c>
      <c r="C295" s="49">
        <v>132</v>
      </c>
      <c r="D295" s="49">
        <v>140</v>
      </c>
      <c r="E295" s="49">
        <v>516</v>
      </c>
      <c r="F295" s="49">
        <v>146</v>
      </c>
      <c r="G295" s="49">
        <v>157</v>
      </c>
      <c r="H295" s="32">
        <f>H246*H273*H$6/365</f>
        <v>165.89084310577752</v>
      </c>
      <c r="I295" s="17"/>
    </row>
    <row r="296">
      <c r="A296" s="1"/>
      <c r="B296" s="34" t="s">
        <v>61</v>
      </c>
      <c r="C296" s="2"/>
      <c r="D296" s="2"/>
      <c r="E296" s="2"/>
      <c r="F296" s="2"/>
      <c r="G296" s="2"/>
      <c r="H296" s="20">
        <f>IF(OR(H295="",C295=""),"",IF(C295=0,"n/m",H295/C295-1))</f>
        <v>0.25674881140740546</v>
      </c>
      <c r="I296" s="2"/>
    </row>
    <row r="297">
      <c r="A297" s="1"/>
      <c r="B297" s="34" t="s">
        <v>62</v>
      </c>
      <c r="C297" s="2"/>
      <c r="D297" s="2">
        <f>IF(OR(D295="",C295=""),"",IF(C295=0,"n/m",D295/C295-1))</f>
        <v>0.06060606060606055</v>
      </c>
      <c r="E297" s="2"/>
      <c r="F297" s="2">
        <f>IF(OR(F295="",D295=""),"",IF(D295=0,"n/m",F295/D295-1))</f>
        <v>0.04285714285714293</v>
      </c>
      <c r="G297" s="2">
        <f>IF(OR(G295="",F295=""),"",IF(F295=0,"n/m",G295/F295-1))</f>
        <v>0.07534246575342474</v>
      </c>
      <c r="H297" s="20">
        <f>IF(OR(H295="",G295=""),"",IF(G295=0,"n/m",H295/G295-1))</f>
        <v>0.056629573922149845</v>
      </c>
      <c r="I297" s="2"/>
    </row>
    <row r="298">
      <c r="A298" s="1"/>
      <c r="B298" s="34" t="s">
        <v>64</v>
      </c>
      <c r="C298" s="2"/>
      <c r="D298" s="2"/>
      <c r="E298" s="2"/>
      <c r="F298" s="2"/>
      <c r="G298" s="2"/>
      <c r="H298" s="20">
        <f>IF(C295=0,"n/m",H295/C295-1)</f>
        <v>0.25674881140740546</v>
      </c>
      <c r="I298" s="2"/>
    </row>
    <row r="299">
      <c r="A299" s="1"/>
      <c r="B299" s="34" t="s">
        <v>70</v>
      </c>
      <c r="C299" s="2"/>
      <c r="D299" s="2"/>
      <c r="E299" s="2"/>
      <c r="F299" s="2"/>
      <c r="G299" s="2"/>
      <c r="H299" s="28">
        <v>0</v>
      </c>
      <c r="I299" s="2"/>
    </row>
    <row r="300">
      <c r="A300" s="1"/>
      <c r="B300" s="34" t="s">
        <v>67</v>
      </c>
      <c r="C300" s="2"/>
      <c r="D300" s="2"/>
      <c r="E300" s="2"/>
      <c r="F300" s="2"/>
      <c r="G300" s="2"/>
      <c r="H300" s="28">
        <v>0</v>
      </c>
      <c r="I300" s="2"/>
    </row>
    <row r="301">
      <c r="A301" s="1"/>
      <c r="B301" s="34" t="s">
        <v>68</v>
      </c>
      <c r="C301" s="2"/>
      <c r="D301" s="2"/>
      <c r="E301" s="2"/>
      <c r="F301" s="2"/>
      <c r="G301" s="2"/>
      <c r="H301" s="20">
        <f>(1+H298)/((1+H299)*(1+H300))-1</f>
        <v>0.25674881140740546</v>
      </c>
      <c r="I301" s="2"/>
    </row>
    <row r="302">
      <c r="A302" s="1"/>
      <c r="B302" s="15" t="s">
        <v>154</v>
      </c>
      <c r="C302" s="49">
        <v>259</v>
      </c>
      <c r="D302" s="49">
        <v>267</v>
      </c>
      <c r="E302" s="49">
        <v>966</v>
      </c>
      <c r="F302" s="49">
        <v>262</v>
      </c>
      <c r="G302" s="49">
        <v>273</v>
      </c>
      <c r="H302" s="32">
        <f>H250*H276*H$6/365</f>
        <v>287.03999999999996</v>
      </c>
      <c r="I302" s="17"/>
    </row>
    <row r="303">
      <c r="A303" s="1"/>
      <c r="B303" s="34" t="s">
        <v>61</v>
      </c>
      <c r="C303" s="2"/>
      <c r="D303" s="2"/>
      <c r="E303" s="2"/>
      <c r="F303" s="2"/>
      <c r="G303" s="2"/>
      <c r="H303" s="20">
        <f>IF(OR(H302="",C302=""),"",IF(C302=0,"n/m",H302/C302-1))</f>
        <v>0.10826254826254811</v>
      </c>
      <c r="I303" s="2"/>
    </row>
    <row r="304">
      <c r="A304" s="1"/>
      <c r="B304" s="34" t="s">
        <v>62</v>
      </c>
      <c r="C304" s="2"/>
      <c r="D304" s="2">
        <f>IF(OR(D302="",C302=""),"",IF(C302=0,"n/m",D302/C302-1))</f>
        <v>0.030888030888030826</v>
      </c>
      <c r="E304" s="2"/>
      <c r="F304" s="2">
        <f>IF(OR(F302="",D302=""),"",IF(D302=0,"n/m",F302/D302-1))</f>
        <v>-0.01872659176029967</v>
      </c>
      <c r="G304" s="2">
        <f>IF(OR(G302="",F302=""),"",IF(F302=0,"n/m",G302/F302-1))</f>
        <v>0.041984732824427384</v>
      </c>
      <c r="H304" s="20">
        <f>IF(OR(H302="",G302=""),"",IF(G302=0,"n/m",H302/G302-1))</f>
        <v>0.05142857142857138</v>
      </c>
      <c r="I304" s="2"/>
    </row>
    <row r="305">
      <c r="A305" s="1"/>
      <c r="B305" s="34" t="s">
        <v>64</v>
      </c>
      <c r="C305" s="2"/>
      <c r="D305" s="2"/>
      <c r="E305" s="2"/>
      <c r="F305" s="2"/>
      <c r="G305" s="2"/>
      <c r="H305" s="20">
        <f>IF(C302=0,"n/m",H302/C302-1)</f>
        <v>0.10826254826254811</v>
      </c>
      <c r="I305" s="2"/>
    </row>
    <row r="306">
      <c r="A306" s="1"/>
      <c r="B306" s="34" t="s">
        <v>70</v>
      </c>
      <c r="C306" s="2"/>
      <c r="D306" s="2"/>
      <c r="E306" s="2"/>
      <c r="F306" s="2"/>
      <c r="G306" s="2"/>
      <c r="H306" s="28">
        <v>0</v>
      </c>
      <c r="I306" s="2"/>
    </row>
    <row r="307">
      <c r="A307" s="1"/>
      <c r="B307" s="34" t="s">
        <v>67</v>
      </c>
      <c r="C307" s="2"/>
      <c r="D307" s="2"/>
      <c r="E307" s="2"/>
      <c r="F307" s="2"/>
      <c r="G307" s="2"/>
      <c r="H307" s="28">
        <v>0</v>
      </c>
      <c r="I307" s="2"/>
    </row>
    <row r="308">
      <c r="A308" s="1"/>
      <c r="B308" s="34" t="s">
        <v>68</v>
      </c>
      <c r="C308" s="2"/>
      <c r="D308" s="2"/>
      <c r="E308" s="2"/>
      <c r="F308" s="2"/>
      <c r="G308" s="2"/>
      <c r="H308" s="20">
        <f>(1+H305)/((1+H306)*(1+H307))-1</f>
        <v>0.10826254826254811</v>
      </c>
      <c r="I308" s="2"/>
    </row>
    <row r="309">
      <c r="A309" s="1"/>
      <c r="B309" s="15" t="s">
        <v>155</v>
      </c>
      <c r="C309" s="49">
        <v>97</v>
      </c>
      <c r="D309" s="49">
        <v>98</v>
      </c>
      <c r="E309" s="49">
        <v>400</v>
      </c>
      <c r="F309" s="49">
        <v>115</v>
      </c>
      <c r="G309" s="49">
        <v>117</v>
      </c>
      <c r="H309" s="32">
        <f>H254*H279*H$6/365</f>
        <v>122.42571428571426</v>
      </c>
      <c r="I309" s="17"/>
    </row>
    <row r="310">
      <c r="A310" s="1"/>
      <c r="B310" s="34" t="s">
        <v>61</v>
      </c>
      <c r="C310" s="2"/>
      <c r="D310" s="2"/>
      <c r="E310" s="2"/>
      <c r="F310" s="2"/>
      <c r="G310" s="2"/>
      <c r="H310" s="20">
        <f>IF(OR(H309="",C309=""),"",IF(C309=0,"n/m",H309/C309-1))</f>
        <v>0.26212076583210586</v>
      </c>
      <c r="I310" s="2"/>
    </row>
    <row r="311">
      <c r="A311" s="1"/>
      <c r="B311" s="34" t="s">
        <v>62</v>
      </c>
      <c r="C311" s="2"/>
      <c r="D311" s="2">
        <f>IF(OR(D309="",C309=""),"",IF(C309=0,"n/m",D309/C309-1))</f>
        <v>0.010309278350515427</v>
      </c>
      <c r="E311" s="2"/>
      <c r="F311" s="2">
        <f>IF(OR(F309="",D309=""),"",IF(D309=0,"n/m",F309/D309-1))</f>
        <v>0.17346938775510212</v>
      </c>
      <c r="G311" s="2">
        <f>IF(OR(G309="",F309=""),"",IF(F309=0,"n/m",G309/F309-1))</f>
        <v>0.017391304347825987</v>
      </c>
      <c r="H311" s="20">
        <f>IF(OR(H309="",G309=""),"",IF(G309=0,"n/m",H309/G309-1))</f>
        <v>0.0463736263736263</v>
      </c>
      <c r="I311" s="2"/>
    </row>
    <row r="312">
      <c r="A312" s="1"/>
      <c r="B312" s="34" t="s">
        <v>64</v>
      </c>
      <c r="C312" s="2"/>
      <c r="D312" s="2"/>
      <c r="E312" s="2"/>
      <c r="F312" s="2"/>
      <c r="G312" s="2"/>
      <c r="H312" s="20">
        <f>IF(C309=0,"n/m",H309/C309-1)</f>
        <v>0.26212076583210586</v>
      </c>
      <c r="I312" s="2"/>
    </row>
    <row r="313">
      <c r="A313" s="1"/>
      <c r="B313" s="34" t="s">
        <v>70</v>
      </c>
      <c r="C313" s="2"/>
      <c r="D313" s="2"/>
      <c r="E313" s="2"/>
      <c r="F313" s="2"/>
      <c r="G313" s="2"/>
      <c r="H313" s="28">
        <v>0</v>
      </c>
      <c r="I313" s="2"/>
    </row>
    <row r="314">
      <c r="A314" s="1"/>
      <c r="B314" s="34" t="s">
        <v>67</v>
      </c>
      <c r="C314" s="2"/>
      <c r="D314" s="2"/>
      <c r="E314" s="2"/>
      <c r="F314" s="2"/>
      <c r="G314" s="2"/>
      <c r="H314" s="28">
        <v>0</v>
      </c>
      <c r="I314" s="2"/>
    </row>
    <row r="315">
      <c r="A315" s="1"/>
      <c r="B315" s="34" t="s">
        <v>68</v>
      </c>
      <c r="C315" s="2"/>
      <c r="D315" s="2"/>
      <c r="E315" s="2"/>
      <c r="F315" s="2"/>
      <c r="G315" s="2"/>
      <c r="H315" s="20">
        <f>(1+H312)/((1+H313)*(1+H314))-1</f>
        <v>0.26212076583210586</v>
      </c>
      <c r="I315" s="2"/>
    </row>
    <row r="316">
      <c r="A316" s="1"/>
      <c r="B316" s="53" t="s">
        <v>156</v>
      </c>
      <c r="C316" s="27">
        <f>C288+C295+C302+C309</f>
        <v>946</v>
      </c>
      <c r="D316" s="27">
        <f>D288+D295+D302+D309</f>
        <v>970</v>
      </c>
      <c r="E316" s="27">
        <f>E288+E295+E302+E309</f>
        <v>3665</v>
      </c>
      <c r="F316" s="27">
        <f>F288+F295+F302+F309</f>
        <v>991</v>
      </c>
      <c r="G316" s="27">
        <f>G288+G295+G302+G309</f>
        <v>1020</v>
      </c>
      <c r="H316" s="40">
        <f>H288+H295+H302+H309</f>
        <v>1057.3799420068763</v>
      </c>
      <c r="I316" s="55"/>
    </row>
    <row r="317">
      <c r="A317" s="1"/>
      <c r="B317" s="34" t="s">
        <v>61</v>
      </c>
      <c r="C317" s="2"/>
      <c r="D317" s="2"/>
      <c r="E317" s="2"/>
      <c r="F317" s="2"/>
      <c r="G317" s="2"/>
      <c r="H317" s="20">
        <f>IF(OR(H316="",C316=""),"",IF(C316=0,"n/m",H316/C316-1))</f>
        <v>0.11773778224828368</v>
      </c>
      <c r="I317" s="2"/>
    </row>
    <row r="318">
      <c r="A318" s="1"/>
      <c r="B318" s="34" t="s">
        <v>62</v>
      </c>
      <c r="C318" s="2"/>
      <c r="D318" s="2">
        <f>IF(OR(D316="",C316=""),"",IF(C316=0,"n/m",D316/C316-1))</f>
        <v>0.025369978858351017</v>
      </c>
      <c r="E318" s="2"/>
      <c r="F318" s="2">
        <f>IF(OR(F316="",D316=""),"",IF(D316=0,"n/m",F316/D316-1))</f>
        <v>0.021649484536082397</v>
      </c>
      <c r="G318" s="2">
        <f>IF(OR(G316="",F316=""),"",IF(F316=0,"n/m",G316/F316-1))</f>
        <v>0.029263370332996974</v>
      </c>
      <c r="H318" s="20">
        <f>IF(OR(H316="",G316=""),"",IF(G316=0,"n/m",H316/G316-1))</f>
        <v>0.036647001967525794</v>
      </c>
      <c r="I318" s="2"/>
    </row>
    <row r="319">
      <c r="A319" s="1"/>
      <c r="B319" s="34" t="s">
        <v>64</v>
      </c>
      <c r="C319" s="2"/>
      <c r="D319" s="2"/>
      <c r="E319" s="2"/>
      <c r="F319" s="2"/>
      <c r="G319" s="2"/>
      <c r="H319" s="20">
        <f>IF(C316=0,"n/m",H316/C316-1)</f>
        <v>0.11773778224828368</v>
      </c>
      <c r="I319" s="2"/>
    </row>
    <row r="320">
      <c r="A320" s="1"/>
      <c r="B320" s="34" t="s">
        <v>70</v>
      </c>
      <c r="C320" s="2"/>
      <c r="D320" s="2"/>
      <c r="E320" s="2"/>
      <c r="F320" s="2"/>
      <c r="G320" s="2"/>
      <c r="H320" s="28">
        <v>0</v>
      </c>
      <c r="I320" s="2"/>
    </row>
    <row r="321">
      <c r="A321" s="1"/>
      <c r="B321" s="34" t="s">
        <v>67</v>
      </c>
      <c r="C321" s="2"/>
      <c r="D321" s="2"/>
      <c r="E321" s="2"/>
      <c r="F321" s="2"/>
      <c r="G321" s="2"/>
      <c r="H321" s="28">
        <v>0</v>
      </c>
      <c r="I321" s="2"/>
    </row>
    <row r="322">
      <c r="A322" s="1"/>
      <c r="B322" s="34" t="s">
        <v>68</v>
      </c>
      <c r="C322" s="2"/>
      <c r="D322" s="2"/>
      <c r="E322" s="2"/>
      <c r="F322" s="2"/>
      <c r="G322" s="2"/>
      <c r="H322" s="20">
        <f>(1+H319)/((1+H320)*(1+H321))-1</f>
        <v>0.11773778224828368</v>
      </c>
      <c r="I322" s="2"/>
    </row>
    <row r="323">
      <c r="A323" s="1"/>
      <c r="B323" s="15" t="s">
        <v>157</v>
      </c>
      <c r="C323" s="49">
        <v>619</v>
      </c>
      <c r="D323" s="49">
        <v>663</v>
      </c>
      <c r="E323" s="49">
        <v>2440</v>
      </c>
      <c r="F323" s="49">
        <v>674</v>
      </c>
      <c r="G323" s="49">
        <v>707</v>
      </c>
      <c r="H323" s="32">
        <f>H258*H282*H$6/365</f>
        <v>744.4439965049526</v>
      </c>
      <c r="I323" s="17"/>
    </row>
    <row r="324">
      <c r="A324" s="1"/>
      <c r="B324" s="34" t="s">
        <v>61</v>
      </c>
      <c r="C324" s="2"/>
      <c r="D324" s="2"/>
      <c r="E324" s="2"/>
      <c r="F324" s="2"/>
      <c r="G324" s="2"/>
      <c r="H324" s="20">
        <f>IF(OR(H323="",C323=""),"",IF(C323=0,"n/m",H323/C323-1))</f>
        <v>0.2026558909611511</v>
      </c>
      <c r="I324" s="2"/>
    </row>
    <row r="325">
      <c r="A325" s="1"/>
      <c r="B325" s="34" t="s">
        <v>62</v>
      </c>
      <c r="C325" s="2"/>
      <c r="D325" s="2">
        <f>IF(OR(D323="",C323=""),"",IF(C323=0,"n/m",D323/C323-1))</f>
        <v>0.07108239095315017</v>
      </c>
      <c r="E325" s="2"/>
      <c r="F325" s="2">
        <f>IF(OR(F323="",D323=""),"",IF(D323=0,"n/m",F323/D323-1))</f>
        <v>0.016591251885369473</v>
      </c>
      <c r="G325" s="2">
        <f>IF(OR(G323="",F323=""),"",IF(F323=0,"n/m",G323/F323-1))</f>
        <v>0.04896142433234418</v>
      </c>
      <c r="H325" s="20">
        <f>IF(OR(H323="",G323=""),"",IF(G323=0,"n/m",H323/G323-1))</f>
        <v>0.05296180552327101</v>
      </c>
      <c r="I325" s="2"/>
    </row>
    <row r="326">
      <c r="A326" s="1"/>
      <c r="B326" s="34" t="s">
        <v>64</v>
      </c>
      <c r="C326" s="2"/>
      <c r="D326" s="2"/>
      <c r="E326" s="2"/>
      <c r="F326" s="2"/>
      <c r="G326" s="2"/>
      <c r="H326" s="20">
        <f>IF(C323=0,"n/m",H323/C323-1)</f>
        <v>0.2026558909611511</v>
      </c>
      <c r="I326" s="2"/>
    </row>
    <row r="327">
      <c r="A327" s="1"/>
      <c r="B327" s="34" t="s">
        <v>70</v>
      </c>
      <c r="C327" s="2"/>
      <c r="D327" s="2"/>
      <c r="E327" s="2"/>
      <c r="F327" s="2"/>
      <c r="G327" s="2"/>
      <c r="H327" s="28">
        <v>0</v>
      </c>
      <c r="I327" s="2"/>
    </row>
    <row r="328">
      <c r="A328" s="1"/>
      <c r="B328" s="34" t="s">
        <v>67</v>
      </c>
      <c r="C328" s="2"/>
      <c r="D328" s="2"/>
      <c r="E328" s="2"/>
      <c r="F328" s="2"/>
      <c r="G328" s="2"/>
      <c r="H328" s="28">
        <v>0</v>
      </c>
      <c r="I328" s="2"/>
    </row>
    <row r="329">
      <c r="A329" s="1"/>
      <c r="B329" s="34" t="s">
        <v>68</v>
      </c>
      <c r="C329" s="2"/>
      <c r="D329" s="2"/>
      <c r="E329" s="2"/>
      <c r="F329" s="2"/>
      <c r="G329" s="2"/>
      <c r="H329" s="20">
        <f>(1+H326)/((1+H327)*(1+H328))-1</f>
        <v>0.2026558909611511</v>
      </c>
      <c r="I329" s="2"/>
    </row>
    <row r="330">
      <c r="A330" s="1"/>
      <c r="B330" s="15" t="s">
        <v>158</v>
      </c>
      <c r="C330" s="49">
        <v>81</v>
      </c>
      <c r="D330" s="49">
        <v>85</v>
      </c>
      <c r="E330" s="49">
        <v>318</v>
      </c>
      <c r="F330" s="49">
        <v>69</v>
      </c>
      <c r="G330" s="49">
        <v>70</v>
      </c>
      <c r="H330" s="32">
        <f>H262*H285*H$6/365</f>
        <v>73.24615384615383</v>
      </c>
      <c r="I330" s="17"/>
    </row>
    <row r="331">
      <c r="A331" s="1"/>
      <c r="B331" s="34" t="s">
        <v>61</v>
      </c>
      <c r="C331" s="2"/>
      <c r="D331" s="2"/>
      <c r="E331" s="2"/>
      <c r="F331" s="2"/>
      <c r="G331" s="2"/>
      <c r="H331" s="20">
        <f>IF(OR(H330="",C330=""),"",IF(C330=0,"n/m",H330/C330-1))</f>
        <v>-0.09572649572649594</v>
      </c>
      <c r="I331" s="2"/>
    </row>
    <row r="332">
      <c r="A332" s="1"/>
      <c r="B332" s="34" t="s">
        <v>62</v>
      </c>
      <c r="C332" s="2"/>
      <c r="D332" s="2">
        <f>IF(OR(D330="",C330=""),"",IF(C330=0,"n/m",D330/C330-1))</f>
        <v>0.04938271604938271</v>
      </c>
      <c r="E332" s="2"/>
      <c r="F332" s="2">
        <f>IF(OR(F330="",D330=""),"",IF(D330=0,"n/m",F330/D330-1))</f>
        <v>-0.18823529411764706</v>
      </c>
      <c r="G332" s="2">
        <f>IF(OR(G330="",F330=""),"",IF(F330=0,"n/m",G330/F330-1))</f>
        <v>0.01449275362318847</v>
      </c>
      <c r="H332" s="20">
        <f>IF(OR(H330="",G330=""),"",IF(G330=0,"n/m",H330/G330-1))</f>
        <v>0.046373626373626076</v>
      </c>
      <c r="I332" s="2"/>
    </row>
    <row r="333">
      <c r="A333" s="1"/>
      <c r="B333" s="34" t="s">
        <v>64</v>
      </c>
      <c r="C333" s="2"/>
      <c r="D333" s="2"/>
      <c r="E333" s="2"/>
      <c r="F333" s="2"/>
      <c r="G333" s="2"/>
      <c r="H333" s="20">
        <f>IF(C330=0,"n/m",H330/C330-1)</f>
        <v>-0.09572649572649594</v>
      </c>
      <c r="I333" s="2"/>
    </row>
    <row r="334">
      <c r="A334" s="1"/>
      <c r="B334" s="34" t="s">
        <v>70</v>
      </c>
      <c r="C334" s="2"/>
      <c r="D334" s="2"/>
      <c r="E334" s="2"/>
      <c r="F334" s="2"/>
      <c r="G334" s="2"/>
      <c r="H334" s="28">
        <v>0</v>
      </c>
      <c r="I334" s="2"/>
    </row>
    <row r="335">
      <c r="A335" s="1"/>
      <c r="B335" s="34" t="s">
        <v>67</v>
      </c>
      <c r="C335" s="2"/>
      <c r="D335" s="2"/>
      <c r="E335" s="2"/>
      <c r="F335" s="2"/>
      <c r="G335" s="2"/>
      <c r="H335" s="28">
        <v>0</v>
      </c>
      <c r="I335" s="2"/>
    </row>
    <row r="336">
      <c r="A336" s="1"/>
      <c r="B336" s="34" t="s">
        <v>68</v>
      </c>
      <c r="C336" s="2"/>
      <c r="D336" s="2"/>
      <c r="E336" s="2"/>
      <c r="F336" s="2"/>
      <c r="G336" s="2"/>
      <c r="H336" s="20">
        <f>(1+H333)/((1+H334)*(1+H335))-1</f>
        <v>-0.09572649572649594</v>
      </c>
      <c r="I336" s="2"/>
    </row>
    <row r="337">
      <c r="A337" s="1"/>
      <c r="B337" s="15" t="s">
        <v>159</v>
      </c>
      <c r="C337" s="49">
        <v>27</v>
      </c>
      <c r="D337" s="49">
        <v>15</v>
      </c>
      <c r="E337" s="49">
        <v>83</v>
      </c>
      <c r="F337" s="49">
        <v>25</v>
      </c>
      <c r="G337" s="49">
        <v>28</v>
      </c>
      <c r="H337" s="74">
        <v>28</v>
      </c>
      <c r="I337" s="17"/>
    </row>
    <row r="338">
      <c r="A338" s="1"/>
      <c r="B338" s="34" t="s">
        <v>61</v>
      </c>
      <c r="C338" s="2"/>
      <c r="D338" s="2"/>
      <c r="E338" s="2"/>
      <c r="F338" s="2"/>
      <c r="G338" s="2"/>
      <c r="H338" s="20">
        <f>IF(OR(H337="",C337=""),"",IF(C337=0,"n/m",H337/C337-1))</f>
        <v>0.03703703703703698</v>
      </c>
      <c r="I338" s="2"/>
    </row>
    <row r="339">
      <c r="A339" s="1"/>
      <c r="B339" s="34" t="s">
        <v>62</v>
      </c>
      <c r="C339" s="2"/>
      <c r="D339" s="2">
        <f>IF(OR(D337="",C337=""),"",IF(C337=0,"n/m",D337/C337-1))</f>
        <v>-0.4444444444444444</v>
      </c>
      <c r="E339" s="2"/>
      <c r="F339" s="2">
        <f>IF(OR(F337="",D337=""),"",IF(D337=0,"n/m",F337/D337-1))</f>
        <v>0.6666666666666667</v>
      </c>
      <c r="G339" s="2">
        <f>IF(OR(G337="",F337=""),"",IF(F337=0,"n/m",G337/F337-1))</f>
        <v>0.1200000000000001</v>
      </c>
      <c r="H339" s="20">
        <f>IF(OR(H337="",G337=""),"",IF(G337=0,"n/m",H337/G337-1))</f>
        <v>0</v>
      </c>
      <c r="I339" s="2"/>
    </row>
    <row r="340">
      <c r="A340" s="1"/>
      <c r="B340" s="34" t="s">
        <v>64</v>
      </c>
      <c r="C340" s="2"/>
      <c r="D340" s="2"/>
      <c r="E340" s="2"/>
      <c r="F340" s="2"/>
      <c r="G340" s="2"/>
      <c r="H340" s="20">
        <f>IF(C337=0,"n/m",H337/C337-1)</f>
        <v>0.03703703703703698</v>
      </c>
      <c r="I340" s="2"/>
    </row>
    <row r="341">
      <c r="A341" s="1"/>
      <c r="B341" s="34" t="s">
        <v>70</v>
      </c>
      <c r="C341" s="2"/>
      <c r="D341" s="2"/>
      <c r="E341" s="2"/>
      <c r="F341" s="2"/>
      <c r="G341" s="2"/>
      <c r="H341" s="28">
        <v>0</v>
      </c>
      <c r="I341" s="2"/>
    </row>
    <row r="342">
      <c r="A342" s="1"/>
      <c r="B342" s="34" t="s">
        <v>67</v>
      </c>
      <c r="C342" s="2"/>
      <c r="D342" s="2"/>
      <c r="E342" s="2"/>
      <c r="F342" s="2"/>
      <c r="G342" s="2"/>
      <c r="H342" s="28">
        <v>0</v>
      </c>
      <c r="I342" s="2"/>
    </row>
    <row r="343">
      <c r="A343" s="1"/>
      <c r="B343" s="34" t="s">
        <v>68</v>
      </c>
      <c r="C343" s="2"/>
      <c r="D343" s="2"/>
      <c r="E343" s="2"/>
      <c r="F343" s="2"/>
      <c r="G343" s="2"/>
      <c r="H343" s="20">
        <f>(1+H340)/((1+H341)*(1+H342))-1</f>
        <v>0.03703703703703698</v>
      </c>
      <c r="I343" s="2"/>
    </row>
    <row r="344">
      <c r="A344" s="1"/>
      <c r="B344" s="53" t="s">
        <v>160</v>
      </c>
      <c r="C344" s="27">
        <f>C316+C323+C330+C337</f>
        <v>1673</v>
      </c>
      <c r="D344" s="27">
        <f>D316+D323+D330+D337</f>
        <v>1733</v>
      </c>
      <c r="E344" s="27">
        <f>E316+E323+E330+E337</f>
        <v>6506</v>
      </c>
      <c r="F344" s="27">
        <f>F316+F323+F330+F337</f>
        <v>1759</v>
      </c>
      <c r="G344" s="27">
        <f>G316+G323+G330+G337</f>
        <v>1825</v>
      </c>
      <c r="H344" s="40">
        <f>H316+H323+H330+H337</f>
        <v>1903.0700923579827</v>
      </c>
      <c r="I344" s="55"/>
    </row>
    <row r="345">
      <c r="A345" s="1"/>
      <c r="B345" s="34" t="s">
        <v>61</v>
      </c>
      <c r="C345" s="2"/>
      <c r="D345" s="2"/>
      <c r="E345" s="2"/>
      <c r="F345" s="2"/>
      <c r="G345" s="2"/>
      <c r="H345" s="20">
        <f>IF(OR(H344="",C344=""),"",IF(C344=0,"n/m",H344/C344-1))</f>
        <v>0.13751948138552472</v>
      </c>
      <c r="I345" s="2"/>
    </row>
    <row r="346">
      <c r="A346" s="1"/>
      <c r="B346" s="34" t="s">
        <v>62</v>
      </c>
      <c r="C346" s="2"/>
      <c r="D346" s="2">
        <f>IF(OR(D344="",C344=""),"",IF(C344=0,"n/m",D344/C344-1))</f>
        <v>0.035863717872085976</v>
      </c>
      <c r="E346" s="2"/>
      <c r="F346" s="2">
        <f>IF(OR(F344="",D344=""),"",IF(D344=0,"n/m",F344/D344-1))</f>
        <v>0.015002885170225078</v>
      </c>
      <c r="G346" s="2">
        <f>IF(OR(G344="",F344=""),"",IF(F344=0,"n/m",G344/F344-1))</f>
        <v>0.03752131893121091</v>
      </c>
      <c r="H346" s="20">
        <f>IF(OR(H344="",G344=""),"",IF(G344=0,"n/m",H344/G344-1))</f>
        <v>0.04277813279889475</v>
      </c>
      <c r="I346" s="2"/>
    </row>
    <row r="347">
      <c r="A347" s="1"/>
      <c r="B347" s="34" t="s">
        <v>64</v>
      </c>
      <c r="C347" s="2"/>
      <c r="D347" s="2"/>
      <c r="E347" s="2"/>
      <c r="F347" s="2"/>
      <c r="G347" s="2"/>
      <c r="H347" s="20">
        <f>IF(C344=0,"n/m",H344/C344-1)</f>
        <v>0.13751948138552472</v>
      </c>
      <c r="I347" s="2"/>
    </row>
    <row r="348">
      <c r="A348" s="1"/>
      <c r="B348" s="34" t="s">
        <v>70</v>
      </c>
      <c r="C348" s="2"/>
      <c r="D348" s="2"/>
      <c r="E348" s="2"/>
      <c r="F348" s="2"/>
      <c r="G348" s="2"/>
      <c r="H348" s="28">
        <v>0</v>
      </c>
      <c r="I348" s="2"/>
    </row>
    <row r="349">
      <c r="A349" s="1"/>
      <c r="B349" s="34" t="s">
        <v>67</v>
      </c>
      <c r="C349" s="2"/>
      <c r="D349" s="2"/>
      <c r="E349" s="2"/>
      <c r="F349" s="2"/>
      <c r="G349" s="2"/>
      <c r="H349" s="28">
        <v>0</v>
      </c>
      <c r="I349" s="2"/>
    </row>
    <row r="350">
      <c r="A350" s="1"/>
      <c r="B350" s="34" t="s">
        <v>68</v>
      </c>
      <c r="C350" s="2"/>
      <c r="D350" s="2"/>
      <c r="E350" s="2"/>
      <c r="F350" s="2"/>
      <c r="G350" s="2"/>
      <c r="H350" s="20">
        <f>(1+H347)/((1+H348)*(1+H349))-1</f>
        <v>0.13751948138552472</v>
      </c>
      <c r="I350" s="2"/>
    </row>
    <row r="351">
      <c r="A351" s="1"/>
      <c r="B351" s="42"/>
      <c r="C351" s="8"/>
      <c r="D351" s="8"/>
      <c r="E351" s="8"/>
      <c r="F351" s="8"/>
      <c r="G351" s="8"/>
      <c r="H351" s="5"/>
      <c r="I351" s="8"/>
    </row>
    <row r="352">
      <c r="A352" s="1"/>
      <c r="B352" s="51" t="s">
        <v>161</v>
      </c>
      <c r="C352" s="7"/>
      <c r="D352" s="7"/>
      <c r="E352" s="7"/>
      <c r="F352" s="7"/>
      <c r="G352" s="7"/>
      <c r="H352" s="12"/>
      <c r="I352" s="7"/>
    </row>
    <row r="353">
      <c r="A353" s="1"/>
      <c r="B353" s="15" t="s">
        <v>162</v>
      </c>
      <c r="C353" s="89"/>
      <c r="D353" s="89"/>
      <c r="E353" s="89"/>
      <c r="F353" s="89"/>
      <c r="G353" s="89"/>
      <c r="H353" s="96">
        <v>11648</v>
      </c>
      <c r="I353" s="89"/>
    </row>
    <row r="354">
      <c r="A354" s="1"/>
      <c r="B354" s="15" t="s">
        <v>163</v>
      </c>
      <c r="C354" s="89"/>
      <c r="D354" s="89"/>
      <c r="E354" s="89"/>
      <c r="F354" s="89"/>
      <c r="G354" s="89"/>
      <c r="H354" s="96">
        <v>9821</v>
      </c>
      <c r="I354" s="89"/>
    </row>
    <row r="355">
      <c r="A355" s="1"/>
      <c r="B355" s="15" t="s">
        <v>164</v>
      </c>
      <c r="C355" s="89"/>
      <c r="D355" s="89"/>
      <c r="E355" s="89"/>
      <c r="F355" s="89"/>
      <c r="G355" s="89"/>
      <c r="H355" s="96">
        <v>9700</v>
      </c>
      <c r="I355" s="89"/>
    </row>
    <row r="356">
      <c r="A356" s="1"/>
      <c r="B356" s="15" t="s">
        <v>165</v>
      </c>
      <c r="C356" s="17"/>
      <c r="D356" s="17"/>
      <c r="E356" s="17"/>
      <c r="F356" s="17"/>
      <c r="G356" s="17"/>
      <c r="H356" s="74">
        <v>22</v>
      </c>
      <c r="I356" s="17"/>
    </row>
    <row r="357">
      <c r="A357" s="1"/>
      <c r="B357" s="15" t="s">
        <v>166</v>
      </c>
      <c r="C357" s="17"/>
      <c r="D357" s="17"/>
      <c r="E357" s="17"/>
      <c r="F357" s="17"/>
      <c r="G357" s="17"/>
      <c r="H357" s="74">
        <v>21</v>
      </c>
      <c r="I357" s="17"/>
    </row>
    <row r="358">
      <c r="A358" s="1"/>
      <c r="B358" s="15" t="s">
        <v>167</v>
      </c>
      <c r="C358" s="17"/>
      <c r="D358" s="17"/>
      <c r="E358" s="17"/>
      <c r="F358" s="17"/>
      <c r="G358" s="17"/>
      <c r="H358" s="74">
        <v>21</v>
      </c>
      <c r="I358" s="17"/>
    </row>
    <row r="359">
      <c r="A359" s="1"/>
      <c r="B359" s="15" t="s">
        <v>168</v>
      </c>
      <c r="C359" s="91">
        <v>7421</v>
      </c>
      <c r="D359" s="91">
        <v>8274</v>
      </c>
      <c r="E359" s="43">
        <f>(Inputs!C181*Inputs!D181+Inputs!C182*Inputs!D182+C359*C362+D359*D362)/E362</f>
        <v>7667.434607645875</v>
      </c>
      <c r="F359" s="91">
        <v>9899</v>
      </c>
      <c r="G359" s="91">
        <v>11920</v>
      </c>
      <c r="H359" s="87">
        <f>(H353*H356+H354*H357+H355*H358)/H362</f>
        <v>10409.328125</v>
      </c>
      <c r="I359" s="89"/>
    </row>
    <row r="360">
      <c r="A360" s="1"/>
      <c r="B360" s="34" t="s">
        <v>77</v>
      </c>
      <c r="C360" s="2"/>
      <c r="D360" s="2"/>
      <c r="E360" s="2"/>
      <c r="F360" s="2"/>
      <c r="G360" s="2"/>
      <c r="H360" s="20">
        <f>IF(OR(H359="",C359=""),"",IF(C359=0,"n/m",H359/C359-1))</f>
        <v>0.4026853692224768</v>
      </c>
      <c r="I360" s="2"/>
    </row>
    <row r="361">
      <c r="A361" s="1"/>
      <c r="B361" s="15" t="s">
        <v>78</v>
      </c>
      <c r="C361" s="17"/>
      <c r="D361" s="17">
        <f>IF(OR(D359="",C359=""),"",D359-C359)</f>
        <v>853</v>
      </c>
      <c r="E361" s="17"/>
      <c r="F361" s="17">
        <f>IF(OR(F359="",D359=""),"",F359-D359)</f>
        <v>1625</v>
      </c>
      <c r="G361" s="17">
        <f>IF(OR(G359="",F359=""),"",G359-F359)</f>
        <v>2021</v>
      </c>
      <c r="H361" s="32">
        <f>IF(OR(H359="",G359=""),"",H359-G359)</f>
        <v>-1510.671875</v>
      </c>
      <c r="I361" s="17"/>
    </row>
    <row r="362">
      <c r="A362" s="1"/>
      <c r="B362" s="15" t="s">
        <v>169</v>
      </c>
      <c r="C362" s="49">
        <v>63.5</v>
      </c>
      <c r="D362" s="49">
        <v>63</v>
      </c>
      <c r="E362" s="11">
        <f>Inputs!D181+Inputs!D182+C362+D362</f>
        <v>248.5</v>
      </c>
      <c r="F362" s="49">
        <v>61</v>
      </c>
      <c r="G362" s="49">
        <v>62</v>
      </c>
      <c r="H362" s="32">
        <f>H356+H357+H358</f>
        <v>64</v>
      </c>
      <c r="I362" s="17"/>
    </row>
    <row r="363">
      <c r="A363" s="1"/>
      <c r="B363" s="34" t="s">
        <v>77</v>
      </c>
      <c r="C363" s="2"/>
      <c r="D363" s="2"/>
      <c r="E363" s="2"/>
      <c r="F363" s="2"/>
      <c r="G363" s="2"/>
      <c r="H363" s="20">
        <f>IF(OR(H362="",C362=""),"",IF(C362=0,"n/m",H362/C362-1))</f>
        <v>0.007874015748031482</v>
      </c>
      <c r="I363" s="2"/>
    </row>
    <row r="364">
      <c r="A364" s="1"/>
      <c r="B364" s="15" t="s">
        <v>78</v>
      </c>
      <c r="C364" s="17"/>
      <c r="D364" s="17">
        <f>IF(OR(D362="",C362=""),"",D362-C362)</f>
        <v>-0.5</v>
      </c>
      <c r="E364" s="17"/>
      <c r="F364" s="17">
        <f>IF(OR(F362="",D362=""),"",F362-D362)</f>
        <v>-2</v>
      </c>
      <c r="G364" s="17">
        <f>IF(OR(G362="",F362=""),"",G362-F362)</f>
        <v>1</v>
      </c>
      <c r="H364" s="32">
        <f>IF(OR(H362="",G362=""),"",H362-G362)</f>
        <v>2</v>
      </c>
      <c r="I364" s="17"/>
    </row>
    <row r="365">
      <c r="A365" s="1"/>
      <c r="B365" s="15" t="s">
        <v>170</v>
      </c>
      <c r="C365" s="17">
        <f>C359*C362/1000</f>
        <v>471.2335</v>
      </c>
      <c r="D365" s="17">
        <f>D359*D362/1000</f>
        <v>521.262</v>
      </c>
      <c r="E365" s="17">
        <f>E359*E362/1000</f>
        <v>1905.3575</v>
      </c>
      <c r="F365" s="17">
        <f>F359*F362/1000</f>
        <v>603.839</v>
      </c>
      <c r="G365" s="17">
        <f>G359*G362/1000</f>
        <v>739.04</v>
      </c>
      <c r="H365" s="32">
        <f>H359*H362/1000</f>
        <v>666.197</v>
      </c>
      <c r="I365" s="17"/>
    </row>
    <row r="366">
      <c r="A366" s="1"/>
      <c r="B366" s="34" t="s">
        <v>77</v>
      </c>
      <c r="C366" s="2"/>
      <c r="D366" s="2"/>
      <c r="E366" s="2"/>
      <c r="F366" s="2"/>
      <c r="G366" s="2"/>
      <c r="H366" s="20">
        <f>IF(OR(H365="",C365=""),"",IF(C365=0,"n/m",H365/C365-1))</f>
        <v>0.413730135909268</v>
      </c>
      <c r="I366" s="2"/>
    </row>
    <row r="367">
      <c r="A367" s="1"/>
      <c r="B367" s="15" t="s">
        <v>78</v>
      </c>
      <c r="C367" s="17"/>
      <c r="D367" s="17">
        <f>IF(OR(D365="",C365=""),"",D365-C365)</f>
        <v>50.02849999999995</v>
      </c>
      <c r="E367" s="17"/>
      <c r="F367" s="17">
        <f>IF(OR(F365="",D365=""),"",F365-D365)</f>
        <v>82.57700000000011</v>
      </c>
      <c r="G367" s="17">
        <f>IF(OR(G365="",F365=""),"",G365-F365)</f>
        <v>135.2009999999999</v>
      </c>
      <c r="H367" s="32">
        <f>IF(OR(H365="",G365=""),"",H365-G365)</f>
        <v>-72.84299999999996</v>
      </c>
      <c r="I367" s="17"/>
    </row>
    <row r="368">
      <c r="A368" s="1"/>
      <c r="B368" s="34" t="s">
        <v>171</v>
      </c>
      <c r="C368" s="38">
        <v>0.2203</v>
      </c>
      <c r="D368" s="38">
        <v>0.223</v>
      </c>
      <c r="E368" s="2"/>
      <c r="F368" s="38">
        <v>0.202</v>
      </c>
      <c r="G368" s="38">
        <v>0.1963</v>
      </c>
      <c r="H368" s="20">
        <f>(H353*H356*H371+H354*H357*H372+H355*H358*H373)/(H353*H356+H354*H357+H355*H358)</f>
        <v>0.22448323543936702</v>
      </c>
      <c r="I368" s="120" t="s">
        <v>172</v>
      </c>
    </row>
    <row r="369">
      <c r="A369" s="1"/>
      <c r="B369" s="34" t="s">
        <v>135</v>
      </c>
      <c r="C369" s="75"/>
      <c r="D369" s="75">
        <f>IF(OR(D368="",C368=""),"",(D368-C368)*10000)</f>
        <v>27.000000000000078</v>
      </c>
      <c r="E369" s="75"/>
      <c r="F369" s="75">
        <f>IF(OR(F368="",D368=""),"",(F368-D368)*10000)</f>
        <v>-209.99999999999991</v>
      </c>
      <c r="G369" s="75">
        <f>IF(OR(G368="",F368=""),"",(G368-F368)*10000)</f>
        <v>-57.00000000000011</v>
      </c>
      <c r="H369" s="76">
        <f>IF(OR(H368="",G368=""),"",(H368-G368)*10000)</f>
        <v>281.8323543936702</v>
      </c>
      <c r="I369" s="75"/>
    </row>
    <row r="370">
      <c r="A370" s="1"/>
      <c r="B370" s="34" t="s">
        <v>87</v>
      </c>
      <c r="C370" s="75"/>
      <c r="D370" s="75"/>
      <c r="E370" s="75"/>
      <c r="F370" s="75"/>
      <c r="G370" s="75"/>
      <c r="H370" s="76">
        <f>IF(OR(H368="",C368=""),"",(H368-C368)*10000)</f>
        <v>41.83235439367022</v>
      </c>
      <c r="I370" s="75"/>
    </row>
    <row r="371">
      <c r="A371" s="1"/>
      <c r="B371" s="34" t="s">
        <v>173</v>
      </c>
      <c r="C371" s="2"/>
      <c r="D371" s="2"/>
      <c r="E371" s="2"/>
      <c r="F371" s="2"/>
      <c r="G371" s="2"/>
      <c r="H371" s="28">
        <v>0.206</v>
      </c>
      <c r="I371" s="2"/>
    </row>
    <row r="372">
      <c r="A372" s="1"/>
      <c r="B372" s="34" t="s">
        <v>174</v>
      </c>
      <c r="C372" s="2"/>
      <c r="D372" s="2"/>
      <c r="E372" s="2"/>
      <c r="F372" s="2"/>
      <c r="G372" s="2"/>
      <c r="H372" s="28">
        <v>0.242</v>
      </c>
      <c r="I372" s="2"/>
    </row>
    <row r="373">
      <c r="A373" s="1"/>
      <c r="B373" s="34" t="s">
        <v>175</v>
      </c>
      <c r="C373" s="2"/>
      <c r="D373" s="2"/>
      <c r="E373" s="2"/>
      <c r="F373" s="2"/>
      <c r="G373" s="2"/>
      <c r="H373" s="28">
        <v>0.23</v>
      </c>
      <c r="I373" s="2"/>
    </row>
    <row r="374">
      <c r="A374" s="1"/>
      <c r="B374" s="15" t="s">
        <v>176</v>
      </c>
      <c r="C374" s="4">
        <f>C377/C365</f>
        <v>2.111479765339264</v>
      </c>
      <c r="D374" s="4">
        <f>D377/D365</f>
        <v>2.0450368528686154</v>
      </c>
      <c r="E374" s="4">
        <f>E377/E365</f>
        <v>2.0578815261702856</v>
      </c>
      <c r="F374" s="4">
        <f>F377/F365</f>
        <v>1.8034608562878514</v>
      </c>
      <c r="G374" s="4">
        <f>G377/G365</f>
        <v>1.644024680666811</v>
      </c>
      <c r="H374" s="61">
        <v>1.78</v>
      </c>
      <c r="I374" s="4"/>
    </row>
    <row r="375">
      <c r="A375" s="1"/>
      <c r="B375" s="34" t="s">
        <v>77</v>
      </c>
      <c r="C375" s="2"/>
      <c r="D375" s="2"/>
      <c r="E375" s="2"/>
      <c r="F375" s="2"/>
      <c r="G375" s="2"/>
      <c r="H375" s="20">
        <f>IF(OR(H374="",C374=""),"",IF(C374=0,"n/m",H374/C374-1))</f>
        <v>-0.1569893165829146</v>
      </c>
      <c r="I375" s="2"/>
    </row>
    <row r="376">
      <c r="A376" s="1"/>
      <c r="B376" s="15" t="s">
        <v>177</v>
      </c>
      <c r="C376" s="4"/>
      <c r="D376" s="4">
        <f>IF(OR(D374="",C374=""),"",D374-C374)</f>
        <v>-0.06644291247064871</v>
      </c>
      <c r="E376" s="4"/>
      <c r="F376" s="4">
        <f>IF(OR(F374="",D374=""),"",F374-D374)</f>
        <v>-0.241575996580764</v>
      </c>
      <c r="G376" s="4">
        <f>IF(OR(G374="",F374=""),"",G374-F374)</f>
        <v>-0.1594361756210403</v>
      </c>
      <c r="H376" s="29">
        <f>IF(OR(H374="",G374=""),"",H374-G374)</f>
        <v>0.13597531933318896</v>
      </c>
      <c r="I376" s="4"/>
    </row>
    <row r="377">
      <c r="A377" s="1"/>
      <c r="B377" s="53" t="s">
        <v>178</v>
      </c>
      <c r="C377" s="72">
        <v>995</v>
      </c>
      <c r="D377" s="72">
        <v>1066</v>
      </c>
      <c r="E377" s="98">
        <f>Inputs!C131+C377+D377</f>
        <v>3921</v>
      </c>
      <c r="F377" s="72">
        <v>1089</v>
      </c>
      <c r="G377" s="72">
        <v>1215</v>
      </c>
      <c r="H377" s="40">
        <f>H365*H374</f>
        <v>1185.83066</v>
      </c>
      <c r="I377" s="55"/>
    </row>
    <row r="378">
      <c r="A378" s="1"/>
      <c r="B378" s="34" t="s">
        <v>61</v>
      </c>
      <c r="C378" s="2"/>
      <c r="D378" s="2"/>
      <c r="E378" s="2"/>
      <c r="F378" s="2"/>
      <c r="G378" s="2"/>
      <c r="H378" s="20">
        <f>IF(OR(H377="",C377=""),"",IF(C377=0,"n/m",H377/C377-1))</f>
        <v>0.19178960804020107</v>
      </c>
      <c r="I378" s="2"/>
    </row>
    <row r="379">
      <c r="A379" s="1"/>
      <c r="B379" s="34" t="s">
        <v>62</v>
      </c>
      <c r="C379" s="2"/>
      <c r="D379" s="2">
        <f>IF(OR(D377="",C377=""),"",IF(C377=0,"n/m",D377/C377-1))</f>
        <v>0.0713567839195981</v>
      </c>
      <c r="E379" s="2"/>
      <c r="F379" s="2">
        <f>IF(OR(F377="",D377=""),"",IF(D377=0,"n/m",F377/D377-1))</f>
        <v>0.02157598499061919</v>
      </c>
      <c r="G379" s="2">
        <f>IF(OR(G377="",F377=""),"",IF(F377=0,"n/m",G377/F377-1))</f>
        <v>0.11570247933884303</v>
      </c>
      <c r="H379" s="20">
        <f>IF(OR(H377="",G377=""),"",IF(G377=0,"n/m",H377/G377-1))</f>
        <v>-0.024007687242798337</v>
      </c>
      <c r="I379" s="2"/>
    </row>
    <row r="380">
      <c r="A380" s="1"/>
      <c r="B380" s="34" t="s">
        <v>64</v>
      </c>
      <c r="C380" s="2"/>
      <c r="D380" s="2"/>
      <c r="E380" s="2"/>
      <c r="F380" s="2"/>
      <c r="G380" s="2"/>
      <c r="H380" s="20">
        <f>IF(C377=0,"n/m",H377/C377-1)</f>
        <v>0.19178960804020107</v>
      </c>
      <c r="I380" s="2"/>
    </row>
    <row r="381">
      <c r="A381" s="1"/>
      <c r="B381" s="34" t="s">
        <v>70</v>
      </c>
      <c r="C381" s="2"/>
      <c r="D381" s="2"/>
      <c r="E381" s="2"/>
      <c r="F381" s="2"/>
      <c r="G381" s="2"/>
      <c r="H381" s="28">
        <v>0</v>
      </c>
      <c r="I381" s="2"/>
    </row>
    <row r="382">
      <c r="A382" s="1"/>
      <c r="B382" s="34" t="s">
        <v>67</v>
      </c>
      <c r="C382" s="2"/>
      <c r="D382" s="2"/>
      <c r="E382" s="2"/>
      <c r="F382" s="2"/>
      <c r="G382" s="2"/>
      <c r="H382" s="28">
        <v>0</v>
      </c>
      <c r="I382" s="2"/>
    </row>
    <row r="383">
      <c r="A383" s="1"/>
      <c r="B383" s="34" t="s">
        <v>68</v>
      </c>
      <c r="C383" s="2"/>
      <c r="D383" s="2"/>
      <c r="E383" s="2"/>
      <c r="F383" s="2"/>
      <c r="G383" s="2"/>
      <c r="H383" s="20">
        <f>(1+H380)/((1+H381)*(1+H382))-1</f>
        <v>0.19178960804020107</v>
      </c>
      <c r="I383" s="2"/>
    </row>
    <row r="384">
      <c r="A384" s="1"/>
      <c r="B384" s="42"/>
      <c r="C384" s="8"/>
      <c r="D384" s="8"/>
      <c r="E384" s="8"/>
      <c r="F384" s="8"/>
      <c r="G384" s="8"/>
      <c r="H384" s="5"/>
      <c r="I384" s="8"/>
    </row>
    <row r="385">
      <c r="A385" s="1"/>
      <c r="B385" s="51" t="s">
        <v>179</v>
      </c>
      <c r="C385" s="7"/>
      <c r="D385" s="7"/>
      <c r="E385" s="7"/>
      <c r="F385" s="7"/>
      <c r="G385" s="7"/>
      <c r="H385" s="12"/>
      <c r="I385" s="7"/>
    </row>
    <row r="386">
      <c r="A386" s="1"/>
      <c r="B386" s="15" t="s">
        <v>180</v>
      </c>
      <c r="C386" s="11">
        <f>Inputs!C186</f>
        <v>82.1</v>
      </c>
      <c r="D386" s="17">
        <f>C387</f>
        <v>78.5</v>
      </c>
      <c r="E386" s="11">
        <f>Inputs!D186</f>
        <v>87.6</v>
      </c>
      <c r="F386" s="17">
        <f>D387</f>
        <v>76.2</v>
      </c>
      <c r="G386" s="17">
        <f>F387</f>
        <v>73.5</v>
      </c>
      <c r="H386" s="32">
        <f>G387</f>
        <v>70.6</v>
      </c>
      <c r="I386" s="17"/>
    </row>
    <row r="387">
      <c r="A387" s="1"/>
      <c r="B387" s="15" t="s">
        <v>181</v>
      </c>
      <c r="C387" s="49">
        <v>78.5</v>
      </c>
      <c r="D387" s="49">
        <v>76.2</v>
      </c>
      <c r="E387" s="17">
        <f>D387</f>
        <v>76.2</v>
      </c>
      <c r="F387" s="49">
        <v>73.5</v>
      </c>
      <c r="G387" s="49">
        <v>70.6</v>
      </c>
      <c r="H387" s="74">
        <v>68.5</v>
      </c>
      <c r="I387" s="17"/>
    </row>
    <row r="388">
      <c r="A388" s="1"/>
      <c r="B388" s="34" t="s">
        <v>77</v>
      </c>
      <c r="C388" s="2"/>
      <c r="D388" s="2"/>
      <c r="E388" s="2"/>
      <c r="F388" s="2"/>
      <c r="G388" s="2"/>
      <c r="H388" s="20">
        <f>IF(OR(H387="",C387=""),"",IF(C387=0,"n/m",H387/C387-1))</f>
        <v>-0.1273885350318471</v>
      </c>
      <c r="I388" s="2"/>
    </row>
    <row r="389">
      <c r="A389" s="1"/>
      <c r="B389" s="15" t="s">
        <v>78</v>
      </c>
      <c r="C389" s="17"/>
      <c r="D389" s="17">
        <f>IF(OR(D387="",C387=""),"",D387-C387)</f>
        <v>-2.299999999999997</v>
      </c>
      <c r="E389" s="17"/>
      <c r="F389" s="17">
        <f>IF(OR(F387="",D387=""),"",F387-D387)</f>
        <v>-2.700000000000003</v>
      </c>
      <c r="G389" s="17">
        <f>IF(OR(G387="",F387=""),"",G387-F387)</f>
        <v>-2.9000000000000057</v>
      </c>
      <c r="H389" s="32">
        <f>IF(OR(H387="",G387=""),"",H387-G387)</f>
        <v>-2.0999999999999943</v>
      </c>
      <c r="I389" s="17"/>
    </row>
    <row r="390">
      <c r="A390" s="1"/>
      <c r="B390" s="15" t="s">
        <v>182</v>
      </c>
      <c r="C390" s="17">
        <f>AVERAGE(C386,C387)</f>
        <v>80.3</v>
      </c>
      <c r="D390" s="17">
        <f>AVERAGE(D386,D387)</f>
        <v>77.35</v>
      </c>
      <c r="E390" s="17">
        <f>AVERAGE(E386,E387)</f>
        <v>81.9</v>
      </c>
      <c r="F390" s="17">
        <f>AVERAGE(F386,F387)</f>
        <v>74.85</v>
      </c>
      <c r="G390" s="17">
        <f>AVERAGE(G386,G387)</f>
        <v>72.05</v>
      </c>
      <c r="H390" s="32">
        <f>AVERAGE(H386,H387)</f>
        <v>69.55</v>
      </c>
      <c r="I390" s="115" t="s">
        <v>183</v>
      </c>
    </row>
    <row r="391">
      <c r="A391" s="1"/>
      <c r="B391" s="34" t="s">
        <v>77</v>
      </c>
      <c r="C391" s="2"/>
      <c r="D391" s="2"/>
      <c r="E391" s="2"/>
      <c r="F391" s="2"/>
      <c r="G391" s="2"/>
      <c r="H391" s="20">
        <f>IF(OR(H390="",C390=""),"",IF(C390=0,"n/m",H390/C390-1))</f>
        <v>-0.13387297633872974</v>
      </c>
      <c r="I391" s="2"/>
    </row>
    <row r="392">
      <c r="A392" s="1"/>
      <c r="B392" s="15" t="s">
        <v>78</v>
      </c>
      <c r="C392" s="17"/>
      <c r="D392" s="17">
        <f>IF(OR(D390="",C390=""),"",D390-C390)</f>
        <v>-2.950000000000003</v>
      </c>
      <c r="E392" s="17"/>
      <c r="F392" s="17">
        <f>IF(OR(F390="",D390=""),"",F390-D390)</f>
        <v>-2.5</v>
      </c>
      <c r="G392" s="17">
        <f>IF(OR(G390="",F390=""),"",G390-F390)</f>
        <v>-2.799999999999997</v>
      </c>
      <c r="H392" s="32">
        <f>IF(OR(H390="",G390=""),"",H390-G390)</f>
        <v>-2.5</v>
      </c>
      <c r="I392" s="17"/>
    </row>
    <row r="393">
      <c r="A393" s="1"/>
      <c r="B393" s="34" t="s">
        <v>184</v>
      </c>
      <c r="C393" s="16">
        <f>C396*365/C$6/(C390*1000)</f>
        <v>0.012203557312252963</v>
      </c>
      <c r="D393" s="16">
        <f>D396*365/D$6/(D390*1000)</f>
        <v>0.012207357859531772</v>
      </c>
      <c r="E393" s="16">
        <f>E396*365/E$6/(E390*1000)</f>
        <v>0.01192918192918193</v>
      </c>
      <c r="F393" s="16">
        <f>F396*365/F$6/(F390*1000)</f>
        <v>0.01598381949083352</v>
      </c>
      <c r="G393" s="16">
        <f>G396*365/G$6/(G390*1000)</f>
        <v>0.0185379505990193</v>
      </c>
      <c r="H393" s="71">
        <f>G393+H395/10000</f>
        <v>0.0197379505990193</v>
      </c>
      <c r="I393" s="16"/>
    </row>
    <row r="394">
      <c r="A394" s="1"/>
      <c r="B394" s="34" t="s">
        <v>87</v>
      </c>
      <c r="C394" s="75"/>
      <c r="D394" s="75"/>
      <c r="E394" s="75"/>
      <c r="F394" s="75"/>
      <c r="G394" s="75"/>
      <c r="H394" s="76">
        <f>IF(OR(H393="",C393=""),"",(H393-C393)*10000)</f>
        <v>75.34393286766337</v>
      </c>
      <c r="I394" s="75"/>
    </row>
    <row r="395">
      <c r="A395" s="1"/>
      <c r="B395" s="34" t="s">
        <v>86</v>
      </c>
      <c r="C395" s="75"/>
      <c r="D395" s="75">
        <f>(D393-C393)*10000</f>
        <v>0.038005472788090605</v>
      </c>
      <c r="E395" s="75"/>
      <c r="F395" s="75">
        <f>(F393-D393)*10000</f>
        <v>37.76461631301747</v>
      </c>
      <c r="G395" s="75">
        <f>(G393-F393)*10000</f>
        <v>25.54131108185781</v>
      </c>
      <c r="H395" s="97">
        <v>12</v>
      </c>
      <c r="I395" s="75"/>
    </row>
    <row r="396">
      <c r="A396" s="1"/>
      <c r="B396" s="53" t="s">
        <v>185</v>
      </c>
      <c r="C396" s="72">
        <v>247</v>
      </c>
      <c r="D396" s="72">
        <v>238</v>
      </c>
      <c r="E396" s="98">
        <f>Inputs!C132+C396+D396</f>
        <v>977</v>
      </c>
      <c r="F396" s="72">
        <v>295</v>
      </c>
      <c r="G396" s="72">
        <v>333</v>
      </c>
      <c r="H396" s="40">
        <f>H390*1000*H393*H$6/365</f>
        <v>346.01438548735587</v>
      </c>
      <c r="I396" s="55"/>
    </row>
    <row r="397">
      <c r="A397" s="1"/>
      <c r="B397" s="34" t="s">
        <v>61</v>
      </c>
      <c r="C397" s="2"/>
      <c r="D397" s="2"/>
      <c r="E397" s="2"/>
      <c r="F397" s="2"/>
      <c r="G397" s="2"/>
      <c r="H397" s="20">
        <f>IF(OR(H396="",C396=""),"",IF(C396=0,"n/m",H396/C396-1))</f>
        <v>0.40086795743868775</v>
      </c>
      <c r="I397" s="2"/>
    </row>
    <row r="398">
      <c r="A398" s="1"/>
      <c r="B398" s="34" t="s">
        <v>62</v>
      </c>
      <c r="C398" s="2"/>
      <c r="D398" s="2">
        <f>IF(OR(D396="",C396=""),"",IF(C396=0,"n/m",D396/C396-1))</f>
        <v>-0.036437246963562764</v>
      </c>
      <c r="E398" s="2"/>
      <c r="F398" s="2">
        <f>IF(OR(F396="",D396=""),"",IF(D396=0,"n/m",F396/D396-1))</f>
        <v>0.23949579831932777</v>
      </c>
      <c r="G398" s="2">
        <f>IF(OR(G396="",F396=""),"",IF(F396=0,"n/m",G396/F396-1))</f>
        <v>0.12881355932203387</v>
      </c>
      <c r="H398" s="20">
        <f>IF(OR(H396="",G396=""),"",IF(G396=0,"n/m",H396/G396-1))</f>
        <v>0.039082238700768324</v>
      </c>
      <c r="I398" s="2"/>
    </row>
    <row r="399">
      <c r="A399" s="1"/>
      <c r="B399" s="34" t="s">
        <v>64</v>
      </c>
      <c r="C399" s="2"/>
      <c r="D399" s="2"/>
      <c r="E399" s="2"/>
      <c r="F399" s="2"/>
      <c r="G399" s="2"/>
      <c r="H399" s="20">
        <f>IF(C396=0,"n/m",H396/C396-1)</f>
        <v>0.40086795743868775</v>
      </c>
      <c r="I399" s="2"/>
    </row>
    <row r="400">
      <c r="A400" s="1"/>
      <c r="B400" s="34" t="s">
        <v>70</v>
      </c>
      <c r="C400" s="2"/>
      <c r="D400" s="2"/>
      <c r="E400" s="2"/>
      <c r="F400" s="2"/>
      <c r="G400" s="2"/>
      <c r="H400" s="28">
        <v>0</v>
      </c>
      <c r="I400" s="2"/>
    </row>
    <row r="401">
      <c r="A401" s="1"/>
      <c r="B401" s="34" t="s">
        <v>67</v>
      </c>
      <c r="C401" s="2"/>
      <c r="D401" s="2"/>
      <c r="E401" s="2"/>
      <c r="F401" s="2"/>
      <c r="G401" s="2"/>
      <c r="H401" s="28">
        <v>0</v>
      </c>
      <c r="I401" s="2"/>
    </row>
    <row r="402">
      <c r="A402" s="1"/>
      <c r="B402" s="34" t="s">
        <v>68</v>
      </c>
      <c r="C402" s="2"/>
      <c r="D402" s="2"/>
      <c r="E402" s="2"/>
      <c r="F402" s="2"/>
      <c r="G402" s="2"/>
      <c r="H402" s="20">
        <f>(1+H399)/((1+H400)*(1+H401))-1</f>
        <v>0.40086795743868775</v>
      </c>
      <c r="I402" s="2"/>
    </row>
    <row r="403">
      <c r="A403" s="1"/>
      <c r="B403" s="42"/>
      <c r="C403" s="8"/>
      <c r="D403" s="8"/>
      <c r="E403" s="8"/>
      <c r="F403" s="8"/>
      <c r="G403" s="8"/>
      <c r="H403" s="5"/>
      <c r="I403" s="8"/>
    </row>
    <row r="404">
      <c r="A404" s="1"/>
      <c r="B404" s="51" t="s">
        <v>186</v>
      </c>
      <c r="C404" s="7"/>
      <c r="D404" s="7"/>
      <c r="E404" s="7"/>
      <c r="F404" s="7"/>
      <c r="G404" s="7"/>
      <c r="H404" s="12"/>
      <c r="I404" s="7"/>
    </row>
    <row r="405">
      <c r="A405" s="1"/>
      <c r="B405" s="15" t="s">
        <v>187</v>
      </c>
      <c r="C405" s="49">
        <v>0</v>
      </c>
      <c r="D405" s="49">
        <v>0</v>
      </c>
      <c r="E405" s="49">
        <v>0</v>
      </c>
      <c r="F405" s="49">
        <v>14</v>
      </c>
      <c r="G405" s="49">
        <v>40</v>
      </c>
      <c r="H405" s="74">
        <v>45</v>
      </c>
      <c r="I405" s="17"/>
    </row>
    <row r="406">
      <c r="A406" s="1"/>
      <c r="B406" s="34" t="s">
        <v>77</v>
      </c>
      <c r="C406" s="2"/>
      <c r="D406" s="2"/>
      <c r="E406" s="2"/>
      <c r="F406" s="2"/>
      <c r="G406" s="2"/>
      <c r="H406" s="113" t="str">
        <f>IF(OR(H405="",C405=""),"",IF(C405=0,"n/m",H405/C405-1))</f>
        <v>n/m</v>
      </c>
      <c r="I406" s="2"/>
    </row>
    <row r="407">
      <c r="A407" s="1"/>
      <c r="B407" s="15" t="s">
        <v>78</v>
      </c>
      <c r="C407" s="17"/>
      <c r="D407" s="17">
        <f>IF(OR(D405="",C405=""),"",D405-C405)</f>
        <v>0</v>
      </c>
      <c r="E407" s="17"/>
      <c r="F407" s="17">
        <f>IF(OR(F405="",D405=""),"",F405-D405)</f>
        <v>14</v>
      </c>
      <c r="G407" s="17">
        <f>IF(OR(G405="",F405=""),"",G405-F405)</f>
        <v>26</v>
      </c>
      <c r="H407" s="32">
        <f>IF(OR(H405="",G405=""),"",H405-G405)</f>
        <v>5</v>
      </c>
      <c r="I407" s="17"/>
    </row>
    <row r="408">
      <c r="A408" s="1"/>
      <c r="B408" s="34" t="s">
        <v>64</v>
      </c>
      <c r="C408" s="2"/>
      <c r="D408" s="2"/>
      <c r="E408" s="2"/>
      <c r="F408" s="2"/>
      <c r="G408" s="2"/>
      <c r="H408" s="113" t="str">
        <f>IF(C405=0,"n/m",H405/C405-1)</f>
        <v>n/m</v>
      </c>
      <c r="I408" s="2"/>
    </row>
    <row r="409">
      <c r="A409" s="1"/>
      <c r="B409" s="34" t="s">
        <v>70</v>
      </c>
      <c r="C409" s="2"/>
      <c r="D409" s="2"/>
      <c r="E409" s="2"/>
      <c r="F409" s="2"/>
      <c r="G409" s="2"/>
      <c r="H409" s="28">
        <v>1</v>
      </c>
      <c r="I409" s="2"/>
    </row>
    <row r="410">
      <c r="A410" s="1"/>
      <c r="B410" s="34" t="s">
        <v>67</v>
      </c>
      <c r="C410" s="2"/>
      <c r="D410" s="2"/>
      <c r="E410" s="2"/>
      <c r="F410" s="2"/>
      <c r="G410" s="2"/>
      <c r="H410" s="28">
        <v>0</v>
      </c>
      <c r="I410" s="2"/>
    </row>
    <row r="411">
      <c r="A411" s="1"/>
      <c r="B411" s="34" t="s">
        <v>68</v>
      </c>
      <c r="C411" s="2"/>
      <c r="D411" s="2"/>
      <c r="E411" s="2"/>
      <c r="F411" s="2"/>
      <c r="G411" s="2"/>
      <c r="H411" s="113" t="s">
        <v>106</v>
      </c>
      <c r="I411" s="2"/>
    </row>
    <row r="412">
      <c r="A412" s="1"/>
      <c r="B412" s="15" t="s">
        <v>188</v>
      </c>
      <c r="C412" s="17">
        <f>C419-C405</f>
        <v>170</v>
      </c>
      <c r="D412" s="17">
        <f>D419-D405</f>
        <v>127</v>
      </c>
      <c r="E412" s="17">
        <f>E419-E405</f>
        <v>767</v>
      </c>
      <c r="F412" s="17">
        <f>F419-F405</f>
        <v>181</v>
      </c>
      <c r="G412" s="17">
        <f>G419-G405</f>
        <v>302</v>
      </c>
      <c r="H412" s="74">
        <v>185</v>
      </c>
      <c r="I412" s="17"/>
    </row>
    <row r="413">
      <c r="A413" s="1"/>
      <c r="B413" s="34" t="s">
        <v>61</v>
      </c>
      <c r="C413" s="2"/>
      <c r="D413" s="2"/>
      <c r="E413" s="2"/>
      <c r="F413" s="2"/>
      <c r="G413" s="2"/>
      <c r="H413" s="20">
        <f>IF(OR(H412="",C412=""),"",IF(C412=0,"n/m",H412/C412-1))</f>
        <v>0.08823529411764697</v>
      </c>
      <c r="I413" s="2"/>
    </row>
    <row r="414">
      <c r="A414" s="1"/>
      <c r="B414" s="15" t="s">
        <v>78</v>
      </c>
      <c r="C414" s="17"/>
      <c r="D414" s="17">
        <f>IF(OR(D412="",C412=""),"",D412-C412)</f>
        <v>-43</v>
      </c>
      <c r="E414" s="17"/>
      <c r="F414" s="17">
        <f>IF(OR(F412="",D412=""),"",F412-D412)</f>
        <v>54</v>
      </c>
      <c r="G414" s="17">
        <f>IF(OR(G412="",F412=""),"",G412-F412)</f>
        <v>121</v>
      </c>
      <c r="H414" s="32">
        <f>IF(OR(H412="",G412=""),"",H412-G412)</f>
        <v>-117</v>
      </c>
      <c r="I414" s="17"/>
    </row>
    <row r="415">
      <c r="A415" s="1"/>
      <c r="B415" s="34" t="s">
        <v>64</v>
      </c>
      <c r="C415" s="2"/>
      <c r="D415" s="2"/>
      <c r="E415" s="2"/>
      <c r="F415" s="2"/>
      <c r="G415" s="2"/>
      <c r="H415" s="20">
        <f>IF(C412=0,"n/m",H412/C412-1)</f>
        <v>0.08823529411764697</v>
      </c>
      <c r="I415" s="2"/>
    </row>
    <row r="416">
      <c r="A416" s="1"/>
      <c r="B416" s="34" t="s">
        <v>70</v>
      </c>
      <c r="C416" s="2"/>
      <c r="D416" s="2"/>
      <c r="E416" s="2"/>
      <c r="F416" s="2"/>
      <c r="G416" s="2"/>
      <c r="H416" s="28">
        <v>0</v>
      </c>
      <c r="I416" s="2"/>
    </row>
    <row r="417">
      <c r="A417" s="1"/>
      <c r="B417" s="34" t="s">
        <v>67</v>
      </c>
      <c r="C417" s="2"/>
      <c r="D417" s="2"/>
      <c r="E417" s="2"/>
      <c r="F417" s="2"/>
      <c r="G417" s="2"/>
      <c r="H417" s="28">
        <v>0</v>
      </c>
      <c r="I417" s="2"/>
    </row>
    <row r="418">
      <c r="A418" s="1"/>
      <c r="B418" s="34" t="s">
        <v>68</v>
      </c>
      <c r="C418" s="2"/>
      <c r="D418" s="2"/>
      <c r="E418" s="2"/>
      <c r="F418" s="2"/>
      <c r="G418" s="2"/>
      <c r="H418" s="20">
        <f>(1+H415)/((1+H416)*(1+H417))-1</f>
        <v>0.08823529411764697</v>
      </c>
      <c r="I418" s="2"/>
    </row>
    <row r="419">
      <c r="A419" s="1"/>
      <c r="B419" s="53" t="s">
        <v>189</v>
      </c>
      <c r="C419" s="72">
        <v>170</v>
      </c>
      <c r="D419" s="72">
        <v>127</v>
      </c>
      <c r="E419" s="98">
        <f>Inputs!C133+C419+D419</f>
        <v>767</v>
      </c>
      <c r="F419" s="72">
        <v>195</v>
      </c>
      <c r="G419" s="72">
        <v>342</v>
      </c>
      <c r="H419" s="40">
        <f>H405+H412</f>
        <v>230</v>
      </c>
      <c r="I419" s="55"/>
    </row>
    <row r="420">
      <c r="A420" s="1"/>
      <c r="B420" s="34" t="s">
        <v>61</v>
      </c>
      <c r="C420" s="2"/>
      <c r="D420" s="2"/>
      <c r="E420" s="2"/>
      <c r="F420" s="2"/>
      <c r="G420" s="2"/>
      <c r="H420" s="20">
        <f>IF(OR(H419="",C419=""),"",IF(C419=0,"n/m",H419/C419-1))</f>
        <v>0.3529411764705883</v>
      </c>
      <c r="I420" s="2"/>
    </row>
    <row r="421">
      <c r="A421" s="1"/>
      <c r="B421" s="34" t="s">
        <v>62</v>
      </c>
      <c r="C421" s="2"/>
      <c r="D421" s="2">
        <f>IF(OR(D419="",C419=""),"",IF(C419=0,"n/m",D419/C419-1))</f>
        <v>-0.2529411764705882</v>
      </c>
      <c r="E421" s="2"/>
      <c r="F421" s="2">
        <f>IF(OR(F419="",D419=""),"",IF(D419=0,"n/m",F419/D419-1))</f>
        <v>0.5354330708661417</v>
      </c>
      <c r="G421" s="2">
        <f>IF(OR(G419="",F419=""),"",IF(F419=0,"n/m",G419/F419-1))</f>
        <v>0.7538461538461538</v>
      </c>
      <c r="H421" s="20">
        <f>IF(OR(H419="",G419=""),"",IF(G419=0,"n/m",H419/G419-1))</f>
        <v>-0.32748538011695905</v>
      </c>
      <c r="I421" s="2"/>
    </row>
    <row r="422">
      <c r="A422" s="1"/>
      <c r="B422" s="34" t="s">
        <v>64</v>
      </c>
      <c r="C422" s="2"/>
      <c r="D422" s="2"/>
      <c r="E422" s="2"/>
      <c r="F422" s="2"/>
      <c r="G422" s="2"/>
      <c r="H422" s="20">
        <f>IF(C419=0,"n/m",H419/C419-1)</f>
        <v>0.3529411764705883</v>
      </c>
      <c r="I422" s="2"/>
    </row>
    <row r="423">
      <c r="A423" s="1"/>
      <c r="B423" s="34" t="s">
        <v>65</v>
      </c>
      <c r="C423" s="2"/>
      <c r="D423" s="2"/>
      <c r="E423" s="2"/>
      <c r="F423" s="2"/>
      <c r="G423" s="2"/>
      <c r="H423" s="20">
        <f>H405/C419</f>
        <v>0.2647058823529412</v>
      </c>
      <c r="I423" s="2"/>
    </row>
    <row r="424">
      <c r="A424" s="1"/>
      <c r="B424" s="34" t="s">
        <v>67</v>
      </c>
      <c r="C424" s="2"/>
      <c r="D424" s="2"/>
      <c r="E424" s="2"/>
      <c r="F424" s="2"/>
      <c r="G424" s="2"/>
      <c r="H424" s="28">
        <v>0</v>
      </c>
      <c r="I424" s="2"/>
    </row>
    <row r="425">
      <c r="A425" s="1"/>
      <c r="B425" s="34" t="s">
        <v>68</v>
      </c>
      <c r="C425" s="2"/>
      <c r="D425" s="2"/>
      <c r="E425" s="2"/>
      <c r="F425" s="2"/>
      <c r="G425" s="2"/>
      <c r="H425" s="20">
        <f>(1+H422)/((1+H423)*(1+H424))-1</f>
        <v>0.06976744186046524</v>
      </c>
      <c r="I425" s="2"/>
    </row>
    <row r="426">
      <c r="A426" s="1"/>
      <c r="B426" s="42"/>
      <c r="C426" s="8"/>
      <c r="D426" s="8"/>
      <c r="E426" s="8"/>
      <c r="F426" s="8"/>
      <c r="G426" s="8"/>
      <c r="H426" s="5"/>
      <c r="I426" s="8"/>
    </row>
    <row r="427">
      <c r="A427" s="1"/>
      <c r="B427" s="51" t="s">
        <v>190</v>
      </c>
      <c r="C427" s="7"/>
      <c r="D427" s="7"/>
      <c r="E427" s="7"/>
      <c r="F427" s="7"/>
      <c r="G427" s="7"/>
      <c r="H427" s="12"/>
      <c r="I427" s="7"/>
    </row>
    <row r="428">
      <c r="A428" s="1"/>
      <c r="B428" s="15" t="s">
        <v>133</v>
      </c>
      <c r="C428" s="17">
        <f>C227</f>
        <v>3050</v>
      </c>
      <c r="D428" s="17">
        <f>D227</f>
        <v>3172</v>
      </c>
      <c r="E428" s="17">
        <f>E227</f>
        <v>11750</v>
      </c>
      <c r="F428" s="17">
        <f>F227</f>
        <v>3144</v>
      </c>
      <c r="G428" s="17">
        <f>G227</f>
        <v>3357</v>
      </c>
      <c r="H428" s="32">
        <f>H227</f>
        <v>3485.563866885668</v>
      </c>
      <c r="I428" s="17"/>
    </row>
    <row r="429">
      <c r="A429" s="1"/>
      <c r="B429" s="34" t="s">
        <v>63</v>
      </c>
      <c r="C429" s="2">
        <f>C428/C438</f>
        <v>0.4971475142624287</v>
      </c>
      <c r="D429" s="2">
        <f>D428/D438</f>
        <v>0.5006313131313131</v>
      </c>
      <c r="E429" s="2">
        <f>E428/E438</f>
        <v>0.4912002006605075</v>
      </c>
      <c r="F429" s="2">
        <f>F428/F438</f>
        <v>0.4850354828756557</v>
      </c>
      <c r="G429" s="2">
        <f>G428/G438</f>
        <v>0.4746889140271493</v>
      </c>
      <c r="H429" s="20">
        <f>H428/H438</f>
        <v>0.4874587932611924</v>
      </c>
      <c r="I429" s="2"/>
    </row>
    <row r="430">
      <c r="A430" s="1"/>
      <c r="B430" s="15" t="s">
        <v>160</v>
      </c>
      <c r="C430" s="17">
        <f>C344</f>
        <v>1673</v>
      </c>
      <c r="D430" s="17">
        <f>D344</f>
        <v>1733</v>
      </c>
      <c r="E430" s="17">
        <f>E344</f>
        <v>6506</v>
      </c>
      <c r="F430" s="17">
        <f>F344</f>
        <v>1759</v>
      </c>
      <c r="G430" s="17">
        <f>G344</f>
        <v>1825</v>
      </c>
      <c r="H430" s="32">
        <f>H344</f>
        <v>1903.0700923579827</v>
      </c>
      <c r="I430" s="17"/>
    </row>
    <row r="431">
      <c r="A431" s="1"/>
      <c r="B431" s="34" t="s">
        <v>63</v>
      </c>
      <c r="C431" s="2">
        <f>C430/C438</f>
        <v>0.27269763651181744</v>
      </c>
      <c r="D431" s="2">
        <f>D430/D438</f>
        <v>0.27351641414141414</v>
      </c>
      <c r="E431" s="2">
        <f>E430/E438</f>
        <v>0.2719785962125329</v>
      </c>
      <c r="F431" s="2">
        <f>F430/F438</f>
        <v>0.2713668620796051</v>
      </c>
      <c r="G431" s="2">
        <f>G430/G438</f>
        <v>0.25805995475113125</v>
      </c>
      <c r="H431" s="20">
        <f>H430/H438</f>
        <v>0.26614581919600705</v>
      </c>
      <c r="I431" s="2"/>
    </row>
    <row r="432">
      <c r="A432" s="1"/>
      <c r="B432" s="15" t="s">
        <v>178</v>
      </c>
      <c r="C432" s="17">
        <f>C377</f>
        <v>995</v>
      </c>
      <c r="D432" s="17">
        <f>D377</f>
        <v>1066</v>
      </c>
      <c r="E432" s="17">
        <f>E377</f>
        <v>3921</v>
      </c>
      <c r="F432" s="17">
        <f>F377</f>
        <v>1089</v>
      </c>
      <c r="G432" s="17">
        <f>G377</f>
        <v>1215</v>
      </c>
      <c r="H432" s="32">
        <f>H377</f>
        <v>1185.83066</v>
      </c>
      <c r="I432" s="17"/>
    </row>
    <row r="433">
      <c r="A433" s="1"/>
      <c r="B433" s="34" t="s">
        <v>63</v>
      </c>
      <c r="C433" s="2">
        <f>C432/C438</f>
        <v>0.1621841890790546</v>
      </c>
      <c r="D433" s="2">
        <f>D432/D438</f>
        <v>0.1682449494949495</v>
      </c>
      <c r="E433" s="2">
        <f>E432/E438</f>
        <v>0.16391455206722128</v>
      </c>
      <c r="F433" s="2">
        <f>F432/F438</f>
        <v>0.168003702560938</v>
      </c>
      <c r="G433" s="2">
        <f>G432/G438</f>
        <v>0.17180429864253394</v>
      </c>
      <c r="H433" s="20">
        <f>H432/H438</f>
        <v>0.16583933177279636</v>
      </c>
      <c r="I433" s="2"/>
    </row>
    <row r="434">
      <c r="A434" s="1"/>
      <c r="B434" s="15" t="s">
        <v>185</v>
      </c>
      <c r="C434" s="17">
        <f>C396</f>
        <v>247</v>
      </c>
      <c r="D434" s="17">
        <f>D396</f>
        <v>238</v>
      </c>
      <c r="E434" s="17">
        <f>E396</f>
        <v>977</v>
      </c>
      <c r="F434" s="17">
        <f>F396</f>
        <v>295</v>
      </c>
      <c r="G434" s="17">
        <f>G396</f>
        <v>333</v>
      </c>
      <c r="H434" s="32">
        <f>H396</f>
        <v>346.01438548735587</v>
      </c>
      <c r="I434" s="17"/>
    </row>
    <row r="435">
      <c r="A435" s="1"/>
      <c r="B435" s="34" t="s">
        <v>63</v>
      </c>
      <c r="C435" s="2">
        <f>C434/C438</f>
        <v>0.04026079869600652</v>
      </c>
      <c r="D435" s="2">
        <f>D434/D438</f>
        <v>0.03756313131313131</v>
      </c>
      <c r="E435" s="2">
        <f>E434/E438</f>
        <v>0.04084277413151624</v>
      </c>
      <c r="F435" s="2">
        <f>F434/F438</f>
        <v>0.0455106448626967</v>
      </c>
      <c r="G435" s="2">
        <f>G434/G438</f>
        <v>0.04708710407239819</v>
      </c>
      <c r="H435" s="20">
        <f>H434/H438</f>
        <v>0.048390378498897865</v>
      </c>
      <c r="I435" s="2"/>
    </row>
    <row r="436">
      <c r="A436" s="1"/>
      <c r="B436" s="15" t="s">
        <v>189</v>
      </c>
      <c r="C436" s="17">
        <f>C419</f>
        <v>170</v>
      </c>
      <c r="D436" s="17">
        <f>D419</f>
        <v>127</v>
      </c>
      <c r="E436" s="17">
        <f>E419</f>
        <v>767</v>
      </c>
      <c r="F436" s="17">
        <f>F419</f>
        <v>195</v>
      </c>
      <c r="G436" s="17">
        <f>G419</f>
        <v>342</v>
      </c>
      <c r="H436" s="32">
        <f>H419</f>
        <v>230</v>
      </c>
      <c r="I436" s="17"/>
    </row>
    <row r="437">
      <c r="A437" s="1"/>
      <c r="B437" s="34" t="s">
        <v>63</v>
      </c>
      <c r="C437" s="2">
        <f>C436/C438</f>
        <v>0.027709861450692746</v>
      </c>
      <c r="D437" s="2">
        <f>D436/D438</f>
        <v>0.02004419191919192</v>
      </c>
      <c r="E437" s="2">
        <f>E436/E438</f>
        <v>0.03206387692822207</v>
      </c>
      <c r="F437" s="2">
        <f>F436/F438</f>
        <v>0.0300833076211046</v>
      </c>
      <c r="G437" s="2">
        <f>G436/G438</f>
        <v>0.04835972850678733</v>
      </c>
      <c r="H437" s="20">
        <f>H436/H438</f>
        <v>0.03216567727110645</v>
      </c>
      <c r="I437" s="2"/>
    </row>
    <row r="438">
      <c r="A438" s="1"/>
      <c r="B438" s="53" t="s">
        <v>71</v>
      </c>
      <c r="C438" s="27">
        <f>C428+C430+C432+C434+C436</f>
        <v>6135</v>
      </c>
      <c r="D438" s="27">
        <f>D428+D430+D432+D434+D436</f>
        <v>6336</v>
      </c>
      <c r="E438" s="27">
        <f>E428+E430+E432+E434+E436</f>
        <v>23921</v>
      </c>
      <c r="F438" s="27">
        <f>F428+F430+F432+F434+F436</f>
        <v>6482</v>
      </c>
      <c r="G438" s="27">
        <f>G428+G430+G432+G434+G436</f>
        <v>7072</v>
      </c>
      <c r="H438" s="40">
        <f>H428+H430+H432+H434+H436</f>
        <v>7150.479004731006</v>
      </c>
      <c r="I438" s="55"/>
    </row>
    <row r="439">
      <c r="A439" s="1"/>
      <c r="B439" s="34" t="s">
        <v>61</v>
      </c>
      <c r="C439" s="2"/>
      <c r="D439" s="2"/>
      <c r="E439" s="2"/>
      <c r="F439" s="2"/>
      <c r="G439" s="2"/>
      <c r="H439" s="20">
        <f>IF(OR(H438="",C438=""),"",IF(C438=0,"n/m",H438/C438-1))</f>
        <v>0.16552225015990318</v>
      </c>
      <c r="I439" s="2"/>
    </row>
    <row r="440">
      <c r="A440" s="1"/>
      <c r="B440" s="34" t="s">
        <v>62</v>
      </c>
      <c r="C440" s="2"/>
      <c r="D440" s="2">
        <f>IF(OR(D438="",C438=""),"",IF(C438=0,"n/m",D438/C438-1))</f>
        <v>0.03276283618581899</v>
      </c>
      <c r="E440" s="2"/>
      <c r="F440" s="2">
        <f>IF(OR(F438="",D438=""),"",IF(D438=0,"n/m",F438/D438-1))</f>
        <v>0.02304292929292928</v>
      </c>
      <c r="G440" s="2">
        <f>IF(OR(G438="",F438=""),"",IF(F438=0,"n/m",G438/F438-1))</f>
        <v>0.09102128972539347</v>
      </c>
      <c r="H440" s="20">
        <f>IF(OR(H438="",G438=""),"",IF(G438=0,"n/m",H438/G438-1))</f>
        <v>0.011097144334135445</v>
      </c>
      <c r="I440" s="2"/>
    </row>
    <row r="441">
      <c r="A441" s="1"/>
      <c r="B441" s="34" t="s">
        <v>191</v>
      </c>
      <c r="C441" s="77">
        <f>Inputs!I102-C438</f>
        <v>0</v>
      </c>
      <c r="D441" s="77">
        <f>Inputs!I103-D438</f>
        <v>0</v>
      </c>
      <c r="E441" s="75"/>
      <c r="F441" s="77">
        <f>Inputs!I104-F438</f>
        <v>0</v>
      </c>
      <c r="G441" s="77">
        <f>Inputs!I105-G438</f>
        <v>0</v>
      </c>
      <c r="H441" s="76"/>
      <c r="I441" s="75"/>
    </row>
    <row r="442">
      <c r="A442" s="1"/>
      <c r="B442" s="34" t="s">
        <v>192</v>
      </c>
      <c r="C442" s="75"/>
      <c r="D442" s="75"/>
      <c r="E442" s="77">
        <f>ROUND(E438-(Inputs!C128+Inputs!C129+Inputs!C130+Inputs!C131+Inputs!C132+Inputs!C133+C438+D438),3)</f>
        <v>0</v>
      </c>
      <c r="F442" s="75"/>
      <c r="G442" s="75"/>
      <c r="H442" s="76"/>
      <c r="I442" s="75"/>
    </row>
    <row r="443">
      <c r="A443" s="1"/>
      <c r="B443" s="42"/>
      <c r="C443" s="8"/>
      <c r="D443" s="8"/>
      <c r="E443" s="8"/>
      <c r="F443" s="8"/>
      <c r="G443" s="8"/>
      <c r="H443" s="5"/>
      <c r="I443" s="8"/>
    </row>
    <row r="444">
      <c r="A444" s="1"/>
      <c r="B444" s="51" t="s">
        <v>193</v>
      </c>
      <c r="C444" s="7"/>
      <c r="D444" s="7"/>
      <c r="E444" s="7"/>
      <c r="F444" s="7"/>
      <c r="G444" s="7"/>
      <c r="H444" s="12"/>
      <c r="I444" s="7"/>
    </row>
    <row r="445">
      <c r="A445" s="1"/>
      <c r="B445" s="34" t="s">
        <v>194</v>
      </c>
      <c r="C445" s="75"/>
      <c r="D445" s="75"/>
      <c r="E445" s="77">
        <f>ROUND(ABS(E447-Inputs!D175)+ABS(E453-Inputs!D178)+ABS(E465-Inputs!D179)+ABS(E474-Inputs!D180),3)</f>
        <v>0</v>
      </c>
      <c r="F445" s="75"/>
      <c r="G445" s="75"/>
      <c r="H445" s="76"/>
      <c r="I445" s="134" t="s">
        <v>195</v>
      </c>
    </row>
    <row r="446">
      <c r="A446" s="1"/>
      <c r="B446" s="15" t="s">
        <v>196</v>
      </c>
      <c r="C446" s="11">
        <f>Inputs!C184</f>
        <v>10757.3</v>
      </c>
      <c r="D446" s="17">
        <f>C459</f>
        <v>11593.9</v>
      </c>
      <c r="E446" s="11">
        <f>Inputs!C183</f>
        <v>10101.3</v>
      </c>
      <c r="F446" s="17">
        <f>D459</f>
        <v>11903</v>
      </c>
      <c r="G446" s="17">
        <f>F459</f>
        <v>11767.9</v>
      </c>
      <c r="H446" s="32">
        <f>G459</f>
        <v>13084.9</v>
      </c>
      <c r="I446" s="17"/>
    </row>
    <row r="447">
      <c r="A447" s="1"/>
      <c r="B447" s="15" t="s">
        <v>197</v>
      </c>
      <c r="C447" s="49">
        <v>134.4</v>
      </c>
      <c r="D447" s="49">
        <v>158.2</v>
      </c>
      <c r="E447" s="11">
        <f>Inputs!C175+C447+D447</f>
        <v>498.59999999999997</v>
      </c>
      <c r="F447" s="49">
        <v>139.9</v>
      </c>
      <c r="G447" s="49">
        <v>118.7</v>
      </c>
      <c r="H447" s="32">
        <f>H450+H451+H452</f>
        <v>194.8</v>
      </c>
      <c r="I447" s="17"/>
    </row>
    <row r="448">
      <c r="A448" s="1"/>
      <c r="B448" s="34" t="s">
        <v>77</v>
      </c>
      <c r="C448" s="2"/>
      <c r="D448" s="2"/>
      <c r="E448" s="2"/>
      <c r="F448" s="2"/>
      <c r="G448" s="2"/>
      <c r="H448" s="20">
        <f>IF(OR(H447="",C447=""),"",IF(C447=0,"n/m",H447/C447-1))</f>
        <v>0.44940476190476186</v>
      </c>
      <c r="I448" s="2"/>
    </row>
    <row r="449">
      <c r="A449" s="1"/>
      <c r="B449" s="15" t="s">
        <v>78</v>
      </c>
      <c r="C449" s="17"/>
      <c r="D449" s="17">
        <f>IF(OR(D447="",C447=""),"",D447-C447)</f>
        <v>23.799999999999983</v>
      </c>
      <c r="E449" s="17"/>
      <c r="F449" s="17">
        <f>IF(OR(F447="",D447=""),"",F447-D447)</f>
        <v>-18.299999999999983</v>
      </c>
      <c r="G449" s="17">
        <f>IF(OR(G447="",F447=""),"",G447-F447)</f>
        <v>-21.200000000000003</v>
      </c>
      <c r="H449" s="32">
        <f>IF(OR(H447="",G447=""),"",H447-G447)</f>
        <v>76.10000000000001</v>
      </c>
      <c r="I449" s="17"/>
    </row>
    <row r="450">
      <c r="A450" s="1"/>
      <c r="B450" s="15" t="s">
        <v>198</v>
      </c>
      <c r="C450" s="17"/>
      <c r="D450" s="17"/>
      <c r="E450" s="17"/>
      <c r="F450" s="17"/>
      <c r="G450" s="17"/>
      <c r="H450" s="74">
        <v>60.1</v>
      </c>
      <c r="I450" s="17"/>
    </row>
    <row r="451">
      <c r="A451" s="1"/>
      <c r="B451" s="15" t="s">
        <v>199</v>
      </c>
      <c r="C451" s="17"/>
      <c r="D451" s="17"/>
      <c r="E451" s="17"/>
      <c r="F451" s="17"/>
      <c r="G451" s="17"/>
      <c r="H451" s="74">
        <v>64.7</v>
      </c>
      <c r="I451" s="17"/>
    </row>
    <row r="452">
      <c r="A452" s="1"/>
      <c r="B452" s="15" t="s">
        <v>200</v>
      </c>
      <c r="C452" s="17"/>
      <c r="D452" s="17"/>
      <c r="E452" s="17"/>
      <c r="F452" s="17"/>
      <c r="G452" s="17"/>
      <c r="H452" s="74">
        <v>70</v>
      </c>
      <c r="I452" s="17"/>
    </row>
    <row r="453">
      <c r="A453" s="1"/>
      <c r="B453" s="15" t="s">
        <v>201</v>
      </c>
      <c r="C453" s="49">
        <v>702.2</v>
      </c>
      <c r="D453" s="49">
        <v>150.9</v>
      </c>
      <c r="E453" s="11">
        <f>Inputs!C178+C453+D453</f>
        <v>1303.1000000000001</v>
      </c>
      <c r="F453" s="49">
        <v>-275</v>
      </c>
      <c r="G453" s="49">
        <v>1198.3</v>
      </c>
      <c r="H453" s="32">
        <f>H456+H457+H458</f>
        <v>165.3</v>
      </c>
      <c r="I453" s="17"/>
    </row>
    <row r="454">
      <c r="A454" s="1"/>
      <c r="B454" s="34" t="s">
        <v>77</v>
      </c>
      <c r="C454" s="2"/>
      <c r="D454" s="2"/>
      <c r="E454" s="2"/>
      <c r="F454" s="2"/>
      <c r="G454" s="2"/>
      <c r="H454" s="20">
        <f>IF(OR(H453="",C453=""),"",IF(C453=0,"n/m",H453/C453-1))</f>
        <v>-0.7645969809171176</v>
      </c>
      <c r="I454" s="2"/>
    </row>
    <row r="455">
      <c r="A455" s="1"/>
      <c r="B455" s="15" t="s">
        <v>78</v>
      </c>
      <c r="C455" s="17"/>
      <c r="D455" s="17">
        <f>IF(OR(D453="",C453=""),"",D453-C453)</f>
        <v>-551.3000000000001</v>
      </c>
      <c r="E455" s="17"/>
      <c r="F455" s="17">
        <f>IF(OR(F453="",D453=""),"",F453-D453)</f>
        <v>-425.9</v>
      </c>
      <c r="G455" s="17">
        <f>IF(OR(G453="",F453=""),"",G453-F453)</f>
        <v>1473.3</v>
      </c>
      <c r="H455" s="32">
        <f>IF(OR(H453="",G453=""),"",H453-G453)</f>
        <v>-1033</v>
      </c>
      <c r="I455" s="17"/>
    </row>
    <row r="456">
      <c r="A456" s="1"/>
      <c r="B456" s="15" t="s">
        <v>202</v>
      </c>
      <c r="C456" s="17"/>
      <c r="D456" s="17"/>
      <c r="E456" s="17"/>
      <c r="F456" s="17"/>
      <c r="G456" s="17"/>
      <c r="H456" s="74">
        <v>-102.5</v>
      </c>
      <c r="I456" s="17"/>
    </row>
    <row r="457">
      <c r="A457" s="1"/>
      <c r="B457" s="15" t="s">
        <v>203</v>
      </c>
      <c r="C457" s="17"/>
      <c r="D457" s="17"/>
      <c r="E457" s="17"/>
      <c r="F457" s="17"/>
      <c r="G457" s="17"/>
      <c r="H457" s="74">
        <v>302.8</v>
      </c>
      <c r="I457" s="17"/>
    </row>
    <row r="458">
      <c r="A458" s="1"/>
      <c r="B458" s="15" t="s">
        <v>204</v>
      </c>
      <c r="C458" s="17"/>
      <c r="D458" s="17"/>
      <c r="E458" s="17"/>
      <c r="F458" s="17"/>
      <c r="G458" s="17"/>
      <c r="H458" s="74">
        <v>-35</v>
      </c>
      <c r="I458" s="17"/>
    </row>
    <row r="459">
      <c r="A459" s="1"/>
      <c r="B459" s="53" t="s">
        <v>205</v>
      </c>
      <c r="C459" s="27">
        <f>C446+C447+C453</f>
        <v>11593.9</v>
      </c>
      <c r="D459" s="27">
        <f>D446+D447+D453</f>
        <v>11903</v>
      </c>
      <c r="E459" s="27">
        <f>E446+E447+E453</f>
        <v>11903</v>
      </c>
      <c r="F459" s="27">
        <f>F446+F447+F453</f>
        <v>11767.9</v>
      </c>
      <c r="G459" s="27">
        <f>G446+G447+G453</f>
        <v>13084.9</v>
      </c>
      <c r="H459" s="40">
        <f>H446+H447+H453</f>
        <v>13444.999999999998</v>
      </c>
      <c r="I459" s="55"/>
    </row>
    <row r="460">
      <c r="A460" s="1"/>
      <c r="B460" s="34" t="s">
        <v>77</v>
      </c>
      <c r="C460" s="2"/>
      <c r="D460" s="2"/>
      <c r="E460" s="2"/>
      <c r="F460" s="2"/>
      <c r="G460" s="2"/>
      <c r="H460" s="20">
        <f>IF(OR(H459="",C459=""),"",IF(C459=0,"n/m",H459/C459-1))</f>
        <v>0.15966154615789319</v>
      </c>
      <c r="I460" s="2"/>
    </row>
    <row r="461">
      <c r="A461" s="1"/>
      <c r="B461" s="15" t="s">
        <v>78</v>
      </c>
      <c r="C461" s="17"/>
      <c r="D461" s="17">
        <f>IF(OR(D459="",C459=""),"",D459-C459)</f>
        <v>309.10000000000036</v>
      </c>
      <c r="E461" s="17"/>
      <c r="F461" s="17">
        <f>IF(OR(F459="",D459=""),"",F459-D459)</f>
        <v>-135.10000000000036</v>
      </c>
      <c r="G461" s="17">
        <f>IF(OR(G459="",F459=""),"",G459-F459)</f>
        <v>1317</v>
      </c>
      <c r="H461" s="32">
        <f>IF(OR(H459="",G459=""),"",H459-G459)</f>
        <v>360.09999999999854</v>
      </c>
      <c r="I461" s="17"/>
    </row>
    <row r="462">
      <c r="A462" s="1"/>
      <c r="B462" s="15" t="s">
        <v>206</v>
      </c>
      <c r="C462" s="17">
        <f>AVERAGE(C446,C459)</f>
        <v>11175.599999999999</v>
      </c>
      <c r="D462" s="17">
        <f>AVERAGE(D446,D459)</f>
        <v>11748.45</v>
      </c>
      <c r="E462" s="17">
        <f>AVERAGE(E446,E459)</f>
        <v>11002.15</v>
      </c>
      <c r="F462" s="17">
        <f>AVERAGE(F446,F459)</f>
        <v>11835.45</v>
      </c>
      <c r="G462" s="17">
        <f>AVERAGE(G446,G459)</f>
        <v>12426.4</v>
      </c>
      <c r="H462" s="32">
        <f>AVERAGE(H446,H459)</f>
        <v>13264.949999999999</v>
      </c>
      <c r="I462" s="115" t="s">
        <v>207</v>
      </c>
    </row>
    <row r="463">
      <c r="A463" s="1"/>
      <c r="B463" s="34" t="s">
        <v>77</v>
      </c>
      <c r="C463" s="2"/>
      <c r="D463" s="2"/>
      <c r="E463" s="2"/>
      <c r="F463" s="2"/>
      <c r="G463" s="2"/>
      <c r="H463" s="20">
        <f>IF(OR(H462="",C462=""),"",IF(C462=0,"n/m",H462/C462-1))</f>
        <v>0.1869564050252337</v>
      </c>
      <c r="I463" s="2"/>
    </row>
    <row r="464">
      <c r="A464" s="1"/>
      <c r="B464" s="15" t="s">
        <v>78</v>
      </c>
      <c r="C464" s="17"/>
      <c r="D464" s="17">
        <f>IF(OR(D462="",C462=""),"",D462-C462)</f>
        <v>572.8500000000022</v>
      </c>
      <c r="E464" s="17"/>
      <c r="F464" s="17">
        <f>IF(OR(F462="",D462=""),"",F462-D462)</f>
        <v>87</v>
      </c>
      <c r="G464" s="17">
        <f>IF(OR(G462="",F462=""),"",G462-F462)</f>
        <v>590.9499999999989</v>
      </c>
      <c r="H464" s="32">
        <f>IF(OR(H462="",G462=""),"",H462-G462)</f>
        <v>838.5499999999993</v>
      </c>
      <c r="I464" s="17"/>
    </row>
    <row r="465">
      <c r="A465" s="1"/>
      <c r="B465" s="15" t="s">
        <v>208</v>
      </c>
      <c r="C465" s="49">
        <v>137.5</v>
      </c>
      <c r="D465" s="49">
        <v>163.9</v>
      </c>
      <c r="E465" s="11">
        <f>Inputs!C179+C465+D465</f>
        <v>519.4</v>
      </c>
      <c r="F465" s="49">
        <v>140</v>
      </c>
      <c r="G465" s="49">
        <v>119.8</v>
      </c>
      <c r="H465" s="32">
        <f>H468+H469+H452</f>
        <v>192.9</v>
      </c>
      <c r="I465" s="115" t="s">
        <v>209</v>
      </c>
    </row>
    <row r="466">
      <c r="A466" s="1"/>
      <c r="B466" s="34" t="s">
        <v>77</v>
      </c>
      <c r="C466" s="2"/>
      <c r="D466" s="2"/>
      <c r="E466" s="2"/>
      <c r="F466" s="2"/>
      <c r="G466" s="2"/>
      <c r="H466" s="20">
        <f>IF(OR(H465="",C465=""),"",IF(C465=0,"n/m",H465/C465-1))</f>
        <v>0.4029090909090909</v>
      </c>
      <c r="I466" s="2"/>
    </row>
    <row r="467">
      <c r="A467" s="1"/>
      <c r="B467" s="15" t="s">
        <v>78</v>
      </c>
      <c r="C467" s="17"/>
      <c r="D467" s="17">
        <f>IF(OR(D465="",C465=""),"",D465-C465)</f>
        <v>26.400000000000006</v>
      </c>
      <c r="E467" s="17"/>
      <c r="F467" s="17">
        <f>IF(OR(F465="",D465=""),"",F465-D465)</f>
        <v>-23.900000000000006</v>
      </c>
      <c r="G467" s="17">
        <f>IF(OR(G465="",F465=""),"",G465-F465)</f>
        <v>-20.200000000000003</v>
      </c>
      <c r="H467" s="32">
        <f>IF(OR(H465="",G465=""),"",H465-G465)</f>
        <v>73.10000000000001</v>
      </c>
      <c r="I467" s="17"/>
    </row>
    <row r="468">
      <c r="A468" s="1"/>
      <c r="B468" s="15" t="s">
        <v>210</v>
      </c>
      <c r="C468" s="17"/>
      <c r="D468" s="17"/>
      <c r="E468" s="17"/>
      <c r="F468" s="17"/>
      <c r="G468" s="17"/>
      <c r="H468" s="74">
        <v>58.1</v>
      </c>
      <c r="I468" s="17"/>
    </row>
    <row r="469">
      <c r="A469" s="1"/>
      <c r="B469" s="15" t="s">
        <v>211</v>
      </c>
      <c r="C469" s="17"/>
      <c r="D469" s="17"/>
      <c r="E469" s="17"/>
      <c r="F469" s="17"/>
      <c r="G469" s="17"/>
      <c r="H469" s="74">
        <v>64.8</v>
      </c>
      <c r="I469" s="17"/>
    </row>
    <row r="470">
      <c r="A470" s="1"/>
      <c r="B470" s="34" t="s">
        <v>212</v>
      </c>
      <c r="C470" s="2">
        <f>C465*(365/C$6)/C446</f>
        <v>0.05071126624225653</v>
      </c>
      <c r="D470" s="2">
        <f>D465*(365/D$6)/D446</f>
        <v>0.056085996496658484</v>
      </c>
      <c r="E470" s="2">
        <f>E465*(365/E$6)/E446</f>
        <v>0.05141912427113342</v>
      </c>
      <c r="F470" s="2">
        <f>F465*(365/F$6)/F446</f>
        <v>0.04770039299149607</v>
      </c>
      <c r="G470" s="2">
        <f>G465*(365/G$6)/G446</f>
        <v>0.040832814989631414</v>
      </c>
      <c r="H470" s="20">
        <f>H465*(365/H$6)/H446</f>
        <v>0.058488011571253565</v>
      </c>
      <c r="I470" s="2"/>
    </row>
    <row r="471">
      <c r="A471" s="1"/>
      <c r="B471" s="34" t="s">
        <v>135</v>
      </c>
      <c r="C471" s="75"/>
      <c r="D471" s="75">
        <f>IF(OR(D470="",C470=""),"",(D470-C470)*10000)</f>
        <v>53.74730254401952</v>
      </c>
      <c r="E471" s="75"/>
      <c r="F471" s="75">
        <f>IF(OR(F470="",D470=""),"",(F470-D470)*10000)</f>
        <v>-83.85603505162418</v>
      </c>
      <c r="G471" s="75">
        <f>IF(OR(G470="",F470=""),"",(G470-F470)*10000)</f>
        <v>-68.67578001864653</v>
      </c>
      <c r="H471" s="76">
        <f>IF(OR(H470="",G470=""),"",(H470-G470)*10000)</f>
        <v>176.55196581622153</v>
      </c>
      <c r="I471" s="75"/>
    </row>
    <row r="472">
      <c r="A472" s="1"/>
      <c r="B472" s="34" t="s">
        <v>87</v>
      </c>
      <c r="C472" s="75"/>
      <c r="D472" s="75"/>
      <c r="E472" s="75"/>
      <c r="F472" s="75"/>
      <c r="G472" s="75"/>
      <c r="H472" s="76">
        <f>IF(OR(H470="",C470=""),"",(H470-C470)*10000)</f>
        <v>77.76745328997032</v>
      </c>
      <c r="I472" s="75"/>
    </row>
    <row r="473">
      <c r="A473" s="1"/>
      <c r="B473" s="15" t="s">
        <v>213</v>
      </c>
      <c r="C473" s="43">
        <f>Inputs!D185</f>
        <v>37476</v>
      </c>
      <c r="D473" s="89">
        <f>C486</f>
        <v>37963</v>
      </c>
      <c r="E473" s="43">
        <f>Inputs!C185</f>
        <v>36456</v>
      </c>
      <c r="F473" s="89">
        <f>D486</f>
        <v>38506</v>
      </c>
      <c r="G473" s="89">
        <f>F486</f>
        <v>39099</v>
      </c>
      <c r="H473" s="87">
        <f>G486</f>
        <v>39802</v>
      </c>
      <c r="I473" s="89"/>
    </row>
    <row r="474">
      <c r="A474" s="1"/>
      <c r="B474" s="15" t="s">
        <v>214</v>
      </c>
      <c r="C474" s="91">
        <v>1143</v>
      </c>
      <c r="D474" s="91">
        <v>1268</v>
      </c>
      <c r="E474" s="43">
        <f>Inputs!C180+C474+D474</f>
        <v>4692</v>
      </c>
      <c r="F474" s="91">
        <v>1299</v>
      </c>
      <c r="G474" s="91">
        <v>1388</v>
      </c>
      <c r="H474" s="87">
        <f>H477+H478+H479</f>
        <v>1271</v>
      </c>
      <c r="I474" s="89"/>
    </row>
    <row r="475">
      <c r="A475" s="1"/>
      <c r="B475" s="34" t="s">
        <v>77</v>
      </c>
      <c r="C475" s="2"/>
      <c r="D475" s="2"/>
      <c r="E475" s="2"/>
      <c r="F475" s="2"/>
      <c r="G475" s="2"/>
      <c r="H475" s="20">
        <f>IF(OR(H474="",C474=""),"",IF(C474=0,"n/m",H474/C474-1))</f>
        <v>0.11198600174978135</v>
      </c>
      <c r="I475" s="2"/>
    </row>
    <row r="476">
      <c r="A476" s="1"/>
      <c r="B476" s="15" t="s">
        <v>78</v>
      </c>
      <c r="C476" s="17"/>
      <c r="D476" s="17">
        <f>IF(OR(D474="",C474=""),"",D474-C474)</f>
        <v>125</v>
      </c>
      <c r="E476" s="17"/>
      <c r="F476" s="17">
        <f>IF(OR(F474="",D474=""),"",F474-D474)</f>
        <v>31</v>
      </c>
      <c r="G476" s="17">
        <f>IF(OR(G474="",F474=""),"",G474-F474)</f>
        <v>89</v>
      </c>
      <c r="H476" s="32">
        <f>IF(OR(H474="",G474=""),"",H474-G474)</f>
        <v>-117</v>
      </c>
      <c r="I476" s="17"/>
    </row>
    <row r="477">
      <c r="A477" s="1"/>
      <c r="B477" s="15" t="s">
        <v>215</v>
      </c>
      <c r="C477" s="89"/>
      <c r="D477" s="89"/>
      <c r="E477" s="89"/>
      <c r="F477" s="89"/>
      <c r="G477" s="89"/>
      <c r="H477" s="96">
        <v>417</v>
      </c>
      <c r="I477" s="89"/>
    </row>
    <row r="478">
      <c r="A478" s="1"/>
      <c r="B478" s="15" t="s">
        <v>216</v>
      </c>
      <c r="C478" s="89"/>
      <c r="D478" s="89"/>
      <c r="E478" s="89"/>
      <c r="F478" s="89"/>
      <c r="G478" s="89"/>
      <c r="H478" s="96">
        <v>424</v>
      </c>
      <c r="I478" s="89"/>
    </row>
    <row r="479">
      <c r="A479" s="1"/>
      <c r="B479" s="15" t="s">
        <v>217</v>
      </c>
      <c r="C479" s="89"/>
      <c r="D479" s="89"/>
      <c r="E479" s="89"/>
      <c r="F479" s="89"/>
      <c r="G479" s="89"/>
      <c r="H479" s="96">
        <v>430</v>
      </c>
      <c r="I479" s="89"/>
    </row>
    <row r="480">
      <c r="A480" s="1"/>
      <c r="B480" s="15" t="s">
        <v>218</v>
      </c>
      <c r="C480" s="89">
        <f>C473+C474-C486</f>
        <v>656</v>
      </c>
      <c r="D480" s="89">
        <f>D473+D474-D486</f>
        <v>725</v>
      </c>
      <c r="E480" s="89">
        <f>E473+E474-E486</f>
        <v>2642</v>
      </c>
      <c r="F480" s="89">
        <f>F473+F474-F486</f>
        <v>706</v>
      </c>
      <c r="G480" s="89">
        <f>G473+G474-G486</f>
        <v>685</v>
      </c>
      <c r="H480" s="87">
        <f>H473+H474-H486</f>
        <v>833</v>
      </c>
      <c r="I480" s="89"/>
    </row>
    <row r="481">
      <c r="A481" s="1"/>
      <c r="B481" s="34" t="s">
        <v>77</v>
      </c>
      <c r="C481" s="2"/>
      <c r="D481" s="2"/>
      <c r="E481" s="2"/>
      <c r="F481" s="2"/>
      <c r="G481" s="2"/>
      <c r="H481" s="20">
        <f>IF(OR(H480="",C480=""),"",IF(C480=0,"n/m",H480/C480-1))</f>
        <v>0.26981707317073167</v>
      </c>
      <c r="I481" s="2"/>
    </row>
    <row r="482">
      <c r="A482" s="1"/>
      <c r="B482" s="15" t="s">
        <v>78</v>
      </c>
      <c r="C482" s="17"/>
      <c r="D482" s="17">
        <f>IF(OR(D480="",C480=""),"",D480-C480)</f>
        <v>69</v>
      </c>
      <c r="E482" s="17"/>
      <c r="F482" s="17">
        <f>IF(OR(F480="",D480=""),"",F480-D480)</f>
        <v>-19</v>
      </c>
      <c r="G482" s="17">
        <f>IF(OR(G480="",F480=""),"",G480-F480)</f>
        <v>-21</v>
      </c>
      <c r="H482" s="32">
        <f>IF(OR(H480="",G480=""),"",H480-G480)</f>
        <v>148</v>
      </c>
      <c r="I482" s="17"/>
    </row>
    <row r="483">
      <c r="A483" s="1"/>
      <c r="B483" s="15" t="s">
        <v>219</v>
      </c>
      <c r="C483" s="89">
        <f>C474-C480</f>
        <v>487</v>
      </c>
      <c r="D483" s="89">
        <f>D474-D480</f>
        <v>543</v>
      </c>
      <c r="E483" s="89">
        <f>E474-E480</f>
        <v>2050</v>
      </c>
      <c r="F483" s="89">
        <f>F474-F480</f>
        <v>593</v>
      </c>
      <c r="G483" s="89">
        <f>G474-G480</f>
        <v>703</v>
      </c>
      <c r="H483" s="87">
        <f>H474-H480</f>
        <v>438</v>
      </c>
      <c r="I483" s="89"/>
    </row>
    <row r="484">
      <c r="A484" s="1"/>
      <c r="B484" s="34" t="s">
        <v>77</v>
      </c>
      <c r="C484" s="2"/>
      <c r="D484" s="2"/>
      <c r="E484" s="2"/>
      <c r="F484" s="2"/>
      <c r="G484" s="2"/>
      <c r="H484" s="20">
        <f>IF(OR(H483="",C483=""),"",IF(C483=0,"n/m",H483/C483-1))</f>
        <v>-0.10061601642710472</v>
      </c>
      <c r="I484" s="2"/>
    </row>
    <row r="485">
      <c r="A485" s="1"/>
      <c r="B485" s="15" t="s">
        <v>78</v>
      </c>
      <c r="C485" s="17"/>
      <c r="D485" s="17">
        <f>IF(OR(D483="",C483=""),"",D483-C483)</f>
        <v>56</v>
      </c>
      <c r="E485" s="17"/>
      <c r="F485" s="17">
        <f>IF(OR(F483="",D483=""),"",F483-D483)</f>
        <v>50</v>
      </c>
      <c r="G485" s="17">
        <f>IF(OR(G483="",F483=""),"",G483-F483)</f>
        <v>110</v>
      </c>
      <c r="H485" s="32">
        <f>IF(OR(H483="",G483=""),"",H483-G483)</f>
        <v>-265</v>
      </c>
      <c r="I485" s="17"/>
    </row>
    <row r="486">
      <c r="A486" s="1"/>
      <c r="B486" s="53" t="s">
        <v>220</v>
      </c>
      <c r="C486" s="95">
        <v>37963</v>
      </c>
      <c r="D486" s="95">
        <v>38506</v>
      </c>
      <c r="E486" s="94">
        <f>D486</f>
        <v>38506</v>
      </c>
      <c r="F486" s="95">
        <v>39099</v>
      </c>
      <c r="G486" s="95">
        <v>39802</v>
      </c>
      <c r="H486" s="100">
        <v>40240</v>
      </c>
      <c r="I486" s="99"/>
    </row>
    <row r="487">
      <c r="A487" s="1"/>
      <c r="B487" s="34" t="s">
        <v>77</v>
      </c>
      <c r="C487" s="2"/>
      <c r="D487" s="2"/>
      <c r="E487" s="2"/>
      <c r="F487" s="2"/>
      <c r="G487" s="2"/>
      <c r="H487" s="20">
        <f>IF(OR(H486="",C486=""),"",IF(C486=0,"n/m",H486/C486-1))</f>
        <v>0.05997945367858182</v>
      </c>
      <c r="I487" s="2"/>
    </row>
    <row r="488">
      <c r="A488" s="1"/>
      <c r="B488" s="15" t="s">
        <v>78</v>
      </c>
      <c r="C488" s="17"/>
      <c r="D488" s="17">
        <f>IF(OR(D486="",C486=""),"",D486-C486)</f>
        <v>543</v>
      </c>
      <c r="E488" s="17"/>
      <c r="F488" s="17">
        <f>IF(OR(F486="",D486=""),"",F486-D486)</f>
        <v>593</v>
      </c>
      <c r="G488" s="17">
        <f>IF(OR(G486="",F486=""),"",G486-F486)</f>
        <v>703</v>
      </c>
      <c r="H488" s="32">
        <f>IF(OR(H486="",G486=""),"",H486-G486)</f>
        <v>438</v>
      </c>
      <c r="I488" s="17"/>
    </row>
    <row r="489">
      <c r="A489" s="1"/>
      <c r="B489" s="15" t="s">
        <v>221</v>
      </c>
      <c r="C489" s="89">
        <f>AVERAGE(C473,C486)</f>
        <v>37719.5</v>
      </c>
      <c r="D489" s="89">
        <f>AVERAGE(D473,D486)</f>
        <v>38234.5</v>
      </c>
      <c r="E489" s="89">
        <f>AVERAGE(E473,E486)</f>
        <v>37481</v>
      </c>
      <c r="F489" s="89">
        <f>AVERAGE(F473,F486)</f>
        <v>38802.5</v>
      </c>
      <c r="G489" s="89">
        <f>AVERAGE(G473,G486)</f>
        <v>39450.5</v>
      </c>
      <c r="H489" s="87">
        <f>AVERAGE(H473,H486)</f>
        <v>40021</v>
      </c>
      <c r="I489" s="127" t="s">
        <v>222</v>
      </c>
    </row>
    <row r="490">
      <c r="A490" s="1"/>
      <c r="B490" s="34" t="s">
        <v>77</v>
      </c>
      <c r="C490" s="2"/>
      <c r="D490" s="2"/>
      <c r="E490" s="2"/>
      <c r="F490" s="2"/>
      <c r="G490" s="2"/>
      <c r="H490" s="20">
        <f>IF(OR(H489="",C489=""),"",IF(C489=0,"n/m",H489/C489-1))</f>
        <v>0.06101618526226482</v>
      </c>
      <c r="I490" s="2"/>
    </row>
    <row r="491">
      <c r="A491" s="1"/>
      <c r="B491" s="15" t="s">
        <v>78</v>
      </c>
      <c r="C491" s="17"/>
      <c r="D491" s="17">
        <f>IF(OR(D489="",C489=""),"",D489-C489)</f>
        <v>515</v>
      </c>
      <c r="E491" s="17"/>
      <c r="F491" s="17">
        <f>IF(OR(F489="",D489=""),"",F489-D489)</f>
        <v>568</v>
      </c>
      <c r="G491" s="17">
        <f>IF(OR(G489="",F489=""),"",G489-F489)</f>
        <v>648</v>
      </c>
      <c r="H491" s="32">
        <f>IF(OR(H489="",G489=""),"",H489-G489)</f>
        <v>570.5</v>
      </c>
      <c r="I491" s="17"/>
    </row>
    <row r="492">
      <c r="A492" s="1"/>
      <c r="B492" s="34" t="s">
        <v>223</v>
      </c>
      <c r="C492" s="2">
        <f>C480*(365/C$6)/C473</f>
        <v>0.06944734485142956</v>
      </c>
      <c r="D492" s="2">
        <f>D480*(365/D$6)/D473</f>
        <v>0.07576742342944905</v>
      </c>
      <c r="E492" s="2">
        <f>E480*(365/E$6)/E473</f>
        <v>0.07247092385341233</v>
      </c>
      <c r="F492" s="2">
        <f>F480*(365/F$6)/F473</f>
        <v>0.0743578201376986</v>
      </c>
      <c r="G492" s="2">
        <f>G480*(365/G$6)/G473</f>
        <v>0.07027104203502577</v>
      </c>
      <c r="H492" s="20">
        <f>H480*(365/H$6)/H473</f>
        <v>0.08303193197632629</v>
      </c>
      <c r="I492" s="2"/>
    </row>
    <row r="493">
      <c r="A493" s="1"/>
      <c r="B493" s="34" t="s">
        <v>135</v>
      </c>
      <c r="C493" s="75"/>
      <c r="D493" s="75">
        <f>IF(OR(D492="",C492=""),"",(D492-C492)*10000)</f>
        <v>63.20078578019486</v>
      </c>
      <c r="E493" s="75"/>
      <c r="F493" s="75">
        <f>IF(OR(F492="",D492=""),"",(F492-D492)*10000)</f>
        <v>-14.096032917504525</v>
      </c>
      <c r="G493" s="75">
        <f>IF(OR(G492="",F492=""),"",(G492-F492)*10000)</f>
        <v>-40.86778102672828</v>
      </c>
      <c r="H493" s="76">
        <f>IF(OR(H492="",G492=""),"",(H492-G492)*10000)</f>
        <v>127.6088994130052</v>
      </c>
      <c r="I493" s="75"/>
    </row>
    <row r="494">
      <c r="A494" s="1"/>
      <c r="B494" s="34" t="s">
        <v>87</v>
      </c>
      <c r="C494" s="75"/>
      <c r="D494" s="75"/>
      <c r="E494" s="75"/>
      <c r="F494" s="75"/>
      <c r="G494" s="75"/>
      <c r="H494" s="76">
        <f>IF(OR(H492="",C492=""),"",(H492-C492)*10000)</f>
        <v>135.84587124896726</v>
      </c>
      <c r="I494" s="75"/>
    </row>
    <row r="495">
      <c r="A495" s="1"/>
      <c r="B495" s="15" t="s">
        <v>224</v>
      </c>
      <c r="C495" s="89">
        <f>C438*(365/C$6)/C489*1000</f>
        <v>645.2881308653061</v>
      </c>
      <c r="D495" s="89">
        <f>D438*(365/D$6)/D489*1000</f>
        <v>657.4531196785057</v>
      </c>
      <c r="E495" s="89">
        <f>E438*(365/E$6)/E489*1000</f>
        <v>638.2166964595394</v>
      </c>
      <c r="F495" s="89">
        <f>F438*(365/F$6)/F489*1000</f>
        <v>677.4849845012849</v>
      </c>
      <c r="G495" s="89">
        <f>G438*(365/G$6)/G489*1000</f>
        <v>719.0203998862952</v>
      </c>
      <c r="H495" s="87">
        <f>H438*(365/H$6)/H489*1000</f>
        <v>708.8465611876637</v>
      </c>
      <c r="I495" s="89"/>
    </row>
    <row r="496">
      <c r="A496" s="1"/>
      <c r="B496" s="34" t="s">
        <v>77</v>
      </c>
      <c r="C496" s="2"/>
      <c r="D496" s="2"/>
      <c r="E496" s="2"/>
      <c r="F496" s="2"/>
      <c r="G496" s="2"/>
      <c r="H496" s="20">
        <f>IF(OR(H495="",C495=""),"",IF(C495=0,"n/m",H495/C495-1))</f>
        <v>0.09849620236641932</v>
      </c>
      <c r="I496" s="2"/>
    </row>
    <row r="497">
      <c r="A497" s="1"/>
      <c r="B497" s="15" t="s">
        <v>78</v>
      </c>
      <c r="C497" s="17"/>
      <c r="D497" s="17">
        <f>IF(OR(D495="",C495=""),"",D495-C495)</f>
        <v>12.164988813199557</v>
      </c>
      <c r="E497" s="17"/>
      <c r="F497" s="17">
        <f>IF(OR(F495="",D495=""),"",F495-D495)</f>
        <v>20.031864822779198</v>
      </c>
      <c r="G497" s="17">
        <f>IF(OR(G495="",F495=""),"",G495-F495)</f>
        <v>41.53541538501031</v>
      </c>
      <c r="H497" s="32">
        <f>IF(OR(H495="",G495=""),"",H495-G495)</f>
        <v>-10.17383869863147</v>
      </c>
      <c r="I497" s="17"/>
    </row>
    <row r="498">
      <c r="A498" s="1"/>
      <c r="B498" s="15" t="s">
        <v>225</v>
      </c>
      <c r="C498" s="17">
        <f>C438*(365/C$6)/(C462*1000)*10000</f>
        <v>21.77954262158087</v>
      </c>
      <c r="D498" s="17">
        <f>D438*(365/D$6)/(D462*1000)*10000</f>
        <v>21.39634701117835</v>
      </c>
      <c r="E498" s="17">
        <f>E438*(365/E$6)/(E462*1000)*10000</f>
        <v>21.742114041346465</v>
      </c>
      <c r="F498" s="17">
        <f>F438*(365/F$6)/(F462*1000)*10000</f>
        <v>22.211332151385125</v>
      </c>
      <c r="G498" s="17">
        <f>G438*(365/G$6)/(G462*1000)*10000</f>
        <v>22.826976667187832</v>
      </c>
      <c r="H498" s="32">
        <f>H438*(365/H$6)/(H462*1000)*10000</f>
        <v>21.386245877512916</v>
      </c>
      <c r="I498" s="17"/>
    </row>
    <row r="499">
      <c r="A499" s="1"/>
      <c r="B499" s="15" t="s">
        <v>135</v>
      </c>
      <c r="C499" s="17"/>
      <c r="D499" s="17">
        <f>IF(OR(D498="",C498=""),"",D498-C498)</f>
        <v>-0.38319561040252026</v>
      </c>
      <c r="E499" s="17"/>
      <c r="F499" s="17">
        <f>IF(OR(F498="",D498=""),"",F498-D498)</f>
        <v>0.814985140206776</v>
      </c>
      <c r="G499" s="17">
        <f>IF(OR(G498="",F498=""),"",G498-F498)</f>
        <v>0.6156445158027068</v>
      </c>
      <c r="H499" s="32">
        <f>IF(OR(H498="",G498=""),"",H498-G498)</f>
        <v>-1.440730789674916</v>
      </c>
      <c r="I499" s="17"/>
    </row>
    <row r="500">
      <c r="A500" s="1"/>
      <c r="B500" s="34" t="s">
        <v>87</v>
      </c>
      <c r="C500" s="75"/>
      <c r="D500" s="75"/>
      <c r="E500" s="75"/>
      <c r="F500" s="75"/>
      <c r="G500" s="75"/>
      <c r="H500" s="76">
        <f>IF(OR(H498="",C498=""),"",H498-C498)</f>
        <v>-0.39329674406795334</v>
      </c>
      <c r="I500" s="75"/>
    </row>
    <row r="501">
      <c r="A501" s="1"/>
      <c r="B501" s="15" t="s">
        <v>226</v>
      </c>
      <c r="C501" s="91">
        <v>2150</v>
      </c>
      <c r="D501" s="91">
        <v>2214</v>
      </c>
      <c r="E501" s="89">
        <f>D501</f>
        <v>2214</v>
      </c>
      <c r="F501" s="91">
        <v>2281</v>
      </c>
      <c r="G501" s="91">
        <v>2352</v>
      </c>
      <c r="H501" s="96">
        <v>2430</v>
      </c>
      <c r="I501" s="89"/>
    </row>
    <row r="502">
      <c r="A502" s="1"/>
      <c r="B502" s="34" t="s">
        <v>77</v>
      </c>
      <c r="C502" s="2"/>
      <c r="D502" s="2"/>
      <c r="E502" s="2"/>
      <c r="F502" s="2"/>
      <c r="G502" s="2"/>
      <c r="H502" s="20">
        <f>IF(OR(H501="",C501=""),"",IF(C501=0,"n/m",H501/C501-1))</f>
        <v>0.13023255813953494</v>
      </c>
      <c r="I502" s="2"/>
    </row>
    <row r="503">
      <c r="A503" s="1"/>
      <c r="B503" s="15" t="s">
        <v>78</v>
      </c>
      <c r="C503" s="17"/>
      <c r="D503" s="17">
        <f>IF(OR(D501="",C501=""),"",D501-C501)</f>
        <v>64</v>
      </c>
      <c r="E503" s="17"/>
      <c r="F503" s="17">
        <f>IF(OR(F501="",D501=""),"",F501-D501)</f>
        <v>67</v>
      </c>
      <c r="G503" s="17">
        <f>IF(OR(G501="",F501=""),"",G501-F501)</f>
        <v>71</v>
      </c>
      <c r="H503" s="32">
        <f>IF(OR(H501="",G501=""),"",H501-G501)</f>
        <v>78</v>
      </c>
      <c r="I503" s="17"/>
    </row>
    <row r="504">
      <c r="A504" s="1"/>
      <c r="B504" s="15" t="s">
        <v>227</v>
      </c>
      <c r="C504" s="91">
        <v>5619</v>
      </c>
      <c r="D504" s="91">
        <v>5740</v>
      </c>
      <c r="E504" s="89">
        <f>D504</f>
        <v>5740</v>
      </c>
      <c r="F504" s="91">
        <v>5844</v>
      </c>
      <c r="G504" s="91">
        <v>5888</v>
      </c>
      <c r="H504" s="96">
        <v>5915</v>
      </c>
      <c r="I504" s="89"/>
    </row>
    <row r="505">
      <c r="A505" s="1"/>
      <c r="B505" s="34" t="s">
        <v>77</v>
      </c>
      <c r="C505" s="2"/>
      <c r="D505" s="2"/>
      <c r="E505" s="2"/>
      <c r="F505" s="2"/>
      <c r="G505" s="2"/>
      <c r="H505" s="20">
        <f>IF(OR(H504="",C504=""),"",IF(C504=0,"n/m",H504/C504-1))</f>
        <v>0.052678412528919694</v>
      </c>
      <c r="I505" s="2"/>
    </row>
    <row r="506">
      <c r="A506" s="1"/>
      <c r="B506" s="15" t="s">
        <v>78</v>
      </c>
      <c r="C506" s="17"/>
      <c r="D506" s="17">
        <f>IF(OR(D504="",C504=""),"",D504-C504)</f>
        <v>121</v>
      </c>
      <c r="E506" s="17"/>
      <c r="F506" s="17">
        <f>IF(OR(F504="",D504=""),"",F504-D504)</f>
        <v>104</v>
      </c>
      <c r="G506" s="17">
        <f>IF(OR(G504="",F504=""),"",G504-F504)</f>
        <v>44</v>
      </c>
      <c r="H506" s="32">
        <f>IF(OR(H504="",G504=""),"",H504-G504)</f>
        <v>27</v>
      </c>
      <c r="I506" s="17"/>
    </row>
    <row r="507">
      <c r="A507" s="1"/>
      <c r="B507" s="15" t="s">
        <v>228</v>
      </c>
      <c r="C507" s="49">
        <v>97.2</v>
      </c>
      <c r="D507" s="49">
        <v>112.3</v>
      </c>
      <c r="E507" s="17">
        <f>D507</f>
        <v>112.3</v>
      </c>
      <c r="F507" s="49">
        <v>126.7</v>
      </c>
      <c r="G507" s="49">
        <v>165.1</v>
      </c>
      <c r="H507" s="74">
        <v>182</v>
      </c>
      <c r="I507" s="17"/>
    </row>
    <row r="508">
      <c r="A508" s="1"/>
      <c r="B508" s="34" t="s">
        <v>77</v>
      </c>
      <c r="C508" s="2"/>
      <c r="D508" s="2"/>
      <c r="E508" s="2"/>
      <c r="F508" s="2"/>
      <c r="G508" s="2"/>
      <c r="H508" s="20">
        <f>IF(OR(H507="",C507=""),"",IF(C507=0,"n/m",H507/C507-1))</f>
        <v>0.8724279835390947</v>
      </c>
      <c r="I508" s="2"/>
    </row>
    <row r="509">
      <c r="A509" s="1"/>
      <c r="B509" s="15" t="s">
        <v>78</v>
      </c>
      <c r="C509" s="17"/>
      <c r="D509" s="17">
        <f>IF(OR(D507="",C507=""),"",D507-C507)</f>
        <v>15.099999999999994</v>
      </c>
      <c r="E509" s="17"/>
      <c r="F509" s="17">
        <f>IF(OR(F507="",D507=""),"",F507-D507)</f>
        <v>14.400000000000006</v>
      </c>
      <c r="G509" s="17">
        <f>IF(OR(G507="",F507=""),"",G507-F507)</f>
        <v>38.39999999999999</v>
      </c>
      <c r="H509" s="32">
        <f>IF(OR(H507="",G507=""),"",H507-G507)</f>
        <v>16.900000000000006</v>
      </c>
      <c r="I509" s="17"/>
    </row>
    <row r="510">
      <c r="A510" s="1"/>
      <c r="B510" s="15" t="s">
        <v>229</v>
      </c>
      <c r="C510" s="49">
        <v>425.6</v>
      </c>
      <c r="D510" s="49">
        <v>453.7</v>
      </c>
      <c r="E510" s="17">
        <f>D510</f>
        <v>453.7</v>
      </c>
      <c r="F510" s="49">
        <v>461.5</v>
      </c>
      <c r="G510" s="49">
        <v>485.7</v>
      </c>
      <c r="H510" s="74">
        <v>486</v>
      </c>
      <c r="I510" s="17"/>
    </row>
    <row r="511">
      <c r="A511" s="1"/>
      <c r="B511" s="34" t="s">
        <v>77</v>
      </c>
      <c r="C511" s="2"/>
      <c r="D511" s="2"/>
      <c r="E511" s="2"/>
      <c r="F511" s="2"/>
      <c r="G511" s="2"/>
      <c r="H511" s="20">
        <f>IF(OR(H510="",C510=""),"",IF(C510=0,"n/m",H510/C510-1))</f>
        <v>0.14191729323308255</v>
      </c>
      <c r="I511" s="2"/>
    </row>
    <row r="512">
      <c r="A512" s="1"/>
      <c r="B512" s="15" t="s">
        <v>78</v>
      </c>
      <c r="C512" s="17"/>
      <c r="D512" s="17">
        <f>IF(OR(D510="",C510=""),"",D510-C510)</f>
        <v>28.099999999999966</v>
      </c>
      <c r="E512" s="17"/>
      <c r="F512" s="17">
        <f>IF(OR(F510="",D510=""),"",F510-D510)</f>
        <v>7.800000000000011</v>
      </c>
      <c r="G512" s="17">
        <f>IF(OR(G510="",F510=""),"",G510-F510)</f>
        <v>24.19999999999999</v>
      </c>
      <c r="H512" s="32">
        <f>IF(OR(H510="",G510=""),"",H510-G510)</f>
        <v>0.30000000000001137</v>
      </c>
      <c r="I512" s="17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230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231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232</v>
      </c>
      <c r="C10" s="11">
        <f>Inputs!D184</f>
        <v>6069.9</v>
      </c>
      <c r="D10" s="17">
        <f>C20</f>
        <v>6577.2</v>
      </c>
      <c r="E10" s="11">
        <f>Inputs!D183</f>
        <v>5721.6</v>
      </c>
      <c r="F10" s="17">
        <f>D20</f>
        <v>6707.5</v>
      </c>
      <c r="G10" s="17">
        <f>F20</f>
        <v>6566.4</v>
      </c>
      <c r="H10" s="32">
        <f>G20</f>
        <v>7343</v>
      </c>
      <c r="I10" s="17"/>
    </row>
    <row r="11">
      <c r="A11" s="1"/>
      <c r="B11" s="15" t="s">
        <v>233</v>
      </c>
      <c r="C11" s="49">
        <v>52.7</v>
      </c>
      <c r="D11" s="49">
        <v>60.4</v>
      </c>
      <c r="E11" s="11">
        <f>Inputs!C176+C11+D11</f>
        <v>213.8</v>
      </c>
      <c r="F11" s="49">
        <v>54.1</v>
      </c>
      <c r="G11" s="49">
        <v>38.5</v>
      </c>
      <c r="H11" s="44">
        <f>'Revenue summary'!H447*H14</f>
        <v>72.07600000000001</v>
      </c>
      <c r="I11" s="17"/>
    </row>
    <row r="12">
      <c r="A12" s="1"/>
      <c r="B12" s="34" t="s">
        <v>77</v>
      </c>
      <c r="C12" s="2"/>
      <c r="D12" s="2"/>
      <c r="E12" s="2"/>
      <c r="F12" s="2"/>
      <c r="G12" s="2"/>
      <c r="H12" s="20">
        <f>IF(OR(H11="",C11=""),"",IF(C11=0,"n/m",H11/C11-1))</f>
        <v>0.36766603415559773</v>
      </c>
      <c r="I12" s="2"/>
    </row>
    <row r="13">
      <c r="A13" s="1"/>
      <c r="B13" s="15" t="s">
        <v>78</v>
      </c>
      <c r="C13" s="17"/>
      <c r="D13" s="17">
        <f>IF(OR(D11="",C11=""),"",D11-C11)</f>
        <v>7.699999999999996</v>
      </c>
      <c r="E13" s="17"/>
      <c r="F13" s="17">
        <f>IF(OR(F11="",D11=""),"",F11-D11)</f>
        <v>-6.299999999999997</v>
      </c>
      <c r="G13" s="17">
        <f>IF(OR(G11="",F11=""),"",G11-F11)</f>
        <v>-15.600000000000001</v>
      </c>
      <c r="H13" s="32">
        <f>IF(OR(H11="",G11=""),"",H11-G11)</f>
        <v>33.57600000000001</v>
      </c>
      <c r="I13" s="17"/>
    </row>
    <row r="14">
      <c r="A14" s="1"/>
      <c r="B14" s="34" t="s">
        <v>234</v>
      </c>
      <c r="C14" s="78">
        <f>C11/'Revenue summary'!C447</f>
        <v>0.39211309523809523</v>
      </c>
      <c r="D14" s="78">
        <f>D11/'Revenue summary'!D447</f>
        <v>0.381795195954488</v>
      </c>
      <c r="E14" s="78">
        <f>E11/'Revenue summary'!E447</f>
        <v>0.42880064179703176</v>
      </c>
      <c r="F14" s="78">
        <f>F11/'Revenue summary'!F447</f>
        <v>0.3867047891350965</v>
      </c>
      <c r="G14" s="78">
        <f>G11/'Revenue summary'!G447</f>
        <v>0.3243470935130581</v>
      </c>
      <c r="H14" s="28">
        <v>0.37</v>
      </c>
      <c r="I14" s="2"/>
    </row>
    <row r="15">
      <c r="A15" s="1"/>
      <c r="B15" s="34" t="s">
        <v>135</v>
      </c>
      <c r="C15" s="75"/>
      <c r="D15" s="75">
        <f>IF(OR(D14="",C14=""),"",(D14-C14)*10000)</f>
        <v>-103.17899283607213</v>
      </c>
      <c r="E15" s="75"/>
      <c r="F15" s="75">
        <f>IF(OR(F14="",D14=""),"",(F14-D14)*10000)</f>
        <v>49.09593180608462</v>
      </c>
      <c r="G15" s="75">
        <f>IF(OR(G14="",F14=""),"",(G14-F14)*10000)</f>
        <v>-623.5769562203835</v>
      </c>
      <c r="H15" s="76">
        <f>IF(OR(H14="",G14=""),"",(H14-G14)*10000)</f>
        <v>456.5290648694187</v>
      </c>
      <c r="I15" s="75"/>
    </row>
    <row r="16">
      <c r="A16" s="1"/>
      <c r="B16" s="34" t="s">
        <v>87</v>
      </c>
      <c r="C16" s="75"/>
      <c r="D16" s="75"/>
      <c r="E16" s="75"/>
      <c r="F16" s="75"/>
      <c r="G16" s="75"/>
      <c r="H16" s="76">
        <f>IF(OR(H14="",C14=""),"",(H14-C14)*10000)</f>
        <v>-221.13095238095238</v>
      </c>
      <c r="I16" s="75"/>
    </row>
    <row r="17">
      <c r="A17" s="1"/>
      <c r="B17" s="15" t="s">
        <v>235</v>
      </c>
      <c r="C17" s="17">
        <f>C20-C10-C11</f>
        <v>454.6000000000002</v>
      </c>
      <c r="D17" s="17">
        <f>D20-D10-D11</f>
        <v>69.90000000000018</v>
      </c>
      <c r="E17" s="17">
        <f>E20-E10-E11</f>
        <v>772.0999999999997</v>
      </c>
      <c r="F17" s="17">
        <f>F20-F10-F11</f>
        <v>-195.20000000000036</v>
      </c>
      <c r="G17" s="17">
        <f>G20-G10-G11</f>
        <v>738.1000000000004</v>
      </c>
      <c r="H17" s="44">
        <f>'Revenue summary'!H453*H10/'Revenue summary'!H446</f>
        <v>92.7632538269303</v>
      </c>
      <c r="I17" s="17"/>
    </row>
    <row r="18">
      <c r="A18" s="1"/>
      <c r="B18" s="34" t="s">
        <v>77</v>
      </c>
      <c r="C18" s="2"/>
      <c r="D18" s="2"/>
      <c r="E18" s="2"/>
      <c r="F18" s="2"/>
      <c r="G18" s="2"/>
      <c r="H18" s="20">
        <f>IF(OR(H17="",C17=""),"",IF(C17=0,"n/m",H17/C17-1))</f>
        <v>-0.7959453281413764</v>
      </c>
      <c r="I18" s="2"/>
    </row>
    <row r="19">
      <c r="A19" s="1"/>
      <c r="B19" s="15" t="s">
        <v>78</v>
      </c>
      <c r="C19" s="17"/>
      <c r="D19" s="17">
        <f>IF(OR(D17="",C17=""),"",D17-C17)</f>
        <v>-384.70000000000005</v>
      </c>
      <c r="E19" s="17"/>
      <c r="F19" s="17">
        <f>IF(OR(F17="",D17=""),"",F17-D17)</f>
        <v>-265.10000000000053</v>
      </c>
      <c r="G19" s="17">
        <f>IF(OR(G17="",F17=""),"",G17-F17)</f>
        <v>933.3000000000008</v>
      </c>
      <c r="H19" s="32">
        <f>IF(OR(H17="",G17=""),"",H17-G17)</f>
        <v>-645.3367461730701</v>
      </c>
      <c r="I19" s="17"/>
    </row>
    <row r="20">
      <c r="A20" s="1"/>
      <c r="B20" s="53" t="s">
        <v>236</v>
      </c>
      <c r="C20" s="72">
        <v>6577.2</v>
      </c>
      <c r="D20" s="72">
        <v>6707.5</v>
      </c>
      <c r="E20" s="27">
        <f>D20</f>
        <v>6707.5</v>
      </c>
      <c r="F20" s="72">
        <v>6566.4</v>
      </c>
      <c r="G20" s="72">
        <v>7343</v>
      </c>
      <c r="H20" s="40">
        <f>H10+H11+H17</f>
        <v>7507.83925382693</v>
      </c>
      <c r="I20" s="55"/>
    </row>
    <row r="21">
      <c r="A21" s="1"/>
      <c r="B21" s="34" t="s">
        <v>77</v>
      </c>
      <c r="C21" s="2"/>
      <c r="D21" s="2"/>
      <c r="E21" s="2"/>
      <c r="F21" s="2"/>
      <c r="G21" s="2"/>
      <c r="H21" s="20">
        <f>IF(OR(H20="",C20=""),"",IF(C20=0,"n/m",H20/C20-1))</f>
        <v>0.14149474758665237</v>
      </c>
      <c r="I21" s="2"/>
    </row>
    <row r="22">
      <c r="A22" s="1"/>
      <c r="B22" s="15" t="s">
        <v>78</v>
      </c>
      <c r="C22" s="17"/>
      <c r="D22" s="17">
        <f>IF(OR(D20="",C20=""),"",D20-C20)</f>
        <v>130.30000000000018</v>
      </c>
      <c r="E22" s="17"/>
      <c r="F22" s="17">
        <f>IF(OR(F20="",D20=""),"",F20-D20)</f>
        <v>-141.10000000000036</v>
      </c>
      <c r="G22" s="17">
        <f>IF(OR(G20="",F20=""),"",G20-F20)</f>
        <v>776.6000000000004</v>
      </c>
      <c r="H22" s="32">
        <f>IF(OR(H20="",G20=""),"",H20-G20)</f>
        <v>164.83925382692996</v>
      </c>
      <c r="I22" s="17"/>
    </row>
    <row r="23">
      <c r="A23" s="1"/>
      <c r="B23" s="15" t="s">
        <v>237</v>
      </c>
      <c r="C23" s="17">
        <f>AVERAGE(C10,C20)</f>
        <v>6323.549999999999</v>
      </c>
      <c r="D23" s="17">
        <f>AVERAGE(D10,D20)</f>
        <v>6642.35</v>
      </c>
      <c r="E23" s="17">
        <f>AVERAGE(E10,E20)</f>
        <v>6214.55</v>
      </c>
      <c r="F23" s="17">
        <f>AVERAGE(F10,F20)</f>
        <v>6636.95</v>
      </c>
      <c r="G23" s="17">
        <f>AVERAGE(G10,G20)</f>
        <v>6954.7</v>
      </c>
      <c r="H23" s="32">
        <f>AVERAGE(H10,H20)</f>
        <v>7425.4196269134645</v>
      </c>
      <c r="I23" s="115" t="s">
        <v>238</v>
      </c>
    </row>
    <row r="24">
      <c r="A24" s="1"/>
      <c r="B24" s="34" t="s">
        <v>77</v>
      </c>
      <c r="C24" s="2"/>
      <c r="D24" s="2"/>
      <c r="E24" s="2"/>
      <c r="F24" s="2"/>
      <c r="G24" s="2"/>
      <c r="H24" s="20">
        <f>IF(OR(H23="",C23=""),"",IF(C23=0,"n/m",H23/C23-1))</f>
        <v>0.1742485829816267</v>
      </c>
      <c r="I24" s="2"/>
    </row>
    <row r="25">
      <c r="A25" s="1"/>
      <c r="B25" s="15" t="s">
        <v>78</v>
      </c>
      <c r="C25" s="17"/>
      <c r="D25" s="17">
        <f>IF(OR(D23="",C23=""),"",D23-C23)</f>
        <v>318.8000000000011</v>
      </c>
      <c r="E25" s="17"/>
      <c r="F25" s="17">
        <f>IF(OR(F23="",D23=""),"",F23-D23)</f>
        <v>-5.400000000000546</v>
      </c>
      <c r="G25" s="17">
        <f>IF(OR(G23="",F23=""),"",G23-F23)</f>
        <v>317.75</v>
      </c>
      <c r="H25" s="32">
        <f>IF(OR(H23="",G23=""),"",H23-G23)</f>
        <v>470.7196269134647</v>
      </c>
      <c r="I25" s="17"/>
    </row>
    <row r="26">
      <c r="A26" s="1"/>
      <c r="B26" s="34" t="s">
        <v>239</v>
      </c>
      <c r="C26" s="78">
        <f>C20/'Revenue summary'!C459</f>
        <v>0.5672983206686275</v>
      </c>
      <c r="D26" s="78">
        <f>D20/'Revenue summary'!D459</f>
        <v>0.5635133999831975</v>
      </c>
      <c r="E26" s="78">
        <f>E20/'Revenue summary'!E459</f>
        <v>0.5635133999831975</v>
      </c>
      <c r="F26" s="78">
        <f>F20/'Revenue summary'!F459</f>
        <v>0.5579925050348831</v>
      </c>
      <c r="G26" s="78">
        <f>G20/'Revenue summary'!G459</f>
        <v>0.5611812088743514</v>
      </c>
      <c r="H26" s="48">
        <f>H20/'Revenue summary'!H459</f>
        <v>0.5584112498197792</v>
      </c>
      <c r="I26" s="2"/>
    </row>
    <row r="27">
      <c r="A27" s="1"/>
      <c r="B27" s="34" t="s">
        <v>135</v>
      </c>
      <c r="C27" s="75"/>
      <c r="D27" s="75">
        <f>IF(OR(D26="",C26=""),"",(D26-C26)*10000)</f>
        <v>-37.84920685430016</v>
      </c>
      <c r="E27" s="75"/>
      <c r="F27" s="75">
        <f>IF(OR(F26="",D26=""),"",(F26-D26)*10000)</f>
        <v>-55.20894948314425</v>
      </c>
      <c r="G27" s="75">
        <f>IF(OR(G26="",F26=""),"",(G26-F26)*10000)</f>
        <v>31.88703839468343</v>
      </c>
      <c r="H27" s="76">
        <f>IF(OR(H26="",G26=""),"",(H26-G26)*10000)</f>
        <v>-27.69959054572224</v>
      </c>
      <c r="I27" s="75"/>
    </row>
    <row r="28">
      <c r="A28" s="1"/>
      <c r="B28" s="34" t="s">
        <v>87</v>
      </c>
      <c r="C28" s="75"/>
      <c r="D28" s="75"/>
      <c r="E28" s="75"/>
      <c r="F28" s="75"/>
      <c r="G28" s="75"/>
      <c r="H28" s="76">
        <f>IF(OR(H26="",C26=""),"",(H26-C26)*10000)</f>
        <v>-88.87070848848322</v>
      </c>
      <c r="I28" s="75"/>
    </row>
    <row r="29">
      <c r="A29" s="1"/>
      <c r="B29" s="34" t="s">
        <v>240</v>
      </c>
      <c r="C29" s="2">
        <f>C11*(365/C$6)/C10</f>
        <v>0.03444562871532158</v>
      </c>
      <c r="D29" s="2">
        <f>D11*(365/D$6)/D10</f>
        <v>0.036433502825306927</v>
      </c>
      <c r="E29" s="2">
        <f>E11*(365/E$6)/E10</f>
        <v>0.03736717002237137</v>
      </c>
      <c r="F29" s="2">
        <f>F11*(365/F$6)/F10</f>
        <v>0.03271048163332919</v>
      </c>
      <c r="G29" s="2">
        <f>G11*(365/G$6)/G10</f>
        <v>0.023517159619133306</v>
      </c>
      <c r="H29" s="20">
        <f>H11*(365/H$6)/H10</f>
        <v>0.038942352669504826</v>
      </c>
      <c r="I29" s="2"/>
    </row>
    <row r="30">
      <c r="A30" s="1"/>
      <c r="B30" s="34" t="s">
        <v>135</v>
      </c>
      <c r="C30" s="75"/>
      <c r="D30" s="75">
        <f>IF(OR(D29="",C29=""),"",(D29-C29)*10000)</f>
        <v>19.878741099853478</v>
      </c>
      <c r="E30" s="75"/>
      <c r="F30" s="75">
        <f>IF(OR(F29="",D29=""),"",(F29-D29)*10000)</f>
        <v>-37.23021191977739</v>
      </c>
      <c r="G30" s="75">
        <f>IF(OR(G29="",F29=""),"",(G29-F29)*10000)</f>
        <v>-91.93322014195881</v>
      </c>
      <c r="H30" s="76">
        <f>IF(OR(H29="",G29=""),"",(H29-G29)*10000)</f>
        <v>154.2519305037152</v>
      </c>
      <c r="I30" s="75"/>
    </row>
    <row r="31">
      <c r="A31" s="1"/>
      <c r="B31" s="34" t="s">
        <v>87</v>
      </c>
      <c r="C31" s="75"/>
      <c r="D31" s="75"/>
      <c r="E31" s="75"/>
      <c r="F31" s="75"/>
      <c r="G31" s="75"/>
      <c r="H31" s="76">
        <f>IF(OR(H29="",C29=""),"",(H29-C29)*10000)</f>
        <v>44.96723954183248</v>
      </c>
      <c r="I31" s="75"/>
    </row>
    <row r="32">
      <c r="A32" s="1"/>
      <c r="B32" s="15" t="s">
        <v>241</v>
      </c>
      <c r="C32" s="49">
        <v>792.5</v>
      </c>
      <c r="D32" s="49">
        <v>824.8</v>
      </c>
      <c r="E32" s="17">
        <f>D32</f>
        <v>824.8</v>
      </c>
      <c r="F32" s="49">
        <v>841.3</v>
      </c>
      <c r="G32" s="49">
        <v>929.8</v>
      </c>
      <c r="H32" s="74">
        <v>960</v>
      </c>
      <c r="I32" s="17"/>
    </row>
    <row r="33">
      <c r="A33" s="1"/>
      <c r="B33" s="34" t="s">
        <v>77</v>
      </c>
      <c r="C33" s="2"/>
      <c r="D33" s="2"/>
      <c r="E33" s="2"/>
      <c r="F33" s="2"/>
      <c r="G33" s="2"/>
      <c r="H33" s="20">
        <f>IF(OR(H32="",C32=""),"",IF(C32=0,"n/m",H32/C32-1))</f>
        <v>0.21135646687697163</v>
      </c>
      <c r="I33" s="2"/>
    </row>
    <row r="34">
      <c r="A34" s="1"/>
      <c r="B34" s="15" t="s">
        <v>78</v>
      </c>
      <c r="C34" s="17"/>
      <c r="D34" s="17">
        <f>IF(OR(D32="",C32=""),"",D32-C32)</f>
        <v>32.299999999999955</v>
      </c>
      <c r="E34" s="17"/>
      <c r="F34" s="17">
        <f>IF(OR(F32="",D32=""),"",F32-D32)</f>
        <v>16.5</v>
      </c>
      <c r="G34" s="17">
        <f>IF(OR(G32="",F32=""),"",G32-F32)</f>
        <v>88.5</v>
      </c>
      <c r="H34" s="32">
        <f>IF(OR(H32="",G32=""),"",H32-G32)</f>
        <v>30.200000000000045</v>
      </c>
      <c r="I34" s="17"/>
    </row>
    <row r="35">
      <c r="A35" s="1"/>
      <c r="B35" s="34" t="s">
        <v>242</v>
      </c>
      <c r="C35" s="2">
        <f>C32/C20</f>
        <v>0.12049200267591073</v>
      </c>
      <c r="D35" s="2">
        <f>D32/D20</f>
        <v>0.12296682817741333</v>
      </c>
      <c r="E35" s="2">
        <f>E32/E20</f>
        <v>0.12296682817741333</v>
      </c>
      <c r="F35" s="2">
        <f>F32/F20</f>
        <v>0.12812195419103314</v>
      </c>
      <c r="G35" s="2">
        <f>G32/G20</f>
        <v>0.12662399564210813</v>
      </c>
      <c r="H35" s="20">
        <f>H32/H20</f>
        <v>0.1278663497637705</v>
      </c>
      <c r="I35" s="2"/>
    </row>
    <row r="36">
      <c r="A36" s="1"/>
      <c r="B36" s="34" t="s">
        <v>135</v>
      </c>
      <c r="C36" s="75"/>
      <c r="D36" s="75">
        <f>IF(OR(D35="",C35=""),"",(D35-C35)*10000)</f>
        <v>24.748255015026032</v>
      </c>
      <c r="E36" s="75"/>
      <c r="F36" s="75">
        <f>IF(OR(F35="",D35=""),"",(F35-D35)*10000)</f>
        <v>51.551260136198096</v>
      </c>
      <c r="G36" s="75">
        <f>IF(OR(G35="",F35=""),"",(G35-F35)*10000)</f>
        <v>-14.979585489250102</v>
      </c>
      <c r="H36" s="76">
        <f>IF(OR(H35="",G35=""),"",(H35-G35)*10000)</f>
        <v>12.423541216623757</v>
      </c>
      <c r="I36" s="75"/>
    </row>
    <row r="37">
      <c r="A37" s="1"/>
      <c r="B37" s="34" t="s">
        <v>87</v>
      </c>
      <c r="C37" s="75"/>
      <c r="D37" s="75"/>
      <c r="E37" s="75"/>
      <c r="F37" s="75"/>
      <c r="G37" s="75"/>
      <c r="H37" s="76">
        <f>IF(OR(H35="",C35=""),"",(H35-C35)*10000)</f>
        <v>73.74347087859778</v>
      </c>
      <c r="I37" s="75"/>
    </row>
    <row r="38">
      <c r="A38" s="1"/>
      <c r="B38" s="42"/>
      <c r="C38" s="8"/>
      <c r="D38" s="8"/>
      <c r="E38" s="8"/>
      <c r="F38" s="8"/>
      <c r="G38" s="8"/>
      <c r="H38" s="5"/>
      <c r="I38" s="8"/>
    </row>
    <row r="39">
      <c r="A39" s="1"/>
      <c r="B39" s="51" t="s">
        <v>243</v>
      </c>
      <c r="C39" s="7"/>
      <c r="D39" s="7"/>
      <c r="E39" s="7"/>
      <c r="F39" s="7"/>
      <c r="G39" s="7"/>
      <c r="H39" s="12"/>
      <c r="I39" s="7"/>
    </row>
    <row r="40">
      <c r="A40" s="1"/>
      <c r="B40" s="34" t="s">
        <v>244</v>
      </c>
      <c r="C40" s="78">
        <f>C43/'Revenue summary'!C227</f>
        <v>0.7947540983606557</v>
      </c>
      <c r="D40" s="78">
        <f>D43/'Revenue summary'!D227</f>
        <v>0.7887767969735183</v>
      </c>
      <c r="E40" s="78">
        <f>E43/'Revenue summary'!E227</f>
        <v>0.7938723404255319</v>
      </c>
      <c r="F40" s="78">
        <f>F43/'Revenue summary'!F227</f>
        <v>0.7713104325699746</v>
      </c>
      <c r="G40" s="78">
        <f>G43/'Revenue summary'!G227</f>
        <v>0.7670539171879655</v>
      </c>
      <c r="H40" s="28">
        <v>0.763</v>
      </c>
      <c r="I40" s="2"/>
    </row>
    <row r="41">
      <c r="A41" s="1"/>
      <c r="B41" s="34" t="s">
        <v>135</v>
      </c>
      <c r="C41" s="75"/>
      <c r="D41" s="75">
        <f>IF(OR(D40="",C40=""),"",(D40-C40)*10000)</f>
        <v>-59.77301387137368</v>
      </c>
      <c r="E41" s="75"/>
      <c r="F41" s="75">
        <f>IF(OR(F40="",D40=""),"",(F40-D40)*10000)</f>
        <v>-174.66364403543767</v>
      </c>
      <c r="G41" s="75">
        <f>IF(OR(G40="",F40=""),"",(G40-F40)*10000)</f>
        <v>-42.56515382009107</v>
      </c>
      <c r="H41" s="76">
        <f>IF(OR(H40="",G40=""),"",(H40-G40)*10000)</f>
        <v>-40.53917187965439</v>
      </c>
      <c r="I41" s="75"/>
    </row>
    <row r="42">
      <c r="A42" s="1"/>
      <c r="B42" s="34" t="s">
        <v>87</v>
      </c>
      <c r="C42" s="75"/>
      <c r="D42" s="75"/>
      <c r="E42" s="75"/>
      <c r="F42" s="75"/>
      <c r="G42" s="75"/>
      <c r="H42" s="76">
        <f>IF(OR(H40="",C40=""),"",(H40-C40)*10000)</f>
        <v>-317.5409836065568</v>
      </c>
      <c r="I42" s="75"/>
    </row>
    <row r="43">
      <c r="A43" s="1"/>
      <c r="B43" s="15" t="s">
        <v>133</v>
      </c>
      <c r="C43" s="49">
        <v>2424</v>
      </c>
      <c r="D43" s="11">
        <f>Inputs!D147-Inputs!C147-C43</f>
        <v>2502</v>
      </c>
      <c r="E43" s="11">
        <f>Inputs!C147+C43+D43</f>
        <v>9328</v>
      </c>
      <c r="F43" s="49">
        <v>2425</v>
      </c>
      <c r="G43" s="49">
        <v>2575</v>
      </c>
      <c r="H43" s="44">
        <f>'Revenue summary'!H227*H40</f>
        <v>2659.485230433765</v>
      </c>
      <c r="I43" s="17"/>
    </row>
    <row r="44">
      <c r="A44" s="1"/>
      <c r="B44" s="34" t="s">
        <v>61</v>
      </c>
      <c r="C44" s="2"/>
      <c r="D44" s="2"/>
      <c r="E44" s="2"/>
      <c r="F44" s="2"/>
      <c r="G44" s="2"/>
      <c r="H44" s="20">
        <f>IF(OR(H43="",C43=""),"",IF(C43=0,"n/m",H43/C43-1))</f>
        <v>0.09714737229115711</v>
      </c>
      <c r="I44" s="2"/>
    </row>
    <row r="45">
      <c r="A45" s="1"/>
      <c r="B45" s="34" t="s">
        <v>62</v>
      </c>
      <c r="C45" s="2"/>
      <c r="D45" s="2">
        <f>IF(OR(D43="",C43=""),"",IF(C43=0,"n/m",D43/C43-1))</f>
        <v>0.03217821782178221</v>
      </c>
      <c r="E45" s="2"/>
      <c r="F45" s="2">
        <f>IF(OR(F43="",D43=""),"",IF(D43=0,"n/m",F43/D43-1))</f>
        <v>-0.030775379696243</v>
      </c>
      <c r="G45" s="2">
        <f>IF(OR(G43="",F43=""),"",IF(F43=0,"n/m",G43/F43-1))</f>
        <v>0.061855670103092786</v>
      </c>
      <c r="H45" s="20">
        <f>IF(OR(H43="",G43=""),"",IF(G43=0,"n/m",H43/G43-1))</f>
        <v>0.03280979822670482</v>
      </c>
      <c r="I45" s="2"/>
    </row>
    <row r="46">
      <c r="A46" s="1"/>
      <c r="B46" s="34" t="s">
        <v>64</v>
      </c>
      <c r="C46" s="2"/>
      <c r="D46" s="2"/>
      <c r="E46" s="2"/>
      <c r="F46" s="2"/>
      <c r="G46" s="2"/>
      <c r="H46" s="20">
        <f>IF(C43=0,"n/m",H43/C43-1)</f>
        <v>0.09714737229115711</v>
      </c>
      <c r="I46" s="2"/>
    </row>
    <row r="47">
      <c r="A47" s="1"/>
      <c r="B47" s="34" t="s">
        <v>70</v>
      </c>
      <c r="C47" s="2"/>
      <c r="D47" s="2"/>
      <c r="E47" s="2"/>
      <c r="F47" s="2"/>
      <c r="G47" s="2"/>
      <c r="H47" s="28">
        <v>0</v>
      </c>
      <c r="I47" s="2"/>
    </row>
    <row r="48">
      <c r="A48" s="1"/>
      <c r="B48" s="34" t="s">
        <v>67</v>
      </c>
      <c r="C48" s="2"/>
      <c r="D48" s="2"/>
      <c r="E48" s="2"/>
      <c r="F48" s="2"/>
      <c r="G48" s="2"/>
      <c r="H48" s="28">
        <v>0</v>
      </c>
      <c r="I48" s="2"/>
    </row>
    <row r="49">
      <c r="A49" s="1"/>
      <c r="B49" s="34" t="s">
        <v>68</v>
      </c>
      <c r="C49" s="2"/>
      <c r="D49" s="2"/>
      <c r="E49" s="2"/>
      <c r="F49" s="2"/>
      <c r="G49" s="2"/>
      <c r="H49" s="20">
        <f>(1+H46)/((1+H47)*(1+H48))-1</f>
        <v>0.09714737229115711</v>
      </c>
      <c r="I49" s="2"/>
    </row>
    <row r="50">
      <c r="A50" s="1"/>
      <c r="B50" s="34" t="s">
        <v>245</v>
      </c>
      <c r="C50" s="78">
        <f>C53/'Revenue summary'!C344</f>
        <v>0.7298266586969516</v>
      </c>
      <c r="D50" s="78">
        <f>D53/'Revenue summary'!D344</f>
        <v>0.7368724754760531</v>
      </c>
      <c r="E50" s="78">
        <f>E53/'Revenue summary'!E344</f>
        <v>0.7310175222871196</v>
      </c>
      <c r="F50" s="78">
        <f>F53/'Revenue summary'!F344</f>
        <v>0.7356452529846503</v>
      </c>
      <c r="G50" s="78">
        <f>G53/'Revenue summary'!G344</f>
        <v>0.7391780821917808</v>
      </c>
      <c r="H50" s="28">
        <v>0.74</v>
      </c>
      <c r="I50" s="2"/>
    </row>
    <row r="51">
      <c r="A51" s="1"/>
      <c r="B51" s="34" t="s">
        <v>135</v>
      </c>
      <c r="C51" s="75"/>
      <c r="D51" s="75">
        <f>IF(OR(D50="",C50=""),"",(D50-C50)*10000)</f>
        <v>70.45816779101432</v>
      </c>
      <c r="E51" s="75"/>
      <c r="F51" s="75">
        <f>IF(OR(F50="",D50=""),"",(F50-D50)*10000)</f>
        <v>-12.272224914027241</v>
      </c>
      <c r="G51" s="75">
        <f>IF(OR(G50="",F50=""),"",(G50-F50)*10000)</f>
        <v>35.32829207130494</v>
      </c>
      <c r="H51" s="76">
        <f>IF(OR(H50="",G50=""),"",(H50-G50)*10000)</f>
        <v>8.219178082191636</v>
      </c>
      <c r="I51" s="75"/>
    </row>
    <row r="52">
      <c r="A52" s="1"/>
      <c r="B52" s="34" t="s">
        <v>87</v>
      </c>
      <c r="C52" s="75"/>
      <c r="D52" s="75"/>
      <c r="E52" s="75"/>
      <c r="F52" s="75"/>
      <c r="G52" s="75"/>
      <c r="H52" s="76">
        <f>IF(OR(H50="",C50=""),"",(H50-C50)*10000)</f>
        <v>101.73341303048366</v>
      </c>
      <c r="I52" s="75"/>
    </row>
    <row r="53">
      <c r="A53" s="1"/>
      <c r="B53" s="15" t="s">
        <v>160</v>
      </c>
      <c r="C53" s="49">
        <v>1221</v>
      </c>
      <c r="D53" s="11">
        <f>Inputs!D148-Inputs!C148-C53</f>
        <v>1277</v>
      </c>
      <c r="E53" s="11">
        <f>Inputs!C148+C53+D53</f>
        <v>4756</v>
      </c>
      <c r="F53" s="49">
        <v>1294</v>
      </c>
      <c r="G53" s="49">
        <v>1349</v>
      </c>
      <c r="H53" s="44">
        <f>'Revenue summary'!H344*H50</f>
        <v>1408.2718683449073</v>
      </c>
      <c r="I53" s="17"/>
    </row>
    <row r="54">
      <c r="A54" s="1"/>
      <c r="B54" s="34" t="s">
        <v>61</v>
      </c>
      <c r="C54" s="2"/>
      <c r="D54" s="2"/>
      <c r="E54" s="2"/>
      <c r="F54" s="2"/>
      <c r="G54" s="2"/>
      <c r="H54" s="20">
        <f>IF(OR(H53="",C53=""),"",IF(C53=0,"n/m",H53/C53-1))</f>
        <v>0.1533758135502925</v>
      </c>
      <c r="I54" s="2"/>
    </row>
    <row r="55">
      <c r="A55" s="1"/>
      <c r="B55" s="34" t="s">
        <v>62</v>
      </c>
      <c r="C55" s="2"/>
      <c r="D55" s="2">
        <f>IF(OR(D53="",C53=""),"",IF(C53=0,"n/m",D53/C53-1))</f>
        <v>0.0458640458640458</v>
      </c>
      <c r="E55" s="2"/>
      <c r="F55" s="2">
        <f>IF(OR(F53="",D53=""),"",IF(D53=0,"n/m",F53/D53-1))</f>
        <v>0.013312451057165164</v>
      </c>
      <c r="G55" s="2">
        <f>IF(OR(G53="",F53=""),"",IF(F53=0,"n/m",G53/F53-1))</f>
        <v>0.04250386398763517</v>
      </c>
      <c r="H55" s="20">
        <f>IF(OR(H53="",G53=""),"",IF(G53=0,"n/m",H53/G53-1))</f>
        <v>0.04393763405849316</v>
      </c>
      <c r="I55" s="2"/>
    </row>
    <row r="56">
      <c r="A56" s="1"/>
      <c r="B56" s="34" t="s">
        <v>64</v>
      </c>
      <c r="C56" s="2"/>
      <c r="D56" s="2"/>
      <c r="E56" s="2"/>
      <c r="F56" s="2"/>
      <c r="G56" s="2"/>
      <c r="H56" s="20">
        <f>IF(C53=0,"n/m",H53/C53-1)</f>
        <v>0.1533758135502925</v>
      </c>
      <c r="I56" s="2"/>
    </row>
    <row r="57">
      <c r="A57" s="1"/>
      <c r="B57" s="34" t="s">
        <v>70</v>
      </c>
      <c r="C57" s="2"/>
      <c r="D57" s="2"/>
      <c r="E57" s="2"/>
      <c r="F57" s="2"/>
      <c r="G57" s="2"/>
      <c r="H57" s="28">
        <v>0</v>
      </c>
      <c r="I57" s="2"/>
    </row>
    <row r="58">
      <c r="A58" s="1"/>
      <c r="B58" s="34" t="s">
        <v>67</v>
      </c>
      <c r="C58" s="2"/>
      <c r="D58" s="2"/>
      <c r="E58" s="2"/>
      <c r="F58" s="2"/>
      <c r="G58" s="2"/>
      <c r="H58" s="28">
        <v>0</v>
      </c>
      <c r="I58" s="2"/>
    </row>
    <row r="59">
      <c r="A59" s="1"/>
      <c r="B59" s="34" t="s">
        <v>68</v>
      </c>
      <c r="C59" s="2"/>
      <c r="D59" s="2"/>
      <c r="E59" s="2"/>
      <c r="F59" s="2"/>
      <c r="G59" s="2"/>
      <c r="H59" s="20">
        <f>(1+H56)/((1+H57)*(1+H58))-1</f>
        <v>0.1533758135502925</v>
      </c>
      <c r="I59" s="2"/>
    </row>
    <row r="60">
      <c r="A60" s="1"/>
      <c r="B60" s="34" t="s">
        <v>246</v>
      </c>
      <c r="C60" s="78">
        <f>C63/'Revenue summary'!C377</f>
        <v>0.9105527638190954</v>
      </c>
      <c r="D60" s="78">
        <f>D63/'Revenue summary'!D377</f>
        <v>0.9024390243902439</v>
      </c>
      <c r="E60" s="78">
        <f>E63/'Revenue summary'!E377</f>
        <v>0.8990053557765876</v>
      </c>
      <c r="F60" s="78">
        <f>F63/'Revenue summary'!F377</f>
        <v>0.8999081726354453</v>
      </c>
      <c r="G60" s="78">
        <f>G63/'Revenue summary'!G377</f>
        <v>0.8946502057613168</v>
      </c>
      <c r="H60" s="28">
        <v>0.895</v>
      </c>
      <c r="I60" s="2"/>
    </row>
    <row r="61">
      <c r="A61" s="1"/>
      <c r="B61" s="34" t="s">
        <v>135</v>
      </c>
      <c r="C61" s="75"/>
      <c r="D61" s="75">
        <f>IF(OR(D60="",C60=""),"",(D60-C60)*10000)</f>
        <v>-81.13739428851518</v>
      </c>
      <c r="E61" s="75"/>
      <c r="F61" s="75">
        <f>IF(OR(F60="",D60=""),"",(F60-D60)*10000)</f>
        <v>-25.30851754798613</v>
      </c>
      <c r="G61" s="75">
        <f>IF(OR(G60="",F60=""),"",(G60-F60)*10000)</f>
        <v>-52.57966874128495</v>
      </c>
      <c r="H61" s="76">
        <f>IF(OR(H60="",G60=""),"",(H60-G60)*10000)</f>
        <v>3.497942386831987</v>
      </c>
      <c r="I61" s="75"/>
    </row>
    <row r="62">
      <c r="A62" s="1"/>
      <c r="B62" s="34" t="s">
        <v>87</v>
      </c>
      <c r="C62" s="75"/>
      <c r="D62" s="75"/>
      <c r="E62" s="75"/>
      <c r="F62" s="75"/>
      <c r="G62" s="75"/>
      <c r="H62" s="76">
        <f>IF(OR(H60="",C60=""),"",(H60-C60)*10000)</f>
        <v>-155.52763819095426</v>
      </c>
      <c r="I62" s="75"/>
    </row>
    <row r="63">
      <c r="A63" s="1"/>
      <c r="B63" s="15" t="s">
        <v>178</v>
      </c>
      <c r="C63" s="49">
        <v>906</v>
      </c>
      <c r="D63" s="11">
        <f>Inputs!D149-Inputs!C149-C63</f>
        <v>962</v>
      </c>
      <c r="E63" s="11">
        <f>Inputs!C149+C63+D63</f>
        <v>3525</v>
      </c>
      <c r="F63" s="49">
        <v>980</v>
      </c>
      <c r="G63" s="49">
        <v>1087</v>
      </c>
      <c r="H63" s="44">
        <f>'Revenue summary'!H377*H60</f>
        <v>1061.3184407</v>
      </c>
      <c r="I63" s="17"/>
    </row>
    <row r="64">
      <c r="A64" s="1"/>
      <c r="B64" s="34" t="s">
        <v>61</v>
      </c>
      <c r="C64" s="2"/>
      <c r="D64" s="2"/>
      <c r="E64" s="2"/>
      <c r="F64" s="2"/>
      <c r="G64" s="2"/>
      <c r="H64" s="20">
        <f>IF(OR(H63="",C63=""),"",IF(C63=0,"n/m",H63/C63-1))</f>
        <v>0.1714331575055188</v>
      </c>
      <c r="I64" s="2"/>
    </row>
    <row r="65">
      <c r="A65" s="1"/>
      <c r="B65" s="34" t="s">
        <v>62</v>
      </c>
      <c r="C65" s="2"/>
      <c r="D65" s="2">
        <f>IF(OR(D63="",C63=""),"",IF(C63=0,"n/m",D63/C63-1))</f>
        <v>0.06181015452538641</v>
      </c>
      <c r="E65" s="2"/>
      <c r="F65" s="2">
        <f>IF(OR(F63="",D63=""),"",IF(D63=0,"n/m",F63/D63-1))</f>
        <v>0.018711018711018657</v>
      </c>
      <c r="G65" s="2">
        <f>IF(OR(G63="",F63=""),"",IF(F63=0,"n/m",G63/F63-1))</f>
        <v>0.10918367346938784</v>
      </c>
      <c r="H65" s="20">
        <f>IF(OR(H63="",G63=""),"",IF(G63=0,"n/m",H63/G63-1))</f>
        <v>-0.0236260895124194</v>
      </c>
      <c r="I65" s="2"/>
    </row>
    <row r="66">
      <c r="A66" s="1"/>
      <c r="B66" s="34" t="s">
        <v>64</v>
      </c>
      <c r="C66" s="2"/>
      <c r="D66" s="2"/>
      <c r="E66" s="2"/>
      <c r="F66" s="2"/>
      <c r="G66" s="2"/>
      <c r="H66" s="20">
        <f>IF(C63=0,"n/m",H63/C63-1)</f>
        <v>0.1714331575055188</v>
      </c>
      <c r="I66" s="2"/>
    </row>
    <row r="67">
      <c r="A67" s="1"/>
      <c r="B67" s="34" t="s">
        <v>70</v>
      </c>
      <c r="C67" s="2"/>
      <c r="D67" s="2"/>
      <c r="E67" s="2"/>
      <c r="F67" s="2"/>
      <c r="G67" s="2"/>
      <c r="H67" s="28">
        <v>0</v>
      </c>
      <c r="I67" s="2"/>
    </row>
    <row r="68">
      <c r="A68" s="1"/>
      <c r="B68" s="34" t="s">
        <v>67</v>
      </c>
      <c r="C68" s="2"/>
      <c r="D68" s="2"/>
      <c r="E68" s="2"/>
      <c r="F68" s="2"/>
      <c r="G68" s="2"/>
      <c r="H68" s="28">
        <v>0</v>
      </c>
      <c r="I68" s="2"/>
    </row>
    <row r="69">
      <c r="A69" s="1"/>
      <c r="B69" s="34" t="s">
        <v>68</v>
      </c>
      <c r="C69" s="2"/>
      <c r="D69" s="2"/>
      <c r="E69" s="2"/>
      <c r="F69" s="2"/>
      <c r="G69" s="2"/>
      <c r="H69" s="20">
        <f>(1+H66)/((1+H67)*(1+H68))-1</f>
        <v>0.1714331575055188</v>
      </c>
      <c r="I69" s="2"/>
    </row>
    <row r="70">
      <c r="A70" s="1"/>
      <c r="B70" s="34" t="s">
        <v>247</v>
      </c>
      <c r="C70" s="78">
        <f>C73/'Revenue summary'!C396</f>
        <v>0.7935222672064778</v>
      </c>
      <c r="D70" s="78">
        <f>D73/'Revenue summary'!D396</f>
        <v>0.7773109243697479</v>
      </c>
      <c r="E70" s="78">
        <f>E73/'Revenue summary'!E396</f>
        <v>0.7840327533265097</v>
      </c>
      <c r="F70" s="78">
        <f>F73/'Revenue summary'!F396</f>
        <v>0.7661016949152543</v>
      </c>
      <c r="G70" s="78">
        <f>G73/'Revenue summary'!G396</f>
        <v>0.7717717717717718</v>
      </c>
      <c r="H70" s="28">
        <v>0.77</v>
      </c>
      <c r="I70" s="2"/>
    </row>
    <row r="71">
      <c r="A71" s="1"/>
      <c r="B71" s="34" t="s">
        <v>135</v>
      </c>
      <c r="C71" s="75"/>
      <c r="D71" s="75">
        <f>IF(OR(D70="",C70=""),"",(D70-C70)*10000)</f>
        <v>-162.1134283672987</v>
      </c>
      <c r="E71" s="75"/>
      <c r="F71" s="75">
        <f>IF(OR(F70="",D70=""),"",(F70-D70)*10000)</f>
        <v>-112.09229454493652</v>
      </c>
      <c r="G71" s="75">
        <f>IF(OR(G70="",F70=""),"",(G70-F70)*10000)</f>
        <v>56.70076856517547</v>
      </c>
      <c r="H71" s="76">
        <f>IF(OR(H70="",G70=""),"",(H70-G70)*10000)</f>
        <v>-17.717717717717907</v>
      </c>
      <c r="I71" s="75"/>
    </row>
    <row r="72">
      <c r="A72" s="1"/>
      <c r="B72" s="34" t="s">
        <v>87</v>
      </c>
      <c r="C72" s="75"/>
      <c r="D72" s="75"/>
      <c r="E72" s="75"/>
      <c r="F72" s="75"/>
      <c r="G72" s="75"/>
      <c r="H72" s="76">
        <f>IF(OR(H70="",C70=""),"",(H70-C70)*10000)</f>
        <v>-235.22267206477764</v>
      </c>
      <c r="I72" s="75"/>
    </row>
    <row r="73">
      <c r="A73" s="1"/>
      <c r="B73" s="15" t="s">
        <v>185</v>
      </c>
      <c r="C73" s="49">
        <v>196</v>
      </c>
      <c r="D73" s="11">
        <f>Inputs!D150-Inputs!C150-C73</f>
        <v>185</v>
      </c>
      <c r="E73" s="11">
        <f>Inputs!C150+C73+D73</f>
        <v>766</v>
      </c>
      <c r="F73" s="49">
        <v>226</v>
      </c>
      <c r="G73" s="49">
        <v>257</v>
      </c>
      <c r="H73" s="44">
        <f>'Revenue summary'!H396*H70</f>
        <v>266.43107682526403</v>
      </c>
      <c r="I73" s="17"/>
    </row>
    <row r="74">
      <c r="A74" s="1"/>
      <c r="B74" s="34" t="s">
        <v>61</v>
      </c>
      <c r="C74" s="2"/>
      <c r="D74" s="2"/>
      <c r="E74" s="2"/>
      <c r="F74" s="2"/>
      <c r="G74" s="2"/>
      <c r="H74" s="20">
        <f>IF(OR(H73="",C73=""),"",IF(C73=0,"n/m",H73/C73-1))</f>
        <v>0.3593422287003267</v>
      </c>
      <c r="I74" s="2"/>
    </row>
    <row r="75">
      <c r="A75" s="1"/>
      <c r="B75" s="34" t="s">
        <v>62</v>
      </c>
      <c r="C75" s="2"/>
      <c r="D75" s="2">
        <f>IF(OR(D73="",C73=""),"",IF(C73=0,"n/m",D73/C73-1))</f>
        <v>-0.056122448979591844</v>
      </c>
      <c r="E75" s="2"/>
      <c r="F75" s="2">
        <f>IF(OR(F73="",D73=""),"",IF(D73=0,"n/m",F73/D73-1))</f>
        <v>0.22162162162162158</v>
      </c>
      <c r="G75" s="2">
        <f>IF(OR(G73="",F73=""),"",IF(F73=0,"n/m",G73/F73-1))</f>
        <v>0.13716814159292046</v>
      </c>
      <c r="H75" s="20">
        <f>IF(OR(H73="",G73=""),"",IF(G73=0,"n/m",H73/G73-1))</f>
        <v>0.03669679698546324</v>
      </c>
      <c r="I75" s="2"/>
    </row>
    <row r="76">
      <c r="A76" s="1"/>
      <c r="B76" s="34" t="s">
        <v>64</v>
      </c>
      <c r="C76" s="2"/>
      <c r="D76" s="2"/>
      <c r="E76" s="2"/>
      <c r="F76" s="2"/>
      <c r="G76" s="2"/>
      <c r="H76" s="20">
        <f>IF(C73=0,"n/m",H73/C73-1)</f>
        <v>0.3593422287003267</v>
      </c>
      <c r="I76" s="2"/>
    </row>
    <row r="77">
      <c r="A77" s="1"/>
      <c r="B77" s="34" t="s">
        <v>70</v>
      </c>
      <c r="C77" s="2"/>
      <c r="D77" s="2"/>
      <c r="E77" s="2"/>
      <c r="F77" s="2"/>
      <c r="G77" s="2"/>
      <c r="H77" s="28">
        <v>0</v>
      </c>
      <c r="I77" s="2"/>
    </row>
    <row r="78">
      <c r="A78" s="1"/>
      <c r="B78" s="34" t="s">
        <v>67</v>
      </c>
      <c r="C78" s="2"/>
      <c r="D78" s="2"/>
      <c r="E78" s="2"/>
      <c r="F78" s="2"/>
      <c r="G78" s="2"/>
      <c r="H78" s="28">
        <v>0</v>
      </c>
      <c r="I78" s="2"/>
    </row>
    <row r="79">
      <c r="A79" s="1"/>
      <c r="B79" s="34" t="s">
        <v>68</v>
      </c>
      <c r="C79" s="2"/>
      <c r="D79" s="2"/>
      <c r="E79" s="2"/>
      <c r="F79" s="2"/>
      <c r="G79" s="2"/>
      <c r="H79" s="20">
        <f>(1+H76)/((1+H77)*(1+H78))-1</f>
        <v>0.3593422287003267</v>
      </c>
      <c r="I79" s="2"/>
    </row>
    <row r="80">
      <c r="A80" s="1"/>
      <c r="B80" s="34" t="s">
        <v>248</v>
      </c>
      <c r="C80" s="78">
        <f>C83/'Revenue summary'!C419</f>
        <v>0.8</v>
      </c>
      <c r="D80" s="78">
        <f>D83/'Revenue summary'!D419</f>
        <v>0.8661417322834646</v>
      </c>
      <c r="E80" s="78">
        <f>E83/'Revenue summary'!E419</f>
        <v>0.8135593220338984</v>
      </c>
      <c r="F80" s="78">
        <f>F83/'Revenue summary'!F419</f>
        <v>0.7794871794871795</v>
      </c>
      <c r="G80" s="78">
        <f>G83/'Revenue summary'!G419</f>
        <v>0.7602339181286549</v>
      </c>
      <c r="H80" s="28">
        <v>0.78</v>
      </c>
      <c r="I80" s="2"/>
    </row>
    <row r="81">
      <c r="A81" s="1"/>
      <c r="B81" s="34" t="s">
        <v>135</v>
      </c>
      <c r="C81" s="75"/>
      <c r="D81" s="75">
        <f>IF(OR(D80="",C80=""),"",(D80-C80)*10000)</f>
        <v>661.4173228346453</v>
      </c>
      <c r="E81" s="75"/>
      <c r="F81" s="75">
        <f>IF(OR(F80="",D80=""),"",(F80-D80)*10000)</f>
        <v>-866.5455279628509</v>
      </c>
      <c r="G81" s="75">
        <f>IF(OR(G80="",F80=""),"",(G80-F80)*10000)</f>
        <v>-192.53261358524566</v>
      </c>
      <c r="H81" s="76">
        <f>IF(OR(H80="",G80=""),"",(H80-G80)*10000)</f>
        <v>197.660818713451</v>
      </c>
      <c r="I81" s="75"/>
    </row>
    <row r="82">
      <c r="A82" s="1"/>
      <c r="B82" s="34" t="s">
        <v>87</v>
      </c>
      <c r="C82" s="75"/>
      <c r="D82" s="75"/>
      <c r="E82" s="75"/>
      <c r="F82" s="75"/>
      <c r="G82" s="75"/>
      <c r="H82" s="76">
        <f>IF(OR(H80="",C80=""),"",(H80-C80)*10000)</f>
        <v>-200.00000000000017</v>
      </c>
      <c r="I82" s="75"/>
    </row>
    <row r="83">
      <c r="A83" s="1"/>
      <c r="B83" s="15" t="s">
        <v>189</v>
      </c>
      <c r="C83" s="49">
        <v>136</v>
      </c>
      <c r="D83" s="11">
        <f>Inputs!D151-Inputs!C151-C83</f>
        <v>110</v>
      </c>
      <c r="E83" s="11">
        <f>Inputs!C151+C83+D83</f>
        <v>624</v>
      </c>
      <c r="F83" s="49">
        <v>152</v>
      </c>
      <c r="G83" s="49">
        <v>260</v>
      </c>
      <c r="H83" s="44">
        <f>'Revenue summary'!H419*H80</f>
        <v>179.4</v>
      </c>
      <c r="I83" s="17"/>
    </row>
    <row r="84">
      <c r="A84" s="1"/>
      <c r="B84" s="34" t="s">
        <v>61</v>
      </c>
      <c r="C84" s="2"/>
      <c r="D84" s="2"/>
      <c r="E84" s="2"/>
      <c r="F84" s="2"/>
      <c r="G84" s="2"/>
      <c r="H84" s="20">
        <f>IF(OR(H83="",C83=""),"",IF(C83=0,"n/m",H83/C83-1))</f>
        <v>0.3191176470588235</v>
      </c>
      <c r="I84" s="2"/>
    </row>
    <row r="85">
      <c r="A85" s="1"/>
      <c r="B85" s="34" t="s">
        <v>62</v>
      </c>
      <c r="C85" s="2"/>
      <c r="D85" s="2">
        <f>IF(OR(D83="",C83=""),"",IF(C83=0,"n/m",D83/C83-1))</f>
        <v>-0.19117647058823528</v>
      </c>
      <c r="E85" s="2"/>
      <c r="F85" s="2">
        <f>IF(OR(F83="",D83=""),"",IF(D83=0,"n/m",F83/D83-1))</f>
        <v>0.38181818181818183</v>
      </c>
      <c r="G85" s="2">
        <f>IF(OR(G83="",F83=""),"",IF(F83=0,"n/m",G83/F83-1))</f>
        <v>0.7105263157894737</v>
      </c>
      <c r="H85" s="20">
        <f>IF(OR(H83="",G83=""),"",IF(G83=0,"n/m",H83/G83-1))</f>
        <v>-0.30999999999999994</v>
      </c>
      <c r="I85" s="2"/>
    </row>
    <row r="86">
      <c r="A86" s="1"/>
      <c r="B86" s="34" t="s">
        <v>64</v>
      </c>
      <c r="C86" s="2"/>
      <c r="D86" s="2"/>
      <c r="E86" s="2"/>
      <c r="F86" s="2"/>
      <c r="G86" s="2"/>
      <c r="H86" s="20">
        <f>IF(C83=0,"n/m",H83/C83-1)</f>
        <v>0.3191176470588235</v>
      </c>
      <c r="I86" s="2"/>
    </row>
    <row r="87">
      <c r="A87" s="1"/>
      <c r="B87" s="34" t="s">
        <v>65</v>
      </c>
      <c r="C87" s="2"/>
      <c r="D87" s="2"/>
      <c r="E87" s="2"/>
      <c r="F87" s="2"/>
      <c r="G87" s="2"/>
      <c r="H87" s="48">
        <f>'Revenue summary'!H405*H80/C83</f>
        <v>0.2580882352941177</v>
      </c>
      <c r="I87" s="120" t="s">
        <v>249</v>
      </c>
    </row>
    <row r="88">
      <c r="A88" s="1"/>
      <c r="B88" s="34" t="s">
        <v>67</v>
      </c>
      <c r="C88" s="2"/>
      <c r="D88" s="2"/>
      <c r="E88" s="2"/>
      <c r="F88" s="2"/>
      <c r="G88" s="2"/>
      <c r="H88" s="28">
        <v>0</v>
      </c>
      <c r="I88" s="2"/>
    </row>
    <row r="89">
      <c r="A89" s="1"/>
      <c r="B89" s="34" t="s">
        <v>68</v>
      </c>
      <c r="C89" s="2"/>
      <c r="D89" s="2"/>
      <c r="E89" s="2"/>
      <c r="F89" s="2"/>
      <c r="G89" s="2"/>
      <c r="H89" s="20">
        <f>(1+H86)/((1+H87)*(1+H88))-1</f>
        <v>0.04850964348334319</v>
      </c>
      <c r="I89" s="2"/>
    </row>
    <row r="90">
      <c r="A90" s="1"/>
      <c r="B90" s="53" t="s">
        <v>250</v>
      </c>
      <c r="C90" s="27">
        <f>C43+C53+C63+C73+C83</f>
        <v>4883</v>
      </c>
      <c r="D90" s="27">
        <f>D43+D53+D63+D73+D83</f>
        <v>5036</v>
      </c>
      <c r="E90" s="27">
        <f>E43+E53+E63+E73+E83</f>
        <v>18999</v>
      </c>
      <c r="F90" s="27">
        <f>F43+F53+F63+F73+F83</f>
        <v>5077</v>
      </c>
      <c r="G90" s="27">
        <f>G43+G53+G63+G73+G83</f>
        <v>5528</v>
      </c>
      <c r="H90" s="40">
        <f>H43+H53+H63+H73+H83</f>
        <v>5574.906616303936</v>
      </c>
      <c r="I90" s="55"/>
    </row>
    <row r="91">
      <c r="A91" s="1"/>
      <c r="B91" s="34" t="s">
        <v>61</v>
      </c>
      <c r="C91" s="2"/>
      <c r="D91" s="2"/>
      <c r="E91" s="2"/>
      <c r="F91" s="2"/>
      <c r="G91" s="2"/>
      <c r="H91" s="20">
        <f>IF(OR(H90="",C90=""),"",IF(C90=0,"n/m",H90/C90-1))</f>
        <v>0.14169703385294619</v>
      </c>
      <c r="I91" s="2"/>
    </row>
    <row r="92">
      <c r="A92" s="1"/>
      <c r="B92" s="34" t="s">
        <v>62</v>
      </c>
      <c r="C92" s="2"/>
      <c r="D92" s="2">
        <f>IF(OR(D90="",C90=""),"",IF(C90=0,"n/m",D90/C90-1))</f>
        <v>0.0313331968052426</v>
      </c>
      <c r="E92" s="2"/>
      <c r="F92" s="2">
        <f>IF(OR(F90="",D90=""),"",IF(D90=0,"n/m",F90/D90-1))</f>
        <v>0.008141382049245527</v>
      </c>
      <c r="G92" s="2">
        <f>IF(OR(G90="",F90=""),"",IF(F90=0,"n/m",G90/F90-1))</f>
        <v>0.08883198739413034</v>
      </c>
      <c r="H92" s="20">
        <f>IF(OR(H90="",G90=""),"",IF(G90=0,"n/m",H90/G90-1))</f>
        <v>0.008485277913157674</v>
      </c>
      <c r="I92" s="2"/>
    </row>
    <row r="93">
      <c r="A93" s="1"/>
      <c r="B93" s="34" t="s">
        <v>64</v>
      </c>
      <c r="C93" s="2"/>
      <c r="D93" s="2"/>
      <c r="E93" s="2"/>
      <c r="F93" s="2"/>
      <c r="G93" s="2"/>
      <c r="H93" s="20">
        <f>IF(C90=0,"n/m",H90/C90-1)</f>
        <v>0.14169703385294619</v>
      </c>
      <c r="I93" s="2"/>
    </row>
    <row r="94">
      <c r="A94" s="1"/>
      <c r="B94" s="34" t="s">
        <v>65</v>
      </c>
      <c r="C94" s="2"/>
      <c r="D94" s="2"/>
      <c r="E94" s="2"/>
      <c r="F94" s="2"/>
      <c r="G94" s="2"/>
      <c r="H94" s="48">
        <f>'Revenue summary'!H405*H80/C90</f>
        <v>0.007188203972967438</v>
      </c>
      <c r="I94" s="2"/>
    </row>
    <row r="95">
      <c r="A95" s="1"/>
      <c r="B95" s="34" t="s">
        <v>67</v>
      </c>
      <c r="C95" s="2"/>
      <c r="D95" s="2"/>
      <c r="E95" s="2"/>
      <c r="F95" s="2"/>
      <c r="G95" s="2"/>
      <c r="H95" s="28">
        <v>0</v>
      </c>
      <c r="I95" s="2"/>
    </row>
    <row r="96">
      <c r="A96" s="1"/>
      <c r="B96" s="34" t="s">
        <v>68</v>
      </c>
      <c r="C96" s="2"/>
      <c r="D96" s="2"/>
      <c r="E96" s="2"/>
      <c r="F96" s="2"/>
      <c r="G96" s="2"/>
      <c r="H96" s="20">
        <f>(1+H93)/((1+H94)*(1+H95))-1</f>
        <v>0.13354885348080292</v>
      </c>
      <c r="I96" s="2"/>
    </row>
    <row r="97">
      <c r="A97" s="1"/>
      <c r="B97" s="15" t="s">
        <v>251</v>
      </c>
      <c r="C97" s="17">
        <f>C90*(365/C$6)/(C23*1000)*10000</f>
        <v>30.63591137751807</v>
      </c>
      <c r="D97" s="17">
        <f>D90*(365/D$6)/(D23*1000)*10000</f>
        <v>30.07938848253352</v>
      </c>
      <c r="E97" s="17">
        <f>E90*(365/E$6)/(E23*1000)*10000</f>
        <v>30.571803268136872</v>
      </c>
      <c r="F97" s="17">
        <f>F90*(365/F$6)/(F23*1000)*10000</f>
        <v>31.023370005131206</v>
      </c>
      <c r="G97" s="17">
        <f>G90*(365/G$6)/(G23*1000)*10000</f>
        <v>31.881673188990543</v>
      </c>
      <c r="H97" s="32">
        <f>H90*(365/H$6)/(H23*1000)*10000</f>
        <v>29.786647951732196</v>
      </c>
      <c r="I97" s="17"/>
    </row>
    <row r="98">
      <c r="A98" s="1"/>
      <c r="B98" s="15" t="s">
        <v>135</v>
      </c>
      <c r="C98" s="17"/>
      <c r="D98" s="17">
        <f>IF(OR(D97="",C97=""),"",D97-C97)</f>
        <v>-0.5565228949845498</v>
      </c>
      <c r="E98" s="17"/>
      <c r="F98" s="17">
        <f>IF(OR(F97="",D97=""),"",F97-D97)</f>
        <v>0.9439815225976851</v>
      </c>
      <c r="G98" s="17">
        <f>IF(OR(G97="",F97=""),"",G97-F97)</f>
        <v>0.8583031838593378</v>
      </c>
      <c r="H98" s="32">
        <f>IF(OR(H97="",G97=""),"",H97-G97)</f>
        <v>-2.0950252372583478</v>
      </c>
      <c r="I98" s="17"/>
    </row>
    <row r="99">
      <c r="A99" s="1"/>
      <c r="B99" s="34" t="s">
        <v>87</v>
      </c>
      <c r="C99" s="75"/>
      <c r="D99" s="75"/>
      <c r="E99" s="75"/>
      <c r="F99" s="75"/>
      <c r="G99" s="75"/>
      <c r="H99" s="76">
        <f>IF(OR(H97="",C97=""),"",H97-C97)</f>
        <v>-0.8492634257858747</v>
      </c>
      <c r="I99" s="75"/>
    </row>
    <row r="100">
      <c r="A100" s="1"/>
      <c r="B100" s="42"/>
      <c r="C100" s="8"/>
      <c r="D100" s="8"/>
      <c r="E100" s="8"/>
      <c r="F100" s="8"/>
      <c r="G100" s="8"/>
      <c r="H100" s="5"/>
      <c r="I100" s="8"/>
    </row>
    <row r="101">
      <c r="A101" s="1"/>
      <c r="B101" s="51" t="s">
        <v>252</v>
      </c>
      <c r="C101" s="7"/>
      <c r="D101" s="7"/>
      <c r="E101" s="7"/>
      <c r="F101" s="7"/>
      <c r="G101" s="7"/>
      <c r="H101" s="12"/>
      <c r="I101" s="7"/>
    </row>
    <row r="102">
      <c r="A102" s="1"/>
      <c r="B102" s="34" t="s">
        <v>253</v>
      </c>
      <c r="C102" s="78">
        <f>C105/'Income Statement'!C32</f>
        <v>0.7767695099818511</v>
      </c>
      <c r="D102" s="78">
        <f>D105/'Income Statement'!D32</f>
        <v>0.7760736196319018</v>
      </c>
      <c r="E102" s="78">
        <f>E105/'Income Statement'!E32</f>
        <v>0.7741488214450778</v>
      </c>
      <c r="F102" s="78">
        <f>F105/'Income Statement'!F32</f>
        <v>0.772075055187638</v>
      </c>
      <c r="G102" s="78">
        <f>G105/'Income Statement'!G32</f>
        <v>0.7815642458100559</v>
      </c>
      <c r="H102" s="20">
        <f>G102</f>
        <v>0.7815642458100559</v>
      </c>
      <c r="I102" s="2"/>
    </row>
    <row r="103">
      <c r="A103" s="1"/>
      <c r="B103" s="34" t="s">
        <v>135</v>
      </c>
      <c r="C103" s="75"/>
      <c r="D103" s="75">
        <f>IF(OR(D102="",C102=""),"",(D102-C102)*10000)</f>
        <v>-6.958903499493241</v>
      </c>
      <c r="E103" s="75"/>
      <c r="F103" s="75">
        <f>IF(OR(F102="",D102=""),"",(F102-D102)*10000)</f>
        <v>-39.9856444426383</v>
      </c>
      <c r="G103" s="75">
        <f>IF(OR(G102="",F102=""),"",(G102-F102)*10000)</f>
        <v>94.89190622417931</v>
      </c>
      <c r="H103" s="76">
        <f>IF(OR(H102="",G102=""),"",(H102-G102)*10000)</f>
        <v>0</v>
      </c>
      <c r="I103" s="75"/>
    </row>
    <row r="104">
      <c r="A104" s="1"/>
      <c r="B104" s="34" t="s">
        <v>87</v>
      </c>
      <c r="C104" s="75"/>
      <c r="D104" s="75"/>
      <c r="E104" s="75"/>
      <c r="F104" s="75"/>
      <c r="G104" s="75"/>
      <c r="H104" s="76">
        <f>IF(OR(H102="",C102=""),"",(H102-C102)*10000)</f>
        <v>47.94735828204777</v>
      </c>
      <c r="I104" s="75"/>
    </row>
    <row r="105">
      <c r="A105" s="1"/>
      <c r="B105" s="15" t="s">
        <v>254</v>
      </c>
      <c r="C105" s="49">
        <v>1284</v>
      </c>
      <c r="D105" s="11">
        <f>Inputs!D152-Inputs!C152-C105</f>
        <v>1265</v>
      </c>
      <c r="E105" s="11">
        <f>Inputs!C152+C105+D105</f>
        <v>5025</v>
      </c>
      <c r="F105" s="49">
        <v>1399</v>
      </c>
      <c r="G105" s="49">
        <v>1399</v>
      </c>
      <c r="H105" s="44">
        <f>'Income Statement'!H32*H102</f>
        <v>1418.5391061452515</v>
      </c>
      <c r="I105" s="17"/>
    </row>
    <row r="106">
      <c r="A106" s="1"/>
      <c r="B106" s="34" t="s">
        <v>62</v>
      </c>
      <c r="C106" s="2"/>
      <c r="D106" s="2">
        <f>IF(OR(D105="",C105=""),"",IF(C105=0,"n/m",D105/C105-1))</f>
        <v>-0.014797507788162023</v>
      </c>
      <c r="E106" s="2"/>
      <c r="F106" s="2">
        <f>IF(OR(F105="",D105=""),"",IF(D105=0,"n/m",F105/D105-1))</f>
        <v>0.10592885375494077</v>
      </c>
      <c r="G106" s="2">
        <f>IF(OR(G105="",F105=""),"",IF(F105=0,"n/m",G105/F105-1))</f>
        <v>0</v>
      </c>
      <c r="H106" s="20">
        <f>IF(OR(H105="",G105=""),"",IF(G105=0,"n/m",H105/G105-1))</f>
        <v>0.013966480446927498</v>
      </c>
      <c r="I106" s="2"/>
    </row>
    <row r="107">
      <c r="A107" s="1"/>
      <c r="B107" s="34" t="s">
        <v>255</v>
      </c>
      <c r="C107" s="78">
        <f>C110/'Income Statement'!C34</f>
        <v>0.8020477815699659</v>
      </c>
      <c r="D107" s="78">
        <f>D110/'Income Statement'!D34</f>
        <v>0.7936046511627907</v>
      </c>
      <c r="E107" s="78">
        <f>E110/'Income Statement'!E34</f>
        <v>0.7961570593149541</v>
      </c>
      <c r="F107" s="78">
        <f>F110/'Income Statement'!F34</f>
        <v>0.8217821782178217</v>
      </c>
      <c r="G107" s="78">
        <f>G110/'Income Statement'!G34</f>
        <v>0.8110749185667753</v>
      </c>
      <c r="H107" s="20">
        <f>G107</f>
        <v>0.8110749185667753</v>
      </c>
      <c r="I107" s="2"/>
    </row>
    <row r="108">
      <c r="A108" s="1"/>
      <c r="B108" s="34" t="s">
        <v>135</v>
      </c>
      <c r="C108" s="75"/>
      <c r="D108" s="75">
        <f>IF(OR(D107="",C107=""),"",(D107-C107)*10000)</f>
        <v>-84.43130407175259</v>
      </c>
      <c r="E108" s="75"/>
      <c r="F108" s="75">
        <f>IF(OR(F107="",D107=""),"",(F107-D107)*10000)</f>
        <v>281.7752705503107</v>
      </c>
      <c r="G108" s="75">
        <f>IF(OR(G107="",F107=""),"",(G107-F107)*10000)</f>
        <v>-107.07259651046463</v>
      </c>
      <c r="H108" s="76">
        <f>IF(OR(H107="",G107=""),"",(H107-G107)*10000)</f>
        <v>0</v>
      </c>
      <c r="I108" s="75"/>
    </row>
    <row r="109">
      <c r="A109" s="1"/>
      <c r="B109" s="34" t="s">
        <v>87</v>
      </c>
      <c r="C109" s="75"/>
      <c r="D109" s="75"/>
      <c r="E109" s="75"/>
      <c r="F109" s="75"/>
      <c r="G109" s="75"/>
      <c r="H109" s="76">
        <f>IF(OR(H107="",C107=""),"",(H107-C107)*10000)</f>
        <v>90.27136996809348</v>
      </c>
      <c r="I109" s="75"/>
    </row>
    <row r="110">
      <c r="A110" s="1"/>
      <c r="B110" s="15" t="s">
        <v>256</v>
      </c>
      <c r="C110" s="49">
        <v>235</v>
      </c>
      <c r="D110" s="11">
        <f>Inputs!D153-Inputs!C153-C110</f>
        <v>273</v>
      </c>
      <c r="E110" s="11">
        <f>Inputs!C153+C110+D110</f>
        <v>953</v>
      </c>
      <c r="F110" s="49">
        <v>249</v>
      </c>
      <c r="G110" s="49">
        <v>249</v>
      </c>
      <c r="H110" s="44">
        <f>'Income Statement'!H34*H107</f>
        <v>261.1661237785016</v>
      </c>
      <c r="I110" s="17"/>
    </row>
    <row r="111">
      <c r="A111" s="1"/>
      <c r="B111" s="34" t="s">
        <v>62</v>
      </c>
      <c r="C111" s="2"/>
      <c r="D111" s="2">
        <f>IF(OR(D110="",C110=""),"",IF(C110=0,"n/m",D110/C110-1))</f>
        <v>0.16170212765957448</v>
      </c>
      <c r="E111" s="2"/>
      <c r="F111" s="2">
        <f>IF(OR(F110="",D110=""),"",IF(D110=0,"n/m",F110/D110-1))</f>
        <v>-0.08791208791208793</v>
      </c>
      <c r="G111" s="2">
        <f>IF(OR(G110="",F110=""),"",IF(F110=0,"n/m",G110/F110-1))</f>
        <v>0</v>
      </c>
      <c r="H111" s="20">
        <f>IF(OR(H110="",G110=""),"",IF(G110=0,"n/m",H110/G110-1))</f>
        <v>0.04885993485342022</v>
      </c>
      <c r="I111" s="2"/>
    </row>
    <row r="112">
      <c r="A112" s="1"/>
      <c r="B112" s="34" t="s">
        <v>257</v>
      </c>
      <c r="C112" s="78">
        <f>C115/'Income Statement'!C36</f>
        <v>0.7857142857142857</v>
      </c>
      <c r="D112" s="78">
        <f>D115/'Income Statement'!D36</f>
        <v>0.7815699658703071</v>
      </c>
      <c r="E112" s="78">
        <f>E115/'Income Statement'!E36</f>
        <v>0.7842435094001791</v>
      </c>
      <c r="F112" s="78">
        <f>F115/'Income Statement'!F36</f>
        <v>0.7824561403508772</v>
      </c>
      <c r="G112" s="78">
        <f>G115/'Income Statement'!G36</f>
        <v>0.7873754152823921</v>
      </c>
      <c r="H112" s="20">
        <f>G112</f>
        <v>0.7873754152823921</v>
      </c>
      <c r="I112" s="2"/>
    </row>
    <row r="113">
      <c r="A113" s="1"/>
      <c r="B113" s="34" t="s">
        <v>135</v>
      </c>
      <c r="C113" s="75"/>
      <c r="D113" s="75">
        <f>IF(OR(D112="",C112=""),"",(D112-C112)*10000)</f>
        <v>-41.44319843978561</v>
      </c>
      <c r="E113" s="75"/>
      <c r="F113" s="75">
        <f>IF(OR(F112="",D112=""),"",(F112-D112)*10000)</f>
        <v>8.861744805700456</v>
      </c>
      <c r="G113" s="75">
        <f>IF(OR(G112="",F112=""),"",(G112-F112)*10000)</f>
        <v>49.192749315148944</v>
      </c>
      <c r="H113" s="76">
        <f>IF(OR(H112="",G112=""),"",(H112-G112)*10000)</f>
        <v>0</v>
      </c>
      <c r="I113" s="75"/>
    </row>
    <row r="114">
      <c r="A114" s="1"/>
      <c r="B114" s="34" t="s">
        <v>87</v>
      </c>
      <c r="C114" s="75"/>
      <c r="D114" s="75"/>
      <c r="E114" s="75"/>
      <c r="F114" s="75"/>
      <c r="G114" s="75"/>
      <c r="H114" s="76">
        <f>IF(OR(H112="",C112=""),"",(H112-C112)*10000)</f>
        <v>16.611295681063787</v>
      </c>
      <c r="I114" s="75"/>
    </row>
    <row r="115">
      <c r="A115" s="1"/>
      <c r="B115" s="15" t="s">
        <v>258</v>
      </c>
      <c r="C115" s="49">
        <v>220</v>
      </c>
      <c r="D115" s="11">
        <f>Inputs!D154-Inputs!C154-C115</f>
        <v>229</v>
      </c>
      <c r="E115" s="11">
        <f>Inputs!C154+C115+D115</f>
        <v>876</v>
      </c>
      <c r="F115" s="49">
        <v>223</v>
      </c>
      <c r="G115" s="49">
        <v>237</v>
      </c>
      <c r="H115" s="44">
        <f>'Income Statement'!H36*H112</f>
        <v>248.0232558139535</v>
      </c>
      <c r="I115" s="17"/>
    </row>
    <row r="116">
      <c r="A116" s="1"/>
      <c r="B116" s="34" t="s">
        <v>62</v>
      </c>
      <c r="C116" s="2"/>
      <c r="D116" s="2">
        <f>IF(OR(D115="",C115=""),"",IF(C115=0,"n/m",D115/C115-1))</f>
        <v>0.040909090909091006</v>
      </c>
      <c r="E116" s="2"/>
      <c r="F116" s="2">
        <f>IF(OR(F115="",D115=""),"",IF(D115=0,"n/m",F115/D115-1))</f>
        <v>-0.026200873362445365</v>
      </c>
      <c r="G116" s="2">
        <f>IF(OR(G115="",F115=""),"",IF(F115=0,"n/m",G115/F115-1))</f>
        <v>0.06278026905829592</v>
      </c>
      <c r="H116" s="20">
        <f>IF(OR(H115="",G115=""),"",IF(G115=0,"n/m",H115/G115-1))</f>
        <v>0.04651162790697683</v>
      </c>
      <c r="I116" s="2"/>
    </row>
    <row r="117">
      <c r="A117" s="1"/>
      <c r="B117" s="34" t="s">
        <v>259</v>
      </c>
      <c r="C117" s="78">
        <f>C120/'Income Statement'!C38</f>
        <v>0.594059405940594</v>
      </c>
      <c r="D117" s="78">
        <f>D120/'Income Statement'!D38</f>
        <v>0.7478260869565218</v>
      </c>
      <c r="E117" s="78">
        <f>E120/'Income Statement'!E38</f>
        <v>0.6666666666666666</v>
      </c>
      <c r="F117" s="78">
        <f>F120/'Income Statement'!F38</f>
        <v>0.7821782178217822</v>
      </c>
      <c r="G117" s="78">
        <f>G120/'Income Statement'!G38</f>
        <v>0.7747747747747747</v>
      </c>
      <c r="H117" s="20">
        <f>G117</f>
        <v>0.7747747747747747</v>
      </c>
      <c r="I117" s="2"/>
    </row>
    <row r="118">
      <c r="A118" s="1"/>
      <c r="B118" s="34" t="s">
        <v>135</v>
      </c>
      <c r="C118" s="75"/>
      <c r="D118" s="75">
        <f>IF(OR(D117="",C117=""),"",(D117-C117)*10000)</f>
        <v>1537.6668101592772</v>
      </c>
      <c r="E118" s="75"/>
      <c r="F118" s="75">
        <f>IF(OR(F117="",D117=""),"",(F117-D117)*10000)</f>
        <v>343.52130865260455</v>
      </c>
      <c r="G118" s="75">
        <f>IF(OR(G117="",F117=""),"",(G117-F117)*10000)</f>
        <v>-74.03443047007462</v>
      </c>
      <c r="H118" s="76">
        <f>IF(OR(H117="",G117=""),"",(H117-G117)*10000)</f>
        <v>0</v>
      </c>
      <c r="I118" s="75"/>
    </row>
    <row r="119">
      <c r="A119" s="1"/>
      <c r="B119" s="34" t="s">
        <v>87</v>
      </c>
      <c r="C119" s="75"/>
      <c r="D119" s="75"/>
      <c r="E119" s="75"/>
      <c r="F119" s="75"/>
      <c r="G119" s="75"/>
      <c r="H119" s="76">
        <f>IF(OR(H117="",C117=""),"",(H117-C117)*10000)</f>
        <v>1807.153688341807</v>
      </c>
      <c r="I119" s="75"/>
    </row>
    <row r="120">
      <c r="A120" s="1"/>
      <c r="B120" s="15" t="s">
        <v>260</v>
      </c>
      <c r="C120" s="49">
        <v>60</v>
      </c>
      <c r="D120" s="11">
        <f>Inputs!D155-Inputs!C155-C120</f>
        <v>86</v>
      </c>
      <c r="E120" s="11">
        <f>Inputs!C155+C120+D120</f>
        <v>280</v>
      </c>
      <c r="F120" s="49">
        <v>79</v>
      </c>
      <c r="G120" s="49">
        <v>86</v>
      </c>
      <c r="H120" s="44">
        <f>'Income Statement'!H38*H117</f>
        <v>96.84684684684684</v>
      </c>
      <c r="I120" s="17"/>
    </row>
    <row r="121">
      <c r="A121" s="1"/>
      <c r="B121" s="34" t="s">
        <v>62</v>
      </c>
      <c r="C121" s="2"/>
      <c r="D121" s="2">
        <f>IF(OR(D120="",C120=""),"",IF(C120=0,"n/m",D120/C120-1))</f>
        <v>0.43333333333333335</v>
      </c>
      <c r="E121" s="2"/>
      <c r="F121" s="2">
        <f>IF(OR(F120="",D120=""),"",IF(D120=0,"n/m",F120/D120-1))</f>
        <v>-0.08139534883720934</v>
      </c>
      <c r="G121" s="2">
        <f>IF(OR(G120="",F120=""),"",IF(F120=0,"n/m",G120/F120-1))</f>
        <v>0.08860759493670889</v>
      </c>
      <c r="H121" s="20">
        <f>IF(OR(H120="",G120=""),"",IF(G120=0,"n/m",H120/G120-1))</f>
        <v>0.12612612612612617</v>
      </c>
      <c r="I121" s="2"/>
    </row>
    <row r="122">
      <c r="A122" s="1"/>
      <c r="B122" s="34" t="s">
        <v>261</v>
      </c>
      <c r="C122" s="78">
        <f>C125/'Income Statement'!C40</f>
        <v>0.7046979865771812</v>
      </c>
      <c r="D122" s="78">
        <f>D125/'Income Statement'!D40</f>
        <v>0.7112676056338029</v>
      </c>
      <c r="E122" s="78">
        <f>E125/'Income Statement'!E40</f>
        <v>0.7080645161290322</v>
      </c>
      <c r="F122" s="78">
        <f>F125/'Income Statement'!F40</f>
        <v>0.6932515337423313</v>
      </c>
      <c r="G122" s="78">
        <f>G125/'Income Statement'!G40</f>
        <v>0.6565656565656566</v>
      </c>
      <c r="H122" s="20">
        <f>G122</f>
        <v>0.6565656565656566</v>
      </c>
      <c r="I122" s="2"/>
    </row>
    <row r="123">
      <c r="A123" s="1"/>
      <c r="B123" s="34" t="s">
        <v>135</v>
      </c>
      <c r="C123" s="75"/>
      <c r="D123" s="75">
        <f>IF(OR(D122="",C122=""),"",(D122-C122)*10000)</f>
        <v>65.69619056621679</v>
      </c>
      <c r="E123" s="75"/>
      <c r="F123" s="75">
        <f>IF(OR(F122="",D122=""),"",(F122-D122)*10000)</f>
        <v>-180.16071891471586</v>
      </c>
      <c r="G123" s="75">
        <f>IF(OR(G122="",F122=""),"",(G122-F122)*10000)</f>
        <v>-366.85877176674705</v>
      </c>
      <c r="H123" s="76">
        <f>IF(OR(H122="",G122=""),"",(H122-G122)*10000)</f>
        <v>0</v>
      </c>
      <c r="I123" s="75"/>
    </row>
    <row r="124">
      <c r="A124" s="1"/>
      <c r="B124" s="34" t="s">
        <v>87</v>
      </c>
      <c r="C124" s="75"/>
      <c r="D124" s="75"/>
      <c r="E124" s="75"/>
      <c r="F124" s="75"/>
      <c r="G124" s="75"/>
      <c r="H124" s="76">
        <f>IF(OR(H122="",C122=""),"",(H122-C122)*10000)</f>
        <v>-481.3233001152462</v>
      </c>
      <c r="I124" s="75"/>
    </row>
    <row r="125">
      <c r="A125" s="1"/>
      <c r="B125" s="15" t="s">
        <v>262</v>
      </c>
      <c r="C125" s="49">
        <v>105</v>
      </c>
      <c r="D125" s="11">
        <f>Inputs!D156-Inputs!C156-C125</f>
        <v>101</v>
      </c>
      <c r="E125" s="11">
        <f>Inputs!C156+C125+D125</f>
        <v>439</v>
      </c>
      <c r="F125" s="49">
        <v>113</v>
      </c>
      <c r="G125" s="49">
        <v>130</v>
      </c>
      <c r="H125" s="44">
        <f>'Income Statement'!H40*H122</f>
        <v>114.8989898989899</v>
      </c>
      <c r="I125" s="17"/>
    </row>
    <row r="126">
      <c r="A126" s="1"/>
      <c r="B126" s="34" t="s">
        <v>62</v>
      </c>
      <c r="C126" s="2"/>
      <c r="D126" s="2">
        <f>IF(OR(D125="",C125=""),"",IF(C125=0,"n/m",D125/C125-1))</f>
        <v>-0.03809523809523807</v>
      </c>
      <c r="E126" s="2"/>
      <c r="F126" s="2">
        <f>IF(OR(F125="",D125=""),"",IF(D125=0,"n/m",F125/D125-1))</f>
        <v>0.11881188118811892</v>
      </c>
      <c r="G126" s="2">
        <f>IF(OR(G125="",F125=""),"",IF(F125=0,"n/m",G125/F125-1))</f>
        <v>0.1504424778761062</v>
      </c>
      <c r="H126" s="20">
        <f>IF(OR(H125="",G125=""),"",IF(G125=0,"n/m",H125/G125-1))</f>
        <v>-0.11616161616161613</v>
      </c>
      <c r="I126" s="2"/>
    </row>
    <row r="127">
      <c r="A127" s="1"/>
      <c r="B127" s="34" t="s">
        <v>263</v>
      </c>
      <c r="C127" s="78">
        <f>C130/'Income Statement'!C42</f>
        <v>0.7594339622641509</v>
      </c>
      <c r="D127" s="78">
        <f>D130/'Income Statement'!D42</f>
        <v>0.7572815533980582</v>
      </c>
      <c r="E127" s="78">
        <f>E130/'Income Statement'!E42</f>
        <v>0.7576470588235295</v>
      </c>
      <c r="F127" s="78">
        <f>F130/'Income Statement'!F42</f>
        <v>0.7611940298507462</v>
      </c>
      <c r="G127" s="78">
        <f>G130/'Income Statement'!G42</f>
        <v>0.7575757575757576</v>
      </c>
      <c r="H127" s="20">
        <f>G127</f>
        <v>0.7575757575757576</v>
      </c>
      <c r="I127" s="2"/>
    </row>
    <row r="128">
      <c r="A128" s="1"/>
      <c r="B128" s="34" t="s">
        <v>135</v>
      </c>
      <c r="C128" s="75"/>
      <c r="D128" s="75">
        <f>IF(OR(D127="",C127=""),"",(D127-C127)*10000)</f>
        <v>-21.52408866092692</v>
      </c>
      <c r="E128" s="75"/>
      <c r="F128" s="75">
        <f>IF(OR(F127="",D127=""),"",(F127-D127)*10000)</f>
        <v>39.124764526879964</v>
      </c>
      <c r="G128" s="75">
        <f>IF(OR(G127="",F127=""),"",(G127-F127)*10000)</f>
        <v>-36.182722749886764</v>
      </c>
      <c r="H128" s="76">
        <f>IF(OR(H127="",G127=""),"",(H127-G127)*10000)</f>
        <v>0</v>
      </c>
      <c r="I128" s="75"/>
    </row>
    <row r="129">
      <c r="A129" s="1"/>
      <c r="B129" s="34" t="s">
        <v>87</v>
      </c>
      <c r="C129" s="75"/>
      <c r="D129" s="75"/>
      <c r="E129" s="75"/>
      <c r="F129" s="75"/>
      <c r="G129" s="75"/>
      <c r="H129" s="76">
        <f>IF(OR(H127="",C127=""),"",(H127-C127)*10000)</f>
        <v>-18.58204688393372</v>
      </c>
      <c r="I129" s="75"/>
    </row>
    <row r="130">
      <c r="A130" s="1"/>
      <c r="B130" s="15" t="s">
        <v>264</v>
      </c>
      <c r="C130" s="49">
        <v>161</v>
      </c>
      <c r="D130" s="11">
        <f>Inputs!D157-Inputs!C157-C130</f>
        <v>156</v>
      </c>
      <c r="E130" s="11">
        <f>Inputs!C157+C130+D130</f>
        <v>644</v>
      </c>
      <c r="F130" s="49">
        <v>153</v>
      </c>
      <c r="G130" s="49">
        <v>150</v>
      </c>
      <c r="H130" s="44">
        <f>'Income Statement'!H42*H127</f>
        <v>170.45454545454544</v>
      </c>
      <c r="I130" s="17"/>
    </row>
    <row r="131">
      <c r="A131" s="1"/>
      <c r="B131" s="34" t="s">
        <v>62</v>
      </c>
      <c r="C131" s="2"/>
      <c r="D131" s="2">
        <f>IF(OR(D130="",C130=""),"",IF(C130=0,"n/m",D130/C130-1))</f>
        <v>-0.03105590062111796</v>
      </c>
      <c r="E131" s="2"/>
      <c r="F131" s="2">
        <f>IF(OR(F130="",D130=""),"",IF(D130=0,"n/m",F130/D130-1))</f>
        <v>-0.019230769230769273</v>
      </c>
      <c r="G131" s="2">
        <f>IF(OR(G130="",F130=""),"",IF(F130=0,"n/m",G130/F130-1))</f>
        <v>-0.019607843137254943</v>
      </c>
      <c r="H131" s="20">
        <f>IF(OR(H130="",G130=""),"",IF(G130=0,"n/m",H130/G130-1))</f>
        <v>0.13636363636363624</v>
      </c>
      <c r="I131" s="2"/>
    </row>
    <row r="132">
      <c r="A132" s="1"/>
      <c r="B132" s="34" t="s">
        <v>265</v>
      </c>
      <c r="C132" s="78">
        <f>C135/'Income Statement'!C44</f>
        <v>0.8188976377952756</v>
      </c>
      <c r="D132" s="78">
        <f>D135/'Income Statement'!D44</f>
        <v>0.8188976377952756</v>
      </c>
      <c r="E132" s="78">
        <f>E135/'Income Statement'!E44</f>
        <v>0.81640625</v>
      </c>
      <c r="F132" s="78">
        <f>F135/'Income Statement'!F44</f>
        <v>0.8257575757575758</v>
      </c>
      <c r="G132" s="78">
        <f>G135/'Income Statement'!G44</f>
        <v>0.8380281690140845</v>
      </c>
      <c r="H132" s="20">
        <f>G132</f>
        <v>0.8380281690140845</v>
      </c>
      <c r="I132" s="2"/>
    </row>
    <row r="133">
      <c r="A133" s="1"/>
      <c r="B133" s="34" t="s">
        <v>135</v>
      </c>
      <c r="C133" s="75"/>
      <c r="D133" s="75">
        <f>IF(OR(D132="",C132=""),"",(D132-C132)*10000)</f>
        <v>0</v>
      </c>
      <c r="E133" s="75"/>
      <c r="F133" s="75">
        <f>IF(OR(F132="",D132=""),"",(F132-D132)*10000)</f>
        <v>68.59937962300222</v>
      </c>
      <c r="G133" s="75">
        <f>IF(OR(G132="",F132=""),"",(G132-F132)*10000)</f>
        <v>122.705932565087</v>
      </c>
      <c r="H133" s="76">
        <f>IF(OR(H132="",G132=""),"",(H132-G132)*10000)</f>
        <v>0</v>
      </c>
      <c r="I133" s="75"/>
    </row>
    <row r="134">
      <c r="A134" s="1"/>
      <c r="B134" s="34" t="s">
        <v>87</v>
      </c>
      <c r="C134" s="75"/>
      <c r="D134" s="75"/>
      <c r="E134" s="75"/>
      <c r="F134" s="75"/>
      <c r="G134" s="75"/>
      <c r="H134" s="76">
        <f>IF(OR(H132="",C132=""),"",(H132-C132)*10000)</f>
        <v>191.3053121880892</v>
      </c>
      <c r="I134" s="75"/>
    </row>
    <row r="135">
      <c r="A135" s="1"/>
      <c r="B135" s="15" t="s">
        <v>266</v>
      </c>
      <c r="C135" s="49">
        <v>104</v>
      </c>
      <c r="D135" s="11">
        <f>Inputs!D158-Inputs!C158-C135</f>
        <v>104</v>
      </c>
      <c r="E135" s="11">
        <f>Inputs!C158+C135+D135</f>
        <v>418</v>
      </c>
      <c r="F135" s="49">
        <v>109</v>
      </c>
      <c r="G135" s="49">
        <v>119</v>
      </c>
      <c r="H135" s="44">
        <f>'Income Statement'!H44*H132</f>
        <v>119</v>
      </c>
      <c r="I135" s="17"/>
    </row>
    <row r="136">
      <c r="A136" s="1"/>
      <c r="B136" s="34" t="s">
        <v>62</v>
      </c>
      <c r="C136" s="2"/>
      <c r="D136" s="2">
        <f>IF(OR(D135="",C135=""),"",IF(C135=0,"n/m",D135/C135-1))</f>
        <v>0</v>
      </c>
      <c r="E136" s="2"/>
      <c r="F136" s="2">
        <f>IF(OR(F135="",D135=""),"",IF(D135=0,"n/m",F135/D135-1))</f>
        <v>0.04807692307692313</v>
      </c>
      <c r="G136" s="2">
        <f>IF(OR(G135="",F135=""),"",IF(F135=0,"n/m",G135/F135-1))</f>
        <v>0.09174311926605494</v>
      </c>
      <c r="H136" s="20">
        <f>IF(OR(H135="",G135=""),"",IF(G135=0,"n/m",H135/G135-1))</f>
        <v>0</v>
      </c>
      <c r="I136" s="2"/>
    </row>
    <row r="137">
      <c r="A137" s="1"/>
      <c r="B137" s="34" t="s">
        <v>267</v>
      </c>
      <c r="C137" s="78">
        <f>C140/'Income Statement'!C46</f>
        <v>0.864406779661017</v>
      </c>
      <c r="D137" s="78">
        <f>D140/'Income Statement'!D46</f>
        <v>0.8709677419354839</v>
      </c>
      <c r="E137" s="78">
        <f>E140/'Income Statement'!E46</f>
        <v>0.8257839721254355</v>
      </c>
      <c r="F137" s="78">
        <f>F140/'Income Statement'!F46</f>
        <v>0.7866666666666666</v>
      </c>
      <c r="G137" s="78">
        <f>G140/'Income Statement'!G46</f>
        <v>0.746031746031746</v>
      </c>
      <c r="H137" s="20">
        <f>G137</f>
        <v>0.746031746031746</v>
      </c>
      <c r="I137" s="2"/>
    </row>
    <row r="138">
      <c r="A138" s="1"/>
      <c r="B138" s="34" t="s">
        <v>135</v>
      </c>
      <c r="C138" s="75"/>
      <c r="D138" s="75">
        <f>IF(OR(D137="",C137=""),"",(D137-C137)*10000)</f>
        <v>65.60962274466897</v>
      </c>
      <c r="E138" s="75"/>
      <c r="F138" s="75">
        <f>IF(OR(F137="",D137=""),"",(F137-D137)*10000)</f>
        <v>-843.0107526881725</v>
      </c>
      <c r="G138" s="75">
        <f>IF(OR(G137="",F137=""),"",(G137-F137)*10000)</f>
        <v>-406.3492063492058</v>
      </c>
      <c r="H138" s="76">
        <f>IF(OR(H137="",G137=""),"",(H137-G137)*10000)</f>
        <v>0</v>
      </c>
      <c r="I138" s="75"/>
    </row>
    <row r="139">
      <c r="A139" s="1"/>
      <c r="B139" s="34" t="s">
        <v>87</v>
      </c>
      <c r="C139" s="75"/>
      <c r="D139" s="75"/>
      <c r="E139" s="75"/>
      <c r="F139" s="75"/>
      <c r="G139" s="75"/>
      <c r="H139" s="76">
        <f>IF(OR(H137="",C137=""),"",(H137-C137)*10000)</f>
        <v>-1183.7503362927093</v>
      </c>
      <c r="I139" s="75"/>
    </row>
    <row r="140">
      <c r="A140" s="1"/>
      <c r="B140" s="15" t="s">
        <v>268</v>
      </c>
      <c r="C140" s="49">
        <v>51</v>
      </c>
      <c r="D140" s="11">
        <f>Inputs!D159-Inputs!C159-C140</f>
        <v>54</v>
      </c>
      <c r="E140" s="11">
        <f>Inputs!C159+C140+D140</f>
        <v>237</v>
      </c>
      <c r="F140" s="49">
        <v>59</v>
      </c>
      <c r="G140" s="49">
        <v>47</v>
      </c>
      <c r="H140" s="44">
        <f>'Income Statement'!H46*H137</f>
        <v>48.492063492063494</v>
      </c>
      <c r="I140" s="17"/>
    </row>
    <row r="141">
      <c r="A141" s="1"/>
      <c r="B141" s="34" t="s">
        <v>62</v>
      </c>
      <c r="C141" s="2"/>
      <c r="D141" s="2">
        <f>IF(OR(D140="",C140=""),"",IF(C140=0,"n/m",D140/C140-1))</f>
        <v>0.05882352941176472</v>
      </c>
      <c r="E141" s="2"/>
      <c r="F141" s="2">
        <f>IF(OR(F140="",D140=""),"",IF(D140=0,"n/m",F140/D140-1))</f>
        <v>0.09259259259259256</v>
      </c>
      <c r="G141" s="2">
        <f>IF(OR(G140="",F140=""),"",IF(F140=0,"n/m",G140/F140-1))</f>
        <v>-0.2033898305084746</v>
      </c>
      <c r="H141" s="20">
        <f>IF(OR(H140="",G140=""),"",IF(G140=0,"n/m",H140/G140-1))</f>
        <v>0.031746031746031855</v>
      </c>
      <c r="I141" s="2"/>
    </row>
    <row r="142">
      <c r="A142" s="1"/>
      <c r="B142" s="34" t="s">
        <v>269</v>
      </c>
      <c r="C142" s="78">
        <f>C145/'Income Statement'!C48</f>
        <v>0.8625</v>
      </c>
      <c r="D142" s="78">
        <f>D145/'Income Statement'!D48</f>
        <v>0.7932489451476793</v>
      </c>
      <c r="E142" s="78">
        <f>E145/'Income Statement'!E48</f>
        <v>0.8326446280991735</v>
      </c>
      <c r="F142" s="78">
        <f>F145/'Income Statement'!F48</f>
        <v>0.8288288288288288</v>
      </c>
      <c r="G142" s="78">
        <f>G145/'Income Statement'!G48</f>
        <v>0.8395904436860068</v>
      </c>
      <c r="H142" s="20">
        <f>G142</f>
        <v>0.8395904436860068</v>
      </c>
      <c r="I142" s="2"/>
    </row>
    <row r="143">
      <c r="A143" s="1"/>
      <c r="B143" s="34" t="s">
        <v>135</v>
      </c>
      <c r="C143" s="75"/>
      <c r="D143" s="75">
        <f>IF(OR(D142="",C142=""),"",(D142-C142)*10000)</f>
        <v>-692.5105485232075</v>
      </c>
      <c r="E143" s="75"/>
      <c r="F143" s="75">
        <f>IF(OR(F142="",D142=""),"",(F142-D142)*10000)</f>
        <v>355.79883681149505</v>
      </c>
      <c r="G143" s="75">
        <f>IF(OR(G142="",F142=""),"",(G142-F142)*10000)</f>
        <v>107.6161485717797</v>
      </c>
      <c r="H143" s="76">
        <f>IF(OR(H142="",G142=""),"",(H142-G142)*10000)</f>
        <v>0</v>
      </c>
      <c r="I143" s="75"/>
    </row>
    <row r="144">
      <c r="A144" s="1"/>
      <c r="B144" s="34" t="s">
        <v>87</v>
      </c>
      <c r="C144" s="75"/>
      <c r="D144" s="75"/>
      <c r="E144" s="75"/>
      <c r="F144" s="75"/>
      <c r="G144" s="75"/>
      <c r="H144" s="76">
        <f>IF(OR(H142="",C142=""),"",(H142-C142)*10000)</f>
        <v>-229.09556313993272</v>
      </c>
      <c r="I144" s="75"/>
    </row>
    <row r="145">
      <c r="A145" s="1"/>
      <c r="B145" s="15" t="s">
        <v>270</v>
      </c>
      <c r="C145" s="49">
        <v>207</v>
      </c>
      <c r="D145" s="11">
        <f>Inputs!D160-Inputs!C160-C145</f>
        <v>188</v>
      </c>
      <c r="E145" s="11">
        <f>Inputs!C160+C145+D145</f>
        <v>806</v>
      </c>
      <c r="F145" s="49">
        <v>184</v>
      </c>
      <c r="G145" s="49">
        <v>246</v>
      </c>
      <c r="H145" s="44">
        <f>'Income Statement'!H48*H142</f>
        <v>229.20819112627984</v>
      </c>
      <c r="I145" s="17"/>
    </row>
    <row r="146">
      <c r="A146" s="1"/>
      <c r="B146" s="34" t="s">
        <v>62</v>
      </c>
      <c r="C146" s="2"/>
      <c r="D146" s="2">
        <f>IF(OR(D145="",C145=""),"",IF(C145=0,"n/m",D145/C145-1))</f>
        <v>-0.09178743961352653</v>
      </c>
      <c r="E146" s="2"/>
      <c r="F146" s="2">
        <f>IF(OR(F145="",D145=""),"",IF(D145=0,"n/m",F145/D145-1))</f>
        <v>-0.021276595744680882</v>
      </c>
      <c r="G146" s="2">
        <f>IF(OR(G145="",F145=""),"",IF(F145=0,"n/m",G145/F145-1))</f>
        <v>0.3369565217391304</v>
      </c>
      <c r="H146" s="20">
        <f>IF(OR(H145="",G145=""),"",IF(G145=0,"n/m",H145/G145-1))</f>
        <v>-0.06825938566552914</v>
      </c>
      <c r="I146" s="2"/>
    </row>
    <row r="147">
      <c r="A147" s="1"/>
      <c r="B147" s="53" t="s">
        <v>271</v>
      </c>
      <c r="C147" s="27">
        <f>C105+C110+C115+C120+C125+C130+C135+C140+C145</f>
        <v>2427</v>
      </c>
      <c r="D147" s="27">
        <f>D105+D110+D115+D120+D125+D130+D135+D140+D145</f>
        <v>2456</v>
      </c>
      <c r="E147" s="27">
        <f>E105+E110+E115+E120+E125+E130+E135+E140+E145</f>
        <v>9678</v>
      </c>
      <c r="F147" s="27">
        <f>F105+F110+F115+F120+F125+F130+F135+F140+F145</f>
        <v>2568</v>
      </c>
      <c r="G147" s="27">
        <f>G105+G110+G115+G120+G125+G130+G135+G140+G145</f>
        <v>2663</v>
      </c>
      <c r="H147" s="40">
        <f>H105+H110+H115+H120+H125+H130+H135+H140+H145</f>
        <v>2706.6291225564323</v>
      </c>
      <c r="I147" s="55"/>
    </row>
    <row r="148">
      <c r="A148" s="1"/>
      <c r="B148" s="34" t="s">
        <v>61</v>
      </c>
      <c r="C148" s="2"/>
      <c r="D148" s="2"/>
      <c r="E148" s="2"/>
      <c r="F148" s="2"/>
      <c r="G148" s="2"/>
      <c r="H148" s="20">
        <f>IF(OR(H147="",C147=""),"",IF(C147=0,"n/m",H147/C147-1))</f>
        <v>0.11521595490582293</v>
      </c>
      <c r="I148" s="2"/>
    </row>
    <row r="149">
      <c r="A149" s="1"/>
      <c r="B149" s="34" t="s">
        <v>62</v>
      </c>
      <c r="C149" s="2"/>
      <c r="D149" s="2">
        <f>IF(OR(D147="",C147=""),"",IF(C147=0,"n/m",D147/C147-1))</f>
        <v>0.011948908117016988</v>
      </c>
      <c r="E149" s="2"/>
      <c r="F149" s="2">
        <f>IF(OR(F147="",D147=""),"",IF(D147=0,"n/m",F147/D147-1))</f>
        <v>0.0456026058631922</v>
      </c>
      <c r="G149" s="2">
        <f>IF(OR(G147="",F147=""),"",IF(F147=0,"n/m",G147/F147-1))</f>
        <v>0.036993769470405</v>
      </c>
      <c r="H149" s="20">
        <f>IF(OR(H147="",G147=""),"",IF(G147=0,"n/m",H147/G147-1))</f>
        <v>0.01638344819993698</v>
      </c>
      <c r="I149" s="2"/>
    </row>
    <row r="150">
      <c r="A150" s="1"/>
      <c r="B150" s="53" t="s">
        <v>272</v>
      </c>
      <c r="C150" s="27">
        <f>C90-C147</f>
        <v>2456</v>
      </c>
      <c r="D150" s="27">
        <f>D90-D147</f>
        <v>2580</v>
      </c>
      <c r="E150" s="27">
        <f>E90-E147</f>
        <v>9321</v>
      </c>
      <c r="F150" s="27">
        <f>F90-F147</f>
        <v>2509</v>
      </c>
      <c r="G150" s="27">
        <f>G90-G147</f>
        <v>2865</v>
      </c>
      <c r="H150" s="40">
        <f>H90-H147</f>
        <v>2868.2774937475037</v>
      </c>
      <c r="I150" s="55"/>
    </row>
    <row r="151">
      <c r="A151" s="1"/>
      <c r="B151" s="34" t="s">
        <v>61</v>
      </c>
      <c r="C151" s="2"/>
      <c r="D151" s="2"/>
      <c r="E151" s="2"/>
      <c r="F151" s="2"/>
      <c r="G151" s="2"/>
      <c r="H151" s="20">
        <f>IF(OR(H150="",C150=""),"",IF(C150=0,"n/m",H150/C150-1))</f>
        <v>0.16786542905028656</v>
      </c>
      <c r="I151" s="2"/>
    </row>
    <row r="152">
      <c r="A152" s="1"/>
      <c r="B152" s="34" t="s">
        <v>62</v>
      </c>
      <c r="C152" s="2"/>
      <c r="D152" s="2">
        <f>IF(OR(D150="",C150=""),"",IF(C150=0,"n/m",D150/C150-1))</f>
        <v>0.050488599348534224</v>
      </c>
      <c r="E152" s="2"/>
      <c r="F152" s="2">
        <f>IF(OR(F150="",D150=""),"",IF(D150=0,"n/m",F150/D150-1))</f>
        <v>-0.027519379844961223</v>
      </c>
      <c r="G152" s="2">
        <f>IF(OR(G150="",F150=""),"",IF(F150=0,"n/m",G150/F150-1))</f>
        <v>0.14188919888401763</v>
      </c>
      <c r="H152" s="20">
        <f>IF(OR(H150="",G150=""),"",IF(G150=0,"n/m",H150/G150-1))</f>
        <v>0.001143976875219499</v>
      </c>
      <c r="I152" s="2"/>
    </row>
    <row r="153">
      <c r="A153" s="1"/>
      <c r="B153" s="34" t="s">
        <v>273</v>
      </c>
      <c r="C153" s="2">
        <f>C150/C90</f>
        <v>0.5029694859717387</v>
      </c>
      <c r="D153" s="2">
        <f>D150/D90</f>
        <v>0.5123113582208102</v>
      </c>
      <c r="E153" s="2">
        <f>E150/E90</f>
        <v>0.4906047686720354</v>
      </c>
      <c r="F153" s="2">
        <f>F150/F90</f>
        <v>0.4941894819775458</v>
      </c>
      <c r="G153" s="2">
        <f>G150/G90</f>
        <v>0.5182706222865412</v>
      </c>
      <c r="H153" s="20">
        <f>H150/H90</f>
        <v>0.5144978546114412</v>
      </c>
      <c r="I153" s="2"/>
    </row>
    <row r="154">
      <c r="A154" s="1"/>
      <c r="B154" s="34" t="s">
        <v>135</v>
      </c>
      <c r="C154" s="75"/>
      <c r="D154" s="75">
        <f>IF(OR(D153="",C153=""),"",(D153-C153)*10000)</f>
        <v>93.41872249071459</v>
      </c>
      <c r="E154" s="75"/>
      <c r="F154" s="75">
        <f>IF(OR(F153="",D153=""),"",(F153-D153)*10000)</f>
        <v>-181.2187624326439</v>
      </c>
      <c r="G154" s="75">
        <f>IF(OR(G153="",F153=""),"",(G153-F153)*10000)</f>
        <v>240.81140308995387</v>
      </c>
      <c r="H154" s="76">
        <f>IF(OR(H153="",G153=""),"",(H153-G153)*10000)</f>
        <v>-37.727676751000416</v>
      </c>
      <c r="I154" s="75"/>
    </row>
    <row r="155">
      <c r="A155" s="1"/>
      <c r="B155" s="34" t="s">
        <v>87</v>
      </c>
      <c r="C155" s="75"/>
      <c r="D155" s="75"/>
      <c r="E155" s="75"/>
      <c r="F155" s="75"/>
      <c r="G155" s="75"/>
      <c r="H155" s="76">
        <f>IF(OR(H153="",C153=""),"",(H153-C153)*10000)</f>
        <v>115.28368639702413</v>
      </c>
      <c r="I155" s="75"/>
    </row>
    <row r="156">
      <c r="A156" s="1"/>
      <c r="B156" s="34" t="s">
        <v>274</v>
      </c>
      <c r="C156" s="75"/>
      <c r="D156" s="75"/>
      <c r="E156" s="77">
        <f>ROUND(ABS(E43-Inputs!D147)+ABS(E53-Inputs!D148)+ABS(E63-Inputs!D149)+ABS(E73-Inputs!D150)+ABS(E83-Inputs!D151)+ABS(E105-Inputs!D152)+ABS(E110-Inputs!D153)+ABS(E115-Inputs!D154)+ABS(E120-Inputs!D155)+ABS(E125-Inputs!D156)+ABS(E130-Inputs!D157)+ABS(E135-Inputs!D158)+ABS(E140-Inputs!D159)+ABS(E145-Inputs!D160)+ABS(E11-Inputs!D176),3)</f>
        <v>0</v>
      </c>
      <c r="F156" s="75"/>
      <c r="G156" s="75"/>
      <c r="H156" s="76"/>
      <c r="I156" s="134" t="s">
        <v>275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276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231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232</v>
      </c>
      <c r="C10" s="11">
        <f>Inputs!E184</f>
        <v>4687.4</v>
      </c>
      <c r="D10" s="17">
        <f>C20</f>
        <v>5016.7</v>
      </c>
      <c r="E10" s="11">
        <f>Inputs!E183</f>
        <v>4379.7</v>
      </c>
      <c r="F10" s="17">
        <f>D20</f>
        <v>5195.5</v>
      </c>
      <c r="G10" s="17">
        <f>F20</f>
        <v>5201.5</v>
      </c>
      <c r="H10" s="32">
        <f>G20</f>
        <v>5741.9</v>
      </c>
      <c r="I10" s="17"/>
    </row>
    <row r="11">
      <c r="A11" s="1"/>
      <c r="B11" s="15" t="s">
        <v>233</v>
      </c>
      <c r="C11" s="49">
        <v>81.7</v>
      </c>
      <c r="D11" s="49">
        <v>97.8</v>
      </c>
      <c r="E11" s="11">
        <f>Inputs!C177+C11+D11</f>
        <v>284.8</v>
      </c>
      <c r="F11" s="49">
        <v>85.8</v>
      </c>
      <c r="G11" s="49">
        <v>80.2</v>
      </c>
      <c r="H11" s="44">
        <f>'Revenue summary'!H447-'Segment - Investor Services'!H11</f>
        <v>122.724</v>
      </c>
      <c r="I11" s="17"/>
    </row>
    <row r="12">
      <c r="A12" s="1"/>
      <c r="B12" s="34" t="s">
        <v>77</v>
      </c>
      <c r="C12" s="2"/>
      <c r="D12" s="2"/>
      <c r="E12" s="2"/>
      <c r="F12" s="2"/>
      <c r="G12" s="2"/>
      <c r="H12" s="20">
        <f>IF(OR(H11="",C11=""),"",IF(C11=0,"n/m",H11/C11-1))</f>
        <v>0.5021297429620564</v>
      </c>
      <c r="I12" s="2"/>
    </row>
    <row r="13">
      <c r="A13" s="1"/>
      <c r="B13" s="15" t="s">
        <v>78</v>
      </c>
      <c r="C13" s="17"/>
      <c r="D13" s="17">
        <f>IF(OR(D11="",C11=""),"",D11-C11)</f>
        <v>16.099999999999994</v>
      </c>
      <c r="E13" s="17"/>
      <c r="F13" s="17">
        <f>IF(OR(F11="",D11=""),"",F11-D11)</f>
        <v>-12</v>
      </c>
      <c r="G13" s="17">
        <f>IF(OR(G11="",F11=""),"",G11-F11)</f>
        <v>-5.599999999999994</v>
      </c>
      <c r="H13" s="32">
        <f>IF(OR(H11="",G11=""),"",H11-G11)</f>
        <v>42.524</v>
      </c>
      <c r="I13" s="17"/>
    </row>
    <row r="14">
      <c r="A14" s="1"/>
      <c r="B14" s="34" t="s">
        <v>234</v>
      </c>
      <c r="C14" s="78">
        <f>C11/'Revenue summary'!C447</f>
        <v>0.6078869047619048</v>
      </c>
      <c r="D14" s="78">
        <f>D11/'Revenue summary'!D447</f>
        <v>0.618204804045512</v>
      </c>
      <c r="E14" s="78">
        <f>E11/'Revenue summary'!E447</f>
        <v>0.5711993582029684</v>
      </c>
      <c r="F14" s="78">
        <f>F11/'Revenue summary'!F447</f>
        <v>0.6132952108649035</v>
      </c>
      <c r="G14" s="78">
        <f>G11/'Revenue summary'!G447</f>
        <v>0.6756529064869419</v>
      </c>
      <c r="H14" s="48">
        <f>H11/'Revenue summary'!H447</f>
        <v>0.63</v>
      </c>
      <c r="I14" s="2"/>
    </row>
    <row r="15">
      <c r="A15" s="1"/>
      <c r="B15" s="34" t="s">
        <v>135</v>
      </c>
      <c r="C15" s="75"/>
      <c r="D15" s="75">
        <f>IF(OR(D14="",C14=""),"",(D14-C14)*10000)</f>
        <v>103.17899283607268</v>
      </c>
      <c r="E15" s="75"/>
      <c r="F15" s="75">
        <f>IF(OR(F14="",D14=""),"",(F14-D14)*10000)</f>
        <v>-49.09593180608574</v>
      </c>
      <c r="G15" s="75">
        <f>IF(OR(G14="",F14=""),"",(G14-F14)*10000)</f>
        <v>623.5769562203841</v>
      </c>
      <c r="H15" s="76">
        <f>IF(OR(H14="",G14=""),"",(H14-G14)*10000)</f>
        <v>-456.5290648694187</v>
      </c>
      <c r="I15" s="75"/>
    </row>
    <row r="16">
      <c r="A16" s="1"/>
      <c r="B16" s="34" t="s">
        <v>87</v>
      </c>
      <c r="C16" s="75"/>
      <c r="D16" s="75"/>
      <c r="E16" s="75"/>
      <c r="F16" s="75"/>
      <c r="G16" s="75"/>
      <c r="H16" s="76">
        <f>IF(OR(H14="",C14=""),"",(H14-C14)*10000)</f>
        <v>221.13095238095238</v>
      </c>
      <c r="I16" s="75"/>
    </row>
    <row r="17">
      <c r="A17" s="1"/>
      <c r="B17" s="15" t="s">
        <v>235</v>
      </c>
      <c r="C17" s="17">
        <f>C20-C10-C11</f>
        <v>247.6000000000002</v>
      </c>
      <c r="D17" s="17">
        <f>D20-D10-D11</f>
        <v>81.00000000000018</v>
      </c>
      <c r="E17" s="17">
        <f>E20-E10-E11</f>
        <v>531.0000000000002</v>
      </c>
      <c r="F17" s="17">
        <f>F20-F10-F11</f>
        <v>-79.8</v>
      </c>
      <c r="G17" s="17">
        <f>G20-G10-G11</f>
        <v>460.19999999999965</v>
      </c>
      <c r="H17" s="44">
        <f>'Revenue summary'!H453*H10/'Revenue summary'!H446</f>
        <v>72.53674617306972</v>
      </c>
      <c r="I17" s="17"/>
    </row>
    <row r="18">
      <c r="A18" s="1"/>
      <c r="B18" s="34" t="s">
        <v>77</v>
      </c>
      <c r="C18" s="2"/>
      <c r="D18" s="2"/>
      <c r="E18" s="2"/>
      <c r="F18" s="2"/>
      <c r="G18" s="2"/>
      <c r="H18" s="20">
        <f>IF(OR(H17="",C17=""),"",IF(C17=0,"n/m",H17/C17-1))</f>
        <v>-0.7070406051168431</v>
      </c>
      <c r="I18" s="2"/>
    </row>
    <row r="19">
      <c r="A19" s="1"/>
      <c r="B19" s="15" t="s">
        <v>78</v>
      </c>
      <c r="C19" s="17"/>
      <c r="D19" s="17">
        <f>IF(OR(D17="",C17=""),"",D17-C17)</f>
        <v>-166.60000000000002</v>
      </c>
      <c r="E19" s="17"/>
      <c r="F19" s="17">
        <f>IF(OR(F17="",D17=""),"",F17-D17)</f>
        <v>-160.80000000000018</v>
      </c>
      <c r="G19" s="17">
        <f>IF(OR(G17="",F17=""),"",G17-F17)</f>
        <v>539.9999999999997</v>
      </c>
      <c r="H19" s="32">
        <f>IF(OR(H17="",G17=""),"",H17-G17)</f>
        <v>-387.6632538269299</v>
      </c>
      <c r="I19" s="17"/>
    </row>
    <row r="20">
      <c r="A20" s="1"/>
      <c r="B20" s="53" t="s">
        <v>236</v>
      </c>
      <c r="C20" s="72">
        <v>5016.7</v>
      </c>
      <c r="D20" s="72">
        <v>5195.5</v>
      </c>
      <c r="E20" s="27">
        <f>D20</f>
        <v>5195.5</v>
      </c>
      <c r="F20" s="72">
        <v>5201.5</v>
      </c>
      <c r="G20" s="72">
        <v>5741.9</v>
      </c>
      <c r="H20" s="40">
        <f>H10+H11+H17</f>
        <v>5937.160746173069</v>
      </c>
      <c r="I20" s="55"/>
    </row>
    <row r="21">
      <c r="A21" s="1"/>
      <c r="B21" s="34" t="s">
        <v>77</v>
      </c>
      <c r="C21" s="2"/>
      <c r="D21" s="2"/>
      <c r="E21" s="2"/>
      <c r="F21" s="2"/>
      <c r="G21" s="2"/>
      <c r="H21" s="20">
        <f>IF(OR(H20="",C20=""),"",IF(C20=0,"n/m",H20/C20-1))</f>
        <v>0.18347932827816482</v>
      </c>
      <c r="I21" s="2"/>
    </row>
    <row r="22">
      <c r="A22" s="1"/>
      <c r="B22" s="15" t="s">
        <v>78</v>
      </c>
      <c r="C22" s="17"/>
      <c r="D22" s="17">
        <f>IF(OR(D20="",C20=""),"",D20-C20)</f>
        <v>178.80000000000018</v>
      </c>
      <c r="E22" s="17"/>
      <c r="F22" s="17">
        <f>IF(OR(F20="",D20=""),"",F20-D20)</f>
        <v>6</v>
      </c>
      <c r="G22" s="17">
        <f>IF(OR(G20="",F20=""),"",G20-F20)</f>
        <v>540.3999999999996</v>
      </c>
      <c r="H22" s="32">
        <f>IF(OR(H20="",G20=""),"",H20-G20)</f>
        <v>195.2607461730695</v>
      </c>
      <c r="I22" s="17"/>
    </row>
    <row r="23">
      <c r="A23" s="1"/>
      <c r="B23" s="15" t="s">
        <v>237</v>
      </c>
      <c r="C23" s="17">
        <f>AVERAGE(C10,C20)</f>
        <v>4852.049999999999</v>
      </c>
      <c r="D23" s="17">
        <f>AVERAGE(D10,D20)</f>
        <v>5106.1</v>
      </c>
      <c r="E23" s="17">
        <f>AVERAGE(E10,E20)</f>
        <v>4787.6</v>
      </c>
      <c r="F23" s="17">
        <f>AVERAGE(F10,F20)</f>
        <v>5198.5</v>
      </c>
      <c r="G23" s="17">
        <f>AVERAGE(G10,G20)</f>
        <v>5471.7</v>
      </c>
      <c r="H23" s="32">
        <f>AVERAGE(H10,H20)</f>
        <v>5839.530373086534</v>
      </c>
      <c r="I23" s="115" t="s">
        <v>277</v>
      </c>
    </row>
    <row r="24">
      <c r="A24" s="1"/>
      <c r="B24" s="34" t="s">
        <v>77</v>
      </c>
      <c r="C24" s="2"/>
      <c r="D24" s="2"/>
      <c r="E24" s="2"/>
      <c r="F24" s="2"/>
      <c r="G24" s="2"/>
      <c r="H24" s="20">
        <f>IF(OR(H23="",C23=""),"",IF(C23=0,"n/m",H23/C23-1))</f>
        <v>0.20351817748921297</v>
      </c>
      <c r="I24" s="2"/>
    </row>
    <row r="25">
      <c r="A25" s="1"/>
      <c r="B25" s="15" t="s">
        <v>78</v>
      </c>
      <c r="C25" s="17"/>
      <c r="D25" s="17">
        <f>IF(OR(D23="",C23=""),"",D23-C23)</f>
        <v>254.0500000000011</v>
      </c>
      <c r="E25" s="17"/>
      <c r="F25" s="17">
        <f>IF(OR(F23="",D23=""),"",F23-D23)</f>
        <v>92.39999999999964</v>
      </c>
      <c r="G25" s="17">
        <f>IF(OR(G23="",F23=""),"",G23-F23)</f>
        <v>273.1999999999998</v>
      </c>
      <c r="H25" s="32">
        <f>IF(OR(H23="",G23=""),"",H23-G23)</f>
        <v>367.83037308653456</v>
      </c>
      <c r="I25" s="17"/>
    </row>
    <row r="26">
      <c r="A26" s="1"/>
      <c r="B26" s="34" t="s">
        <v>239</v>
      </c>
      <c r="C26" s="78">
        <f>C20/'Revenue summary'!C459</f>
        <v>0.43270167933137255</v>
      </c>
      <c r="D26" s="78">
        <f>D20/'Revenue summary'!D459</f>
        <v>0.4364866000168025</v>
      </c>
      <c r="E26" s="78">
        <f>E20/'Revenue summary'!E459</f>
        <v>0.4364866000168025</v>
      </c>
      <c r="F26" s="78">
        <f>F20/'Revenue summary'!F459</f>
        <v>0.442007494965117</v>
      </c>
      <c r="G26" s="78">
        <f>G20/'Revenue summary'!G459</f>
        <v>0.43881879112564864</v>
      </c>
      <c r="H26" s="48">
        <f>H20/'Revenue summary'!H459</f>
        <v>0.44158875018022087</v>
      </c>
      <c r="I26" s="2"/>
    </row>
    <row r="27">
      <c r="A27" s="1"/>
      <c r="B27" s="34" t="s">
        <v>135</v>
      </c>
      <c r="C27" s="75"/>
      <c r="D27" s="75">
        <f>IF(OR(D26="",C26=""),"",(D26-C26)*10000)</f>
        <v>37.8492068542996</v>
      </c>
      <c r="E27" s="75"/>
      <c r="F27" s="75">
        <f>IF(OR(F26="",D26=""),"",(F26-D26)*10000)</f>
        <v>55.208949483144806</v>
      </c>
      <c r="G27" s="75">
        <f>IF(OR(G26="",F26=""),"",(G26-F26)*10000)</f>
        <v>-31.88703839468343</v>
      </c>
      <c r="H27" s="76">
        <f>IF(OR(H26="",G26=""),"",(H26-G26)*10000)</f>
        <v>27.69959054572224</v>
      </c>
      <c r="I27" s="75"/>
    </row>
    <row r="28">
      <c r="A28" s="1"/>
      <c r="B28" s="34" t="s">
        <v>87</v>
      </c>
      <c r="C28" s="75"/>
      <c r="D28" s="75"/>
      <c r="E28" s="75"/>
      <c r="F28" s="75"/>
      <c r="G28" s="75"/>
      <c r="H28" s="76">
        <f>IF(OR(H26="",C26=""),"",(H26-C26)*10000)</f>
        <v>88.87070848848322</v>
      </c>
      <c r="I28" s="75"/>
    </row>
    <row r="29">
      <c r="A29" s="1"/>
      <c r="B29" s="34" t="s">
        <v>240</v>
      </c>
      <c r="C29" s="2">
        <f>C11*(365/C$6)/C10</f>
        <v>0.06915046071707502</v>
      </c>
      <c r="D29" s="2">
        <f>D11*(365/D$6)/D10</f>
        <v>0.07734384546917643</v>
      </c>
      <c r="E29" s="2">
        <f>E11*(365/E$6)/E10</f>
        <v>0.06502728497385667</v>
      </c>
      <c r="F29" s="2">
        <f>F11*(365/F$6)/F10</f>
        <v>0.06697462547717575</v>
      </c>
      <c r="G29" s="2">
        <f>G11*(365/G$6)/G10</f>
        <v>0.06184395245243078</v>
      </c>
      <c r="H29" s="20">
        <f>H11*(365/H$6)/H10</f>
        <v>0.08479669280809186</v>
      </c>
      <c r="I29" s="2"/>
    </row>
    <row r="30">
      <c r="A30" s="1"/>
      <c r="B30" s="34" t="s">
        <v>135</v>
      </c>
      <c r="C30" s="75"/>
      <c r="D30" s="75">
        <f>IF(OR(D29="",C29=""),"",(D29-C29)*10000)</f>
        <v>81.93384752101407</v>
      </c>
      <c r="E30" s="75"/>
      <c r="F30" s="75">
        <f>IF(OR(F29="",D29=""),"",(F29-D29)*10000)</f>
        <v>-103.69219992000674</v>
      </c>
      <c r="G30" s="75">
        <f>IF(OR(G29="",F29=""),"",(G29-F29)*10000)</f>
        <v>-51.30673024744972</v>
      </c>
      <c r="H30" s="76">
        <f>IF(OR(H29="",G29=""),"",(H29-G29)*10000)</f>
        <v>229.52740355661084</v>
      </c>
      <c r="I30" s="75"/>
    </row>
    <row r="31">
      <c r="A31" s="1"/>
      <c r="B31" s="34" t="s">
        <v>87</v>
      </c>
      <c r="C31" s="75"/>
      <c r="D31" s="75"/>
      <c r="E31" s="75"/>
      <c r="F31" s="75"/>
      <c r="G31" s="75"/>
      <c r="H31" s="76">
        <f>IF(OR(H29="",C29=""),"",(H29-C29)*10000)</f>
        <v>156.46232091016842</v>
      </c>
      <c r="I31" s="75"/>
    </row>
    <row r="32">
      <c r="A32" s="1"/>
      <c r="B32" s="42"/>
      <c r="C32" s="8"/>
      <c r="D32" s="8"/>
      <c r="E32" s="8"/>
      <c r="F32" s="8"/>
      <c r="G32" s="8"/>
      <c r="H32" s="5"/>
      <c r="I32" s="8"/>
    </row>
    <row r="33">
      <c r="A33" s="1"/>
      <c r="B33" s="51" t="s">
        <v>243</v>
      </c>
      <c r="C33" s="7"/>
      <c r="D33" s="7"/>
      <c r="E33" s="7"/>
      <c r="F33" s="7"/>
      <c r="G33" s="7"/>
      <c r="H33" s="12"/>
      <c r="I33" s="7"/>
    </row>
    <row r="34">
      <c r="A34" s="1"/>
      <c r="B34" s="34" t="s">
        <v>244</v>
      </c>
      <c r="C34" s="78">
        <f>C37/'Revenue summary'!C227</f>
        <v>0.20524590163934425</v>
      </c>
      <c r="D34" s="78">
        <f>D37/'Revenue summary'!D227</f>
        <v>0.2112232030264817</v>
      </c>
      <c r="E34" s="78">
        <f>E37/'Revenue summary'!E227</f>
        <v>0.20612765957446808</v>
      </c>
      <c r="F34" s="78">
        <f>F37/'Revenue summary'!F227</f>
        <v>0.22868956743002544</v>
      </c>
      <c r="G34" s="78">
        <f>G37/'Revenue summary'!G227</f>
        <v>0.23294608281203455</v>
      </c>
      <c r="H34" s="48">
        <f>1-'Segment - Investor Services'!H40</f>
        <v>0.237</v>
      </c>
      <c r="I34" s="2"/>
    </row>
    <row r="35">
      <c r="A35" s="1"/>
      <c r="B35" s="34" t="s">
        <v>135</v>
      </c>
      <c r="C35" s="75"/>
      <c r="D35" s="75">
        <f>IF(OR(D34="",C34=""),"",(D34-C34)*10000)</f>
        <v>59.773013871374516</v>
      </c>
      <c r="E35" s="75"/>
      <c r="F35" s="75">
        <f>IF(OR(F34="",D34=""),"",(F34-D34)*10000)</f>
        <v>174.6636440354374</v>
      </c>
      <c r="G35" s="75">
        <f>IF(OR(G34="",F34=""),"",(G34-F34)*10000)</f>
        <v>42.56515382009107</v>
      </c>
      <c r="H35" s="76">
        <f>IF(OR(H34="",G34=""),"",(H34-G34)*10000)</f>
        <v>40.53917187965439</v>
      </c>
      <c r="I35" s="75"/>
    </row>
    <row r="36">
      <c r="A36" s="1"/>
      <c r="B36" s="34" t="s">
        <v>87</v>
      </c>
      <c r="C36" s="75"/>
      <c r="D36" s="75"/>
      <c r="E36" s="75"/>
      <c r="F36" s="75"/>
      <c r="G36" s="75"/>
      <c r="H36" s="76">
        <f>IF(OR(H34="",C34=""),"",(H34-C34)*10000)</f>
        <v>317.54098360655735</v>
      </c>
      <c r="I36" s="75"/>
    </row>
    <row r="37">
      <c r="A37" s="1"/>
      <c r="B37" s="15" t="s">
        <v>133</v>
      </c>
      <c r="C37" s="49">
        <v>626</v>
      </c>
      <c r="D37" s="11">
        <f>Inputs!D161-Inputs!C161-C37</f>
        <v>670</v>
      </c>
      <c r="E37" s="11">
        <f>Inputs!C161+C37+D37</f>
        <v>2422</v>
      </c>
      <c r="F37" s="49">
        <v>719</v>
      </c>
      <c r="G37" s="49">
        <v>782</v>
      </c>
      <c r="H37" s="44">
        <f>'Revenue summary'!H227*H34</f>
        <v>826.0786364519033</v>
      </c>
      <c r="I37" s="17"/>
    </row>
    <row r="38">
      <c r="A38" s="1"/>
      <c r="B38" s="34" t="s">
        <v>61</v>
      </c>
      <c r="C38" s="2"/>
      <c r="D38" s="2"/>
      <c r="E38" s="2"/>
      <c r="F38" s="2"/>
      <c r="G38" s="2"/>
      <c r="H38" s="20">
        <f>IF(OR(H37="",C37=""),"",IF(C37=0,"n/m",H37/C37-1))</f>
        <v>0.31961443522668254</v>
      </c>
      <c r="I38" s="2"/>
    </row>
    <row r="39">
      <c r="A39" s="1"/>
      <c r="B39" s="34" t="s">
        <v>62</v>
      </c>
      <c r="C39" s="2"/>
      <c r="D39" s="2">
        <f>IF(OR(D37="",C37=""),"",IF(C37=0,"n/m",D37/C37-1))</f>
        <v>0.07028753993610226</v>
      </c>
      <c r="E39" s="2"/>
      <c r="F39" s="2">
        <f>IF(OR(F37="",D37=""),"",IF(D37=0,"n/m",F37/D37-1))</f>
        <v>0.07313432835820888</v>
      </c>
      <c r="G39" s="2">
        <f>IF(OR(G37="",F37=""),"",IF(F37=0,"n/m",G37/F37-1))</f>
        <v>0.08762169680111276</v>
      </c>
      <c r="H39" s="20">
        <f>IF(OR(H37="",G37=""),"",IF(G37=0,"n/m",H37/G37-1))</f>
        <v>0.05636654277737008</v>
      </c>
      <c r="I39" s="2"/>
    </row>
    <row r="40">
      <c r="A40" s="1"/>
      <c r="B40" s="34" t="s">
        <v>64</v>
      </c>
      <c r="C40" s="2"/>
      <c r="D40" s="2"/>
      <c r="E40" s="2"/>
      <c r="F40" s="2"/>
      <c r="G40" s="2"/>
      <c r="H40" s="20">
        <f>IF(C37=0,"n/m",H37/C37-1)</f>
        <v>0.31961443522668254</v>
      </c>
      <c r="I40" s="2"/>
    </row>
    <row r="41">
      <c r="A41" s="1"/>
      <c r="B41" s="34" t="s">
        <v>70</v>
      </c>
      <c r="C41" s="2"/>
      <c r="D41" s="2"/>
      <c r="E41" s="2"/>
      <c r="F41" s="2"/>
      <c r="G41" s="2"/>
      <c r="H41" s="28">
        <v>0</v>
      </c>
      <c r="I41" s="2"/>
    </row>
    <row r="42">
      <c r="A42" s="1"/>
      <c r="B42" s="34" t="s">
        <v>67</v>
      </c>
      <c r="C42" s="2"/>
      <c r="D42" s="2"/>
      <c r="E42" s="2"/>
      <c r="F42" s="2"/>
      <c r="G42" s="2"/>
      <c r="H42" s="28">
        <v>0</v>
      </c>
      <c r="I42" s="2"/>
    </row>
    <row r="43">
      <c r="A43" s="1"/>
      <c r="B43" s="34" t="s">
        <v>68</v>
      </c>
      <c r="C43" s="2"/>
      <c r="D43" s="2"/>
      <c r="E43" s="2"/>
      <c r="F43" s="2"/>
      <c r="G43" s="2"/>
      <c r="H43" s="20">
        <f>(1+H40)/((1+H41)*(1+H42))-1</f>
        <v>0.31961443522668254</v>
      </c>
      <c r="I43" s="2"/>
    </row>
    <row r="44">
      <c r="A44" s="1"/>
      <c r="B44" s="34" t="s">
        <v>245</v>
      </c>
      <c r="C44" s="78">
        <f>C47/'Revenue summary'!C344</f>
        <v>0.27017334130304843</v>
      </c>
      <c r="D44" s="78">
        <f>D47/'Revenue summary'!D344</f>
        <v>0.2631275245239469</v>
      </c>
      <c r="E44" s="78">
        <f>E47/'Revenue summary'!E344</f>
        <v>0.2689824777128804</v>
      </c>
      <c r="F44" s="78">
        <f>F47/'Revenue summary'!F344</f>
        <v>0.2643547470153496</v>
      </c>
      <c r="G44" s="78">
        <f>G47/'Revenue summary'!G344</f>
        <v>0.2608219178082192</v>
      </c>
      <c r="H44" s="48">
        <f>1-'Segment - Investor Services'!H50</f>
        <v>0.26</v>
      </c>
      <c r="I44" s="2"/>
    </row>
    <row r="45">
      <c r="A45" s="1"/>
      <c r="B45" s="34" t="s">
        <v>135</v>
      </c>
      <c r="C45" s="75"/>
      <c r="D45" s="75">
        <f>IF(OR(D44="",C44=""),"",(D44-C44)*10000)</f>
        <v>-70.45816779101544</v>
      </c>
      <c r="E45" s="75"/>
      <c r="F45" s="75">
        <f>IF(OR(F44="",D44=""),"",(F44-D44)*10000)</f>
        <v>12.272224914027241</v>
      </c>
      <c r="G45" s="75">
        <f>IF(OR(G44="",F44=""),"",(G44-F44)*10000)</f>
        <v>-35.32829207130439</v>
      </c>
      <c r="H45" s="76">
        <f>IF(OR(H44="",G44=""),"",(H44-G44)*10000)</f>
        <v>-8.219178082191636</v>
      </c>
      <c r="I45" s="75"/>
    </row>
    <row r="46">
      <c r="A46" s="1"/>
      <c r="B46" s="34" t="s">
        <v>87</v>
      </c>
      <c r="C46" s="75"/>
      <c r="D46" s="75"/>
      <c r="E46" s="75"/>
      <c r="F46" s="75"/>
      <c r="G46" s="75"/>
      <c r="H46" s="76">
        <f>IF(OR(H44="",C44=""),"",(H44-C44)*10000)</f>
        <v>-101.73341303048421</v>
      </c>
      <c r="I46" s="75"/>
    </row>
    <row r="47">
      <c r="A47" s="1"/>
      <c r="B47" s="15" t="s">
        <v>160</v>
      </c>
      <c r="C47" s="49">
        <v>452</v>
      </c>
      <c r="D47" s="11">
        <f>Inputs!D162-Inputs!C162-C47</f>
        <v>456</v>
      </c>
      <c r="E47" s="11">
        <f>Inputs!C162+C47+D47</f>
        <v>1750</v>
      </c>
      <c r="F47" s="49">
        <v>465</v>
      </c>
      <c r="G47" s="49">
        <v>476</v>
      </c>
      <c r="H47" s="44">
        <f>'Revenue summary'!H344*H44</f>
        <v>494.7982240130755</v>
      </c>
      <c r="I47" s="17"/>
    </row>
    <row r="48">
      <c r="A48" s="1"/>
      <c r="B48" s="34" t="s">
        <v>61</v>
      </c>
      <c r="C48" s="2"/>
      <c r="D48" s="2"/>
      <c r="E48" s="2"/>
      <c r="F48" s="2"/>
      <c r="G48" s="2"/>
      <c r="H48" s="20">
        <f>IF(OR(H47="",C47=""),"",IF(C47=0,"n/m",H47/C47-1))</f>
        <v>0.09468633631211398</v>
      </c>
      <c r="I48" s="2"/>
    </row>
    <row r="49">
      <c r="A49" s="1"/>
      <c r="B49" s="34" t="s">
        <v>62</v>
      </c>
      <c r="C49" s="2"/>
      <c r="D49" s="2">
        <f>IF(OR(D47="",C47=""),"",IF(C47=0,"n/m",D47/C47-1))</f>
        <v>0.008849557522123908</v>
      </c>
      <c r="E49" s="2"/>
      <c r="F49" s="2">
        <f>IF(OR(F47="",D47=""),"",IF(D47=0,"n/m",F47/D47-1))</f>
        <v>0.019736842105263053</v>
      </c>
      <c r="G49" s="2">
        <f>IF(OR(G47="",F47=""),"",IF(F47=0,"n/m",G47/F47-1))</f>
        <v>0.023655913978494647</v>
      </c>
      <c r="H49" s="20">
        <f>IF(OR(H47="",G47=""),"",IF(G47=0,"n/m",H47/G47-1))</f>
        <v>0.039492067254360386</v>
      </c>
      <c r="I49" s="2"/>
    </row>
    <row r="50">
      <c r="A50" s="1"/>
      <c r="B50" s="34" t="s">
        <v>64</v>
      </c>
      <c r="C50" s="2"/>
      <c r="D50" s="2"/>
      <c r="E50" s="2"/>
      <c r="F50" s="2"/>
      <c r="G50" s="2"/>
      <c r="H50" s="20">
        <f>IF(C47=0,"n/m",H47/C47-1)</f>
        <v>0.09468633631211398</v>
      </c>
      <c r="I50" s="2"/>
    </row>
    <row r="51">
      <c r="A51" s="1"/>
      <c r="B51" s="34" t="s">
        <v>70</v>
      </c>
      <c r="C51" s="2"/>
      <c r="D51" s="2"/>
      <c r="E51" s="2"/>
      <c r="F51" s="2"/>
      <c r="G51" s="2"/>
      <c r="H51" s="28">
        <v>0</v>
      </c>
      <c r="I51" s="2"/>
    </row>
    <row r="52">
      <c r="A52" s="1"/>
      <c r="B52" s="34" t="s">
        <v>67</v>
      </c>
      <c r="C52" s="2"/>
      <c r="D52" s="2"/>
      <c r="E52" s="2"/>
      <c r="F52" s="2"/>
      <c r="G52" s="2"/>
      <c r="H52" s="28">
        <v>0</v>
      </c>
      <c r="I52" s="2"/>
    </row>
    <row r="53">
      <c r="A53" s="1"/>
      <c r="B53" s="34" t="s">
        <v>68</v>
      </c>
      <c r="C53" s="2"/>
      <c r="D53" s="2"/>
      <c r="E53" s="2"/>
      <c r="F53" s="2"/>
      <c r="G53" s="2"/>
      <c r="H53" s="20">
        <f>(1+H50)/((1+H51)*(1+H52))-1</f>
        <v>0.09468633631211398</v>
      </c>
      <c r="I53" s="2"/>
    </row>
    <row r="54">
      <c r="A54" s="1"/>
      <c r="B54" s="34" t="s">
        <v>246</v>
      </c>
      <c r="C54" s="78">
        <f>C57/'Revenue summary'!C377</f>
        <v>0.08944723618090453</v>
      </c>
      <c r="D54" s="78">
        <f>D57/'Revenue summary'!D377</f>
        <v>0.0975609756097561</v>
      </c>
      <c r="E54" s="78">
        <f>E57/'Revenue summary'!E377</f>
        <v>0.1009946442234124</v>
      </c>
      <c r="F54" s="78">
        <f>F57/'Revenue summary'!F377</f>
        <v>0.10009182736455463</v>
      </c>
      <c r="G54" s="78">
        <f>G57/'Revenue summary'!G377</f>
        <v>0.10534979423868313</v>
      </c>
      <c r="H54" s="48">
        <f>1-'Segment - Investor Services'!H60</f>
        <v>0.10499999999999998</v>
      </c>
      <c r="I54" s="2"/>
    </row>
    <row r="55">
      <c r="A55" s="1"/>
      <c r="B55" s="34" t="s">
        <v>135</v>
      </c>
      <c r="C55" s="75"/>
      <c r="D55" s="75">
        <f>IF(OR(D54="",C54=""),"",(D54-C54)*10000)</f>
        <v>81.13739428851574</v>
      </c>
      <c r="E55" s="75"/>
      <c r="F55" s="75">
        <f>IF(OR(F54="",D54=""),"",(F54-D54)*10000)</f>
        <v>25.3085175479853</v>
      </c>
      <c r="G55" s="75">
        <f>IF(OR(G54="",F54=""),"",(G54-F54)*10000)</f>
        <v>52.57966874128495</v>
      </c>
      <c r="H55" s="76">
        <f>IF(OR(H54="",G54=""),"",(H54-G54)*10000)</f>
        <v>-3.497942386831432</v>
      </c>
      <c r="I55" s="75"/>
    </row>
    <row r="56">
      <c r="A56" s="1"/>
      <c r="B56" s="34" t="s">
        <v>87</v>
      </c>
      <c r="C56" s="75"/>
      <c r="D56" s="75"/>
      <c r="E56" s="75"/>
      <c r="F56" s="75"/>
      <c r="G56" s="75"/>
      <c r="H56" s="76">
        <f>IF(OR(H54="",C54=""),"",(H54-C54)*10000)</f>
        <v>155.52763819095455</v>
      </c>
      <c r="I56" s="75"/>
    </row>
    <row r="57">
      <c r="A57" s="1"/>
      <c r="B57" s="15" t="s">
        <v>178</v>
      </c>
      <c r="C57" s="49">
        <v>89</v>
      </c>
      <c r="D57" s="11">
        <f>Inputs!D163-Inputs!C163-C57</f>
        <v>104</v>
      </c>
      <c r="E57" s="11">
        <f>Inputs!C163+C57+D57</f>
        <v>396</v>
      </c>
      <c r="F57" s="49">
        <v>109</v>
      </c>
      <c r="G57" s="49">
        <v>128</v>
      </c>
      <c r="H57" s="44">
        <f>'Revenue summary'!H377*H54</f>
        <v>124.51221929999998</v>
      </c>
      <c r="I57" s="17"/>
    </row>
    <row r="58">
      <c r="A58" s="1"/>
      <c r="B58" s="34" t="s">
        <v>61</v>
      </c>
      <c r="C58" s="2"/>
      <c r="D58" s="2"/>
      <c r="E58" s="2"/>
      <c r="F58" s="2"/>
      <c r="G58" s="2"/>
      <c r="H58" s="20">
        <f>IF(OR(H57="",C57=""),"",IF(C57=0,"n/m",H57/C57-1))</f>
        <v>0.3990136999999998</v>
      </c>
      <c r="I58" s="2"/>
    </row>
    <row r="59">
      <c r="A59" s="1"/>
      <c r="B59" s="34" t="s">
        <v>62</v>
      </c>
      <c r="C59" s="2"/>
      <c r="D59" s="2">
        <f>IF(OR(D57="",C57=""),"",IF(C57=0,"n/m",D57/C57-1))</f>
        <v>0.1685393258426966</v>
      </c>
      <c r="E59" s="2"/>
      <c r="F59" s="2">
        <f>IF(OR(F57="",D57=""),"",IF(D57=0,"n/m",F57/D57-1))</f>
        <v>0.04807692307692313</v>
      </c>
      <c r="G59" s="2">
        <f>IF(OR(G57="",F57=""),"",IF(F57=0,"n/m",G57/F57-1))</f>
        <v>0.17431192660550465</v>
      </c>
      <c r="H59" s="20">
        <f>IF(OR(H57="",G57=""),"",IF(G57=0,"n/m",H57/G57-1))</f>
        <v>-0.027248286718750125</v>
      </c>
      <c r="I59" s="2"/>
    </row>
    <row r="60">
      <c r="A60" s="1"/>
      <c r="B60" s="34" t="s">
        <v>64</v>
      </c>
      <c r="C60" s="2"/>
      <c r="D60" s="2"/>
      <c r="E60" s="2"/>
      <c r="F60" s="2"/>
      <c r="G60" s="2"/>
      <c r="H60" s="20">
        <f>IF(C57=0,"n/m",H57/C57-1)</f>
        <v>0.3990136999999998</v>
      </c>
      <c r="I60" s="2"/>
    </row>
    <row r="61">
      <c r="A61" s="1"/>
      <c r="B61" s="34" t="s">
        <v>70</v>
      </c>
      <c r="C61" s="2"/>
      <c r="D61" s="2"/>
      <c r="E61" s="2"/>
      <c r="F61" s="2"/>
      <c r="G61" s="2"/>
      <c r="H61" s="28">
        <v>0</v>
      </c>
      <c r="I61" s="2"/>
    </row>
    <row r="62">
      <c r="A62" s="1"/>
      <c r="B62" s="34" t="s">
        <v>67</v>
      </c>
      <c r="C62" s="2"/>
      <c r="D62" s="2"/>
      <c r="E62" s="2"/>
      <c r="F62" s="2"/>
      <c r="G62" s="2"/>
      <c r="H62" s="28">
        <v>0</v>
      </c>
      <c r="I62" s="2"/>
    </row>
    <row r="63">
      <c r="A63" s="1"/>
      <c r="B63" s="34" t="s">
        <v>68</v>
      </c>
      <c r="C63" s="2"/>
      <c r="D63" s="2"/>
      <c r="E63" s="2"/>
      <c r="F63" s="2"/>
      <c r="G63" s="2"/>
      <c r="H63" s="20">
        <f>(1+H60)/((1+H61)*(1+H62))-1</f>
        <v>0.3990136999999998</v>
      </c>
      <c r="I63" s="2"/>
    </row>
    <row r="64">
      <c r="A64" s="1"/>
      <c r="B64" s="34" t="s">
        <v>247</v>
      </c>
      <c r="C64" s="78">
        <f>C67/'Revenue summary'!C396</f>
        <v>0.20647773279352227</v>
      </c>
      <c r="D64" s="78">
        <f>D67/'Revenue summary'!D396</f>
        <v>0.22268907563025211</v>
      </c>
      <c r="E64" s="78">
        <f>E67/'Revenue summary'!E396</f>
        <v>0.21596724667349027</v>
      </c>
      <c r="F64" s="78">
        <f>F67/'Revenue summary'!F396</f>
        <v>0.23389830508474577</v>
      </c>
      <c r="G64" s="78">
        <f>G67/'Revenue summary'!G396</f>
        <v>0.22822822822822822</v>
      </c>
      <c r="H64" s="48">
        <f>1-'Segment - Investor Services'!H70</f>
        <v>0.22999999999999998</v>
      </c>
      <c r="I64" s="2"/>
    </row>
    <row r="65">
      <c r="A65" s="1"/>
      <c r="B65" s="34" t="s">
        <v>135</v>
      </c>
      <c r="C65" s="75"/>
      <c r="D65" s="75">
        <f>IF(OR(D64="",C64=""),"",(D64-C64)*10000)</f>
        <v>162.1134283672984</v>
      </c>
      <c r="E65" s="75"/>
      <c r="F65" s="75">
        <f>IF(OR(F64="",D64=""),"",(F64-D64)*10000)</f>
        <v>112.09229454493652</v>
      </c>
      <c r="G65" s="75">
        <f>IF(OR(G64="",F64=""),"",(G64-F64)*10000)</f>
        <v>-56.70076856517547</v>
      </c>
      <c r="H65" s="76">
        <f>IF(OR(H64="",G64=""),"",(H64-G64)*10000)</f>
        <v>17.71771771771763</v>
      </c>
      <c r="I65" s="75"/>
    </row>
    <row r="66">
      <c r="A66" s="1"/>
      <c r="B66" s="34" t="s">
        <v>87</v>
      </c>
      <c r="C66" s="75"/>
      <c r="D66" s="75"/>
      <c r="E66" s="75"/>
      <c r="F66" s="75"/>
      <c r="G66" s="75"/>
      <c r="H66" s="76">
        <f>IF(OR(H64="",C64=""),"",(H64-C64)*10000)</f>
        <v>235.2226720647771</v>
      </c>
      <c r="I66" s="75"/>
    </row>
    <row r="67">
      <c r="A67" s="1"/>
      <c r="B67" s="15" t="s">
        <v>185</v>
      </c>
      <c r="C67" s="49">
        <v>51</v>
      </c>
      <c r="D67" s="11">
        <f>Inputs!D164-Inputs!C164-C67</f>
        <v>53</v>
      </c>
      <c r="E67" s="11">
        <f>Inputs!C164+C67+D67</f>
        <v>211</v>
      </c>
      <c r="F67" s="49">
        <v>69</v>
      </c>
      <c r="G67" s="49">
        <v>76</v>
      </c>
      <c r="H67" s="44">
        <f>'Revenue summary'!H396*H64</f>
        <v>79.58330866209184</v>
      </c>
      <c r="I67" s="17"/>
    </row>
    <row r="68">
      <c r="A68" s="1"/>
      <c r="B68" s="34" t="s">
        <v>61</v>
      </c>
      <c r="C68" s="2"/>
      <c r="D68" s="2"/>
      <c r="E68" s="2"/>
      <c r="F68" s="2"/>
      <c r="G68" s="2"/>
      <c r="H68" s="20">
        <f>IF(OR(H67="",C67=""),"",IF(C67=0,"n/m",H67/C67-1))</f>
        <v>0.560457032590036</v>
      </c>
      <c r="I68" s="2"/>
    </row>
    <row r="69">
      <c r="A69" s="1"/>
      <c r="B69" s="34" t="s">
        <v>62</v>
      </c>
      <c r="C69" s="2"/>
      <c r="D69" s="2">
        <f>IF(OR(D67="",C67=""),"",IF(C67=0,"n/m",D67/C67-1))</f>
        <v>0.03921568627450989</v>
      </c>
      <c r="E69" s="2"/>
      <c r="F69" s="2">
        <f>IF(OR(F67="",D67=""),"",IF(D67=0,"n/m",F67/D67-1))</f>
        <v>0.3018867924528301</v>
      </c>
      <c r="G69" s="2">
        <f>IF(OR(G67="",F67=""),"",IF(F67=0,"n/m",G67/F67-1))</f>
        <v>0.10144927536231885</v>
      </c>
      <c r="H69" s="20">
        <f>IF(OR(H67="",G67=""),"",IF(G67=0,"n/m",H67/G67-1))</f>
        <v>0.04714879818541884</v>
      </c>
      <c r="I69" s="2"/>
    </row>
    <row r="70">
      <c r="A70" s="1"/>
      <c r="B70" s="34" t="s">
        <v>64</v>
      </c>
      <c r="C70" s="2"/>
      <c r="D70" s="2"/>
      <c r="E70" s="2"/>
      <c r="F70" s="2"/>
      <c r="G70" s="2"/>
      <c r="H70" s="20">
        <f>IF(C67=0,"n/m",H67/C67-1)</f>
        <v>0.560457032590036</v>
      </c>
      <c r="I70" s="2"/>
    </row>
    <row r="71">
      <c r="A71" s="1"/>
      <c r="B71" s="34" t="s">
        <v>70</v>
      </c>
      <c r="C71" s="2"/>
      <c r="D71" s="2"/>
      <c r="E71" s="2"/>
      <c r="F71" s="2"/>
      <c r="G71" s="2"/>
      <c r="H71" s="28">
        <v>0</v>
      </c>
      <c r="I71" s="2"/>
    </row>
    <row r="72">
      <c r="A72" s="1"/>
      <c r="B72" s="34" t="s">
        <v>67</v>
      </c>
      <c r="C72" s="2"/>
      <c r="D72" s="2"/>
      <c r="E72" s="2"/>
      <c r="F72" s="2"/>
      <c r="G72" s="2"/>
      <c r="H72" s="28">
        <v>0</v>
      </c>
      <c r="I72" s="2"/>
    </row>
    <row r="73">
      <c r="A73" s="1"/>
      <c r="B73" s="34" t="s">
        <v>68</v>
      </c>
      <c r="C73" s="2"/>
      <c r="D73" s="2"/>
      <c r="E73" s="2"/>
      <c r="F73" s="2"/>
      <c r="G73" s="2"/>
      <c r="H73" s="20">
        <f>(1+H70)/((1+H71)*(1+H72))-1</f>
        <v>0.560457032590036</v>
      </c>
      <c r="I73" s="2"/>
    </row>
    <row r="74">
      <c r="A74" s="1"/>
      <c r="B74" s="34" t="s">
        <v>248</v>
      </c>
      <c r="C74" s="78">
        <f>C77/'Revenue summary'!C419</f>
        <v>0.2</v>
      </c>
      <c r="D74" s="78">
        <f>D77/'Revenue summary'!D419</f>
        <v>0.13385826771653545</v>
      </c>
      <c r="E74" s="78">
        <f>E77/'Revenue summary'!E419</f>
        <v>0.1864406779661017</v>
      </c>
      <c r="F74" s="78">
        <f>F77/'Revenue summary'!F419</f>
        <v>0.2205128205128205</v>
      </c>
      <c r="G74" s="78">
        <f>G77/'Revenue summary'!G419</f>
        <v>0.23976608187134502</v>
      </c>
      <c r="H74" s="48">
        <f>1-'Segment - Investor Services'!H80</f>
        <v>0.21999999999999997</v>
      </c>
      <c r="I74" s="2"/>
    </row>
    <row r="75">
      <c r="A75" s="1"/>
      <c r="B75" s="34" t="s">
        <v>135</v>
      </c>
      <c r="C75" s="75"/>
      <c r="D75" s="75">
        <f>IF(OR(D74="",C74=""),"",(D74-C74)*10000)</f>
        <v>-661.4173228346457</v>
      </c>
      <c r="E75" s="75"/>
      <c r="F75" s="75">
        <f>IF(OR(F74="",D74=""),"",(F74-D74)*10000)</f>
        <v>866.5455279628507</v>
      </c>
      <c r="G75" s="75">
        <f>IF(OR(G74="",F74=""),"",(G74-F74)*10000)</f>
        <v>192.5326135852451</v>
      </c>
      <c r="H75" s="76">
        <f>IF(OR(H74="",G74=""),"",(H74-G74)*10000)</f>
        <v>-197.66081871345042</v>
      </c>
      <c r="I75" s="75"/>
    </row>
    <row r="76">
      <c r="A76" s="1"/>
      <c r="B76" s="34" t="s">
        <v>87</v>
      </c>
      <c r="C76" s="75"/>
      <c r="D76" s="75"/>
      <c r="E76" s="75"/>
      <c r="F76" s="75"/>
      <c r="G76" s="75"/>
      <c r="H76" s="76">
        <f>IF(OR(H74="",C74=""),"",(H74-C74)*10000)</f>
        <v>199.99999999999963</v>
      </c>
      <c r="I76" s="75"/>
    </row>
    <row r="77">
      <c r="A77" s="1"/>
      <c r="B77" s="15" t="s">
        <v>189</v>
      </c>
      <c r="C77" s="49">
        <v>34</v>
      </c>
      <c r="D77" s="11">
        <f>Inputs!D165-Inputs!C165-C77</f>
        <v>17</v>
      </c>
      <c r="E77" s="11">
        <f>Inputs!C165+C77+D77</f>
        <v>143</v>
      </c>
      <c r="F77" s="49">
        <v>43</v>
      </c>
      <c r="G77" s="49">
        <v>82</v>
      </c>
      <c r="H77" s="44">
        <f>'Revenue summary'!H419*H74</f>
        <v>50.599999999999994</v>
      </c>
      <c r="I77" s="17"/>
    </row>
    <row r="78">
      <c r="A78" s="1"/>
      <c r="B78" s="34" t="s">
        <v>61</v>
      </c>
      <c r="C78" s="2"/>
      <c r="D78" s="2"/>
      <c r="E78" s="2"/>
      <c r="F78" s="2"/>
      <c r="G78" s="2"/>
      <c r="H78" s="20">
        <f>IF(OR(H77="",C77=""),"",IF(C77=0,"n/m",H77/C77-1))</f>
        <v>0.4882352941176469</v>
      </c>
      <c r="I78" s="2"/>
    </row>
    <row r="79">
      <c r="A79" s="1"/>
      <c r="B79" s="34" t="s">
        <v>62</v>
      </c>
      <c r="C79" s="2"/>
      <c r="D79" s="2">
        <f>IF(OR(D77="",C77=""),"",IF(C77=0,"n/m",D77/C77-1))</f>
        <v>-0.5</v>
      </c>
      <c r="E79" s="2"/>
      <c r="F79" s="2">
        <f>IF(OR(F77="",D77=""),"",IF(D77=0,"n/m",F77/D77-1))</f>
        <v>1.5294117647058822</v>
      </c>
      <c r="G79" s="2">
        <f>IF(OR(G77="",F77=""),"",IF(F77=0,"n/m",G77/F77-1))</f>
        <v>0.9069767441860466</v>
      </c>
      <c r="H79" s="20">
        <f>IF(OR(H77="",G77=""),"",IF(G77=0,"n/m",H77/G77-1))</f>
        <v>-0.3829268292682928</v>
      </c>
      <c r="I79" s="2"/>
    </row>
    <row r="80">
      <c r="A80" s="1"/>
      <c r="B80" s="34" t="s">
        <v>64</v>
      </c>
      <c r="C80" s="2"/>
      <c r="D80" s="2"/>
      <c r="E80" s="2"/>
      <c r="F80" s="2"/>
      <c r="G80" s="2"/>
      <c r="H80" s="20">
        <f>IF(C77=0,"n/m",H77/C77-1)</f>
        <v>0.4882352941176469</v>
      </c>
      <c r="I80" s="2"/>
    </row>
    <row r="81">
      <c r="A81" s="1"/>
      <c r="B81" s="34" t="s">
        <v>70</v>
      </c>
      <c r="C81" s="2"/>
      <c r="D81" s="2"/>
      <c r="E81" s="2"/>
      <c r="F81" s="2"/>
      <c r="G81" s="2"/>
      <c r="H81" s="122">
        <f>'Revenue summary'!H405*H74/C77</f>
        <v>0.29117647058823526</v>
      </c>
      <c r="I81" s="120" t="s">
        <v>278</v>
      </c>
    </row>
    <row r="82">
      <c r="A82" s="1"/>
      <c r="B82" s="34" t="s">
        <v>67</v>
      </c>
      <c r="C82" s="2"/>
      <c r="D82" s="2"/>
      <c r="E82" s="2"/>
      <c r="F82" s="2"/>
      <c r="G82" s="2"/>
      <c r="H82" s="28">
        <v>0</v>
      </c>
      <c r="I82" s="2"/>
    </row>
    <row r="83">
      <c r="A83" s="1"/>
      <c r="B83" s="34" t="s">
        <v>68</v>
      </c>
      <c r="C83" s="2"/>
      <c r="D83" s="2"/>
      <c r="E83" s="2"/>
      <c r="F83" s="2"/>
      <c r="G83" s="2"/>
      <c r="H83" s="20">
        <f>(1+H80)/((1+H81)*(1+H82))-1</f>
        <v>0.15261958997722092</v>
      </c>
      <c r="I83" s="2"/>
    </row>
    <row r="84">
      <c r="A84" s="1"/>
      <c r="B84" s="53" t="s">
        <v>250</v>
      </c>
      <c r="C84" s="27">
        <f>C37+C47+C57+C67+C77</f>
        <v>1252</v>
      </c>
      <c r="D84" s="27">
        <f>D37+D47+D57+D67+D77</f>
        <v>1300</v>
      </c>
      <c r="E84" s="27">
        <f>E37+E47+E57+E67+E77</f>
        <v>4922</v>
      </c>
      <c r="F84" s="27">
        <f>F37+F47+F57+F67+F77</f>
        <v>1405</v>
      </c>
      <c r="G84" s="27">
        <f>G37+G47+G57+G67+G77</f>
        <v>1544</v>
      </c>
      <c r="H84" s="40">
        <f>H37+H47+H57+H67+H77</f>
        <v>1575.5723884270706</v>
      </c>
      <c r="I84" s="55"/>
    </row>
    <row r="85">
      <c r="A85" s="1"/>
      <c r="B85" s="34" t="s">
        <v>61</v>
      </c>
      <c r="C85" s="2"/>
      <c r="D85" s="2"/>
      <c r="E85" s="2"/>
      <c r="F85" s="2"/>
      <c r="G85" s="2"/>
      <c r="H85" s="20">
        <f>IF(OR(H84="",C84=""),"",IF(C84=0,"n/m",H84/C84-1))</f>
        <v>0.25844439970213307</v>
      </c>
      <c r="I85" s="2"/>
    </row>
    <row r="86">
      <c r="A86" s="1"/>
      <c r="B86" s="34" t="s">
        <v>62</v>
      </c>
      <c r="C86" s="2"/>
      <c r="D86" s="2">
        <f>IF(OR(D84="",C84=""),"",IF(C84=0,"n/m",D84/C84-1))</f>
        <v>0.03833865814696491</v>
      </c>
      <c r="E86" s="2"/>
      <c r="F86" s="2">
        <f>IF(OR(F84="",D84=""),"",IF(D84=0,"n/m",F84/D84-1))</f>
        <v>0.0807692307692307</v>
      </c>
      <c r="G86" s="2">
        <f>IF(OR(G84="",F84=""),"",IF(F84=0,"n/m",G84/F84-1))</f>
        <v>0.09893238434163698</v>
      </c>
      <c r="H86" s="20">
        <f>IF(OR(H84="",G84=""),"",IF(G84=0,"n/m",H84/G84-1))</f>
        <v>0.020448438100434396</v>
      </c>
      <c r="I86" s="2"/>
    </row>
    <row r="87">
      <c r="A87" s="1"/>
      <c r="B87" s="34" t="s">
        <v>64</v>
      </c>
      <c r="C87" s="2"/>
      <c r="D87" s="2"/>
      <c r="E87" s="2"/>
      <c r="F87" s="2"/>
      <c r="G87" s="2"/>
      <c r="H87" s="20">
        <f>IF(C84=0,"n/m",H84/C84-1)</f>
        <v>0.25844439970213307</v>
      </c>
      <c r="I87" s="2"/>
    </row>
    <row r="88">
      <c r="A88" s="1"/>
      <c r="B88" s="34" t="s">
        <v>70</v>
      </c>
      <c r="C88" s="2"/>
      <c r="D88" s="2"/>
      <c r="E88" s="2"/>
      <c r="F88" s="2"/>
      <c r="G88" s="2"/>
      <c r="H88" s="122">
        <f>'Revenue summary'!H405*H74/C84</f>
        <v>0.0079073482428115</v>
      </c>
      <c r="I88" s="2"/>
    </row>
    <row r="89">
      <c r="A89" s="1"/>
      <c r="B89" s="34" t="s">
        <v>67</v>
      </c>
      <c r="C89" s="2"/>
      <c r="D89" s="2"/>
      <c r="E89" s="2"/>
      <c r="F89" s="2"/>
      <c r="G89" s="2"/>
      <c r="H89" s="28">
        <v>0</v>
      </c>
      <c r="I89" s="2"/>
    </row>
    <row r="90">
      <c r="A90" s="1"/>
      <c r="B90" s="34" t="s">
        <v>68</v>
      </c>
      <c r="C90" s="2"/>
      <c r="D90" s="2"/>
      <c r="E90" s="2"/>
      <c r="F90" s="2"/>
      <c r="G90" s="2"/>
      <c r="H90" s="20">
        <f>(1+H87)/((1+H88)*(1+H89))-1</f>
        <v>0.24857150996677269</v>
      </c>
      <c r="I90" s="2"/>
    </row>
    <row r="91">
      <c r="A91" s="1"/>
      <c r="B91" s="15" t="s">
        <v>251</v>
      </c>
      <c r="C91" s="17">
        <f>C84*(365/C$6)/(C23*1000)*10000</f>
        <v>10.237268604081738</v>
      </c>
      <c r="D91" s="17">
        <f>D84*(365/D$6)/(D23*1000)*10000</f>
        <v>10.100876785907394</v>
      </c>
      <c r="E91" s="17">
        <f>E84*(365/E$6)/(E23*1000)*10000</f>
        <v>10.280725206784194</v>
      </c>
      <c r="F91" s="17">
        <f>F84*(365/F$6)/(F23*1000)*10000</f>
        <v>10.96096096096096</v>
      </c>
      <c r="G91" s="17">
        <f>G84*(365/G$6)/(G23*1000)*10000</f>
        <v>11.318177226395877</v>
      </c>
      <c r="H91" s="32">
        <f>H84*(365/H$6)/(H23*1000)*10000</f>
        <v>10.704477575843349</v>
      </c>
      <c r="I91" s="17"/>
    </row>
    <row r="92">
      <c r="A92" s="1"/>
      <c r="B92" s="15" t="s">
        <v>135</v>
      </c>
      <c r="C92" s="17"/>
      <c r="D92" s="17">
        <f>IF(OR(D91="",C91=""),"",D91-C91)</f>
        <v>-0.13639181817434398</v>
      </c>
      <c r="E92" s="17"/>
      <c r="F92" s="17">
        <f>IF(OR(F91="",D91=""),"",F91-D91)</f>
        <v>0.8600841750535668</v>
      </c>
      <c r="G92" s="17">
        <f>IF(OR(G91="",F91=""),"",G91-F91)</f>
        <v>0.357216265434916</v>
      </c>
      <c r="H92" s="32">
        <f>IF(OR(H91="",G91=""),"",H91-G91)</f>
        <v>-0.6136996505525278</v>
      </c>
      <c r="I92" s="17"/>
    </row>
    <row r="93">
      <c r="A93" s="1"/>
      <c r="B93" s="34" t="s">
        <v>87</v>
      </c>
      <c r="C93" s="75"/>
      <c r="D93" s="75"/>
      <c r="E93" s="75"/>
      <c r="F93" s="75"/>
      <c r="G93" s="75"/>
      <c r="H93" s="76">
        <f>IF(OR(H91="",C91=""),"",H91-C91)</f>
        <v>0.467208971761611</v>
      </c>
      <c r="I93" s="75"/>
    </row>
    <row r="94">
      <c r="A94" s="1"/>
      <c r="B94" s="42"/>
      <c r="C94" s="8"/>
      <c r="D94" s="8"/>
      <c r="E94" s="8"/>
      <c r="F94" s="8"/>
      <c r="G94" s="8"/>
      <c r="H94" s="5"/>
      <c r="I94" s="8"/>
    </row>
    <row r="95">
      <c r="A95" s="1"/>
      <c r="B95" s="51" t="s">
        <v>252</v>
      </c>
      <c r="C95" s="7"/>
      <c r="D95" s="7"/>
      <c r="E95" s="7"/>
      <c r="F95" s="7"/>
      <c r="G95" s="7"/>
      <c r="H95" s="12"/>
      <c r="I95" s="7"/>
    </row>
    <row r="96">
      <c r="A96" s="1"/>
      <c r="B96" s="34" t="s">
        <v>253</v>
      </c>
      <c r="C96" s="78">
        <f>C99/'Income Statement'!C32</f>
        <v>0.22323049001814882</v>
      </c>
      <c r="D96" s="78">
        <f>D99/'Income Statement'!D32</f>
        <v>0.22392638036809817</v>
      </c>
      <c r="E96" s="78">
        <f>E99/'Income Statement'!E32</f>
        <v>0.2258511785549222</v>
      </c>
      <c r="F96" s="78">
        <f>F99/'Income Statement'!F32</f>
        <v>0.22792494481236203</v>
      </c>
      <c r="G96" s="78">
        <f>G99/'Income Statement'!G32</f>
        <v>0.21843575418994413</v>
      </c>
      <c r="H96" s="48">
        <f>1-'Segment - Investor Services'!H102</f>
        <v>0.2184357541899441</v>
      </c>
      <c r="I96" s="2"/>
    </row>
    <row r="97">
      <c r="A97" s="1"/>
      <c r="B97" s="34" t="s">
        <v>135</v>
      </c>
      <c r="C97" s="75"/>
      <c r="D97" s="75">
        <f>IF(OR(D96="",C96=""),"",(D96-C96)*10000)</f>
        <v>6.958903499493518</v>
      </c>
      <c r="E97" s="75"/>
      <c r="F97" s="75">
        <f>IF(OR(F96="",D96=""),"",(F96-D96)*10000)</f>
        <v>39.98564444263858</v>
      </c>
      <c r="G97" s="75">
        <f>IF(OR(G96="",F96=""),"",(G96-F96)*10000)</f>
        <v>-94.89190622417904</v>
      </c>
      <c r="H97" s="76">
        <f>IF(OR(H96="",G96=""),"",(H96-G96)*10000)</f>
        <v>0</v>
      </c>
      <c r="I97" s="75"/>
    </row>
    <row r="98">
      <c r="A98" s="1"/>
      <c r="B98" s="34" t="s">
        <v>87</v>
      </c>
      <c r="C98" s="75"/>
      <c r="D98" s="75"/>
      <c r="E98" s="75"/>
      <c r="F98" s="75"/>
      <c r="G98" s="75"/>
      <c r="H98" s="76">
        <f>IF(OR(H96="",C96=""),"",(H96-C96)*10000)</f>
        <v>-47.94735828204721</v>
      </c>
      <c r="I98" s="75"/>
    </row>
    <row r="99">
      <c r="A99" s="1"/>
      <c r="B99" s="15" t="s">
        <v>254</v>
      </c>
      <c r="C99" s="49">
        <v>369</v>
      </c>
      <c r="D99" s="11">
        <f>Inputs!D166-Inputs!C166-C99</f>
        <v>365</v>
      </c>
      <c r="E99" s="11">
        <f>Inputs!C166+C99+D99</f>
        <v>1466</v>
      </c>
      <c r="F99" s="49">
        <v>413</v>
      </c>
      <c r="G99" s="49">
        <v>391</v>
      </c>
      <c r="H99" s="44">
        <f>'Income Statement'!H32*H96</f>
        <v>396.4608938547485</v>
      </c>
      <c r="I99" s="17"/>
    </row>
    <row r="100">
      <c r="A100" s="1"/>
      <c r="B100" s="34" t="s">
        <v>62</v>
      </c>
      <c r="C100" s="2"/>
      <c r="D100" s="2">
        <f>IF(OR(D99="",C99=""),"",IF(C99=0,"n/m",D99/C99-1))</f>
        <v>-0.010840108401083959</v>
      </c>
      <c r="E100" s="2"/>
      <c r="F100" s="2">
        <f>IF(OR(F99="",D99=""),"",IF(D99=0,"n/m",F99/D99-1))</f>
        <v>0.1315068493150684</v>
      </c>
      <c r="G100" s="2">
        <f>IF(OR(G99="",F99=""),"",IF(F99=0,"n/m",G99/F99-1))</f>
        <v>-0.053268765133171914</v>
      </c>
      <c r="H100" s="20">
        <f>IF(OR(H99="",G99=""),"",IF(G99=0,"n/m",H99/G99-1))</f>
        <v>0.013966480446927054</v>
      </c>
      <c r="I100" s="2"/>
    </row>
    <row r="101">
      <c r="A101" s="1"/>
      <c r="B101" s="34" t="s">
        <v>255</v>
      </c>
      <c r="C101" s="78">
        <f>C104/'Income Statement'!C34</f>
        <v>0.19795221843003413</v>
      </c>
      <c r="D101" s="78">
        <f>D104/'Income Statement'!D34</f>
        <v>0.2063953488372093</v>
      </c>
      <c r="E101" s="78">
        <f>E104/'Income Statement'!E34</f>
        <v>0.20384294068504594</v>
      </c>
      <c r="F101" s="78">
        <f>F104/'Income Statement'!F34</f>
        <v>0.1782178217821782</v>
      </c>
      <c r="G101" s="78">
        <f>G104/'Income Statement'!G34</f>
        <v>0.18892508143322476</v>
      </c>
      <c r="H101" s="48">
        <f>1-'Segment - Investor Services'!H107</f>
        <v>0.18892508143322473</v>
      </c>
      <c r="I101" s="2"/>
    </row>
    <row r="102">
      <c r="A102" s="1"/>
      <c r="B102" s="34" t="s">
        <v>135</v>
      </c>
      <c r="C102" s="75"/>
      <c r="D102" s="75">
        <f>IF(OR(D101="",C101=""),"",(D101-C101)*10000)</f>
        <v>84.43130407175175</v>
      </c>
      <c r="E102" s="75"/>
      <c r="F102" s="75">
        <f>IF(OR(F101="",D101=""),"",(F101-D101)*10000)</f>
        <v>-281.775270550311</v>
      </c>
      <c r="G102" s="75">
        <f>IF(OR(G101="",F101=""),"",(G101-F101)*10000)</f>
        <v>107.07259651046547</v>
      </c>
      <c r="H102" s="76">
        <f>IF(OR(H101="",G101=""),"",(H101-G101)*10000)</f>
        <v>0</v>
      </c>
      <c r="I102" s="75"/>
    </row>
    <row r="103">
      <c r="A103" s="1"/>
      <c r="B103" s="34" t="s">
        <v>87</v>
      </c>
      <c r="C103" s="75"/>
      <c r="D103" s="75"/>
      <c r="E103" s="75"/>
      <c r="F103" s="75"/>
      <c r="G103" s="75"/>
      <c r="H103" s="76">
        <f>IF(OR(H101="",C101=""),"",(H101-C101)*10000)</f>
        <v>-90.27136996809404</v>
      </c>
      <c r="I103" s="75"/>
    </row>
    <row r="104">
      <c r="A104" s="1"/>
      <c r="B104" s="15" t="s">
        <v>256</v>
      </c>
      <c r="C104" s="49">
        <v>58</v>
      </c>
      <c r="D104" s="11">
        <f>Inputs!D167-Inputs!C167-C104</f>
        <v>71</v>
      </c>
      <c r="E104" s="11">
        <f>Inputs!C167+C104+D104</f>
        <v>244</v>
      </c>
      <c r="F104" s="49">
        <v>54</v>
      </c>
      <c r="G104" s="49">
        <v>58</v>
      </c>
      <c r="H104" s="44">
        <f>'Income Statement'!H34*H101</f>
        <v>60.833876221498365</v>
      </c>
      <c r="I104" s="17"/>
    </row>
    <row r="105">
      <c r="A105" s="1"/>
      <c r="B105" s="34" t="s">
        <v>62</v>
      </c>
      <c r="C105" s="2"/>
      <c r="D105" s="2">
        <f>IF(OR(D104="",C104=""),"",IF(C104=0,"n/m",D104/C104-1))</f>
        <v>0.22413793103448265</v>
      </c>
      <c r="E105" s="2"/>
      <c r="F105" s="2">
        <f>IF(OR(F104="",D104=""),"",IF(D104=0,"n/m",F104/D104-1))</f>
        <v>-0.23943661971830987</v>
      </c>
      <c r="G105" s="2">
        <f>IF(OR(G104="",F104=""),"",IF(F104=0,"n/m",G104/F104-1))</f>
        <v>0.07407407407407418</v>
      </c>
      <c r="H105" s="20">
        <f>IF(OR(H104="",G104=""),"",IF(G104=0,"n/m",H104/G104-1))</f>
        <v>0.048859934853419995</v>
      </c>
      <c r="I105" s="2"/>
    </row>
    <row r="106">
      <c r="A106" s="1"/>
      <c r="B106" s="34" t="s">
        <v>257</v>
      </c>
      <c r="C106" s="78">
        <f>C109/'Income Statement'!C36</f>
        <v>0.21428571428571427</v>
      </c>
      <c r="D106" s="78">
        <f>D109/'Income Statement'!D36</f>
        <v>0.21843003412969283</v>
      </c>
      <c r="E106" s="78">
        <f>E109/'Income Statement'!E36</f>
        <v>0.21575649059982094</v>
      </c>
      <c r="F106" s="78">
        <f>F109/'Income Statement'!F36</f>
        <v>0.21754385964912282</v>
      </c>
      <c r="G106" s="78">
        <f>G109/'Income Statement'!G36</f>
        <v>0.21262458471760798</v>
      </c>
      <c r="H106" s="48">
        <f>1-'Segment - Investor Services'!H112</f>
        <v>0.21262458471760792</v>
      </c>
      <c r="I106" s="2"/>
    </row>
    <row r="107">
      <c r="A107" s="1"/>
      <c r="B107" s="34" t="s">
        <v>135</v>
      </c>
      <c r="C107" s="75"/>
      <c r="D107" s="75">
        <f>IF(OR(D106="",C106=""),"",(D106-C106)*10000)</f>
        <v>41.44319843978561</v>
      </c>
      <c r="E107" s="75"/>
      <c r="F107" s="75">
        <f>IF(OR(F106="",D106=""),"",(F106-D106)*10000)</f>
        <v>-8.861744805700178</v>
      </c>
      <c r="G107" s="75">
        <f>IF(OR(G106="",F106=""),"",(G106-F106)*10000)</f>
        <v>-49.19274931514839</v>
      </c>
      <c r="H107" s="76">
        <f>IF(OR(H106="",G106=""),"",(H106-G106)*10000)</f>
        <v>0</v>
      </c>
      <c r="I107" s="75"/>
    </row>
    <row r="108">
      <c r="A108" s="1"/>
      <c r="B108" s="34" t="s">
        <v>87</v>
      </c>
      <c r="C108" s="75"/>
      <c r="D108" s="75"/>
      <c r="E108" s="75"/>
      <c r="F108" s="75"/>
      <c r="G108" s="75"/>
      <c r="H108" s="76">
        <f>IF(OR(H106="",C106=""),"",(H106-C106)*10000)</f>
        <v>-16.61129568106351</v>
      </c>
      <c r="I108" s="75"/>
    </row>
    <row r="109">
      <c r="A109" s="1"/>
      <c r="B109" s="15" t="s">
        <v>258</v>
      </c>
      <c r="C109" s="49">
        <v>60</v>
      </c>
      <c r="D109" s="11">
        <f>Inputs!D168-Inputs!C168-C109</f>
        <v>64</v>
      </c>
      <c r="E109" s="11">
        <f>Inputs!C168+C109+D109</f>
        <v>241</v>
      </c>
      <c r="F109" s="49">
        <v>62</v>
      </c>
      <c r="G109" s="49">
        <v>64</v>
      </c>
      <c r="H109" s="44">
        <f>'Income Statement'!H36*H106</f>
        <v>66.9767441860465</v>
      </c>
      <c r="I109" s="17"/>
    </row>
    <row r="110">
      <c r="A110" s="1"/>
      <c r="B110" s="34" t="s">
        <v>62</v>
      </c>
      <c r="C110" s="2"/>
      <c r="D110" s="2">
        <f>IF(OR(D109="",C109=""),"",IF(C109=0,"n/m",D109/C109-1))</f>
        <v>0.06666666666666665</v>
      </c>
      <c r="E110" s="2"/>
      <c r="F110" s="2">
        <f>IF(OR(F109="",D109=""),"",IF(D109=0,"n/m",F109/D109-1))</f>
        <v>-0.03125</v>
      </c>
      <c r="G110" s="2">
        <f>IF(OR(G109="",F109=""),"",IF(F109=0,"n/m",G109/F109-1))</f>
        <v>0.032258064516129004</v>
      </c>
      <c r="H110" s="20">
        <f>IF(OR(H109="",G109=""),"",IF(G109=0,"n/m",H109/G109-1))</f>
        <v>0.046511627906976605</v>
      </c>
      <c r="I110" s="2"/>
    </row>
    <row r="111">
      <c r="A111" s="1"/>
      <c r="B111" s="34" t="s">
        <v>259</v>
      </c>
      <c r="C111" s="78">
        <f>C114/'Income Statement'!C38</f>
        <v>0.40594059405940597</v>
      </c>
      <c r="D111" s="78">
        <f>D114/'Income Statement'!D38</f>
        <v>0.25217391304347825</v>
      </c>
      <c r="E111" s="78">
        <f>E114/'Income Statement'!E38</f>
        <v>0.3333333333333333</v>
      </c>
      <c r="F111" s="78">
        <f>F114/'Income Statement'!F38</f>
        <v>0.21782178217821782</v>
      </c>
      <c r="G111" s="78">
        <f>G114/'Income Statement'!G38</f>
        <v>0.22522522522522523</v>
      </c>
      <c r="H111" s="48">
        <f>1-'Segment - Investor Services'!H117</f>
        <v>0.22522522522522526</v>
      </c>
      <c r="I111" s="2"/>
    </row>
    <row r="112">
      <c r="A112" s="1"/>
      <c r="B112" s="34" t="s">
        <v>135</v>
      </c>
      <c r="C112" s="75"/>
      <c r="D112" s="75">
        <f>IF(OR(D111="",C111=""),"",(D111-C111)*10000)</f>
        <v>-1537.6668101592772</v>
      </c>
      <c r="E112" s="75"/>
      <c r="F112" s="75">
        <f>IF(OR(F111="",D111=""),"",(F111-D111)*10000)</f>
        <v>-343.52130865260426</v>
      </c>
      <c r="G112" s="75">
        <f>IF(OR(G111="",F111=""),"",(G111-F111)*10000)</f>
        <v>74.03443047007407</v>
      </c>
      <c r="H112" s="76">
        <f>IF(OR(H111="",G111=""),"",(H111-G111)*10000)</f>
        <v>0</v>
      </c>
      <c r="I112" s="75"/>
    </row>
    <row r="113">
      <c r="A113" s="1"/>
      <c r="B113" s="34" t="s">
        <v>87</v>
      </c>
      <c r="C113" s="75"/>
      <c r="D113" s="75"/>
      <c r="E113" s="75"/>
      <c r="F113" s="75"/>
      <c r="G113" s="75"/>
      <c r="H113" s="76">
        <f>IF(OR(H111="",C111=""),"",(H111-C111)*10000)</f>
        <v>-1807.153688341807</v>
      </c>
      <c r="I113" s="75"/>
    </row>
    <row r="114">
      <c r="A114" s="1"/>
      <c r="B114" s="15" t="s">
        <v>260</v>
      </c>
      <c r="C114" s="49">
        <v>41</v>
      </c>
      <c r="D114" s="11">
        <f>Inputs!D169-Inputs!C169-C114</f>
        <v>29</v>
      </c>
      <c r="E114" s="11">
        <f>Inputs!C169+C114+D114</f>
        <v>140</v>
      </c>
      <c r="F114" s="49">
        <v>22</v>
      </c>
      <c r="G114" s="49">
        <v>25</v>
      </c>
      <c r="H114" s="44">
        <f>'Income Statement'!H38*H111</f>
        <v>28.153153153153156</v>
      </c>
      <c r="I114" s="17"/>
    </row>
    <row r="115">
      <c r="A115" s="1"/>
      <c r="B115" s="34" t="s">
        <v>62</v>
      </c>
      <c r="C115" s="2"/>
      <c r="D115" s="2">
        <f>IF(OR(D114="",C114=""),"",IF(C114=0,"n/m",D114/C114-1))</f>
        <v>-0.29268292682926833</v>
      </c>
      <c r="E115" s="2"/>
      <c r="F115" s="2">
        <f>IF(OR(F114="",D114=""),"",IF(D114=0,"n/m",F114/D114-1))</f>
        <v>-0.24137931034482762</v>
      </c>
      <c r="G115" s="2">
        <f>IF(OR(G114="",F114=""),"",IF(F114=0,"n/m",G114/F114-1))</f>
        <v>0.13636363636363646</v>
      </c>
      <c r="H115" s="20">
        <f>IF(OR(H114="",G114=""),"",IF(G114=0,"n/m",H114/G114-1))</f>
        <v>0.12612612612612617</v>
      </c>
      <c r="I115" s="2"/>
    </row>
    <row r="116">
      <c r="A116" s="1"/>
      <c r="B116" s="34" t="s">
        <v>261</v>
      </c>
      <c r="C116" s="78">
        <f>C119/'Income Statement'!C40</f>
        <v>0.2953020134228188</v>
      </c>
      <c r="D116" s="78">
        <f>D119/'Income Statement'!D40</f>
        <v>0.2887323943661972</v>
      </c>
      <c r="E116" s="78">
        <f>E119/'Income Statement'!E40</f>
        <v>0.29193548387096774</v>
      </c>
      <c r="F116" s="78">
        <f>F119/'Income Statement'!F40</f>
        <v>0.3067484662576687</v>
      </c>
      <c r="G116" s="78">
        <f>G119/'Income Statement'!G40</f>
        <v>0.3434343434343434</v>
      </c>
      <c r="H116" s="48">
        <f>1-'Segment - Investor Services'!H122</f>
        <v>0.3434343434343434</v>
      </c>
      <c r="I116" s="2"/>
    </row>
    <row r="117">
      <c r="A117" s="1"/>
      <c r="B117" s="34" t="s">
        <v>135</v>
      </c>
      <c r="C117" s="75"/>
      <c r="D117" s="75">
        <f>IF(OR(D116="",C116=""),"",(D116-C116)*10000)</f>
        <v>-65.69619056621623</v>
      </c>
      <c r="E117" s="75"/>
      <c r="F117" s="75">
        <f>IF(OR(F116="",D116=""),"",(F116-D116)*10000)</f>
        <v>180.1607189147153</v>
      </c>
      <c r="G117" s="75">
        <f>IF(OR(G116="",F116=""),"",(G116-F116)*10000)</f>
        <v>366.85877176674705</v>
      </c>
      <c r="H117" s="76">
        <f>IF(OR(H116="",G116=""),"",(H116-G116)*10000)</f>
        <v>0</v>
      </c>
      <c r="I117" s="75"/>
    </row>
    <row r="118">
      <c r="A118" s="1"/>
      <c r="B118" s="34" t="s">
        <v>87</v>
      </c>
      <c r="C118" s="75"/>
      <c r="D118" s="75"/>
      <c r="E118" s="75"/>
      <c r="F118" s="75"/>
      <c r="G118" s="75"/>
      <c r="H118" s="76">
        <f>IF(OR(H116="",C116=""),"",(H116-C116)*10000)</f>
        <v>481.3233001152462</v>
      </c>
      <c r="I118" s="75"/>
    </row>
    <row r="119">
      <c r="A119" s="1"/>
      <c r="B119" s="15" t="s">
        <v>262</v>
      </c>
      <c r="C119" s="49">
        <v>44</v>
      </c>
      <c r="D119" s="11">
        <f>Inputs!D170-Inputs!C170-C119</f>
        <v>41</v>
      </c>
      <c r="E119" s="11">
        <f>Inputs!C170+C119+D119</f>
        <v>181</v>
      </c>
      <c r="F119" s="49">
        <v>50</v>
      </c>
      <c r="G119" s="49">
        <v>68</v>
      </c>
      <c r="H119" s="44">
        <f>'Income Statement'!H40*H116</f>
        <v>60.1010101010101</v>
      </c>
      <c r="I119" s="17"/>
    </row>
    <row r="120">
      <c r="A120" s="1"/>
      <c r="B120" s="34" t="s">
        <v>62</v>
      </c>
      <c r="C120" s="2"/>
      <c r="D120" s="2">
        <f>IF(OR(D119="",C119=""),"",IF(C119=0,"n/m",D119/C119-1))</f>
        <v>-0.06818181818181823</v>
      </c>
      <c r="E120" s="2"/>
      <c r="F120" s="2">
        <f>IF(OR(F119="",D119=""),"",IF(D119=0,"n/m",F119/D119-1))</f>
        <v>0.2195121951219512</v>
      </c>
      <c r="G120" s="2">
        <f>IF(OR(G119="",F119=""),"",IF(F119=0,"n/m",G119/F119-1))</f>
        <v>0.3600000000000001</v>
      </c>
      <c r="H120" s="20">
        <f>IF(OR(H119="",G119=""),"",IF(G119=0,"n/m",H119/G119-1))</f>
        <v>-0.11616161616161624</v>
      </c>
      <c r="I120" s="2"/>
    </row>
    <row r="121">
      <c r="A121" s="1"/>
      <c r="B121" s="34" t="s">
        <v>263</v>
      </c>
      <c r="C121" s="78">
        <f>C124/'Income Statement'!C42</f>
        <v>0.24056603773584906</v>
      </c>
      <c r="D121" s="78">
        <f>D124/'Income Statement'!D42</f>
        <v>0.24271844660194175</v>
      </c>
      <c r="E121" s="78">
        <f>E124/'Income Statement'!E42</f>
        <v>0.24235294117647058</v>
      </c>
      <c r="F121" s="78">
        <f>F124/'Income Statement'!F42</f>
        <v>0.23880597014925373</v>
      </c>
      <c r="G121" s="78">
        <f>G124/'Income Statement'!G42</f>
        <v>0.24242424242424243</v>
      </c>
      <c r="H121" s="48">
        <f>1-'Segment - Investor Services'!H127</f>
        <v>0.24242424242424243</v>
      </c>
      <c r="I121" s="2"/>
    </row>
    <row r="122">
      <c r="A122" s="1"/>
      <c r="B122" s="34" t="s">
        <v>135</v>
      </c>
      <c r="C122" s="75"/>
      <c r="D122" s="75">
        <f>IF(OR(D121="",C121=""),"",(D121-C121)*10000)</f>
        <v>21.52408866092692</v>
      </c>
      <c r="E122" s="75"/>
      <c r="F122" s="75">
        <f>IF(OR(F121="",D121=""),"",(F121-D121)*10000)</f>
        <v>-39.12476452688024</v>
      </c>
      <c r="G122" s="75">
        <f>IF(OR(G121="",F121=""),"",(G121-F121)*10000)</f>
        <v>36.18272274988704</v>
      </c>
      <c r="H122" s="76">
        <f>IF(OR(H121="",G121=""),"",(H121-G121)*10000)</f>
        <v>0</v>
      </c>
      <c r="I122" s="75"/>
    </row>
    <row r="123">
      <c r="A123" s="1"/>
      <c r="B123" s="34" t="s">
        <v>87</v>
      </c>
      <c r="C123" s="75"/>
      <c r="D123" s="75"/>
      <c r="E123" s="75"/>
      <c r="F123" s="75"/>
      <c r="G123" s="75"/>
      <c r="H123" s="76">
        <f>IF(OR(H121="",C121=""),"",(H121-C121)*10000)</f>
        <v>18.58204688393372</v>
      </c>
      <c r="I123" s="75"/>
    </row>
    <row r="124">
      <c r="A124" s="1"/>
      <c r="B124" s="15" t="s">
        <v>264</v>
      </c>
      <c r="C124" s="49">
        <v>51</v>
      </c>
      <c r="D124" s="11">
        <f>Inputs!D171-Inputs!C171-C124</f>
        <v>50</v>
      </c>
      <c r="E124" s="11">
        <f>Inputs!C171+C124+D124</f>
        <v>206</v>
      </c>
      <c r="F124" s="49">
        <v>48</v>
      </c>
      <c r="G124" s="49">
        <v>48</v>
      </c>
      <c r="H124" s="44">
        <f>'Income Statement'!H42*H121</f>
        <v>54.54545454545455</v>
      </c>
      <c r="I124" s="17"/>
    </row>
    <row r="125">
      <c r="A125" s="1"/>
      <c r="B125" s="34" t="s">
        <v>62</v>
      </c>
      <c r="C125" s="2"/>
      <c r="D125" s="2">
        <f>IF(OR(D124="",C124=""),"",IF(C124=0,"n/m",D124/C124-1))</f>
        <v>-0.019607843137254943</v>
      </c>
      <c r="E125" s="2"/>
      <c r="F125" s="2">
        <f>IF(OR(F124="",D124=""),"",IF(D124=0,"n/m",F124/D124-1))</f>
        <v>-0.040000000000000036</v>
      </c>
      <c r="G125" s="2">
        <f>IF(OR(G124="",F124=""),"",IF(F124=0,"n/m",G124/F124-1))</f>
        <v>0</v>
      </c>
      <c r="H125" s="20">
        <f>IF(OR(H124="",G124=""),"",IF(G124=0,"n/m",H124/G124-1))</f>
        <v>0.13636363636363646</v>
      </c>
      <c r="I125" s="2"/>
    </row>
    <row r="126">
      <c r="A126" s="1"/>
      <c r="B126" s="34" t="s">
        <v>265</v>
      </c>
      <c r="C126" s="78">
        <f>C129/'Income Statement'!C44</f>
        <v>0.18110236220472442</v>
      </c>
      <c r="D126" s="78">
        <f>D129/'Income Statement'!D44</f>
        <v>0.18110236220472442</v>
      </c>
      <c r="E126" s="78">
        <f>E129/'Income Statement'!E44</f>
        <v>0.18359375</v>
      </c>
      <c r="F126" s="78">
        <f>F129/'Income Statement'!F44</f>
        <v>0.17424242424242425</v>
      </c>
      <c r="G126" s="78">
        <f>G129/'Income Statement'!G44</f>
        <v>0.1619718309859155</v>
      </c>
      <c r="H126" s="48">
        <f>1-'Segment - Investor Services'!H132</f>
        <v>0.1619718309859155</v>
      </c>
      <c r="I126" s="2"/>
    </row>
    <row r="127">
      <c r="A127" s="1"/>
      <c r="B127" s="34" t="s">
        <v>135</v>
      </c>
      <c r="C127" s="75"/>
      <c r="D127" s="75">
        <f>IF(OR(D126="",C126=""),"",(D126-C126)*10000)</f>
        <v>0</v>
      </c>
      <c r="E127" s="75"/>
      <c r="F127" s="75">
        <f>IF(OR(F126="",D126=""),"",(F126-D126)*10000)</f>
        <v>-68.59937962300167</v>
      </c>
      <c r="G127" s="75">
        <f>IF(OR(G126="",F126=""),"",(G126-F126)*10000)</f>
        <v>-122.70593256508755</v>
      </c>
      <c r="H127" s="76">
        <f>IF(OR(H126="",G126=""),"",(H126-G126)*10000)</f>
        <v>0</v>
      </c>
      <c r="I127" s="75"/>
    </row>
    <row r="128">
      <c r="A128" s="1"/>
      <c r="B128" s="34" t="s">
        <v>87</v>
      </c>
      <c r="C128" s="75"/>
      <c r="D128" s="75"/>
      <c r="E128" s="75"/>
      <c r="F128" s="75"/>
      <c r="G128" s="75"/>
      <c r="H128" s="76">
        <f>IF(OR(H126="",C126=""),"",(H126-C126)*10000)</f>
        <v>-191.3053121880892</v>
      </c>
      <c r="I128" s="75"/>
    </row>
    <row r="129">
      <c r="A129" s="1"/>
      <c r="B129" s="15" t="s">
        <v>266</v>
      </c>
      <c r="C129" s="49">
        <v>23</v>
      </c>
      <c r="D129" s="11">
        <f>Inputs!D172-Inputs!C172-C129</f>
        <v>23</v>
      </c>
      <c r="E129" s="11">
        <f>Inputs!C172+C129+D129</f>
        <v>94</v>
      </c>
      <c r="F129" s="49">
        <v>23</v>
      </c>
      <c r="G129" s="49">
        <v>23</v>
      </c>
      <c r="H129" s="44">
        <f>'Income Statement'!H44*H126</f>
        <v>23</v>
      </c>
      <c r="I129" s="17"/>
    </row>
    <row r="130">
      <c r="A130" s="1"/>
      <c r="B130" s="34" t="s">
        <v>62</v>
      </c>
      <c r="C130" s="2"/>
      <c r="D130" s="2">
        <f>IF(OR(D129="",C129=""),"",IF(C129=0,"n/m",D129/C129-1))</f>
        <v>0</v>
      </c>
      <c r="E130" s="2"/>
      <c r="F130" s="2">
        <f>IF(OR(F129="",D129=""),"",IF(D129=0,"n/m",F129/D129-1))</f>
        <v>0</v>
      </c>
      <c r="G130" s="2">
        <f>IF(OR(G129="",F129=""),"",IF(F129=0,"n/m",G129/F129-1))</f>
        <v>0</v>
      </c>
      <c r="H130" s="20">
        <f>IF(OR(H129="",G129=""),"",IF(G129=0,"n/m",H129/G129-1))</f>
        <v>0</v>
      </c>
      <c r="I130" s="2"/>
    </row>
    <row r="131">
      <c r="A131" s="1"/>
      <c r="B131" s="34" t="s">
        <v>267</v>
      </c>
      <c r="C131" s="78">
        <f>C134/'Income Statement'!C46</f>
        <v>0.13559322033898305</v>
      </c>
      <c r="D131" s="78">
        <f>D134/'Income Statement'!D46</f>
        <v>0.12903225806451613</v>
      </c>
      <c r="E131" s="78">
        <f>E134/'Income Statement'!E46</f>
        <v>0.17421602787456447</v>
      </c>
      <c r="F131" s="78">
        <f>F134/'Income Statement'!F46</f>
        <v>0.21333333333333335</v>
      </c>
      <c r="G131" s="78">
        <f>G134/'Income Statement'!G46</f>
        <v>0.25396825396825395</v>
      </c>
      <c r="H131" s="48">
        <f>1-'Segment - Investor Services'!H137</f>
        <v>0.25396825396825395</v>
      </c>
      <c r="I131" s="2"/>
    </row>
    <row r="132">
      <c r="A132" s="1"/>
      <c r="B132" s="34" t="s">
        <v>135</v>
      </c>
      <c r="C132" s="75"/>
      <c r="D132" s="75">
        <f>IF(OR(D131="",C131=""),"",(D131-C131)*10000)</f>
        <v>-65.60962274466925</v>
      </c>
      <c r="E132" s="75"/>
      <c r="F132" s="75">
        <f>IF(OR(F131="",D131=""),"",(F131-D131)*10000)</f>
        <v>843.0107526881723</v>
      </c>
      <c r="G132" s="75">
        <f>IF(OR(G131="",F131=""),"",(G131-F131)*10000)</f>
        <v>406.3492063492061</v>
      </c>
      <c r="H132" s="76">
        <f>IF(OR(H131="",G131=""),"",(H131-G131)*10000)</f>
        <v>0</v>
      </c>
      <c r="I132" s="75"/>
    </row>
    <row r="133">
      <c r="A133" s="1"/>
      <c r="B133" s="34" t="s">
        <v>87</v>
      </c>
      <c r="C133" s="75"/>
      <c r="D133" s="75"/>
      <c r="E133" s="75"/>
      <c r="F133" s="75"/>
      <c r="G133" s="75"/>
      <c r="H133" s="76">
        <f>IF(OR(H131="",C131=""),"",(H131-C131)*10000)</f>
        <v>1183.750336292709</v>
      </c>
      <c r="I133" s="75"/>
    </row>
    <row r="134">
      <c r="A134" s="1"/>
      <c r="B134" s="15" t="s">
        <v>268</v>
      </c>
      <c r="C134" s="49">
        <v>8</v>
      </c>
      <c r="D134" s="11">
        <f>Inputs!D173-Inputs!C173-C134</f>
        <v>8</v>
      </c>
      <c r="E134" s="11">
        <f>Inputs!C173+C134+D134</f>
        <v>50</v>
      </c>
      <c r="F134" s="49">
        <v>16</v>
      </c>
      <c r="G134" s="49">
        <v>16</v>
      </c>
      <c r="H134" s="44">
        <f>'Income Statement'!H46*H131</f>
        <v>16.507936507936506</v>
      </c>
      <c r="I134" s="17"/>
    </row>
    <row r="135">
      <c r="A135" s="1"/>
      <c r="B135" s="34" t="s">
        <v>62</v>
      </c>
      <c r="C135" s="2"/>
      <c r="D135" s="2">
        <f>IF(OR(D134="",C134=""),"",IF(C134=0,"n/m",D134/C134-1))</f>
        <v>0</v>
      </c>
      <c r="E135" s="2"/>
      <c r="F135" s="2">
        <f>IF(OR(F134="",D134=""),"",IF(D134=0,"n/m",F134/D134-1))</f>
        <v>1</v>
      </c>
      <c r="G135" s="2">
        <f>IF(OR(G134="",F134=""),"",IF(F134=0,"n/m",G134/F134-1))</f>
        <v>0</v>
      </c>
      <c r="H135" s="20">
        <f>IF(OR(H134="",G134=""),"",IF(G134=0,"n/m",H134/G134-1))</f>
        <v>0.03174603174603163</v>
      </c>
      <c r="I135" s="2"/>
    </row>
    <row r="136">
      <c r="A136" s="1"/>
      <c r="B136" s="34" t="s">
        <v>269</v>
      </c>
      <c r="C136" s="78">
        <f>C139/'Income Statement'!C48</f>
        <v>0.1375</v>
      </c>
      <c r="D136" s="78">
        <f>D139/'Income Statement'!D48</f>
        <v>0.20675105485232068</v>
      </c>
      <c r="E136" s="78">
        <f>E139/'Income Statement'!E48</f>
        <v>0.16735537190082644</v>
      </c>
      <c r="F136" s="78">
        <f>F139/'Income Statement'!F48</f>
        <v>0.17117117117117117</v>
      </c>
      <c r="G136" s="78">
        <f>G139/'Income Statement'!G48</f>
        <v>0.16040955631399317</v>
      </c>
      <c r="H136" s="48">
        <f>1-'Segment - Investor Services'!H142</f>
        <v>0.16040955631399323</v>
      </c>
      <c r="I136" s="2"/>
    </row>
    <row r="137">
      <c r="A137" s="1"/>
      <c r="B137" s="34" t="s">
        <v>135</v>
      </c>
      <c r="C137" s="75"/>
      <c r="D137" s="75">
        <f>IF(OR(D136="",C136=""),"",(D136-C136)*10000)</f>
        <v>692.5105485232067</v>
      </c>
      <c r="E137" s="75"/>
      <c r="F137" s="75">
        <f>IF(OR(F136="",D136=""),"",(F136-D136)*10000)</f>
        <v>-355.79883681149505</v>
      </c>
      <c r="G137" s="75">
        <f>IF(OR(G136="",F136=""),"",(G136-F136)*10000)</f>
        <v>-107.61614857177997</v>
      </c>
      <c r="H137" s="76">
        <f>IF(OR(H136="",G136=""),"",(H136-G136)*10000)</f>
        <v>0</v>
      </c>
      <c r="I137" s="75"/>
    </row>
    <row r="138">
      <c r="A138" s="1"/>
      <c r="B138" s="34" t="s">
        <v>87</v>
      </c>
      <c r="C138" s="75"/>
      <c r="D138" s="75"/>
      <c r="E138" s="75"/>
      <c r="F138" s="75"/>
      <c r="G138" s="75"/>
      <c r="H138" s="76">
        <f>IF(OR(H136="",C136=""),"",(H136-C136)*10000)</f>
        <v>229.09556313993218</v>
      </c>
      <c r="I138" s="75"/>
    </row>
    <row r="139">
      <c r="A139" s="1"/>
      <c r="B139" s="15" t="s">
        <v>270</v>
      </c>
      <c r="C139" s="49">
        <v>33</v>
      </c>
      <c r="D139" s="11">
        <f>Inputs!D174-Inputs!C174-C139</f>
        <v>49</v>
      </c>
      <c r="E139" s="11">
        <f>Inputs!C174+C139+D139</f>
        <v>162</v>
      </c>
      <c r="F139" s="49">
        <v>38</v>
      </c>
      <c r="G139" s="49">
        <v>47</v>
      </c>
      <c r="H139" s="44">
        <f>'Income Statement'!H48*H136</f>
        <v>43.79180887372015</v>
      </c>
      <c r="I139" s="17"/>
    </row>
    <row r="140">
      <c r="A140" s="1"/>
      <c r="B140" s="34" t="s">
        <v>62</v>
      </c>
      <c r="C140" s="2"/>
      <c r="D140" s="2">
        <f>IF(OR(D139="",C139=""),"",IF(C139=0,"n/m",D139/C139-1))</f>
        <v>0.48484848484848486</v>
      </c>
      <c r="E140" s="2"/>
      <c r="F140" s="2">
        <f>IF(OR(F139="",D139=""),"",IF(D139=0,"n/m",F139/D139-1))</f>
        <v>-0.22448979591836737</v>
      </c>
      <c r="G140" s="2">
        <f>IF(OR(G139="",F139=""),"",IF(F139=0,"n/m",G139/F139-1))</f>
        <v>0.23684210526315796</v>
      </c>
      <c r="H140" s="20">
        <f>IF(OR(H139="",G139=""),"",IF(G139=0,"n/m",H139/G139-1))</f>
        <v>-0.0682593856655287</v>
      </c>
      <c r="I140" s="2"/>
    </row>
    <row r="141">
      <c r="A141" s="1"/>
      <c r="B141" s="53" t="s">
        <v>271</v>
      </c>
      <c r="C141" s="27">
        <f>C99+C104+C109+C114+C119+C124+C129+C134+C139</f>
        <v>687</v>
      </c>
      <c r="D141" s="27">
        <f>D99+D104+D109+D114+D119+D124+D129+D134+D139</f>
        <v>700</v>
      </c>
      <c r="E141" s="27">
        <f>E99+E104+E109+E114+E119+E124+E129+E134+E139</f>
        <v>2784</v>
      </c>
      <c r="F141" s="27">
        <f>F99+F104+F109+F114+F119+F124+F129+F134+F139</f>
        <v>726</v>
      </c>
      <c r="G141" s="27">
        <f>G99+G104+G109+G114+G119+G124+G129+G134+G139</f>
        <v>740</v>
      </c>
      <c r="H141" s="40">
        <f>H99+H104+H109+H114+H119+H124+H129+H134+H139</f>
        <v>750.3708774435678</v>
      </c>
      <c r="I141" s="55"/>
    </row>
    <row r="142">
      <c r="A142" s="1"/>
      <c r="B142" s="34" t="s">
        <v>61</v>
      </c>
      <c r="C142" s="2"/>
      <c r="D142" s="2"/>
      <c r="E142" s="2"/>
      <c r="F142" s="2"/>
      <c r="G142" s="2"/>
      <c r="H142" s="20">
        <f>IF(OR(H141="",C141=""),"",IF(C141=0,"n/m",H141/C141-1))</f>
        <v>0.09224290748699815</v>
      </c>
      <c r="I142" s="2"/>
    </row>
    <row r="143">
      <c r="A143" s="1"/>
      <c r="B143" s="34" t="s">
        <v>62</v>
      </c>
      <c r="C143" s="2"/>
      <c r="D143" s="2">
        <f>IF(OR(D141="",C141=""),"",IF(C141=0,"n/m",D141/C141-1))</f>
        <v>0.018922852983988436</v>
      </c>
      <c r="E143" s="2"/>
      <c r="F143" s="2">
        <f>IF(OR(F141="",D141=""),"",IF(D141=0,"n/m",F141/D141-1))</f>
        <v>0.037142857142857144</v>
      </c>
      <c r="G143" s="2">
        <f>IF(OR(G141="",F141=""),"",IF(F141=0,"n/m",G141/F141-1))</f>
        <v>0.019283746556473913</v>
      </c>
      <c r="H143" s="20">
        <f>IF(OR(H141="",G141=""),"",IF(G141=0,"n/m",H141/G141-1))</f>
        <v>0.014014699248064533</v>
      </c>
      <c r="I143" s="2"/>
    </row>
    <row r="144">
      <c r="A144" s="1"/>
      <c r="B144" s="53" t="s">
        <v>272</v>
      </c>
      <c r="C144" s="27">
        <f>C84-C141</f>
        <v>565</v>
      </c>
      <c r="D144" s="27">
        <f>D84-D141</f>
        <v>600</v>
      </c>
      <c r="E144" s="27">
        <f>E84-E141</f>
        <v>2138</v>
      </c>
      <c r="F144" s="27">
        <f>F84-F141</f>
        <v>679</v>
      </c>
      <c r="G144" s="27">
        <f>G84-G141</f>
        <v>804</v>
      </c>
      <c r="H144" s="40">
        <f>H84-H141</f>
        <v>825.2015109835028</v>
      </c>
      <c r="I144" s="55"/>
    </row>
    <row r="145">
      <c r="A145" s="1"/>
      <c r="B145" s="34" t="s">
        <v>61</v>
      </c>
      <c r="C145" s="2"/>
      <c r="D145" s="2"/>
      <c r="E145" s="2"/>
      <c r="F145" s="2"/>
      <c r="G145" s="2"/>
      <c r="H145" s="20">
        <f>IF(OR(H144="",C144=""),"",IF(C144=0,"n/m",H144/C144-1))</f>
        <v>0.4605336477584119</v>
      </c>
      <c r="I145" s="2"/>
    </row>
    <row r="146">
      <c r="A146" s="1"/>
      <c r="B146" s="34" t="s">
        <v>62</v>
      </c>
      <c r="C146" s="2"/>
      <c r="D146" s="2">
        <f>IF(OR(D144="",C144=""),"",IF(C144=0,"n/m",D144/C144-1))</f>
        <v>0.06194690265486735</v>
      </c>
      <c r="E146" s="2"/>
      <c r="F146" s="2">
        <f>IF(OR(F144="",D144=""),"",IF(D144=0,"n/m",F144/D144-1))</f>
        <v>0.1316666666666666</v>
      </c>
      <c r="G146" s="2">
        <f>IF(OR(G144="",F144=""),"",IF(F144=0,"n/m",G144/F144-1))</f>
        <v>0.18409425625920472</v>
      </c>
      <c r="H146" s="20">
        <f>IF(OR(H144="",G144=""),"",IF(G144=0,"n/m",H144/G144-1))</f>
        <v>0.02637003853669495</v>
      </c>
      <c r="I146" s="2"/>
    </row>
    <row r="147">
      <c r="A147" s="1"/>
      <c r="B147" s="34" t="s">
        <v>273</v>
      </c>
      <c r="C147" s="2">
        <f>C144/C84</f>
        <v>0.4512779552715655</v>
      </c>
      <c r="D147" s="2">
        <f>D144/D84</f>
        <v>0.46153846153846156</v>
      </c>
      <c r="E147" s="2">
        <f>E144/E84</f>
        <v>0.4343762698090207</v>
      </c>
      <c r="F147" s="2">
        <f>F144/F84</f>
        <v>0.4832740213523132</v>
      </c>
      <c r="G147" s="2">
        <f>G144/G84</f>
        <v>0.5207253886010362</v>
      </c>
      <c r="H147" s="20">
        <f>H144/H84</f>
        <v>0.5237471264695873</v>
      </c>
      <c r="I147" s="2"/>
    </row>
    <row r="148">
      <c r="A148" s="1"/>
      <c r="B148" s="34" t="s">
        <v>135</v>
      </c>
      <c r="C148" s="75"/>
      <c r="D148" s="75">
        <f>IF(OR(D147="",C147=""),"",(D147-C147)*10000)</f>
        <v>102.60506266896063</v>
      </c>
      <c r="E148" s="75"/>
      <c r="F148" s="75">
        <f>IF(OR(F147="",D147=""),"",(F147-D147)*10000)</f>
        <v>217.35559813851611</v>
      </c>
      <c r="G148" s="75">
        <f>IF(OR(G147="",F147=""),"",(G147-F147)*10000)</f>
        <v>374.51367248723056</v>
      </c>
      <c r="H148" s="76">
        <f>IF(OR(H147="",G147=""),"",(H147-G147)*10000)</f>
        <v>30.217378685510887</v>
      </c>
      <c r="I148" s="75"/>
    </row>
    <row r="149">
      <c r="A149" s="1"/>
      <c r="B149" s="34" t="s">
        <v>87</v>
      </c>
      <c r="C149" s="75"/>
      <c r="D149" s="75"/>
      <c r="E149" s="75"/>
      <c r="F149" s="75"/>
      <c r="G149" s="75"/>
      <c r="H149" s="76">
        <f>IF(OR(H147="",C147=""),"",(H147-C147)*10000)</f>
        <v>724.6917119802182</v>
      </c>
      <c r="I149" s="75"/>
    </row>
    <row r="150">
      <c r="A150" s="1"/>
      <c r="B150" s="34" t="s">
        <v>279</v>
      </c>
      <c r="C150" s="77">
        <f>ROUND('Segment - Investor Services'!C147+C141-'Income Statement'!C50,3)</f>
        <v>0</v>
      </c>
      <c r="D150" s="77">
        <f>ROUND('Segment - Investor Services'!D147+D141-'Income Statement'!D50,3)</f>
        <v>0</v>
      </c>
      <c r="E150" s="77">
        <f>ROUND('Segment - Investor Services'!E147+E141-'Income Statement'!E50,3)</f>
        <v>0</v>
      </c>
      <c r="F150" s="77">
        <f>ROUND('Segment - Investor Services'!F147+F141-'Income Statement'!F50,3)</f>
        <v>0</v>
      </c>
      <c r="G150" s="77">
        <f>ROUND('Segment - Investor Services'!G147+G141-'Income Statement'!G50,3)</f>
        <v>0</v>
      </c>
      <c r="H150" s="79">
        <f>ROUND('Segment - Investor Services'!H147+H141-'Income Statement'!H50,3)</f>
        <v>0</v>
      </c>
      <c r="I150" s="134" t="s">
        <v>280</v>
      </c>
    </row>
    <row r="151">
      <c r="A151" s="1"/>
      <c r="B151" s="34" t="s">
        <v>281</v>
      </c>
      <c r="C151" s="77">
        <f>ROUND('Segment - Investor Services'!C90+C84-'Income Statement'!C27,3)</f>
        <v>0</v>
      </c>
      <c r="D151" s="77">
        <f>ROUND('Segment - Investor Services'!D90+D84-'Income Statement'!D27,3)</f>
        <v>0</v>
      </c>
      <c r="E151" s="77">
        <f>ROUND('Segment - Investor Services'!E90+E84-'Income Statement'!E27,3)</f>
        <v>0</v>
      </c>
      <c r="F151" s="77">
        <f>ROUND('Segment - Investor Services'!F90+F84-'Income Statement'!F27,3)</f>
        <v>0</v>
      </c>
      <c r="G151" s="77">
        <f>ROUND('Segment - Investor Services'!G90+G84-'Income Statement'!G27,3)</f>
        <v>0</v>
      </c>
      <c r="H151" s="79">
        <f>ROUND('Segment - Investor Services'!H90+H84-'Income Statement'!H27,3)</f>
        <v>0</v>
      </c>
      <c r="I151" s="134" t="s">
        <v>282</v>
      </c>
    </row>
    <row r="152">
      <c r="A152" s="1"/>
      <c r="B152" s="34" t="s">
        <v>274</v>
      </c>
      <c r="C152" s="75"/>
      <c r="D152" s="75"/>
      <c r="E152" s="77">
        <f>ROUND(ABS(E37-Inputs!D161)+ABS(E47-Inputs!D162)+ABS(E57-Inputs!D163)+ABS(E67-Inputs!D164)+ABS(E77-Inputs!D165)+ABS(E99-Inputs!D166)+ABS(E104-Inputs!D167)+ABS(E109-Inputs!D168)+ABS(E114-Inputs!D169)+ABS(E119-Inputs!D170)+ABS(E124-Inputs!D171)+ABS(E129-Inputs!D172)+ABS(E134-Inputs!D173)+ABS(E139-Inputs!D174)+ABS(E11-Inputs!D177),3)</f>
        <v>0</v>
      </c>
      <c r="F152" s="75"/>
      <c r="G152" s="75"/>
      <c r="H152" s="76"/>
      <c r="I152" s="134" t="s">
        <v>283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284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285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286</v>
      </c>
      <c r="C10" s="11">
        <f>'Revenue summary'!C145</f>
        <v>3956</v>
      </c>
      <c r="D10" s="11">
        <f>'Revenue summary'!D145</f>
        <v>4004</v>
      </c>
      <c r="E10" s="11">
        <f>'Revenue summary'!E145</f>
        <v>15504</v>
      </c>
      <c r="F10" s="11">
        <f>'Revenue summary'!F145</f>
        <v>3962</v>
      </c>
      <c r="G10" s="11">
        <f>'Revenue summary'!G145</f>
        <v>4432</v>
      </c>
      <c r="H10" s="44">
        <f>'Revenue summary'!H145</f>
        <v>4847.839455322228</v>
      </c>
      <c r="I10" s="17"/>
    </row>
    <row r="11">
      <c r="A11" s="1"/>
      <c r="B11" s="15" t="s">
        <v>287</v>
      </c>
      <c r="C11" s="11">
        <f>-'Revenue summary'!C224</f>
        <v>-906</v>
      </c>
      <c r="D11" s="11">
        <f>-'Revenue summary'!D224</f>
        <v>-832</v>
      </c>
      <c r="E11" s="11">
        <f>-'Revenue summary'!E224</f>
        <v>-3754</v>
      </c>
      <c r="F11" s="11">
        <f>-'Revenue summary'!F224</f>
        <v>-818</v>
      </c>
      <c r="G11" s="11">
        <f>-'Revenue summary'!G224</f>
        <v>-1075</v>
      </c>
      <c r="H11" s="44">
        <f>-'Revenue summary'!H224</f>
        <v>-1362.2755884365597</v>
      </c>
      <c r="I11" s="17"/>
    </row>
    <row r="12">
      <c r="A12" s="1"/>
      <c r="B12" s="53" t="s">
        <v>133</v>
      </c>
      <c r="C12" s="27">
        <f>C10+C11</f>
        <v>3050</v>
      </c>
      <c r="D12" s="27">
        <f>D10+D11</f>
        <v>3172</v>
      </c>
      <c r="E12" s="27">
        <f>E10+E11</f>
        <v>11750</v>
      </c>
      <c r="F12" s="27">
        <f>F10+F11</f>
        <v>3144</v>
      </c>
      <c r="G12" s="27">
        <f>G10+G11</f>
        <v>3357</v>
      </c>
      <c r="H12" s="40">
        <f>H10+H11</f>
        <v>3485.563866885668</v>
      </c>
      <c r="I12" s="55"/>
    </row>
    <row r="13">
      <c r="A13" s="1"/>
      <c r="B13" s="34" t="s">
        <v>61</v>
      </c>
      <c r="C13" s="2"/>
      <c r="D13" s="2"/>
      <c r="E13" s="2"/>
      <c r="F13" s="2"/>
      <c r="G13" s="2"/>
      <c r="H13" s="20">
        <f>IF(OR(H12="",C12=""),"",IF(C12=0,"n/m",H12/C12-1))</f>
        <v>0.14280782520841573</v>
      </c>
      <c r="I13" s="2"/>
    </row>
    <row r="14">
      <c r="A14" s="1"/>
      <c r="B14" s="34" t="s">
        <v>62</v>
      </c>
      <c r="C14" s="2"/>
      <c r="D14" s="2">
        <f>IF(OR(D12="",C12=""),"",IF(C12=0,"n/m",D12/C12-1))</f>
        <v>0.040000000000000036</v>
      </c>
      <c r="E14" s="2"/>
      <c r="F14" s="2">
        <f>IF(OR(F12="",D12=""),"",IF(D12=0,"n/m",F12/D12-1))</f>
        <v>-0.008827238335435084</v>
      </c>
      <c r="G14" s="2">
        <f>IF(OR(G12="",F12=""),"",IF(F12=0,"n/m",G12/F12-1))</f>
        <v>0.0677480916030535</v>
      </c>
      <c r="H14" s="20">
        <f>IF(OR(H12="",G12=""),"",IF(G12=0,"n/m",H12/G12-1))</f>
        <v>0.03829724959358605</v>
      </c>
      <c r="I14" s="2"/>
    </row>
    <row r="15">
      <c r="A15" s="1"/>
      <c r="B15" s="15" t="s">
        <v>160</v>
      </c>
      <c r="C15" s="11">
        <f>'Revenue summary'!C344</f>
        <v>1673</v>
      </c>
      <c r="D15" s="11">
        <f>'Revenue summary'!D344</f>
        <v>1733</v>
      </c>
      <c r="E15" s="11">
        <f>'Revenue summary'!E344</f>
        <v>6506</v>
      </c>
      <c r="F15" s="11">
        <f>'Revenue summary'!F344</f>
        <v>1759</v>
      </c>
      <c r="G15" s="11">
        <f>'Revenue summary'!G344</f>
        <v>1825</v>
      </c>
      <c r="H15" s="44">
        <f>'Revenue summary'!H344</f>
        <v>1903.0700923579827</v>
      </c>
      <c r="I15" s="17"/>
    </row>
    <row r="16">
      <c r="A16" s="1"/>
      <c r="B16" s="34" t="s">
        <v>61</v>
      </c>
      <c r="C16" s="2"/>
      <c r="D16" s="2"/>
      <c r="E16" s="2"/>
      <c r="F16" s="2"/>
      <c r="G16" s="2"/>
      <c r="H16" s="20">
        <f>IF(OR(H15="",C15=""),"",IF(C15=0,"n/m",H15/C15-1))</f>
        <v>0.13751948138552472</v>
      </c>
      <c r="I16" s="2"/>
    </row>
    <row r="17">
      <c r="A17" s="1"/>
      <c r="B17" s="34" t="s">
        <v>62</v>
      </c>
      <c r="C17" s="2"/>
      <c r="D17" s="2">
        <f>IF(OR(D15="",C15=""),"",IF(C15=0,"n/m",D15/C15-1))</f>
        <v>0.035863717872085976</v>
      </c>
      <c r="E17" s="2"/>
      <c r="F17" s="2">
        <f>IF(OR(F15="",D15=""),"",IF(D15=0,"n/m",F15/D15-1))</f>
        <v>0.015002885170225078</v>
      </c>
      <c r="G17" s="2">
        <f>IF(OR(G15="",F15=""),"",IF(F15=0,"n/m",G15/F15-1))</f>
        <v>0.03752131893121091</v>
      </c>
      <c r="H17" s="20">
        <f>IF(OR(H15="",G15=""),"",IF(G15=0,"n/m",H15/G15-1))</f>
        <v>0.04277813279889475</v>
      </c>
      <c r="I17" s="2"/>
    </row>
    <row r="18">
      <c r="A18" s="1"/>
      <c r="B18" s="15" t="s">
        <v>178</v>
      </c>
      <c r="C18" s="11">
        <f>'Revenue summary'!C377</f>
        <v>995</v>
      </c>
      <c r="D18" s="11">
        <f>'Revenue summary'!D377</f>
        <v>1066</v>
      </c>
      <c r="E18" s="11">
        <f>'Revenue summary'!E377</f>
        <v>3921</v>
      </c>
      <c r="F18" s="11">
        <f>'Revenue summary'!F377</f>
        <v>1089</v>
      </c>
      <c r="G18" s="11">
        <f>'Revenue summary'!G377</f>
        <v>1215</v>
      </c>
      <c r="H18" s="44">
        <f>'Revenue summary'!H377</f>
        <v>1185.83066</v>
      </c>
      <c r="I18" s="17"/>
    </row>
    <row r="19">
      <c r="A19" s="1"/>
      <c r="B19" s="34" t="s">
        <v>61</v>
      </c>
      <c r="C19" s="2"/>
      <c r="D19" s="2"/>
      <c r="E19" s="2"/>
      <c r="F19" s="2"/>
      <c r="G19" s="2"/>
      <c r="H19" s="20">
        <f>IF(OR(H18="",C18=""),"",IF(C18=0,"n/m",H18/C18-1))</f>
        <v>0.19178960804020107</v>
      </c>
      <c r="I19" s="2"/>
    </row>
    <row r="20">
      <c r="A20" s="1"/>
      <c r="B20" s="34" t="s">
        <v>62</v>
      </c>
      <c r="C20" s="2"/>
      <c r="D20" s="2">
        <f>IF(OR(D18="",C18=""),"",IF(C18=0,"n/m",D18/C18-1))</f>
        <v>0.0713567839195981</v>
      </c>
      <c r="E20" s="2"/>
      <c r="F20" s="2">
        <f>IF(OR(F18="",D18=""),"",IF(D18=0,"n/m",F18/D18-1))</f>
        <v>0.02157598499061919</v>
      </c>
      <c r="G20" s="2">
        <f>IF(OR(G18="",F18=""),"",IF(F18=0,"n/m",G18/F18-1))</f>
        <v>0.11570247933884303</v>
      </c>
      <c r="H20" s="20">
        <f>IF(OR(H18="",G18=""),"",IF(G18=0,"n/m",H18/G18-1))</f>
        <v>-0.024007687242798337</v>
      </c>
      <c r="I20" s="2"/>
    </row>
    <row r="21">
      <c r="A21" s="1"/>
      <c r="B21" s="15" t="s">
        <v>185</v>
      </c>
      <c r="C21" s="11">
        <f>'Revenue summary'!C396</f>
        <v>247</v>
      </c>
      <c r="D21" s="11">
        <f>'Revenue summary'!D396</f>
        <v>238</v>
      </c>
      <c r="E21" s="11">
        <f>'Revenue summary'!E396</f>
        <v>977</v>
      </c>
      <c r="F21" s="11">
        <f>'Revenue summary'!F396</f>
        <v>295</v>
      </c>
      <c r="G21" s="11">
        <f>'Revenue summary'!G396</f>
        <v>333</v>
      </c>
      <c r="H21" s="44">
        <f>'Revenue summary'!H396</f>
        <v>346.01438548735587</v>
      </c>
      <c r="I21" s="17"/>
    </row>
    <row r="22">
      <c r="A22" s="1"/>
      <c r="B22" s="34" t="s">
        <v>61</v>
      </c>
      <c r="C22" s="2"/>
      <c r="D22" s="2"/>
      <c r="E22" s="2"/>
      <c r="F22" s="2"/>
      <c r="G22" s="2"/>
      <c r="H22" s="20">
        <f>IF(OR(H21="",C21=""),"",IF(C21=0,"n/m",H21/C21-1))</f>
        <v>0.40086795743868775</v>
      </c>
      <c r="I22" s="2"/>
    </row>
    <row r="23">
      <c r="A23" s="1"/>
      <c r="B23" s="34" t="s">
        <v>62</v>
      </c>
      <c r="C23" s="2"/>
      <c r="D23" s="2">
        <f>IF(OR(D21="",C21=""),"",IF(C21=0,"n/m",D21/C21-1))</f>
        <v>-0.036437246963562764</v>
      </c>
      <c r="E23" s="2"/>
      <c r="F23" s="2">
        <f>IF(OR(F21="",D21=""),"",IF(D21=0,"n/m",F21/D21-1))</f>
        <v>0.23949579831932777</v>
      </c>
      <c r="G23" s="2">
        <f>IF(OR(G21="",F21=""),"",IF(F21=0,"n/m",G21/F21-1))</f>
        <v>0.12881355932203387</v>
      </c>
      <c r="H23" s="20">
        <f>IF(OR(H21="",G21=""),"",IF(G21=0,"n/m",H21/G21-1))</f>
        <v>0.039082238700768324</v>
      </c>
      <c r="I23" s="2"/>
    </row>
    <row r="24">
      <c r="A24" s="1"/>
      <c r="B24" s="15" t="s">
        <v>288</v>
      </c>
      <c r="C24" s="11">
        <f>'Revenue summary'!C419</f>
        <v>170</v>
      </c>
      <c r="D24" s="11">
        <f>'Revenue summary'!D419</f>
        <v>127</v>
      </c>
      <c r="E24" s="11">
        <f>'Revenue summary'!E419</f>
        <v>767</v>
      </c>
      <c r="F24" s="11">
        <f>'Revenue summary'!F419</f>
        <v>195</v>
      </c>
      <c r="G24" s="11">
        <f>'Revenue summary'!G419</f>
        <v>342</v>
      </c>
      <c r="H24" s="44">
        <f>'Revenue summary'!H419</f>
        <v>230</v>
      </c>
      <c r="I24" s="17"/>
    </row>
    <row r="25">
      <c r="A25" s="1"/>
      <c r="B25" s="34" t="s">
        <v>61</v>
      </c>
      <c r="C25" s="2"/>
      <c r="D25" s="2"/>
      <c r="E25" s="2"/>
      <c r="F25" s="2"/>
      <c r="G25" s="2"/>
      <c r="H25" s="20">
        <f>IF(OR(H24="",C24=""),"",IF(C24=0,"n/m",H24/C24-1))</f>
        <v>0.3529411764705883</v>
      </c>
      <c r="I25" s="2"/>
    </row>
    <row r="26">
      <c r="A26" s="1"/>
      <c r="B26" s="34" t="s">
        <v>62</v>
      </c>
      <c r="C26" s="2"/>
      <c r="D26" s="2">
        <f>IF(OR(D24="",C24=""),"",IF(C24=0,"n/m",D24/C24-1))</f>
        <v>-0.2529411764705882</v>
      </c>
      <c r="E26" s="2"/>
      <c r="F26" s="2">
        <f>IF(OR(F24="",D24=""),"",IF(D24=0,"n/m",F24/D24-1))</f>
        <v>0.5354330708661417</v>
      </c>
      <c r="G26" s="2">
        <f>IF(OR(G24="",F24=""),"",IF(F24=0,"n/m",G24/F24-1))</f>
        <v>0.7538461538461538</v>
      </c>
      <c r="H26" s="20">
        <f>IF(OR(H24="",G24=""),"",IF(G24=0,"n/m",H24/G24-1))</f>
        <v>-0.32748538011695905</v>
      </c>
      <c r="I26" s="2"/>
    </row>
    <row r="27">
      <c r="A27" s="1"/>
      <c r="B27" s="53" t="s">
        <v>71</v>
      </c>
      <c r="C27" s="27">
        <f>C12+C15+C18+C21+C24</f>
        <v>6135</v>
      </c>
      <c r="D27" s="27">
        <f>D12+D15+D18+D21+D24</f>
        <v>6336</v>
      </c>
      <c r="E27" s="27">
        <f>E12+E15+E18+E21+E24</f>
        <v>23921</v>
      </c>
      <c r="F27" s="27">
        <f>F12+F15+F18+F21+F24</f>
        <v>6482</v>
      </c>
      <c r="G27" s="27">
        <f>G12+G15+G18+G21+G24</f>
        <v>7072</v>
      </c>
      <c r="H27" s="40">
        <f>H12+H15+H18+H21+H24</f>
        <v>7150.479004731006</v>
      </c>
      <c r="I27" s="55"/>
    </row>
    <row r="28">
      <c r="A28" s="1"/>
      <c r="B28" s="34" t="s">
        <v>61</v>
      </c>
      <c r="C28" s="2"/>
      <c r="D28" s="2"/>
      <c r="E28" s="2"/>
      <c r="F28" s="2"/>
      <c r="G28" s="2"/>
      <c r="H28" s="20">
        <f>IF(OR(H27="",C27=""),"",IF(C27=0,"n/m",H27/C27-1))</f>
        <v>0.16552225015990318</v>
      </c>
      <c r="I28" s="2"/>
    </row>
    <row r="29">
      <c r="A29" s="1"/>
      <c r="B29" s="34" t="s">
        <v>62</v>
      </c>
      <c r="C29" s="2"/>
      <c r="D29" s="2">
        <f>IF(OR(D27="",C27=""),"",IF(C27=0,"n/m",D27/C27-1))</f>
        <v>0.03276283618581899</v>
      </c>
      <c r="E29" s="2"/>
      <c r="F29" s="2">
        <f>IF(OR(F27="",D27=""),"",IF(D27=0,"n/m",F27/D27-1))</f>
        <v>0.02304292929292928</v>
      </c>
      <c r="G29" s="2">
        <f>IF(OR(G27="",F27=""),"",IF(F27=0,"n/m",G27/F27-1))</f>
        <v>0.09102128972539347</v>
      </c>
      <c r="H29" s="20">
        <f>IF(OR(H27="",G27=""),"",IF(G27=0,"n/m",H27/G27-1))</f>
        <v>0.011097144334135445</v>
      </c>
      <c r="I29" s="2"/>
    </row>
    <row r="30">
      <c r="A30" s="1"/>
      <c r="B30" s="42"/>
      <c r="C30" s="8"/>
      <c r="D30" s="8"/>
      <c r="E30" s="8"/>
      <c r="F30" s="8"/>
      <c r="G30" s="8"/>
      <c r="H30" s="5"/>
      <c r="I30" s="8"/>
    </row>
    <row r="31">
      <c r="A31" s="1"/>
      <c r="B31" s="51" t="s">
        <v>289</v>
      </c>
      <c r="C31" s="7"/>
      <c r="D31" s="7"/>
      <c r="E31" s="7"/>
      <c r="F31" s="7"/>
      <c r="G31" s="7"/>
      <c r="H31" s="12"/>
      <c r="I31" s="7"/>
    </row>
    <row r="32">
      <c r="A32" s="1"/>
      <c r="B32" s="15" t="s">
        <v>254</v>
      </c>
      <c r="C32" s="49">
        <v>1653</v>
      </c>
      <c r="D32" s="49">
        <v>1630</v>
      </c>
      <c r="E32" s="11">
        <f>Inputs!C134+C32+D32</f>
        <v>6491</v>
      </c>
      <c r="F32" s="49">
        <v>1812</v>
      </c>
      <c r="G32" s="49">
        <v>1790</v>
      </c>
      <c r="H32" s="74">
        <v>1815</v>
      </c>
      <c r="I32" s="17"/>
    </row>
    <row r="33">
      <c r="A33" s="1"/>
      <c r="B33" s="34" t="s">
        <v>63</v>
      </c>
      <c r="C33" s="2">
        <f>C32/C27</f>
        <v>0.26943765281173593</v>
      </c>
      <c r="D33" s="2">
        <f>D32/D27</f>
        <v>0.257260101010101</v>
      </c>
      <c r="E33" s="2">
        <f>E32/E27</f>
        <v>0.27135153212658336</v>
      </c>
      <c r="F33" s="2">
        <f>F32/F27</f>
        <v>0.27954335081764886</v>
      </c>
      <c r="G33" s="2">
        <f>G32/G27</f>
        <v>0.2531108597285068</v>
      </c>
      <c r="H33" s="20">
        <f>H32/H27</f>
        <v>0.2538291489002531</v>
      </c>
      <c r="I33" s="2"/>
    </row>
    <row r="34">
      <c r="A34" s="1"/>
      <c r="B34" s="15" t="s">
        <v>256</v>
      </c>
      <c r="C34" s="49">
        <v>293</v>
      </c>
      <c r="D34" s="49">
        <v>344</v>
      </c>
      <c r="E34" s="11">
        <f>Inputs!C135+C34+D34</f>
        <v>1197</v>
      </c>
      <c r="F34" s="49">
        <v>303</v>
      </c>
      <c r="G34" s="49">
        <v>307</v>
      </c>
      <c r="H34" s="74">
        <v>322</v>
      </c>
      <c r="I34" s="17"/>
    </row>
    <row r="35">
      <c r="A35" s="1"/>
      <c r="B35" s="34" t="s">
        <v>63</v>
      </c>
      <c r="C35" s="2">
        <f>C34/C27</f>
        <v>0.04775876120619397</v>
      </c>
      <c r="D35" s="2">
        <f>D34/D27</f>
        <v>0.054292929292929296</v>
      </c>
      <c r="E35" s="2">
        <f>E34/E27</f>
        <v>0.05003971405877681</v>
      </c>
      <c r="F35" s="2">
        <f>F34/F27</f>
        <v>0.04674483184202407</v>
      </c>
      <c r="G35" s="2">
        <f>G34/G27</f>
        <v>0.043410633484162894</v>
      </c>
      <c r="H35" s="20">
        <f>H34/H27</f>
        <v>0.04503194817954903</v>
      </c>
      <c r="I35" s="2"/>
    </row>
    <row r="36">
      <c r="A36" s="1"/>
      <c r="B36" s="15" t="s">
        <v>258</v>
      </c>
      <c r="C36" s="49">
        <v>280</v>
      </c>
      <c r="D36" s="49">
        <v>293</v>
      </c>
      <c r="E36" s="11">
        <f>Inputs!C136+C36+D36</f>
        <v>1117</v>
      </c>
      <c r="F36" s="49">
        <v>285</v>
      </c>
      <c r="G36" s="49">
        <v>301</v>
      </c>
      <c r="H36" s="74">
        <v>315</v>
      </c>
      <c r="I36" s="17"/>
    </row>
    <row r="37">
      <c r="A37" s="1"/>
      <c r="B37" s="34" t="s">
        <v>63</v>
      </c>
      <c r="C37" s="2">
        <f>C36/C27</f>
        <v>0.045639771801140996</v>
      </c>
      <c r="D37" s="2">
        <f>D36/D27</f>
        <v>0.04624368686868687</v>
      </c>
      <c r="E37" s="2">
        <f>E36/E27</f>
        <v>0.04669537226704569</v>
      </c>
      <c r="F37" s="2">
        <f>F36/F27</f>
        <v>0.043967911138537485</v>
      </c>
      <c r="G37" s="2">
        <f>G36/G27</f>
        <v>0.04256221719457014</v>
      </c>
      <c r="H37" s="20">
        <f>H36/H27</f>
        <v>0.044052992784341445</v>
      </c>
      <c r="I37" s="2"/>
    </row>
    <row r="38">
      <c r="A38" s="1"/>
      <c r="B38" s="15" t="s">
        <v>260</v>
      </c>
      <c r="C38" s="49">
        <v>101</v>
      </c>
      <c r="D38" s="49">
        <v>115</v>
      </c>
      <c r="E38" s="11">
        <f>Inputs!C137+C38+D38</f>
        <v>420</v>
      </c>
      <c r="F38" s="49">
        <v>101</v>
      </c>
      <c r="G38" s="49">
        <v>111</v>
      </c>
      <c r="H38" s="74">
        <v>125</v>
      </c>
      <c r="I38" s="17"/>
    </row>
    <row r="39">
      <c r="A39" s="1"/>
      <c r="B39" s="34" t="s">
        <v>63</v>
      </c>
      <c r="C39" s="2">
        <f>C38/C27</f>
        <v>0.016462917685411572</v>
      </c>
      <c r="D39" s="2">
        <f>D38/D27</f>
        <v>0.018150252525252524</v>
      </c>
      <c r="E39" s="2">
        <f>E38/E27</f>
        <v>0.017557794406588355</v>
      </c>
      <c r="F39" s="2">
        <f>F38/F27</f>
        <v>0.015581610614008022</v>
      </c>
      <c r="G39" s="2">
        <f>G38/G27</f>
        <v>0.015695701357466063</v>
      </c>
      <c r="H39" s="20">
        <f>H38/H27</f>
        <v>0.017481346342992636</v>
      </c>
      <c r="I39" s="2"/>
    </row>
    <row r="40">
      <c r="A40" s="1"/>
      <c r="B40" s="15" t="s">
        <v>262</v>
      </c>
      <c r="C40" s="49">
        <v>149</v>
      </c>
      <c r="D40" s="49">
        <v>142</v>
      </c>
      <c r="E40" s="11">
        <f>Inputs!C138+C40+D40</f>
        <v>620</v>
      </c>
      <c r="F40" s="49">
        <v>163</v>
      </c>
      <c r="G40" s="49">
        <v>198</v>
      </c>
      <c r="H40" s="74">
        <v>175</v>
      </c>
      <c r="I40" s="17"/>
    </row>
    <row r="41">
      <c r="A41" s="1"/>
      <c r="B41" s="34" t="s">
        <v>63</v>
      </c>
      <c r="C41" s="2">
        <f>C40/C27</f>
        <v>0.024286878565607174</v>
      </c>
      <c r="D41" s="2">
        <f>D40/D27</f>
        <v>0.02241161616161616</v>
      </c>
      <c r="E41" s="2">
        <f>E40/E27</f>
        <v>0.02591864888591614</v>
      </c>
      <c r="F41" s="2">
        <f>F40/F27</f>
        <v>0.025146559703795125</v>
      </c>
      <c r="G41" s="2">
        <f>G40/G27</f>
        <v>0.027997737556561087</v>
      </c>
      <c r="H41" s="20">
        <f>H40/H27</f>
        <v>0.02447388488018969</v>
      </c>
      <c r="I41" s="2"/>
    </row>
    <row r="42">
      <c r="A42" s="1"/>
      <c r="B42" s="15" t="s">
        <v>264</v>
      </c>
      <c r="C42" s="49">
        <v>212</v>
      </c>
      <c r="D42" s="49">
        <v>206</v>
      </c>
      <c r="E42" s="11">
        <f>Inputs!C139+C42+D42</f>
        <v>850</v>
      </c>
      <c r="F42" s="49">
        <v>201</v>
      </c>
      <c r="G42" s="49">
        <v>198</v>
      </c>
      <c r="H42" s="74">
        <v>225</v>
      </c>
      <c r="I42" s="17"/>
    </row>
    <row r="43">
      <c r="A43" s="1"/>
      <c r="B43" s="34" t="s">
        <v>63</v>
      </c>
      <c r="C43" s="2">
        <f>C42/C27</f>
        <v>0.034555827220863894</v>
      </c>
      <c r="D43" s="2">
        <f>D42/D27</f>
        <v>0.032512626262626264</v>
      </c>
      <c r="E43" s="2">
        <f>E42/E27</f>
        <v>0.0355336315371431</v>
      </c>
      <c r="F43" s="2">
        <f>F42/F27</f>
        <v>0.031008947855600124</v>
      </c>
      <c r="G43" s="2">
        <f>G42/G27</f>
        <v>0.027997737556561087</v>
      </c>
      <c r="H43" s="20">
        <f>H42/H27</f>
        <v>0.031466423417386744</v>
      </c>
      <c r="I43" s="2"/>
    </row>
    <row r="44">
      <c r="A44" s="1"/>
      <c r="B44" s="15" t="s">
        <v>266</v>
      </c>
      <c r="C44" s="49">
        <v>127</v>
      </c>
      <c r="D44" s="49">
        <v>127</v>
      </c>
      <c r="E44" s="11">
        <f>Inputs!C140+C44+D44</f>
        <v>512</v>
      </c>
      <c r="F44" s="49">
        <v>132</v>
      </c>
      <c r="G44" s="49">
        <v>142</v>
      </c>
      <c r="H44" s="74">
        <v>142</v>
      </c>
      <c r="I44" s="17"/>
    </row>
    <row r="45">
      <c r="A45" s="1"/>
      <c r="B45" s="34" t="s">
        <v>63</v>
      </c>
      <c r="C45" s="2">
        <f>C44/C27</f>
        <v>0.020700896495517523</v>
      </c>
      <c r="D45" s="2">
        <f>D44/D27</f>
        <v>0.02004419191919192</v>
      </c>
      <c r="E45" s="2">
        <f>E44/E27</f>
        <v>0.021403787467079136</v>
      </c>
      <c r="F45" s="2">
        <f>F44/F27</f>
        <v>0.020364085158901573</v>
      </c>
      <c r="G45" s="2">
        <f>G44/G27</f>
        <v>0.020079185520361992</v>
      </c>
      <c r="H45" s="20">
        <f>H44/H27</f>
        <v>0.019858809445639634</v>
      </c>
      <c r="I45" s="2"/>
    </row>
    <row r="46">
      <c r="A46" s="1"/>
      <c r="B46" s="15" t="s">
        <v>268</v>
      </c>
      <c r="C46" s="49">
        <v>59</v>
      </c>
      <c r="D46" s="49">
        <v>62</v>
      </c>
      <c r="E46" s="11">
        <f>Inputs!C141+C46+D46</f>
        <v>287</v>
      </c>
      <c r="F46" s="49">
        <v>75</v>
      </c>
      <c r="G46" s="49">
        <v>63</v>
      </c>
      <c r="H46" s="74">
        <v>65</v>
      </c>
      <c r="I46" s="17"/>
    </row>
    <row r="47">
      <c r="A47" s="1"/>
      <c r="B47" s="34" t="s">
        <v>63</v>
      </c>
      <c r="C47" s="2">
        <f>C46/C27</f>
        <v>0.009616951915240424</v>
      </c>
      <c r="D47" s="2">
        <f>D46/D27</f>
        <v>0.009785353535353536</v>
      </c>
      <c r="E47" s="2">
        <f>E46/E27</f>
        <v>0.011997826177835375</v>
      </c>
      <c r="F47" s="2">
        <f>F46/F27</f>
        <v>0.011570502931194077</v>
      </c>
      <c r="G47" s="2">
        <f>G46/G27</f>
        <v>0.008908371040723981</v>
      </c>
      <c r="H47" s="20">
        <f>H46/H27</f>
        <v>0.009090300098356171</v>
      </c>
      <c r="I47" s="2"/>
    </row>
    <row r="48">
      <c r="A48" s="1"/>
      <c r="B48" s="15" t="s">
        <v>270</v>
      </c>
      <c r="C48" s="49">
        <v>240</v>
      </c>
      <c r="D48" s="49">
        <v>237</v>
      </c>
      <c r="E48" s="11">
        <f>Inputs!C142+C48+D48</f>
        <v>968</v>
      </c>
      <c r="F48" s="49">
        <v>222</v>
      </c>
      <c r="G48" s="49">
        <v>293</v>
      </c>
      <c r="H48" s="74">
        <v>273</v>
      </c>
      <c r="I48" s="17"/>
    </row>
    <row r="49">
      <c r="A49" s="1"/>
      <c r="B49" s="34" t="s">
        <v>63</v>
      </c>
      <c r="C49" s="2">
        <f>C48/C27</f>
        <v>0.039119804400977995</v>
      </c>
      <c r="D49" s="2">
        <f>D48/D27</f>
        <v>0.03740530303030303</v>
      </c>
      <c r="E49" s="2">
        <f>E48/E27</f>
        <v>0.04046653567994649</v>
      </c>
      <c r="F49" s="2">
        <f>F48/F27</f>
        <v>0.03424868867633447</v>
      </c>
      <c r="G49" s="2">
        <f>G48/G27</f>
        <v>0.04143099547511312</v>
      </c>
      <c r="H49" s="20">
        <f>H48/H27</f>
        <v>0.03817926041309592</v>
      </c>
      <c r="I49" s="2"/>
    </row>
    <row r="50">
      <c r="A50" s="1"/>
      <c r="B50" s="53" t="s">
        <v>290</v>
      </c>
      <c r="C50" s="27">
        <f>C32+C34+C36+C38+C40+C42+C44+C46+C48</f>
        <v>3114</v>
      </c>
      <c r="D50" s="27">
        <f>D32+D34+D36+D38+D40+D42+D44+D46+D48</f>
        <v>3156</v>
      </c>
      <c r="E50" s="27">
        <f>E32+E34+E36+E38+E40+E42+E44+E46+E48</f>
        <v>12462</v>
      </c>
      <c r="F50" s="27">
        <f>F32+F34+F36+F38+F40+F42+F44+F46+F48</f>
        <v>3294</v>
      </c>
      <c r="G50" s="27">
        <f>G32+G34+G36+G38+G40+G42+G44+G46+G48</f>
        <v>3403</v>
      </c>
      <c r="H50" s="40">
        <f>H32+H34+H36+H38+H40+H42+H44+H46+H48</f>
        <v>3457</v>
      </c>
      <c r="I50" s="55"/>
    </row>
    <row r="51">
      <c r="A51" s="1"/>
      <c r="B51" s="34" t="s">
        <v>61</v>
      </c>
      <c r="C51" s="2"/>
      <c r="D51" s="2"/>
      <c r="E51" s="2"/>
      <c r="F51" s="2"/>
      <c r="G51" s="2"/>
      <c r="H51" s="20">
        <f>IF(OR(H50="",C50=""),"",IF(C50=0,"n/m",H50/C50-1))</f>
        <v>0.1101477199743095</v>
      </c>
      <c r="I51" s="2"/>
    </row>
    <row r="52">
      <c r="A52" s="1"/>
      <c r="B52" s="34" t="s">
        <v>62</v>
      </c>
      <c r="C52" s="2"/>
      <c r="D52" s="2">
        <f>IF(OR(D50="",C50=""),"",IF(C50=0,"n/m",D50/C50-1))</f>
        <v>0.01348747591522148</v>
      </c>
      <c r="E52" s="2"/>
      <c r="F52" s="2">
        <f>IF(OR(F50="",D50=""),"",IF(D50=0,"n/m",F50/D50-1))</f>
        <v>0.04372623574144496</v>
      </c>
      <c r="G52" s="2">
        <f>IF(OR(G50="",F50=""),"",IF(F50=0,"n/m",G50/F50-1))</f>
        <v>0.033090467516696975</v>
      </c>
      <c r="H52" s="20">
        <f>IF(OR(H50="",G50=""),"",IF(G50=0,"n/m",H50/G50-1))</f>
        <v>0.015868351454598972</v>
      </c>
      <c r="I52" s="2"/>
    </row>
    <row r="53">
      <c r="A53" s="1"/>
      <c r="B53" s="53" t="s">
        <v>291</v>
      </c>
      <c r="C53" s="27">
        <f>C27-C50</f>
        <v>3021</v>
      </c>
      <c r="D53" s="27">
        <f>D27-D50</f>
        <v>3180</v>
      </c>
      <c r="E53" s="27">
        <f>E27-E50</f>
        <v>11459</v>
      </c>
      <c r="F53" s="27">
        <f>F27-F50</f>
        <v>3188</v>
      </c>
      <c r="G53" s="27">
        <f>G27-G50</f>
        <v>3669</v>
      </c>
      <c r="H53" s="40">
        <f>H27-H50</f>
        <v>3693.479004731006</v>
      </c>
      <c r="I53" s="55"/>
    </row>
    <row r="54">
      <c r="A54" s="1"/>
      <c r="B54" s="34" t="s">
        <v>61</v>
      </c>
      <c r="C54" s="2"/>
      <c r="D54" s="2"/>
      <c r="E54" s="2"/>
      <c r="F54" s="2"/>
      <c r="G54" s="2"/>
      <c r="H54" s="20">
        <f>IF(OR(H53="",C53=""),"",IF(C53=0,"n/m",H53/C53-1))</f>
        <v>0.22260145803740694</v>
      </c>
      <c r="I54" s="2"/>
    </row>
    <row r="55">
      <c r="A55" s="1"/>
      <c r="B55" s="34" t="s">
        <v>62</v>
      </c>
      <c r="C55" s="2"/>
      <c r="D55" s="2">
        <f>IF(OR(D53="",C53=""),"",IF(C53=0,"n/m",D53/C53-1))</f>
        <v>0.05263157894736836</v>
      </c>
      <c r="E55" s="2"/>
      <c r="F55" s="2">
        <f>IF(OR(F53="",D53=""),"",IF(D53=0,"n/m",F53/D53-1))</f>
        <v>0.002515723270440251</v>
      </c>
      <c r="G55" s="2">
        <f>IF(OR(G53="",F53=""),"",IF(F53=0,"n/m",G53/F53-1))</f>
        <v>0.1508782936010038</v>
      </c>
      <c r="H55" s="20">
        <f>IF(OR(H53="",G53=""),"",IF(G53=0,"n/m",H53/G53-1))</f>
        <v>0.006671846478878862</v>
      </c>
      <c r="I55" s="2"/>
    </row>
    <row r="56">
      <c r="A56" s="1"/>
      <c r="B56" s="34" t="s">
        <v>292</v>
      </c>
      <c r="C56" s="2">
        <f>C53/C27</f>
        <v>0.4924205378973105</v>
      </c>
      <c r="D56" s="2">
        <f>D53/D27</f>
        <v>0.5018939393939394</v>
      </c>
      <c r="E56" s="2">
        <f>E53/E27</f>
        <v>0.47903515739308555</v>
      </c>
      <c r="F56" s="2">
        <f>F53/F27</f>
        <v>0.49182351126195617</v>
      </c>
      <c r="G56" s="2">
        <f>G53/G27</f>
        <v>0.5188065610859729</v>
      </c>
      <c r="H56" s="20">
        <f>H53/H27</f>
        <v>0.5165358855381956</v>
      </c>
      <c r="I56" s="2"/>
    </row>
    <row r="57">
      <c r="A57" s="1"/>
      <c r="B57" s="34" t="s">
        <v>135</v>
      </c>
      <c r="C57" s="75"/>
      <c r="D57" s="75">
        <f>IF(OR(D56="",C56=""),"",(D56-C56)*10000)</f>
        <v>94.73401496628952</v>
      </c>
      <c r="E57" s="75"/>
      <c r="F57" s="75">
        <f>IF(OR(F56="",D56=""),"",(F56-D56)*10000)</f>
        <v>-100.70428131983277</v>
      </c>
      <c r="G57" s="75">
        <f>IF(OR(G56="",F56=""),"",(G56-F56)*10000)</f>
        <v>269.83049824016723</v>
      </c>
      <c r="H57" s="76">
        <f>IF(OR(H56="",G56=""),"",(H56-G56)*10000)</f>
        <v>-22.706755477772678</v>
      </c>
      <c r="I57" s="75"/>
    </row>
    <row r="58">
      <c r="A58" s="1"/>
      <c r="B58" s="34" t="s">
        <v>87</v>
      </c>
      <c r="C58" s="75"/>
      <c r="D58" s="75"/>
      <c r="E58" s="75"/>
      <c r="F58" s="75"/>
      <c r="G58" s="75"/>
      <c r="H58" s="76">
        <f>IF(OR(H56="",C56=""),"",(H56-C56)*10000)</f>
        <v>241.15347640885133</v>
      </c>
      <c r="I58" s="75"/>
    </row>
    <row r="59">
      <c r="A59" s="1"/>
      <c r="B59" s="15" t="s">
        <v>293</v>
      </c>
      <c r="C59" s="49">
        <v>663</v>
      </c>
      <c r="D59" s="49">
        <v>721</v>
      </c>
      <c r="E59" s="11">
        <f>Inputs!C143+C59+D59</f>
        <v>2607</v>
      </c>
      <c r="F59" s="49">
        <v>709</v>
      </c>
      <c r="G59" s="49">
        <v>869</v>
      </c>
      <c r="H59" s="32">
        <f>H53*H60</f>
        <v>845.8066920834004</v>
      </c>
      <c r="I59" s="17"/>
    </row>
    <row r="60">
      <c r="A60" s="1"/>
      <c r="B60" s="34" t="s">
        <v>294</v>
      </c>
      <c r="C60" s="2">
        <f>C59/C53</f>
        <v>0.21946375372393248</v>
      </c>
      <c r="D60" s="2">
        <f>D59/D53</f>
        <v>0.22672955974842768</v>
      </c>
      <c r="E60" s="2">
        <f>E59/E53</f>
        <v>0.22750676324286587</v>
      </c>
      <c r="F60" s="2">
        <f>F59/F53</f>
        <v>0.22239648682559598</v>
      </c>
      <c r="G60" s="2">
        <f>G59/G53</f>
        <v>0.23684927773235215</v>
      </c>
      <c r="H60" s="28">
        <v>0.229</v>
      </c>
      <c r="I60" s="2"/>
    </row>
    <row r="61">
      <c r="A61" s="1"/>
      <c r="B61" s="34" t="s">
        <v>135</v>
      </c>
      <c r="C61" s="75"/>
      <c r="D61" s="75">
        <f>IF(OR(D60="",C60=""),"",(D60-C60)*10000)</f>
        <v>72.65806024495197</v>
      </c>
      <c r="E61" s="75"/>
      <c r="F61" s="75">
        <f>IF(OR(F60="",D60=""),"",(F60-D60)*10000)</f>
        <v>-43.33072922831693</v>
      </c>
      <c r="G61" s="75">
        <f>IF(OR(G60="",F60=""),"",(G60-F60)*10000)</f>
        <v>144.52790906756164</v>
      </c>
      <c r="H61" s="76">
        <f>IF(OR(H60="",G60=""),"",(H60-G60)*10000)</f>
        <v>-78.4927773235214</v>
      </c>
      <c r="I61" s="75"/>
    </row>
    <row r="62">
      <c r="A62" s="1"/>
      <c r="B62" s="34" t="s">
        <v>87</v>
      </c>
      <c r="C62" s="75"/>
      <c r="D62" s="75"/>
      <c r="E62" s="75"/>
      <c r="F62" s="75"/>
      <c r="G62" s="75"/>
      <c r="H62" s="76">
        <f>IF(OR(H60="",C60=""),"",(H60-C60)*10000)</f>
        <v>95.36246276067529</v>
      </c>
      <c r="I62" s="75"/>
    </row>
    <row r="63">
      <c r="A63" s="1"/>
      <c r="B63" s="53" t="s">
        <v>295</v>
      </c>
      <c r="C63" s="27">
        <f>C53-C59</f>
        <v>2358</v>
      </c>
      <c r="D63" s="27">
        <f>D53-D59</f>
        <v>2459</v>
      </c>
      <c r="E63" s="27">
        <f>E53-E59</f>
        <v>8852</v>
      </c>
      <c r="F63" s="27">
        <f>F53-F59</f>
        <v>2479</v>
      </c>
      <c r="G63" s="27">
        <f>G53-G59</f>
        <v>2800</v>
      </c>
      <c r="H63" s="40">
        <f>H53-H59</f>
        <v>2847.672312647606</v>
      </c>
      <c r="I63" s="55"/>
    </row>
    <row r="64">
      <c r="A64" s="1"/>
      <c r="B64" s="34" t="s">
        <v>61</v>
      </c>
      <c r="C64" s="2"/>
      <c r="D64" s="2"/>
      <c r="E64" s="2"/>
      <c r="F64" s="2"/>
      <c r="G64" s="2"/>
      <c r="H64" s="20">
        <f>IF(OR(H63="",C63=""),"",IF(C63=0,"n/m",H63/C63-1))</f>
        <v>0.20766425472756822</v>
      </c>
      <c r="I64" s="2"/>
    </row>
    <row r="65">
      <c r="A65" s="1"/>
      <c r="B65" s="34" t="s">
        <v>62</v>
      </c>
      <c r="C65" s="2"/>
      <c r="D65" s="2">
        <f>IF(OR(D63="",C63=""),"",IF(C63=0,"n/m",D63/C63-1))</f>
        <v>0.04283290924512295</v>
      </c>
      <c r="E65" s="2"/>
      <c r="F65" s="2">
        <f>IF(OR(F63="",D63=""),"",IF(D63=0,"n/m",F63/D63-1))</f>
        <v>0.008133387555917082</v>
      </c>
      <c r="G65" s="2">
        <f>IF(OR(G63="",F63=""),"",IF(F63=0,"n/m",G63/F63-1))</f>
        <v>0.12948769665187565</v>
      </c>
      <c r="H65" s="20">
        <f>IF(OR(H63="",G63=""),"",IF(G63=0,"n/m",H63/G63-1))</f>
        <v>0.01702582594557356</v>
      </c>
      <c r="I65" s="2"/>
    </row>
    <row r="66">
      <c r="A66" s="1"/>
      <c r="B66" s="34" t="s">
        <v>296</v>
      </c>
      <c r="C66" s="2">
        <f>C63/C27</f>
        <v>0.3843520782396088</v>
      </c>
      <c r="D66" s="2">
        <f>D63/D27</f>
        <v>0.38809974747474746</v>
      </c>
      <c r="E66" s="2">
        <f>E63/E27</f>
        <v>0.37005141925504786</v>
      </c>
      <c r="F66" s="2">
        <f>F63/F27</f>
        <v>0.3824436902190682</v>
      </c>
      <c r="G66" s="2">
        <f>G63/G27</f>
        <v>0.39592760180995473</v>
      </c>
      <c r="H66" s="20">
        <f>H63/H27</f>
        <v>0.39824916774994884</v>
      </c>
      <c r="I66" s="2"/>
    </row>
    <row r="67">
      <c r="A67" s="1"/>
      <c r="B67" s="34" t="s">
        <v>135</v>
      </c>
      <c r="C67" s="75"/>
      <c r="D67" s="75">
        <f>IF(OR(D66="",C66=""),"",(D66-C66)*10000)</f>
        <v>37.4766923513864</v>
      </c>
      <c r="E67" s="75"/>
      <c r="F67" s="75">
        <f>IF(OR(F66="",D66=""),"",(F66-D66)*10000)</f>
        <v>-56.56057255679248</v>
      </c>
      <c r="G67" s="75">
        <f>IF(OR(G66="",F66=""),"",(G66-F66)*10000)</f>
        <v>134.8391159088652</v>
      </c>
      <c r="H67" s="76">
        <f>IF(OR(H66="",G66=""),"",(H66-G66)*10000)</f>
        <v>23.21565939994108</v>
      </c>
      <c r="I67" s="75"/>
    </row>
    <row r="68">
      <c r="A68" s="1"/>
      <c r="B68" s="34" t="s">
        <v>87</v>
      </c>
      <c r="C68" s="75"/>
      <c r="D68" s="75"/>
      <c r="E68" s="75"/>
      <c r="F68" s="75"/>
      <c r="G68" s="75"/>
      <c r="H68" s="76">
        <f>IF(OR(H66="",C66=""),"",(H66-C66)*10000)</f>
        <v>138.9708951034002</v>
      </c>
      <c r="I68" s="75"/>
    </row>
    <row r="69">
      <c r="A69" s="1"/>
      <c r="B69" s="15" t="s">
        <v>297</v>
      </c>
      <c r="C69" s="49">
        <v>81</v>
      </c>
      <c r="D69" s="49">
        <v>92</v>
      </c>
      <c r="E69" s="11">
        <f>Inputs!C144+C69+D69</f>
        <v>435</v>
      </c>
      <c r="F69" s="49">
        <v>82</v>
      </c>
      <c r="G69" s="49">
        <v>119</v>
      </c>
      <c r="H69" s="74">
        <v>88</v>
      </c>
      <c r="I69" s="17"/>
    </row>
    <row r="70">
      <c r="A70" s="1"/>
      <c r="B70" s="53" t="s">
        <v>298</v>
      </c>
      <c r="C70" s="27">
        <f>C63-C69</f>
        <v>2277</v>
      </c>
      <c r="D70" s="27">
        <f>D63-D69</f>
        <v>2367</v>
      </c>
      <c r="E70" s="27">
        <f>E63-E69</f>
        <v>8417</v>
      </c>
      <c r="F70" s="27">
        <f>F63-F69</f>
        <v>2397</v>
      </c>
      <c r="G70" s="27">
        <f>G63-G69</f>
        <v>2681</v>
      </c>
      <c r="H70" s="40">
        <f>H63-H69</f>
        <v>2759.672312647606</v>
      </c>
      <c r="I70" s="55"/>
    </row>
    <row r="71">
      <c r="A71" s="1"/>
      <c r="B71" s="34" t="s">
        <v>61</v>
      </c>
      <c r="C71" s="2"/>
      <c r="D71" s="2"/>
      <c r="E71" s="2"/>
      <c r="F71" s="2"/>
      <c r="G71" s="2"/>
      <c r="H71" s="20">
        <f>IF(OR(H70="",C70=""),"",IF(C70=0,"n/m",H70/C70-1))</f>
        <v>0.21197730024049455</v>
      </c>
      <c r="I71" s="2"/>
    </row>
    <row r="72">
      <c r="A72" s="1"/>
      <c r="B72" s="34" t="s">
        <v>62</v>
      </c>
      <c r="C72" s="2"/>
      <c r="D72" s="2">
        <f>IF(OR(D70="",C70=""),"",IF(C70=0,"n/m",D70/C70-1))</f>
        <v>0.03952569169960474</v>
      </c>
      <c r="E72" s="2"/>
      <c r="F72" s="2">
        <f>IF(OR(F70="",D70=""),"",IF(D70=0,"n/m",F70/D70-1))</f>
        <v>0.012674271229404344</v>
      </c>
      <c r="G72" s="2">
        <f>IF(OR(G70="",F70=""),"",IF(F70=0,"n/m",G70/F70-1))</f>
        <v>0.1184814351272423</v>
      </c>
      <c r="H72" s="20">
        <f>IF(OR(H70="",G70=""),"",IF(G70=0,"n/m",H70/G70-1))</f>
        <v>0.029344391140472048</v>
      </c>
      <c r="I72" s="2"/>
    </row>
    <row r="73">
      <c r="A73" s="1"/>
      <c r="B73" s="42"/>
      <c r="C73" s="8"/>
      <c r="D73" s="8"/>
      <c r="E73" s="8"/>
      <c r="F73" s="8"/>
      <c r="G73" s="8"/>
      <c r="H73" s="5"/>
      <c r="I73" s="8"/>
    </row>
    <row r="74">
      <c r="A74" s="1"/>
      <c r="B74" s="51" t="s">
        <v>299</v>
      </c>
      <c r="C74" s="7"/>
      <c r="D74" s="7"/>
      <c r="E74" s="7"/>
      <c r="F74" s="7"/>
      <c r="G74" s="7"/>
      <c r="H74" s="12"/>
      <c r="I74" s="7"/>
    </row>
    <row r="75">
      <c r="A75" s="1"/>
      <c r="B75" s="15" t="s">
        <v>300</v>
      </c>
      <c r="C75" s="11">
        <f>'Share Count'!C17</f>
        <v>1806</v>
      </c>
      <c r="D75" s="11">
        <f>'Share Count'!D17</f>
        <v>1772</v>
      </c>
      <c r="E75" s="11">
        <f>'Share Count'!E17</f>
        <v>1804</v>
      </c>
      <c r="F75" s="11">
        <f>'Share Count'!F17</f>
        <v>1746</v>
      </c>
      <c r="G75" s="11">
        <f>'Share Count'!G17</f>
        <v>1735</v>
      </c>
      <c r="H75" s="44">
        <f>'Share Count'!H17</f>
        <v>1726.1605094339623</v>
      </c>
      <c r="I75" s="17"/>
    </row>
    <row r="76">
      <c r="A76" s="1"/>
      <c r="B76" s="15" t="s">
        <v>301</v>
      </c>
      <c r="C76" s="11">
        <f>'Share Count'!C23</f>
        <v>1811</v>
      </c>
      <c r="D76" s="11">
        <f>'Share Count'!D23</f>
        <v>1777</v>
      </c>
      <c r="E76" s="11">
        <f>'Share Count'!E23</f>
        <v>1809</v>
      </c>
      <c r="F76" s="11">
        <f>'Share Count'!F23</f>
        <v>1752</v>
      </c>
      <c r="G76" s="11">
        <f>'Share Count'!G23</f>
        <v>1739</v>
      </c>
      <c r="H76" s="44">
        <f>'Share Count'!H23</f>
        <v>1730.6605094339623</v>
      </c>
      <c r="I76" s="17"/>
    </row>
    <row r="77">
      <c r="A77" s="1"/>
      <c r="B77" s="15" t="s">
        <v>302</v>
      </c>
      <c r="C77" s="4">
        <f>C70/C75</f>
        <v>1.260797342192691</v>
      </c>
      <c r="D77" s="4">
        <f>D70/D75</f>
        <v>1.3357787810383748</v>
      </c>
      <c r="E77" s="4">
        <f>E70/E75</f>
        <v>4.6657427937915745</v>
      </c>
      <c r="F77" s="4">
        <f>F70/F75</f>
        <v>1.372852233676976</v>
      </c>
      <c r="G77" s="4">
        <f>G70/G75</f>
        <v>1.5452449567723343</v>
      </c>
      <c r="H77" s="29">
        <f>H70/H75</f>
        <v>1.5987344731646942</v>
      </c>
      <c r="I77" s="4"/>
    </row>
    <row r="78">
      <c r="A78" s="1"/>
      <c r="B78" s="53" t="s">
        <v>303</v>
      </c>
      <c r="C78" s="50">
        <f>C70/C76</f>
        <v>1.2573163997791275</v>
      </c>
      <c r="D78" s="50">
        <f>D70/D76</f>
        <v>1.3320202588632526</v>
      </c>
      <c r="E78" s="50">
        <f>E70/E76</f>
        <v>4.652846876727474</v>
      </c>
      <c r="F78" s="50">
        <f>F70/F76</f>
        <v>1.3681506849315068</v>
      </c>
      <c r="G78" s="50">
        <f>G70/G76</f>
        <v>1.5416906267970099</v>
      </c>
      <c r="H78" s="83">
        <f>H70/H76</f>
        <v>1.594577502406984</v>
      </c>
      <c r="I78" s="19"/>
    </row>
    <row r="79">
      <c r="A79" s="1"/>
      <c r="B79" s="34" t="s">
        <v>61</v>
      </c>
      <c r="C79" s="2"/>
      <c r="D79" s="2"/>
      <c r="E79" s="2"/>
      <c r="F79" s="2"/>
      <c r="G79" s="2"/>
      <c r="H79" s="20">
        <f>IF(OR(H78="",C78=""),"",IF(C78=0,"n/m",H78/C78-1))</f>
        <v>0.2682388479837716</v>
      </c>
      <c r="I79" s="2"/>
    </row>
    <row r="80">
      <c r="A80" s="1"/>
      <c r="B80" s="34" t="s">
        <v>62</v>
      </c>
      <c r="C80" s="2"/>
      <c r="D80" s="2">
        <f>IF(OR(D78="",C78=""),"",IF(C78=0,"n/m",D78/C78-1))</f>
        <v>0.05941532226673285</v>
      </c>
      <c r="E80" s="2"/>
      <c r="F80" s="2">
        <f>IF(OR(F78="",D78=""),"",IF(D78=0,"n/m",F78/D78-1))</f>
        <v>0.027124531949002106</v>
      </c>
      <c r="G80" s="2">
        <f>IF(OR(G78="",F78=""),"",IF(F78=0,"n/m",G78/F78-1))</f>
        <v>0.12684271095050526</v>
      </c>
      <c r="H80" s="20">
        <f>IF(OR(H78="",G78=""),"",IF(G78=0,"n/m",H78/G78-1))</f>
        <v>0.03430446724570868</v>
      </c>
      <c r="I80" s="2"/>
    </row>
    <row r="81">
      <c r="A81" s="1"/>
      <c r="B81" s="34" t="s">
        <v>304</v>
      </c>
      <c r="C81" s="81">
        <f>ROUND(C78,2)-Inputs!C193</f>
        <v>0</v>
      </c>
      <c r="D81" s="81">
        <f>ROUND(D78,2)-Inputs!D193</f>
        <v>0</v>
      </c>
      <c r="E81" s="81">
        <f>ROUND(E78,2)-Inputs!E193</f>
        <v>0</v>
      </c>
      <c r="F81" s="81">
        <f>ROUND(F78,2)-Inputs!F193</f>
        <v>0</v>
      </c>
      <c r="G81" s="81">
        <f>ROUND(G78,2)-Inputs!G193</f>
        <v>0</v>
      </c>
      <c r="H81" s="80"/>
      <c r="I81" s="82"/>
    </row>
    <row r="82">
      <c r="A82" s="1"/>
      <c r="B82" s="42"/>
      <c r="C82" s="8"/>
      <c r="D82" s="8"/>
      <c r="E82" s="8"/>
      <c r="F82" s="8"/>
      <c r="G82" s="8"/>
      <c r="H82" s="5"/>
      <c r="I82" s="8"/>
    </row>
    <row r="83">
      <c r="A83" s="1"/>
      <c r="B83" s="51" t="s">
        <v>305</v>
      </c>
      <c r="C83" s="7"/>
      <c r="D83" s="7"/>
      <c r="E83" s="7"/>
      <c r="F83" s="7"/>
      <c r="G83" s="7"/>
      <c r="H83" s="12"/>
      <c r="I83" s="7"/>
    </row>
    <row r="84">
      <c r="A84" s="1"/>
      <c r="B84" s="15" t="s">
        <v>306</v>
      </c>
      <c r="C84" s="17">
        <f>C70</f>
        <v>2277</v>
      </c>
      <c r="D84" s="17">
        <f>D70</f>
        <v>2367</v>
      </c>
      <c r="E84" s="17">
        <f>E70</f>
        <v>8417</v>
      </c>
      <c r="F84" s="17">
        <f>F70</f>
        <v>2397</v>
      </c>
      <c r="G84" s="17">
        <f>G70</f>
        <v>2681</v>
      </c>
      <c r="H84" s="32">
        <f>H70</f>
        <v>2759.672312647606</v>
      </c>
      <c r="I84" s="17"/>
    </row>
    <row r="85">
      <c r="A85" s="1"/>
      <c r="B85" s="15" t="s">
        <v>307</v>
      </c>
      <c r="C85" s="17">
        <f>C44</f>
        <v>127</v>
      </c>
      <c r="D85" s="17">
        <f>D44</f>
        <v>127</v>
      </c>
      <c r="E85" s="17">
        <f>E44</f>
        <v>512</v>
      </c>
      <c r="F85" s="17">
        <f>F44</f>
        <v>132</v>
      </c>
      <c r="G85" s="17">
        <f>G44</f>
        <v>142</v>
      </c>
      <c r="H85" s="32">
        <f>H44</f>
        <v>142</v>
      </c>
      <c r="I85" s="17"/>
    </row>
    <row r="86">
      <c r="A86" s="1"/>
      <c r="B86" s="15" t="s">
        <v>308</v>
      </c>
      <c r="C86" s="49">
        <v>0</v>
      </c>
      <c r="D86" s="49">
        <v>0</v>
      </c>
      <c r="E86" s="11">
        <f>Inputs!C145+C86+D86</f>
        <v>0</v>
      </c>
      <c r="F86" s="49">
        <v>11</v>
      </c>
      <c r="G86" s="49">
        <v>28</v>
      </c>
      <c r="H86" s="74">
        <v>15</v>
      </c>
      <c r="I86" s="136" t="s">
        <v>309</v>
      </c>
    </row>
    <row r="87">
      <c r="A87" s="1"/>
      <c r="B87" s="15" t="s">
        <v>310</v>
      </c>
      <c r="C87" s="49">
        <v>0</v>
      </c>
      <c r="D87" s="49">
        <v>0</v>
      </c>
      <c r="E87" s="49">
        <v>0</v>
      </c>
      <c r="F87" s="49">
        <v>0</v>
      </c>
      <c r="G87" s="49">
        <v>0</v>
      </c>
      <c r="H87" s="74">
        <v>0</v>
      </c>
      <c r="I87" s="115" t="s">
        <v>311</v>
      </c>
    </row>
    <row r="88">
      <c r="A88" s="1"/>
      <c r="B88" s="15" t="s">
        <v>312</v>
      </c>
      <c r="C88" s="49">
        <v>-29</v>
      </c>
      <c r="D88" s="49">
        <v>-30</v>
      </c>
      <c r="E88" s="11">
        <f>Inputs!C146+C88+D88</f>
        <v>-122</v>
      </c>
      <c r="F88" s="49">
        <v>-34</v>
      </c>
      <c r="G88" s="49">
        <v>-40</v>
      </c>
      <c r="H88" s="32">
        <f>-(H85+H86+H87)*H89</f>
        <v>-36.894999999999996</v>
      </c>
      <c r="I88" s="17"/>
    </row>
    <row r="89">
      <c r="A89" s="1"/>
      <c r="B89" s="34" t="s">
        <v>313</v>
      </c>
      <c r="C89" s="2">
        <f>-C88/(C85+C86+C87)</f>
        <v>0.2283464566929134</v>
      </c>
      <c r="D89" s="2">
        <f>-D88/(D85+D86+D87)</f>
        <v>0.23622047244094488</v>
      </c>
      <c r="E89" s="2">
        <f>-E88/(E85+E86+E87)</f>
        <v>0.23828125</v>
      </c>
      <c r="F89" s="2">
        <f>-F88/(F85+F86+F87)</f>
        <v>0.23776223776223776</v>
      </c>
      <c r="G89" s="2">
        <f>-G88/(G85+G86+G87)</f>
        <v>0.23529411764705882</v>
      </c>
      <c r="H89" s="28">
        <v>0.235</v>
      </c>
      <c r="I89" s="2"/>
    </row>
    <row r="90">
      <c r="A90" s="1"/>
      <c r="B90" s="34" t="s">
        <v>135</v>
      </c>
      <c r="C90" s="75"/>
      <c r="D90" s="75">
        <f>IF(OR(D89="",C89=""),"",(D89-C89)*10000)</f>
        <v>78.74015748031482</v>
      </c>
      <c r="E90" s="75"/>
      <c r="F90" s="75">
        <f>IF(OR(F89="",D89=""),"",(F89-D89)*10000)</f>
        <v>15.417653212928817</v>
      </c>
      <c r="G90" s="75">
        <f>IF(OR(G89="",F89=""),"",(G89-F89)*10000)</f>
        <v>-24.681201151789402</v>
      </c>
      <c r="H90" s="76">
        <f>IF(OR(H89="",G89=""),"",(H89-G89)*10000)</f>
        <v>-2.941176470588336</v>
      </c>
      <c r="I90" s="75"/>
    </row>
    <row r="91">
      <c r="A91" s="1"/>
      <c r="B91" s="34" t="s">
        <v>87</v>
      </c>
      <c r="C91" s="75"/>
      <c r="D91" s="75"/>
      <c r="E91" s="75"/>
      <c r="F91" s="75"/>
      <c r="G91" s="75"/>
      <c r="H91" s="76">
        <f>IF(OR(H89="",C89=""),"",(H89-C89)*10000)</f>
        <v>66.5354330708659</v>
      </c>
      <c r="I91" s="75"/>
    </row>
    <row r="92">
      <c r="A92" s="1"/>
      <c r="B92" s="53" t="s">
        <v>314</v>
      </c>
      <c r="C92" s="27">
        <f>C84+C85+C86+C87+C88</f>
        <v>2375</v>
      </c>
      <c r="D92" s="27">
        <f>D84+D85+D86+D87+D88</f>
        <v>2464</v>
      </c>
      <c r="E92" s="27">
        <f>E84+E85+E86+E87+E88</f>
        <v>8807</v>
      </c>
      <c r="F92" s="27">
        <f>F84+F85+F86+F87+F88</f>
        <v>2506</v>
      </c>
      <c r="G92" s="27">
        <f>G84+G85+G86+G87+G88</f>
        <v>2811</v>
      </c>
      <c r="H92" s="40">
        <f>H84+H85+H86+H87+H88</f>
        <v>2879.777312647606</v>
      </c>
      <c r="I92" s="55"/>
    </row>
    <row r="93">
      <c r="A93" s="1"/>
      <c r="B93" s="34" t="s">
        <v>61</v>
      </c>
      <c r="C93" s="2"/>
      <c r="D93" s="2"/>
      <c r="E93" s="2"/>
      <c r="F93" s="2"/>
      <c r="G93" s="2"/>
      <c r="H93" s="20">
        <f>IF(OR(H92="",C92=""),"",IF(C92=0,"n/m",H92/C92-1))</f>
        <v>0.21253781585162357</v>
      </c>
      <c r="I93" s="2"/>
    </row>
    <row r="94">
      <c r="A94" s="1"/>
      <c r="B94" s="34" t="s">
        <v>62</v>
      </c>
      <c r="C94" s="2"/>
      <c r="D94" s="2">
        <f>IF(OR(D92="",C92=""),"",IF(C92=0,"n/m",D92/C92-1))</f>
        <v>0.037473684210526326</v>
      </c>
      <c r="E94" s="2"/>
      <c r="F94" s="2">
        <f>IF(OR(F92="",D92=""),"",IF(D92=0,"n/m",F92/D92-1))</f>
        <v>0.017045454545454586</v>
      </c>
      <c r="G94" s="2">
        <f>IF(OR(G92="",F92=""),"",IF(F92=0,"n/m",G92/F92-1))</f>
        <v>0.12170790103750995</v>
      </c>
      <c r="H94" s="20">
        <f>IF(OR(H92="",G92=""),"",IF(G92=0,"n/m",H92/G92-1))</f>
        <v>0.024467204783922503</v>
      </c>
      <c r="I94" s="2"/>
    </row>
    <row r="95">
      <c r="A95" s="1"/>
      <c r="B95" s="15" t="s">
        <v>44</v>
      </c>
      <c r="C95" s="4">
        <f>C78</f>
        <v>1.2573163997791275</v>
      </c>
      <c r="D95" s="4">
        <f>D78</f>
        <v>1.3320202588632526</v>
      </c>
      <c r="E95" s="4">
        <f>E78</f>
        <v>4.652846876727474</v>
      </c>
      <c r="F95" s="4">
        <f>F78</f>
        <v>1.3681506849315068</v>
      </c>
      <c r="G95" s="4">
        <f>G78</f>
        <v>1.5416906267970099</v>
      </c>
      <c r="H95" s="29">
        <f>H78</f>
        <v>1.594577502406984</v>
      </c>
      <c r="I95" s="4"/>
    </row>
    <row r="96">
      <c r="A96" s="1"/>
      <c r="B96" s="15" t="s">
        <v>315</v>
      </c>
      <c r="C96" s="4">
        <f>C85/C76</f>
        <v>0.07012700165654334</v>
      </c>
      <c r="D96" s="4">
        <f>D85/D76</f>
        <v>0.0714687675858188</v>
      </c>
      <c r="E96" s="4">
        <f>E85/E76</f>
        <v>0.2830292979546711</v>
      </c>
      <c r="F96" s="4">
        <f>F85/F76</f>
        <v>0.07534246575342465</v>
      </c>
      <c r="G96" s="4">
        <f>G85/G76</f>
        <v>0.0816561242093157</v>
      </c>
      <c r="H96" s="29">
        <f>H85/H76</f>
        <v>0.08204959853532635</v>
      </c>
      <c r="I96" s="4"/>
    </row>
    <row r="97">
      <c r="A97" s="1"/>
      <c r="B97" s="15" t="s">
        <v>316</v>
      </c>
      <c r="C97" s="4">
        <f>(C86+C87)/C76</f>
        <v>0</v>
      </c>
      <c r="D97" s="4">
        <f>(D86+D87)/D76</f>
        <v>0</v>
      </c>
      <c r="E97" s="4">
        <f>(E86+E87)/E76</f>
        <v>0</v>
      </c>
      <c r="F97" s="4">
        <f>(F86+F87)/F76</f>
        <v>0.006278538812785388</v>
      </c>
      <c r="G97" s="4">
        <f>(G86+G87)/G76</f>
        <v>0.016101207590569294</v>
      </c>
      <c r="H97" s="29">
        <f>(H86+H87)/H76</f>
        <v>0.008667211112886587</v>
      </c>
      <c r="I97" s="4"/>
    </row>
    <row r="98">
      <c r="A98" s="1"/>
      <c r="B98" s="15" t="s">
        <v>317</v>
      </c>
      <c r="C98" s="4">
        <f>C88/C76</f>
        <v>-0.01601325234676974</v>
      </c>
      <c r="D98" s="4">
        <f>D88/D76</f>
        <v>-0.016882386043894203</v>
      </c>
      <c r="E98" s="4">
        <f>E88/E76</f>
        <v>-0.06744057490326147</v>
      </c>
      <c r="F98" s="4">
        <f>F88/F76</f>
        <v>-0.019406392694063926</v>
      </c>
      <c r="G98" s="4">
        <f>G88/G76</f>
        <v>-0.023001725129384705</v>
      </c>
      <c r="H98" s="29">
        <f>H88/H76</f>
        <v>-0.02131845026733004</v>
      </c>
      <c r="I98" s="4"/>
    </row>
    <row r="99">
      <c r="A99" s="1"/>
      <c r="B99" s="53" t="s">
        <v>318</v>
      </c>
      <c r="C99" s="50">
        <f>C92/C76</f>
        <v>1.311430149088901</v>
      </c>
      <c r="D99" s="50">
        <f>D92/D76</f>
        <v>1.3866066404051773</v>
      </c>
      <c r="E99" s="50">
        <f>E92/E76</f>
        <v>4.868435599778883</v>
      </c>
      <c r="F99" s="50">
        <f>F92/F76</f>
        <v>1.4303652968036529</v>
      </c>
      <c r="G99" s="50">
        <f>G92/G76</f>
        <v>1.61644623346751</v>
      </c>
      <c r="H99" s="83">
        <f>H92/H76</f>
        <v>1.6639758617878668</v>
      </c>
      <c r="I99" s="19"/>
    </row>
    <row r="100">
      <c r="A100" s="1"/>
      <c r="B100" s="34" t="s">
        <v>61</v>
      </c>
      <c r="C100" s="2"/>
      <c r="D100" s="2"/>
      <c r="E100" s="2"/>
      <c r="F100" s="2"/>
      <c r="G100" s="2"/>
      <c r="H100" s="20">
        <f>IF(OR(H99="",C99=""),"",IF(C99=0,"n/m",H99/C99-1))</f>
        <v>0.2688253834517167</v>
      </c>
      <c r="I100" s="2"/>
    </row>
    <row r="101">
      <c r="A101" s="1"/>
      <c r="B101" s="34" t="s">
        <v>62</v>
      </c>
      <c r="C101" s="2"/>
      <c r="D101" s="2">
        <f>IF(OR(D99="",C99=""),"",IF(C99=0,"n/m",D99/C99-1))</f>
        <v>0.05732405295737952</v>
      </c>
      <c r="E101" s="2"/>
      <c r="F101" s="2">
        <f>IF(OR(F99="",D99=""),"",IF(D99=0,"n/m",F99/D99-1))</f>
        <v>0.03155808945620575</v>
      </c>
      <c r="G101" s="2">
        <f>IF(OR(G99="",F99=""),"",IF(F99=0,"n/m",G99/F99-1))</f>
        <v>0.1300932965024253</v>
      </c>
      <c r="H101" s="20">
        <f>IF(OR(H99="",G99=""),"",IF(G99=0,"n/m",H99/G99-1))</f>
        <v>0.029403779313091682</v>
      </c>
      <c r="I101" s="2"/>
    </row>
    <row r="102">
      <c r="A102" s="1"/>
      <c r="B102" s="34" t="s">
        <v>319</v>
      </c>
      <c r="C102" s="81">
        <f>ROUND(C99,2)-Inputs!C192</f>
        <v>0</v>
      </c>
      <c r="D102" s="81">
        <f>ROUND(D99,2)-Inputs!D192</f>
        <v>0</v>
      </c>
      <c r="E102" s="81">
        <f>ROUND(E99,2)-Inputs!E192</f>
        <v>0</v>
      </c>
      <c r="F102" s="81">
        <f>ROUND(F99,2)-Inputs!F192</f>
        <v>0</v>
      </c>
      <c r="G102" s="81">
        <f>ROUND(G99,2)-Inputs!G192</f>
        <v>0</v>
      </c>
      <c r="H102" s="80"/>
      <c r="I102" s="82"/>
    </row>
    <row r="103">
      <c r="A103" s="1"/>
      <c r="B103" s="34" t="s">
        <v>320</v>
      </c>
      <c r="C103" s="81">
        <f>Inputs!E102-ROUND(C99,2)</f>
        <v>0</v>
      </c>
      <c r="D103" s="81">
        <f>Inputs!E103-ROUND(D99,2)</f>
        <v>0</v>
      </c>
      <c r="E103" s="82"/>
      <c r="F103" s="81">
        <f>Inputs!E104-ROUND(F99,2)</f>
        <v>0</v>
      </c>
      <c r="G103" s="81">
        <f>Inputs!E105-ROUND(G99,2)</f>
        <v>0</v>
      </c>
      <c r="H103" s="80"/>
      <c r="I103" s="82"/>
    </row>
    <row r="104">
      <c r="A104" s="1"/>
      <c r="B104" s="34" t="s">
        <v>321</v>
      </c>
      <c r="C104" s="75"/>
      <c r="D104" s="75"/>
      <c r="E104" s="75"/>
      <c r="F104" s="75"/>
      <c r="G104" s="75"/>
      <c r="H104" s="76">
        <f>ROUND(H78*H76-H70,6)</f>
        <v>0</v>
      </c>
      <c r="I104" s="115" t="s">
        <v>322</v>
      </c>
    </row>
    <row r="105">
      <c r="A105" s="1"/>
      <c r="B105" s="42"/>
      <c r="C105" s="8"/>
      <c r="D105" s="8"/>
      <c r="E105" s="8"/>
      <c r="F105" s="8"/>
      <c r="G105" s="8"/>
      <c r="H105" s="5"/>
      <c r="I105" s="8"/>
    </row>
    <row r="106">
      <c r="A106" s="1"/>
      <c r="B106" s="51" t="s">
        <v>323</v>
      </c>
      <c r="C106" s="7"/>
      <c r="D106" s="7"/>
      <c r="E106" s="7"/>
      <c r="F106" s="7"/>
      <c r="G106" s="7"/>
      <c r="H106" s="12"/>
      <c r="I106" s="7"/>
    </row>
    <row r="107">
      <c r="A107" s="1"/>
      <c r="B107" s="15" t="s">
        <v>324</v>
      </c>
      <c r="C107" s="17">
        <f>C50-C85-C86-C87</f>
        <v>2987</v>
      </c>
      <c r="D107" s="17">
        <f>D50-D85-D86-D87</f>
        <v>3029</v>
      </c>
      <c r="E107" s="17">
        <f>E50-E85-E86-E87</f>
        <v>11950</v>
      </c>
      <c r="F107" s="17">
        <f>F50-F85-F86-F87</f>
        <v>3151</v>
      </c>
      <c r="G107" s="17">
        <f>G50-G85-G86-G87</f>
        <v>3233</v>
      </c>
      <c r="H107" s="32">
        <f>H50-H85-H86-H87</f>
        <v>3300</v>
      </c>
      <c r="I107" s="17"/>
    </row>
    <row r="108">
      <c r="A108" s="1"/>
      <c r="B108" s="34" t="s">
        <v>61</v>
      </c>
      <c r="C108" s="2"/>
      <c r="D108" s="2"/>
      <c r="E108" s="2"/>
      <c r="F108" s="2"/>
      <c r="G108" s="2"/>
      <c r="H108" s="20">
        <f>IF(OR(H107="",C107=""),"",IF(C107=0,"n/m",H107/C107-1))</f>
        <v>0.10478741211918319</v>
      </c>
      <c r="I108" s="2"/>
    </row>
    <row r="109">
      <c r="A109" s="1"/>
      <c r="B109" s="34" t="s">
        <v>62</v>
      </c>
      <c r="C109" s="2"/>
      <c r="D109" s="2">
        <f>IF(OR(D107="",C107=""),"",IF(C107=0,"n/m",D107/C107-1))</f>
        <v>0.014060930699698604</v>
      </c>
      <c r="E109" s="2"/>
      <c r="F109" s="2">
        <f>IF(OR(F107="",D107=""),"",IF(D107=0,"n/m",F107/D107-1))</f>
        <v>0.04027731924727629</v>
      </c>
      <c r="G109" s="2">
        <f>IF(OR(G107="",F107=""),"",IF(F107=0,"n/m",G107/F107-1))</f>
        <v>0.02602348460806092</v>
      </c>
      <c r="H109" s="20">
        <f>IF(OR(H107="",G107=""),"",IF(G107=0,"n/m",H107/G107-1))</f>
        <v>0.020723785957315277</v>
      </c>
      <c r="I109" s="2"/>
    </row>
    <row r="110">
      <c r="A110" s="1"/>
      <c r="B110" s="53" t="s">
        <v>325</v>
      </c>
      <c r="C110" s="27">
        <f>C27-C107</f>
        <v>3148</v>
      </c>
      <c r="D110" s="27">
        <f>D27-D107</f>
        <v>3307</v>
      </c>
      <c r="E110" s="27">
        <f>E27-E107</f>
        <v>11971</v>
      </c>
      <c r="F110" s="27">
        <f>F27-F107</f>
        <v>3331</v>
      </c>
      <c r="G110" s="27">
        <f>G27-G107</f>
        <v>3839</v>
      </c>
      <c r="H110" s="40">
        <f>H27-H107</f>
        <v>3850.479004731006</v>
      </c>
      <c r="I110" s="55"/>
    </row>
    <row r="111">
      <c r="A111" s="1"/>
      <c r="B111" s="34" t="s">
        <v>61</v>
      </c>
      <c r="C111" s="2"/>
      <c r="D111" s="2"/>
      <c r="E111" s="2"/>
      <c r="F111" s="2"/>
      <c r="G111" s="2"/>
      <c r="H111" s="20">
        <f>IF(OR(H110="",C110=""),"",IF(C110=0,"n/m",H110/C110-1))</f>
        <v>0.22315089095648233</v>
      </c>
      <c r="I111" s="2"/>
    </row>
    <row r="112">
      <c r="A112" s="1"/>
      <c r="B112" s="34" t="s">
        <v>62</v>
      </c>
      <c r="C112" s="2"/>
      <c r="D112" s="2">
        <f>IF(OR(D110="",C110=""),"",IF(C110=0,"n/m",D110/C110-1))</f>
        <v>0.05050825921219815</v>
      </c>
      <c r="E112" s="2"/>
      <c r="F112" s="2">
        <f>IF(OR(F110="",D110=""),"",IF(D110=0,"n/m",F110/D110-1))</f>
        <v>0.007257332930148186</v>
      </c>
      <c r="G112" s="2">
        <f>IF(OR(G110="",F110=""),"",IF(F110=0,"n/m",G110/F110-1))</f>
        <v>0.15250675472830988</v>
      </c>
      <c r="H112" s="20">
        <f>IF(OR(H110="",G110=""),"",IF(G110=0,"n/m",H110/G110-1))</f>
        <v>0.002990102821309293</v>
      </c>
      <c r="I112" s="2"/>
    </row>
    <row r="113">
      <c r="A113" s="1"/>
      <c r="B113" s="34" t="s">
        <v>326</v>
      </c>
      <c r="C113" s="2">
        <f>C110/C27</f>
        <v>0.5131214343928281</v>
      </c>
      <c r="D113" s="2">
        <f>D110/D27</f>
        <v>0.5219381313131313</v>
      </c>
      <c r="E113" s="2">
        <f>E110/E27</f>
        <v>0.5004389448601647</v>
      </c>
      <c r="F113" s="2">
        <f>F110/F27</f>
        <v>0.5138846035174329</v>
      </c>
      <c r="G113" s="2">
        <f>G110/G27</f>
        <v>0.5428450226244343</v>
      </c>
      <c r="H113" s="20">
        <f>H110/H27</f>
        <v>0.5384924565449944</v>
      </c>
      <c r="I113" s="2"/>
    </row>
    <row r="114">
      <c r="A114" s="1"/>
      <c r="B114" s="34" t="s">
        <v>135</v>
      </c>
      <c r="C114" s="75"/>
      <c r="D114" s="75">
        <f>IF(OR(D113="",C113=""),"",(D113-C113)*10000)</f>
        <v>88.1669692030318</v>
      </c>
      <c r="E114" s="75"/>
      <c r="F114" s="75">
        <f>IF(OR(F113="",D113=""),"",(F113-D113)*10000)</f>
        <v>-80.53527795698345</v>
      </c>
      <c r="G114" s="75">
        <f>IF(OR(G113="",F113=""),"",(G113-F113)*10000)</f>
        <v>289.6041910700142</v>
      </c>
      <c r="H114" s="76">
        <f>IF(OR(H113="",G113=""),"",(H113-G113)*10000)</f>
        <v>-43.525660794399016</v>
      </c>
      <c r="I114" s="75"/>
    </row>
    <row r="115">
      <c r="A115" s="1"/>
      <c r="B115" s="34" t="s">
        <v>87</v>
      </c>
      <c r="C115" s="75"/>
      <c r="D115" s="75"/>
      <c r="E115" s="75"/>
      <c r="F115" s="75"/>
      <c r="G115" s="75"/>
      <c r="H115" s="76">
        <f>IF(OR(H113="",C113=""),"",(H113-C113)*10000)</f>
        <v>253.71022152166356</v>
      </c>
      <c r="I115" s="75"/>
    </row>
    <row r="116">
      <c r="A116" s="1"/>
      <c r="B116" s="15" t="s">
        <v>327</v>
      </c>
      <c r="C116" s="17">
        <f>C27-C12</f>
        <v>3085</v>
      </c>
      <c r="D116" s="17">
        <f>D27-D12</f>
        <v>3164</v>
      </c>
      <c r="E116" s="17">
        <f>E27-E12</f>
        <v>12171</v>
      </c>
      <c r="F116" s="17">
        <f>F27-F12</f>
        <v>3338</v>
      </c>
      <c r="G116" s="17">
        <f>G27-G12</f>
        <v>3715</v>
      </c>
      <c r="H116" s="32">
        <f>H27-H12</f>
        <v>3664.915137845338</v>
      </c>
      <c r="I116" s="17"/>
    </row>
    <row r="117">
      <c r="A117" s="1"/>
      <c r="B117" s="34" t="s">
        <v>61</v>
      </c>
      <c r="C117" s="2"/>
      <c r="D117" s="2"/>
      <c r="E117" s="2"/>
      <c r="F117" s="2"/>
      <c r="G117" s="2"/>
      <c r="H117" s="20">
        <f>IF(OR(H116="",C116=""),"",IF(C116=0,"n/m",H116/C116-1))</f>
        <v>0.18797897499038507</v>
      </c>
      <c r="I117" s="2"/>
    </row>
    <row r="118">
      <c r="A118" s="1"/>
      <c r="B118" s="34" t="s">
        <v>62</v>
      </c>
      <c r="C118" s="2"/>
      <c r="D118" s="2">
        <f>IF(OR(D116="",C116=""),"",IF(C116=0,"n/m",D116/C116-1))</f>
        <v>0.02560777957860605</v>
      </c>
      <c r="E118" s="2"/>
      <c r="F118" s="2">
        <f>IF(OR(F116="",D116=""),"",IF(D116=0,"n/m",F116/D116-1))</f>
        <v>0.0549936788874843</v>
      </c>
      <c r="G118" s="2">
        <f>IF(OR(G116="",F116=""),"",IF(F116=0,"n/m",G116/F116-1))</f>
        <v>0.1129418813660874</v>
      </c>
      <c r="H118" s="20">
        <f>IF(OR(H116="",G116=""),"",IF(G116=0,"n/m",H116/G116-1))</f>
        <v>-0.013481793312156709</v>
      </c>
      <c r="I118" s="2"/>
    </row>
    <row r="119">
      <c r="A119" s="1"/>
      <c r="B119" s="15" t="s">
        <v>328</v>
      </c>
      <c r="C119" s="17">
        <f>C92+C69</f>
        <v>2456</v>
      </c>
      <c r="D119" s="17">
        <f>D92+D69</f>
        <v>2556</v>
      </c>
      <c r="E119" s="17">
        <f>E92+E69</f>
        <v>9242</v>
      </c>
      <c r="F119" s="17">
        <f>F92+F69</f>
        <v>2588</v>
      </c>
      <c r="G119" s="17">
        <f>G92+G69</f>
        <v>2930</v>
      </c>
      <c r="H119" s="32">
        <f>H92+H69</f>
        <v>2967.777312647606</v>
      </c>
      <c r="I119" s="17"/>
    </row>
    <row r="120">
      <c r="A120" s="1"/>
      <c r="B120" s="54" t="s">
        <v>329</v>
      </c>
      <c r="C120" s="14"/>
      <c r="D120" s="14"/>
      <c r="E120" s="14"/>
      <c r="F120" s="14"/>
      <c r="G120" s="14"/>
      <c r="H120" s="37"/>
      <c r="I120" s="14"/>
    </row>
    <row r="121">
      <c r="A121" s="1"/>
      <c r="B121" s="34" t="s">
        <v>330</v>
      </c>
      <c r="C121" s="75"/>
      <c r="D121" s="75"/>
      <c r="E121" s="77">
        <f>ROUND(ABS(E10-Inputs!D128)+ABS(E11-Inputs!D129)+ABS(E15-Inputs!D130)+ABS(E18-Inputs!D131)+ABS(E21-Inputs!D132)+ABS(E24-Inputs!D133)+ABS(E32-Inputs!D134)+ABS(E34-Inputs!D135)+ABS(E36-Inputs!D136)+ABS(E38-Inputs!D137)+ABS(E40-Inputs!D138)+ABS(E42-Inputs!D139)+ABS(E44-Inputs!D140)+ABS(E46-Inputs!D141)+ABS(E48-Inputs!D142)+ABS(E59-Inputs!D143)+ABS(E69-Inputs!D144)+ABS(E86-Inputs!D145)+ABS(E88-Inputs!D146),3)</f>
        <v>0</v>
      </c>
      <c r="F121" s="75"/>
      <c r="G121" s="75"/>
      <c r="H121" s="76"/>
      <c r="I121" s="134" t="s">
        <v>331</v>
      </c>
    </row>
    <row r="122">
      <c r="A122" s="1"/>
      <c r="B122" s="34" t="s">
        <v>332</v>
      </c>
      <c r="C122" s="75"/>
      <c r="D122" s="75"/>
      <c r="E122" s="77">
        <f>ABS(ROUND(E27-Inputs!C187,3))+ABS(ROUND(E63-Inputs!C188,3))</f>
        <v>0</v>
      </c>
      <c r="F122" s="75"/>
      <c r="G122" s="75"/>
      <c r="H122" s="76"/>
      <c r="I122" s="75"/>
    </row>
    <row r="123">
      <c r="B123" s="124" t="s">
        <v>333</v>
      </c>
      <c r="C123" s="123">
        <v>0</v>
      </c>
      <c r="D123" s="123" t="s">
        <v>43</v>
      </c>
      <c r="E123" s="123" t="s">
        <v>43</v>
      </c>
      <c r="F123" s="123">
        <v>0</v>
      </c>
      <c r="G123" s="123">
        <v>1</v>
      </c>
      <c r="H123" s="123" t="s">
        <v>43</v>
      </c>
      <c r="I123" s="119" t="s">
        <v>334</v>
      </c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335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336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337</v>
      </c>
      <c r="C10" s="49">
        <v>30572</v>
      </c>
      <c r="D10" s="49">
        <v>46030</v>
      </c>
      <c r="E10" s="17">
        <f>D10</f>
        <v>46030</v>
      </c>
      <c r="F10" s="49">
        <v>44975</v>
      </c>
      <c r="G10" s="49">
        <v>40580</v>
      </c>
      <c r="H10" s="32">
        <f>H42-SUM(H11:H20)</f>
        <v>30352.300949628756</v>
      </c>
      <c r="I10" s="115" t="s">
        <v>338</v>
      </c>
    </row>
    <row r="11">
      <c r="A11" s="1"/>
      <c r="B11" s="15" t="s">
        <v>339</v>
      </c>
      <c r="C11" s="49">
        <v>47754</v>
      </c>
      <c r="D11" s="49">
        <v>42931</v>
      </c>
      <c r="E11" s="17">
        <f>D11</f>
        <v>42931</v>
      </c>
      <c r="F11" s="49">
        <v>39778</v>
      </c>
      <c r="G11" s="49">
        <v>33011</v>
      </c>
      <c r="H11" s="32">
        <f>G11</f>
        <v>33011</v>
      </c>
      <c r="I11" s="136" t="s">
        <v>340</v>
      </c>
    </row>
    <row r="12">
      <c r="A12" s="1"/>
      <c r="B12" s="15" t="s">
        <v>341</v>
      </c>
      <c r="C12" s="49">
        <v>4728</v>
      </c>
      <c r="D12" s="49">
        <v>7190</v>
      </c>
      <c r="E12" s="17">
        <f>D12</f>
        <v>7190</v>
      </c>
      <c r="F12" s="49">
        <v>11808</v>
      </c>
      <c r="G12" s="49">
        <v>22004</v>
      </c>
      <c r="H12" s="32">
        <f>G12</f>
        <v>22004</v>
      </c>
      <c r="I12" s="17"/>
    </row>
    <row r="13">
      <c r="A13" s="1"/>
      <c r="B13" s="15" t="s">
        <v>342</v>
      </c>
      <c r="C13" s="49">
        <v>93788</v>
      </c>
      <c r="D13" s="49">
        <v>104660</v>
      </c>
      <c r="E13" s="17">
        <f>D13</f>
        <v>104660</v>
      </c>
      <c r="F13" s="49">
        <v>106211</v>
      </c>
      <c r="G13" s="49">
        <v>122848</v>
      </c>
      <c r="H13" s="74">
        <v>124000</v>
      </c>
      <c r="I13" s="17"/>
    </row>
    <row r="14">
      <c r="A14" s="1"/>
      <c r="B14" s="15" t="s">
        <v>343</v>
      </c>
      <c r="C14" s="49">
        <v>62308</v>
      </c>
      <c r="D14" s="49">
        <v>62357</v>
      </c>
      <c r="E14" s="17">
        <f>D14</f>
        <v>62357</v>
      </c>
      <c r="F14" s="49">
        <v>61090</v>
      </c>
      <c r="G14" s="49">
        <v>62467</v>
      </c>
      <c r="H14" s="74">
        <v>62800</v>
      </c>
      <c r="I14" s="17"/>
    </row>
    <row r="15">
      <c r="A15" s="1"/>
      <c r="B15" s="15" t="s">
        <v>344</v>
      </c>
      <c r="C15" s="49">
        <v>136693</v>
      </c>
      <c r="D15" s="49">
        <v>133969</v>
      </c>
      <c r="E15" s="17">
        <f>D15</f>
        <v>133969</v>
      </c>
      <c r="F15" s="49">
        <v>131671</v>
      </c>
      <c r="G15" s="49">
        <v>130568</v>
      </c>
      <c r="H15" s="74">
        <v>129300</v>
      </c>
      <c r="I15" s="17"/>
    </row>
    <row r="16">
      <c r="A16" s="1"/>
      <c r="B16" s="15" t="s">
        <v>345</v>
      </c>
      <c r="C16" s="49">
        <v>53570</v>
      </c>
      <c r="D16" s="49">
        <v>57955</v>
      </c>
      <c r="E16" s="17">
        <f>D16</f>
        <v>57955</v>
      </c>
      <c r="F16" s="49">
        <v>60872</v>
      </c>
      <c r="G16" s="49">
        <v>66996</v>
      </c>
      <c r="H16" s="74">
        <v>71000</v>
      </c>
      <c r="I16" s="17"/>
    </row>
    <row r="17">
      <c r="A17" s="1"/>
      <c r="B17" s="15" t="s">
        <v>346</v>
      </c>
      <c r="C17" s="49">
        <v>3136</v>
      </c>
      <c r="D17" s="49">
        <v>3091</v>
      </c>
      <c r="E17" s="17">
        <f>D17</f>
        <v>3091</v>
      </c>
      <c r="F17" s="49">
        <v>3065</v>
      </c>
      <c r="G17" s="49">
        <v>3659</v>
      </c>
      <c r="H17" s="44">
        <f>G17+'Cash Flow Statement'!H67-'Income Statement'!H42</f>
        <v>3594</v>
      </c>
      <c r="I17" s="17"/>
    </row>
    <row r="18">
      <c r="A18" s="1"/>
      <c r="B18" s="15" t="s">
        <v>347</v>
      </c>
      <c r="C18" s="49">
        <v>11951</v>
      </c>
      <c r="D18" s="49">
        <v>11951</v>
      </c>
      <c r="E18" s="17">
        <f>D18</f>
        <v>11951</v>
      </c>
      <c r="F18" s="49">
        <v>12298</v>
      </c>
      <c r="G18" s="49">
        <v>12290</v>
      </c>
      <c r="H18" s="32">
        <f>G18</f>
        <v>12290</v>
      </c>
      <c r="I18" s="17"/>
    </row>
    <row r="19">
      <c r="A19" s="1"/>
      <c r="B19" s="15" t="s">
        <v>348</v>
      </c>
      <c r="C19" s="49">
        <v>7360</v>
      </c>
      <c r="D19" s="49">
        <v>7233</v>
      </c>
      <c r="E19" s="17">
        <f>D19</f>
        <v>7233</v>
      </c>
      <c r="F19" s="49">
        <v>7413</v>
      </c>
      <c r="G19" s="49">
        <v>7283</v>
      </c>
      <c r="H19" s="44">
        <f>G19-'Income Statement'!H44</f>
        <v>7141</v>
      </c>
      <c r="I19" s="17"/>
    </row>
    <row r="20">
      <c r="A20" s="1"/>
      <c r="B20" s="15" t="s">
        <v>349</v>
      </c>
      <c r="C20" s="49">
        <v>13395</v>
      </c>
      <c r="D20" s="49">
        <v>13628</v>
      </c>
      <c r="E20" s="17">
        <f>D20</f>
        <v>13628</v>
      </c>
      <c r="F20" s="49">
        <v>14138</v>
      </c>
      <c r="G20" s="49">
        <v>15560</v>
      </c>
      <c r="H20" s="32">
        <f>G20</f>
        <v>15560</v>
      </c>
      <c r="I20" s="17"/>
    </row>
    <row r="21">
      <c r="A21" s="1"/>
      <c r="B21" s="53" t="s">
        <v>350</v>
      </c>
      <c r="C21" s="27">
        <f>SUM(C10:C20)</f>
        <v>465255</v>
      </c>
      <c r="D21" s="27">
        <f>SUM(D10:D20)</f>
        <v>490995</v>
      </c>
      <c r="E21" s="27">
        <f>SUM(E10:E20)</f>
        <v>490995</v>
      </c>
      <c r="F21" s="27">
        <f>SUM(F10:F20)</f>
        <v>493319</v>
      </c>
      <c r="G21" s="27">
        <f>SUM(G10:G20)</f>
        <v>517266</v>
      </c>
      <c r="H21" s="40">
        <f>SUM(H10:H20)</f>
        <v>511052.30094962876</v>
      </c>
      <c r="I21" s="55"/>
    </row>
    <row r="22">
      <c r="A22" s="1"/>
      <c r="B22" s="34" t="s">
        <v>62</v>
      </c>
      <c r="C22" s="2"/>
      <c r="D22" s="2">
        <f>IF(OR(D21="",C21=""),"",IF(C21=0,"n/m",D21/C21-1))</f>
        <v>0.05532449946803375</v>
      </c>
      <c r="E22" s="2"/>
      <c r="F22" s="2">
        <f>IF(OR(F21="",D21=""),"",IF(D21=0,"n/m",F21/D21-1))</f>
        <v>0.004733245756066706</v>
      </c>
      <c r="G22" s="2">
        <f>IF(OR(G21="",F21=""),"",IF(F21=0,"n/m",G21/F21-1))</f>
        <v>0.0485426265763127</v>
      </c>
      <c r="H22" s="20">
        <f>IF(OR(H21="",G21=""),"",IF(G21=0,"n/m",H21/G21-1))</f>
        <v>-0.012012579698590709</v>
      </c>
      <c r="I22" s="2"/>
    </row>
    <row r="23">
      <c r="A23" s="1"/>
      <c r="B23" s="42"/>
      <c r="C23" s="8"/>
      <c r="D23" s="8"/>
      <c r="E23" s="8"/>
      <c r="F23" s="8"/>
      <c r="G23" s="8"/>
      <c r="H23" s="5"/>
      <c r="I23" s="8"/>
    </row>
    <row r="24">
      <c r="A24" s="1"/>
      <c r="B24" s="51" t="s">
        <v>351</v>
      </c>
      <c r="C24" s="7"/>
      <c r="D24" s="7"/>
      <c r="E24" s="7"/>
      <c r="F24" s="7"/>
      <c r="G24" s="7"/>
      <c r="H24" s="12"/>
      <c r="I24" s="7"/>
    </row>
    <row r="25">
      <c r="A25" s="1"/>
      <c r="B25" s="15" t="s">
        <v>352</v>
      </c>
      <c r="C25" s="49">
        <v>239057</v>
      </c>
      <c r="D25" s="49">
        <v>255747</v>
      </c>
      <c r="E25" s="17">
        <f>D25</f>
        <v>255747</v>
      </c>
      <c r="F25" s="49">
        <v>253041</v>
      </c>
      <c r="G25" s="49">
        <v>249682</v>
      </c>
      <c r="H25" s="44">
        <f>2*'Revenue summary'!H152-G25</f>
        <v>242318</v>
      </c>
      <c r="I25" s="17"/>
    </row>
    <row r="26">
      <c r="A26" s="1"/>
      <c r="B26" s="15" t="s">
        <v>353</v>
      </c>
      <c r="C26" s="49">
        <v>22407</v>
      </c>
      <c r="D26" s="49">
        <v>25689</v>
      </c>
      <c r="E26" s="17">
        <f>D26</f>
        <v>25689</v>
      </c>
      <c r="F26" s="49">
        <v>28107</v>
      </c>
      <c r="G26" s="49">
        <v>43826</v>
      </c>
      <c r="H26" s="74">
        <v>42000</v>
      </c>
      <c r="I26" s="17"/>
    </row>
    <row r="27">
      <c r="A27" s="1"/>
      <c r="B27" s="15" t="s">
        <v>354</v>
      </c>
      <c r="C27" s="49">
        <v>115397</v>
      </c>
      <c r="D27" s="49">
        <v>116341</v>
      </c>
      <c r="E27" s="17">
        <f>D27</f>
        <v>116341</v>
      </c>
      <c r="F27" s="49">
        <v>117986</v>
      </c>
      <c r="G27" s="49">
        <v>123968</v>
      </c>
      <c r="H27" s="74">
        <v>124000</v>
      </c>
      <c r="I27" s="17"/>
    </row>
    <row r="28">
      <c r="A28" s="1"/>
      <c r="B28" s="15" t="s">
        <v>355</v>
      </c>
      <c r="C28" s="49">
        <v>11420</v>
      </c>
      <c r="D28" s="49">
        <v>12831</v>
      </c>
      <c r="E28" s="17">
        <f>D28</f>
        <v>12831</v>
      </c>
      <c r="F28" s="49">
        <v>11979</v>
      </c>
      <c r="G28" s="49">
        <v>12529</v>
      </c>
      <c r="H28" s="32">
        <f>G28</f>
        <v>12529</v>
      </c>
      <c r="I28" s="17"/>
    </row>
    <row r="29">
      <c r="A29" s="1"/>
      <c r="B29" s="15" t="s">
        <v>356</v>
      </c>
      <c r="C29" s="49">
        <v>6541</v>
      </c>
      <c r="D29" s="49">
        <v>6913</v>
      </c>
      <c r="E29" s="17">
        <f>D29</f>
        <v>6913</v>
      </c>
      <c r="F29" s="49">
        <v>12486</v>
      </c>
      <c r="G29" s="49">
        <v>13945</v>
      </c>
      <c r="H29" s="74">
        <v>13000</v>
      </c>
      <c r="I29" s="17"/>
    </row>
    <row r="30">
      <c r="A30" s="1"/>
      <c r="B30" s="15" t="s">
        <v>357</v>
      </c>
      <c r="C30" s="49">
        <v>850</v>
      </c>
      <c r="D30" s="49">
        <v>1850</v>
      </c>
      <c r="E30" s="17">
        <f>D30</f>
        <v>1850</v>
      </c>
      <c r="F30" s="49">
        <v>0</v>
      </c>
      <c r="G30" s="49">
        <v>500</v>
      </c>
      <c r="H30" s="74">
        <v>0</v>
      </c>
      <c r="I30" s="17"/>
    </row>
    <row r="31">
      <c r="A31" s="1"/>
      <c r="B31" s="15" t="s">
        <v>358</v>
      </c>
      <c r="C31" s="49">
        <v>20199</v>
      </c>
      <c r="D31" s="49">
        <v>22199</v>
      </c>
      <c r="E31" s="17">
        <f>D31</f>
        <v>22199</v>
      </c>
      <c r="F31" s="49">
        <v>20486</v>
      </c>
      <c r="G31" s="49">
        <v>22669</v>
      </c>
      <c r="H31" s="44">
        <f>G31+'Cash Flow Statement'!H68</f>
        <v>25251</v>
      </c>
      <c r="I31" s="17"/>
    </row>
    <row r="32">
      <c r="A32" s="1"/>
      <c r="B32" s="53" t="s">
        <v>359</v>
      </c>
      <c r="C32" s="27">
        <f>SUM(C25:C31)</f>
        <v>415871</v>
      </c>
      <c r="D32" s="27">
        <f>SUM(D25:D31)</f>
        <v>441570</v>
      </c>
      <c r="E32" s="27">
        <f>SUM(E25:E31)</f>
        <v>441570</v>
      </c>
      <c r="F32" s="27">
        <f>SUM(F25:F31)</f>
        <v>444085</v>
      </c>
      <c r="G32" s="27">
        <f>SUM(G25:G31)</f>
        <v>467119</v>
      </c>
      <c r="H32" s="40">
        <f>SUM(H25:H31)</f>
        <v>459098</v>
      </c>
      <c r="I32" s="55"/>
    </row>
    <row r="33">
      <c r="A33" s="1"/>
      <c r="B33" s="42"/>
      <c r="C33" s="8"/>
      <c r="D33" s="8"/>
      <c r="E33" s="8"/>
      <c r="F33" s="8"/>
      <c r="G33" s="8"/>
      <c r="H33" s="5"/>
      <c r="I33" s="8"/>
    </row>
    <row r="34">
      <c r="A34" s="1"/>
      <c r="B34" s="51" t="s">
        <v>360</v>
      </c>
      <c r="C34" s="7"/>
      <c r="D34" s="7"/>
      <c r="E34" s="7"/>
      <c r="F34" s="7"/>
      <c r="G34" s="7"/>
      <c r="H34" s="12"/>
      <c r="I34" s="7"/>
    </row>
    <row r="35">
      <c r="A35" s="1"/>
      <c r="B35" s="15" t="s">
        <v>361</v>
      </c>
      <c r="C35" s="49">
        <v>6763</v>
      </c>
      <c r="D35" s="49">
        <v>6763</v>
      </c>
      <c r="E35" s="17">
        <f>D35</f>
        <v>6763</v>
      </c>
      <c r="F35" s="49">
        <v>6763</v>
      </c>
      <c r="G35" s="49">
        <v>6213</v>
      </c>
      <c r="H35" s="32">
        <f>G35</f>
        <v>6213</v>
      </c>
      <c r="I35" s="17"/>
    </row>
    <row r="36">
      <c r="A36" s="1"/>
      <c r="B36" s="15" t="s">
        <v>362</v>
      </c>
      <c r="C36" s="49">
        <v>21</v>
      </c>
      <c r="D36" s="49">
        <v>21</v>
      </c>
      <c r="E36" s="17">
        <f>D36</f>
        <v>21</v>
      </c>
      <c r="F36" s="49">
        <v>21</v>
      </c>
      <c r="G36" s="49">
        <v>21</v>
      </c>
      <c r="H36" s="32">
        <f>G36</f>
        <v>21</v>
      </c>
      <c r="I36" s="17"/>
    </row>
    <row r="37">
      <c r="A37" s="1"/>
      <c r="B37" s="15" t="s">
        <v>363</v>
      </c>
      <c r="C37" s="49">
        <v>27910</v>
      </c>
      <c r="D37" s="49">
        <v>27996</v>
      </c>
      <c r="E37" s="17">
        <f>D37</f>
        <v>27996</v>
      </c>
      <c r="F37" s="49">
        <v>28047</v>
      </c>
      <c r="G37" s="49">
        <v>28179</v>
      </c>
      <c r="H37" s="44">
        <f>G37+'Cash Flow Statement'!H11</f>
        <v>28279</v>
      </c>
      <c r="I37" s="17"/>
    </row>
    <row r="38">
      <c r="A38" s="1"/>
      <c r="B38" s="15" t="s">
        <v>364</v>
      </c>
      <c r="C38" s="49">
        <v>42170</v>
      </c>
      <c r="D38" s="49">
        <v>44065</v>
      </c>
      <c r="E38" s="17">
        <f>D38</f>
        <v>44065</v>
      </c>
      <c r="F38" s="49">
        <v>45912</v>
      </c>
      <c r="G38" s="49">
        <v>48044</v>
      </c>
      <c r="H38" s="44">
        <f>G38+'Income Statement'!H63-'Income Statement'!H69-'Share Count'!H43</f>
        <v>50251.30094962874</v>
      </c>
      <c r="I38" s="135" t="s">
        <v>365</v>
      </c>
    </row>
    <row r="39">
      <c r="A39" s="1"/>
      <c r="B39" s="15" t="s">
        <v>366</v>
      </c>
      <c r="C39" s="49">
        <v>-15682</v>
      </c>
      <c r="D39" s="49">
        <v>-18437</v>
      </c>
      <c r="E39" s="17">
        <f>D39</f>
        <v>-18437</v>
      </c>
      <c r="F39" s="49">
        <v>-20752</v>
      </c>
      <c r="G39" s="49">
        <v>-21735</v>
      </c>
      <c r="H39" s="44">
        <f>G39-'Share Count'!H29</f>
        <v>-22235</v>
      </c>
      <c r="I39" s="17"/>
    </row>
    <row r="40">
      <c r="A40" s="1"/>
      <c r="B40" s="15" t="s">
        <v>367</v>
      </c>
      <c r="C40" s="49">
        <v>-11798</v>
      </c>
      <c r="D40" s="49">
        <v>-10983</v>
      </c>
      <c r="E40" s="17">
        <f>D40</f>
        <v>-10983</v>
      </c>
      <c r="F40" s="49">
        <v>-10757</v>
      </c>
      <c r="G40" s="49">
        <v>-10575</v>
      </c>
      <c r="H40" s="32">
        <f>G40</f>
        <v>-10575</v>
      </c>
      <c r="I40" s="17"/>
    </row>
    <row r="41">
      <c r="A41" s="1"/>
      <c r="B41" s="53" t="s">
        <v>368</v>
      </c>
      <c r="C41" s="27">
        <f>SUM(C35:C40)</f>
        <v>49384</v>
      </c>
      <c r="D41" s="27">
        <f>SUM(D35:D40)</f>
        <v>49425</v>
      </c>
      <c r="E41" s="27">
        <f>SUM(E35:E40)</f>
        <v>49425</v>
      </c>
      <c r="F41" s="27">
        <f>SUM(F35:F40)</f>
        <v>49234</v>
      </c>
      <c r="G41" s="27">
        <f>SUM(G35:G40)</f>
        <v>50147</v>
      </c>
      <c r="H41" s="40">
        <f>SUM(H35:H40)</f>
        <v>51954.30094962874</v>
      </c>
      <c r="I41" s="55"/>
    </row>
    <row r="42">
      <c r="A42" s="1"/>
      <c r="B42" s="53" t="s">
        <v>369</v>
      </c>
      <c r="C42" s="27">
        <f>C32+C41</f>
        <v>465255</v>
      </c>
      <c r="D42" s="27">
        <f>D32+D41</f>
        <v>490995</v>
      </c>
      <c r="E42" s="27">
        <f>E32+E41</f>
        <v>490995</v>
      </c>
      <c r="F42" s="27">
        <f>F32+F41</f>
        <v>493319</v>
      </c>
      <c r="G42" s="27">
        <f>G32+G41</f>
        <v>517266</v>
      </c>
      <c r="H42" s="40">
        <f>H32+H41</f>
        <v>511052.30094962876</v>
      </c>
      <c r="I42" s="55"/>
    </row>
    <row r="43">
      <c r="A43" s="1"/>
      <c r="B43" s="34" t="s">
        <v>370</v>
      </c>
      <c r="C43" s="75">
        <f>ROUND(C21-C32-C41,3)</f>
        <v>0</v>
      </c>
      <c r="D43" s="75">
        <f>ROUND(D21-D32-D41,3)</f>
        <v>0</v>
      </c>
      <c r="E43" s="75">
        <f>ROUND(E21-E32-E41,3)</f>
        <v>0</v>
      </c>
      <c r="F43" s="75">
        <f>ROUND(F21-F32-F41,3)</f>
        <v>0</v>
      </c>
      <c r="G43" s="75">
        <f>ROUND(G21-G32-G41,3)</f>
        <v>0</v>
      </c>
      <c r="H43" s="76">
        <f>ROUND(H21-H32-H41,3)</f>
        <v>0</v>
      </c>
      <c r="I43" s="134" t="s">
        <v>371</v>
      </c>
    </row>
    <row r="44">
      <c r="A44" s="1"/>
      <c r="B44" s="42"/>
      <c r="C44" s="8"/>
      <c r="D44" s="8"/>
      <c r="E44" s="8"/>
      <c r="F44" s="8"/>
      <c r="G44" s="8"/>
      <c r="H44" s="5"/>
      <c r="I44" s="8"/>
    </row>
    <row r="45">
      <c r="A45" s="1"/>
      <c r="B45" s="51" t="s">
        <v>372</v>
      </c>
      <c r="C45" s="7"/>
      <c r="D45" s="7"/>
      <c r="E45" s="7"/>
      <c r="F45" s="7"/>
      <c r="G45" s="7"/>
      <c r="H45" s="12"/>
      <c r="I45" s="7"/>
    </row>
    <row r="46">
      <c r="A46" s="1"/>
      <c r="B46" s="15" t="s">
        <v>373</v>
      </c>
      <c r="C46" s="49">
        <v>24293</v>
      </c>
      <c r="D46" s="49">
        <v>23631</v>
      </c>
      <c r="E46" s="17">
        <f>D46</f>
        <v>23631</v>
      </c>
      <c r="F46" s="49">
        <v>28305</v>
      </c>
      <c r="G46" s="49">
        <v>28622</v>
      </c>
      <c r="H46" s="32">
        <f>G46</f>
        <v>28622</v>
      </c>
      <c r="I46" s="17"/>
    </row>
    <row r="47">
      <c r="A47" s="1"/>
      <c r="B47" s="53" t="s">
        <v>374</v>
      </c>
      <c r="C47" s="27">
        <f>C10+C46</f>
        <v>54865</v>
      </c>
      <c r="D47" s="27">
        <f>D10+D46</f>
        <v>69661</v>
      </c>
      <c r="E47" s="27">
        <f>E10+E46</f>
        <v>69661</v>
      </c>
      <c r="F47" s="27">
        <f>F10+F46</f>
        <v>73280</v>
      </c>
      <c r="G47" s="27">
        <f>G10+G46</f>
        <v>69202</v>
      </c>
      <c r="H47" s="40">
        <f>H10+H46</f>
        <v>58974.300949628756</v>
      </c>
      <c r="I47" s="55"/>
    </row>
    <row r="48">
      <c r="A48" s="1"/>
      <c r="B48" s="15" t="s">
        <v>375</v>
      </c>
      <c r="C48" s="23">
        <f>(C41-C35)/'Share Count'!C12</f>
        <v>23.85469907516237</v>
      </c>
      <c r="D48" s="23">
        <f>(D41-D35)/'Share Count'!D12</f>
        <v>24.262863805041732</v>
      </c>
      <c r="E48" s="23">
        <f>(E41-E35)/'Share Count'!E12</f>
        <v>24.262863805041732</v>
      </c>
      <c r="F48" s="23">
        <f>(F41-F35)/'Share Count'!F12</f>
        <v>24.435007689338086</v>
      </c>
      <c r="G48" s="23">
        <f>(G41-G35)/'Share Count'!G12</f>
        <v>25.423017743569744</v>
      </c>
      <c r="H48" s="62">
        <f>(H41-H35)/'Share Count'!H12</f>
        <v>26.52896844400028</v>
      </c>
      <c r="I48" s="4"/>
    </row>
    <row r="49">
      <c r="A49" s="1"/>
      <c r="B49" s="34" t="s">
        <v>376</v>
      </c>
      <c r="C49" s="2">
        <f>C16/C25</f>
        <v>0.22408881563811142</v>
      </c>
      <c r="D49" s="2">
        <f>D16/D25</f>
        <v>0.22661067382999606</v>
      </c>
      <c r="E49" s="2">
        <f>E16/E25</f>
        <v>0.22661067382999606</v>
      </c>
      <c r="F49" s="2">
        <f>F16/F25</f>
        <v>0.24056180618951079</v>
      </c>
      <c r="G49" s="2">
        <f>G16/G25</f>
        <v>0.26832530979405805</v>
      </c>
      <c r="H49" s="20">
        <f>H16/H25</f>
        <v>0.29300340874388203</v>
      </c>
      <c r="I49" s="2"/>
    </row>
    <row r="50">
      <c r="A50" s="1"/>
      <c r="B50" s="34" t="s">
        <v>135</v>
      </c>
      <c r="C50" s="75"/>
      <c r="D50" s="75">
        <f>IF(OR(D49="",C49=""),"",(D49-C49)*10000)</f>
        <v>25.21858191884635</v>
      </c>
      <c r="E50" s="75"/>
      <c r="F50" s="75">
        <f>IF(OR(F49="",D49=""),"",(F49-D49)*10000)</f>
        <v>139.51132359514727</v>
      </c>
      <c r="G50" s="75">
        <f>IF(OR(G49="",F49=""),"",(G49-F49)*10000)</f>
        <v>277.6350360454727</v>
      </c>
      <c r="H50" s="76">
        <f>IF(OR(H49="",G49=""),"",(H49-G49)*10000)</f>
        <v>246.7809894982398</v>
      </c>
      <c r="I50" s="75"/>
    </row>
    <row r="51">
      <c r="A51" s="1"/>
      <c r="B51" s="34" t="s">
        <v>87</v>
      </c>
      <c r="C51" s="75"/>
      <c r="D51" s="75"/>
      <c r="E51" s="75"/>
      <c r="F51" s="75"/>
      <c r="G51" s="75"/>
      <c r="H51" s="76">
        <f>IF(OR(H49="",C49=""),"",(H49-C49)*10000)</f>
        <v>689.1459310577061</v>
      </c>
      <c r="I51" s="75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6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377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378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295</v>
      </c>
      <c r="C10" s="11">
        <f>'Income Statement'!C63</f>
        <v>2358</v>
      </c>
      <c r="D10" s="11">
        <f>'Income Statement'!D63</f>
        <v>2459</v>
      </c>
      <c r="E10" s="11">
        <f>'Income Statement'!E63</f>
        <v>8852</v>
      </c>
      <c r="F10" s="11">
        <f>'Income Statement'!F63</f>
        <v>2479</v>
      </c>
      <c r="G10" s="11">
        <f>'Income Statement'!G63</f>
        <v>2800</v>
      </c>
      <c r="H10" s="44">
        <f>'Income Statement'!H63</f>
        <v>2847.672312647606</v>
      </c>
      <c r="I10" s="17"/>
    </row>
    <row r="11">
      <c r="A11" s="1"/>
      <c r="B11" s="15" t="s">
        <v>379</v>
      </c>
      <c r="C11" s="17">
        <f>C73-C122</f>
        <v>61</v>
      </c>
      <c r="D11" s="17">
        <f>D73-D122</f>
        <v>58</v>
      </c>
      <c r="E11" s="17">
        <f>E73</f>
        <v>317</v>
      </c>
      <c r="F11" s="17">
        <f>F73</f>
        <v>138</v>
      </c>
      <c r="G11" s="17">
        <f>G73-G122</f>
        <v>92</v>
      </c>
      <c r="H11" s="74">
        <v>100</v>
      </c>
      <c r="I11" s="17"/>
    </row>
    <row r="12">
      <c r="A12" s="1"/>
      <c r="B12" s="15" t="s">
        <v>264</v>
      </c>
      <c r="C12" s="11">
        <f>'Income Statement'!C42</f>
        <v>212</v>
      </c>
      <c r="D12" s="11">
        <f>'Income Statement'!D42</f>
        <v>206</v>
      </c>
      <c r="E12" s="11">
        <f>'Income Statement'!E42</f>
        <v>850</v>
      </c>
      <c r="F12" s="11">
        <f>'Income Statement'!F42</f>
        <v>201</v>
      </c>
      <c r="G12" s="11">
        <f>'Income Statement'!G42</f>
        <v>198</v>
      </c>
      <c r="H12" s="44">
        <f>'Income Statement'!H42</f>
        <v>225</v>
      </c>
      <c r="I12" s="17"/>
    </row>
    <row r="13">
      <c r="A13" s="1"/>
      <c r="B13" s="15" t="s">
        <v>266</v>
      </c>
      <c r="C13" s="11">
        <f>'Income Statement'!C44</f>
        <v>127</v>
      </c>
      <c r="D13" s="11">
        <f>'Income Statement'!D44</f>
        <v>127</v>
      </c>
      <c r="E13" s="11">
        <f>'Income Statement'!E44</f>
        <v>512</v>
      </c>
      <c r="F13" s="11">
        <f>'Income Statement'!F44</f>
        <v>132</v>
      </c>
      <c r="G13" s="11">
        <f>'Income Statement'!G44</f>
        <v>142</v>
      </c>
      <c r="H13" s="44">
        <f>'Income Statement'!H44</f>
        <v>142</v>
      </c>
      <c r="I13" s="17"/>
    </row>
    <row r="14">
      <c r="A14" s="1"/>
      <c r="B14" s="15" t="s">
        <v>380</v>
      </c>
      <c r="C14" s="17">
        <f>C76-C125</f>
        <v>437</v>
      </c>
      <c r="D14" s="17">
        <f>D76-D125</f>
        <v>-36</v>
      </c>
      <c r="E14" s="17">
        <f>E76</f>
        <v>361</v>
      </c>
      <c r="F14" s="17">
        <f>F76</f>
        <v>-10</v>
      </c>
      <c r="G14" s="17">
        <f>G76-G125</f>
        <v>-10</v>
      </c>
      <c r="H14" s="74">
        <v>0</v>
      </c>
      <c r="I14" s="115" t="s">
        <v>381</v>
      </c>
    </row>
    <row r="15">
      <c r="A15" s="1"/>
      <c r="B15" s="15" t="s">
        <v>382</v>
      </c>
      <c r="C15" s="17">
        <f>C77-C126</f>
        <v>173</v>
      </c>
      <c r="D15" s="17">
        <f>D77-D126</f>
        <v>171</v>
      </c>
      <c r="E15" s="17">
        <f>E77</f>
        <v>695</v>
      </c>
      <c r="F15" s="17">
        <f>F77</f>
        <v>174</v>
      </c>
      <c r="G15" s="17">
        <f>G77-G126</f>
        <v>147</v>
      </c>
      <c r="H15" s="74">
        <v>0</v>
      </c>
      <c r="I15" s="115" t="s">
        <v>383</v>
      </c>
    </row>
    <row r="16">
      <c r="A16" s="1"/>
      <c r="B16" s="15" t="s">
        <v>384</v>
      </c>
      <c r="C16" s="17">
        <f>C78-C127</f>
        <v>206</v>
      </c>
      <c r="D16" s="17">
        <f>D78-D127</f>
        <v>204</v>
      </c>
      <c r="E16" s="17">
        <f>E78</f>
        <v>729</v>
      </c>
      <c r="F16" s="17">
        <f>F78</f>
        <v>183</v>
      </c>
      <c r="G16" s="17">
        <f>G78-G127</f>
        <v>219</v>
      </c>
      <c r="H16" s="74">
        <v>0</v>
      </c>
      <c r="I16" s="115" t="s">
        <v>381</v>
      </c>
    </row>
    <row r="17">
      <c r="A17" s="1"/>
      <c r="B17" s="15" t="s">
        <v>385</v>
      </c>
      <c r="C17" s="17">
        <f>C79-C128</f>
        <v>-1268</v>
      </c>
      <c r="D17" s="17">
        <f>D79-D128</f>
        <v>4161</v>
      </c>
      <c r="E17" s="17">
        <f>E79</f>
        <v>-4510</v>
      </c>
      <c r="F17" s="17">
        <f>F79</f>
        <v>7827</v>
      </c>
      <c r="G17" s="17">
        <f>G79-G128</f>
        <v>7084</v>
      </c>
      <c r="H17" s="44">
        <f>-(('Balance Sheet'!H11-'Balance Sheet'!G11)-('Balance Sheet'!H46-'Balance Sheet'!G46))</f>
        <v>0</v>
      </c>
      <c r="I17" s="17"/>
    </row>
    <row r="18">
      <c r="A18" s="1"/>
      <c r="B18" s="15" t="s">
        <v>386</v>
      </c>
      <c r="C18" s="17">
        <f>C80-C129</f>
        <v>-433</v>
      </c>
      <c r="D18" s="17">
        <f>D80-D129</f>
        <v>-2462</v>
      </c>
      <c r="E18" s="17">
        <f>E80</f>
        <v>-4750</v>
      </c>
      <c r="F18" s="17">
        <f>F80</f>
        <v>-4618</v>
      </c>
      <c r="G18" s="17">
        <f>G80-G129</f>
        <v>-10196</v>
      </c>
      <c r="H18" s="44">
        <f>-('Balance Sheet'!H12-'Balance Sheet'!G12)</f>
        <v>0</v>
      </c>
      <c r="I18" s="17"/>
    </row>
    <row r="19">
      <c r="A19" s="1"/>
      <c r="B19" s="15" t="s">
        <v>387</v>
      </c>
      <c r="C19" s="17">
        <f>C81-C130</f>
        <v>-11060</v>
      </c>
      <c r="D19" s="17">
        <f>D81-D130</f>
        <v>-10881</v>
      </c>
      <c r="E19" s="17">
        <f>E81</f>
        <v>-19390</v>
      </c>
      <c r="F19" s="17">
        <f>F81</f>
        <v>-1571</v>
      </c>
      <c r="G19" s="17">
        <f>G81-G130</f>
        <v>-16651</v>
      </c>
      <c r="H19" s="44">
        <f>-('Balance Sheet'!H13-'Balance Sheet'!G13)</f>
        <v>-1152</v>
      </c>
      <c r="I19" s="17"/>
    </row>
    <row r="20">
      <c r="A20" s="1"/>
      <c r="B20" s="15" t="s">
        <v>388</v>
      </c>
      <c r="C20" s="17">
        <f>C82-C131</f>
        <v>-373</v>
      </c>
      <c r="D20" s="17">
        <f>D82-D131</f>
        <v>-260</v>
      </c>
      <c r="E20" s="17">
        <f>E82</f>
        <v>-1298</v>
      </c>
      <c r="F20" s="17">
        <f>F82</f>
        <v>-584</v>
      </c>
      <c r="G20" s="17">
        <f>G82-G131</f>
        <v>-1515</v>
      </c>
      <c r="H20" s="44">
        <f>-('Balance Sheet'!H20-'Balance Sheet'!G20)</f>
        <v>0</v>
      </c>
      <c r="I20" s="17"/>
    </row>
    <row r="21">
      <c r="A21" s="1"/>
      <c r="B21" s="15" t="s">
        <v>389</v>
      </c>
      <c r="C21" s="17">
        <f>C83-C132</f>
        <v>3824</v>
      </c>
      <c r="D21" s="17">
        <f>D83-D132</f>
        <v>3282</v>
      </c>
      <c r="E21" s="17">
        <f>E83</f>
        <v>12353</v>
      </c>
      <c r="F21" s="17">
        <f>F83</f>
        <v>2418</v>
      </c>
      <c r="G21" s="17">
        <f>G83-G132</f>
        <v>15719</v>
      </c>
      <c r="H21" s="44">
        <f>('Balance Sheet'!H26-'Balance Sheet'!G26)</f>
        <v>-1826</v>
      </c>
      <c r="I21" s="17"/>
    </row>
    <row r="22">
      <c r="A22" s="1"/>
      <c r="B22" s="15" t="s">
        <v>390</v>
      </c>
      <c r="C22" s="17">
        <f>C84-C133</f>
        <v>6042</v>
      </c>
      <c r="D22" s="17">
        <f>D84-D133</f>
        <v>944</v>
      </c>
      <c r="E22" s="17">
        <f>E84</f>
        <v>14782</v>
      </c>
      <c r="F22" s="17">
        <f>F84</f>
        <v>1645</v>
      </c>
      <c r="G22" s="17">
        <f>G84-G133</f>
        <v>5982</v>
      </c>
      <c r="H22" s="44">
        <f>('Balance Sheet'!H27-'Balance Sheet'!G27)</f>
        <v>32</v>
      </c>
      <c r="I22" s="17"/>
    </row>
    <row r="23">
      <c r="A23" s="1"/>
      <c r="B23" s="15" t="s">
        <v>391</v>
      </c>
      <c r="C23" s="17">
        <f>C85-C134</f>
        <v>232</v>
      </c>
      <c r="D23" s="17">
        <f>D85-D134</f>
        <v>1264</v>
      </c>
      <c r="E23" s="17">
        <f>E85</f>
        <v>-192</v>
      </c>
      <c r="F23" s="17">
        <f>F85</f>
        <v>-1072</v>
      </c>
      <c r="G23" s="17">
        <f>G85-G134</f>
        <v>289</v>
      </c>
      <c r="H23" s="44">
        <f>('Balance Sheet'!H28-'Balance Sheet'!G28)</f>
        <v>0</v>
      </c>
      <c r="I23" s="17"/>
    </row>
    <row r="24">
      <c r="A24" s="1"/>
      <c r="B24" s="53" t="s">
        <v>392</v>
      </c>
      <c r="C24" s="27">
        <f>SUM(C10:C23)</f>
        <v>538</v>
      </c>
      <c r="D24" s="27">
        <f>SUM(D10:D23)</f>
        <v>-763</v>
      </c>
      <c r="E24" s="27">
        <f>SUM(E10:E23)</f>
        <v>9311</v>
      </c>
      <c r="F24" s="27">
        <f>SUM(F10:F23)</f>
        <v>7342</v>
      </c>
      <c r="G24" s="27">
        <f>SUM(G10:G23)</f>
        <v>4300</v>
      </c>
      <c r="H24" s="40">
        <f>SUM(H10:H23)</f>
        <v>368.67231264760585</v>
      </c>
      <c r="I24" s="125" t="s">
        <v>393</v>
      </c>
    </row>
    <row r="25">
      <c r="A25" s="1"/>
      <c r="B25" s="42"/>
      <c r="C25" s="8"/>
      <c r="D25" s="8"/>
      <c r="E25" s="8"/>
      <c r="F25" s="8"/>
      <c r="G25" s="8"/>
      <c r="H25" s="5"/>
      <c r="I25" s="8"/>
    </row>
    <row r="26">
      <c r="A26" s="1"/>
      <c r="B26" s="51" t="s">
        <v>394</v>
      </c>
      <c r="C26" s="7"/>
      <c r="D26" s="7"/>
      <c r="E26" s="7"/>
      <c r="F26" s="7"/>
      <c r="G26" s="7"/>
      <c r="H26" s="12"/>
      <c r="I26" s="7"/>
    </row>
    <row r="27">
      <c r="A27" s="1"/>
      <c r="B27" s="15" t="s">
        <v>395</v>
      </c>
      <c r="C27" s="17">
        <f>C86-C135</f>
        <v>-859</v>
      </c>
      <c r="D27" s="17">
        <f>D86-D135</f>
        <v>-5750</v>
      </c>
      <c r="E27" s="17">
        <f>E86</f>
        <v>-8496</v>
      </c>
      <c r="F27" s="17">
        <f>F86</f>
        <v>-2199</v>
      </c>
      <c r="G27" s="17">
        <f>G86-G135</f>
        <v>-8760</v>
      </c>
      <c r="H27" s="74">
        <v>0</v>
      </c>
      <c r="I27" s="17"/>
    </row>
    <row r="28">
      <c r="A28" s="1"/>
      <c r="B28" s="15" t="s">
        <v>396</v>
      </c>
      <c r="C28" s="17">
        <f>C87-C136</f>
        <v>1206</v>
      </c>
      <c r="D28" s="17">
        <f>D87-D136</f>
        <v>3576</v>
      </c>
      <c r="E28" s="17">
        <f>E87</f>
        <v>8987</v>
      </c>
      <c r="F28" s="17">
        <f>F87</f>
        <v>1541</v>
      </c>
      <c r="G28" s="17">
        <f>G87-G136</f>
        <v>4550</v>
      </c>
      <c r="H28" s="74">
        <v>0</v>
      </c>
      <c r="I28" s="17"/>
    </row>
    <row r="29">
      <c r="A29" s="1"/>
      <c r="B29" s="15" t="s">
        <v>397</v>
      </c>
      <c r="C29" s="17">
        <f>C88-C137</f>
        <v>5512</v>
      </c>
      <c r="D29" s="17">
        <f>D88-D137</f>
        <v>2553</v>
      </c>
      <c r="E29" s="17">
        <f>E88</f>
        <v>22958</v>
      </c>
      <c r="F29" s="17">
        <f>F88</f>
        <v>1838</v>
      </c>
      <c r="G29" s="17">
        <f>G88-G137</f>
        <v>2711</v>
      </c>
      <c r="H29" s="44">
        <f>-('Balance Sheet'!H14-'Balance Sheet'!G14)</f>
        <v>-333</v>
      </c>
      <c r="I29" s="135" t="s">
        <v>398</v>
      </c>
    </row>
    <row r="30">
      <c r="A30" s="1"/>
      <c r="B30" s="15" t="s">
        <v>399</v>
      </c>
      <c r="C30" s="17">
        <f>C89-C138</f>
        <v>-247</v>
      </c>
      <c r="D30" s="17">
        <f>D89-D138</f>
        <v>-407</v>
      </c>
      <c r="E30" s="17">
        <f>E89</f>
        <v>-1083</v>
      </c>
      <c r="F30" s="17">
        <f>F89</f>
        <v>-635</v>
      </c>
      <c r="G30" s="17">
        <f>G89-G138</f>
        <v>-1701</v>
      </c>
      <c r="H30" s="74">
        <v>0</v>
      </c>
      <c r="I30" s="17"/>
    </row>
    <row r="31">
      <c r="A31" s="1"/>
      <c r="B31" s="15" t="s">
        <v>400</v>
      </c>
      <c r="C31" s="17">
        <f>C90-C139</f>
        <v>3660</v>
      </c>
      <c r="D31" s="17">
        <f>D90-D139</f>
        <v>3555</v>
      </c>
      <c r="E31" s="17">
        <f>E90</f>
        <v>15262</v>
      </c>
      <c r="F31" s="17">
        <f>F90</f>
        <v>3319</v>
      </c>
      <c r="G31" s="17">
        <f>G90-G139</f>
        <v>3208</v>
      </c>
      <c r="H31" s="44">
        <f>-('Balance Sheet'!H15-'Balance Sheet'!G15)</f>
        <v>1268</v>
      </c>
      <c r="I31" s="135" t="s">
        <v>401</v>
      </c>
    </row>
    <row r="32">
      <c r="A32" s="1"/>
      <c r="B32" s="15" t="s">
        <v>402</v>
      </c>
      <c r="C32" s="17">
        <f>C91-C140</f>
        <v>-3196</v>
      </c>
      <c r="D32" s="17">
        <f>D91-D140</f>
        <v>-4381</v>
      </c>
      <c r="E32" s="17">
        <f>E91</f>
        <v>-12807</v>
      </c>
      <c r="F32" s="17">
        <f>F91</f>
        <v>-3021</v>
      </c>
      <c r="G32" s="17">
        <f>G91-G140</f>
        <v>-6044</v>
      </c>
      <c r="H32" s="44">
        <f>-('Balance Sheet'!H16-'Balance Sheet'!G16)</f>
        <v>-4004</v>
      </c>
      <c r="I32" s="17"/>
    </row>
    <row r="33">
      <c r="A33" s="1"/>
      <c r="B33" s="15" t="s">
        <v>403</v>
      </c>
      <c r="C33" s="17">
        <f>C92-C141</f>
        <v>0</v>
      </c>
      <c r="D33" s="17">
        <f>D92-D141</f>
        <v>0</v>
      </c>
      <c r="E33" s="17">
        <f>E92</f>
        <v>0</v>
      </c>
      <c r="F33" s="17">
        <f>F92</f>
        <v>-577</v>
      </c>
      <c r="G33" s="17">
        <f>G92-G141</f>
        <v>0</v>
      </c>
      <c r="H33" s="74">
        <v>0</v>
      </c>
      <c r="I33" s="17"/>
    </row>
    <row r="34">
      <c r="A34" s="1"/>
      <c r="B34" s="15" t="s">
        <v>404</v>
      </c>
      <c r="C34" s="17">
        <f>C93-C142</f>
        <v>-145</v>
      </c>
      <c r="D34" s="17">
        <f>D93-D142</f>
        <v>-158</v>
      </c>
      <c r="E34" s="17">
        <f>E93</f>
        <v>-548</v>
      </c>
      <c r="F34" s="17">
        <f>F93</f>
        <v>-140</v>
      </c>
      <c r="G34" s="17">
        <f>G93-G142</f>
        <v>-185</v>
      </c>
      <c r="H34" s="32">
        <f>-H67</f>
        <v>-160</v>
      </c>
      <c r="I34" s="17"/>
    </row>
    <row r="35">
      <c r="A35" s="1"/>
      <c r="B35" s="15" t="s">
        <v>405</v>
      </c>
      <c r="C35" s="17">
        <f>C94-C143</f>
        <v>-272</v>
      </c>
      <c r="D35" s="17">
        <f>D94-D143</f>
        <v>-434</v>
      </c>
      <c r="E35" s="17">
        <f>E94</f>
        <v>-1023</v>
      </c>
      <c r="F35" s="17">
        <f>F94</f>
        <v>0</v>
      </c>
      <c r="G35" s="17">
        <f>G94-G143</f>
        <v>-21</v>
      </c>
      <c r="H35" s="74">
        <v>0</v>
      </c>
      <c r="I35" s="17"/>
    </row>
    <row r="36">
      <c r="A36" s="1"/>
      <c r="B36" s="15" t="s">
        <v>406</v>
      </c>
      <c r="C36" s="17">
        <f>C95-C144</f>
        <v>618</v>
      </c>
      <c r="D36" s="17">
        <f>D95-D144</f>
        <v>394</v>
      </c>
      <c r="E36" s="17">
        <f>E95</f>
        <v>1656</v>
      </c>
      <c r="F36" s="17">
        <f>F95</f>
        <v>80</v>
      </c>
      <c r="G36" s="17">
        <f>G95-G144</f>
        <v>3</v>
      </c>
      <c r="H36" s="74">
        <v>0</v>
      </c>
      <c r="I36" s="17"/>
    </row>
    <row r="37">
      <c r="A37" s="1"/>
      <c r="B37" s="15" t="s">
        <v>407</v>
      </c>
      <c r="C37" s="17">
        <f>C96-C145</f>
        <v>0</v>
      </c>
      <c r="D37" s="17">
        <f>D96-D145</f>
        <v>0</v>
      </c>
      <c r="E37" s="17">
        <f>E96</f>
        <v>-9</v>
      </c>
      <c r="F37" s="17">
        <f>F96</f>
        <v>0</v>
      </c>
      <c r="G37" s="17">
        <f>G96-G145</f>
        <v>-2</v>
      </c>
      <c r="H37" s="74">
        <v>0</v>
      </c>
      <c r="I37" s="17"/>
    </row>
    <row r="38">
      <c r="A38" s="1"/>
      <c r="B38" s="15" t="s">
        <v>408</v>
      </c>
      <c r="C38" s="17">
        <f>C97-C146</f>
        <v>4</v>
      </c>
      <c r="D38" s="17">
        <f>D97-D146</f>
        <v>3</v>
      </c>
      <c r="E38" s="17">
        <f>E97</f>
        <v>11</v>
      </c>
      <c r="F38" s="17">
        <f>F97</f>
        <v>13</v>
      </c>
      <c r="G38" s="17">
        <f>G97-G146</f>
        <v>12</v>
      </c>
      <c r="H38" s="74">
        <v>0</v>
      </c>
      <c r="I38" s="17"/>
    </row>
    <row r="39">
      <c r="A39" s="1"/>
      <c r="B39" s="15" t="s">
        <v>409</v>
      </c>
      <c r="C39" s="17">
        <f>C98-C147</f>
        <v>-138</v>
      </c>
      <c r="D39" s="17">
        <f>D98-D147</f>
        <v>-102</v>
      </c>
      <c r="E39" s="17">
        <f>E98</f>
        <v>-370</v>
      </c>
      <c r="F39" s="17">
        <f>F98</f>
        <v>-229</v>
      </c>
      <c r="G39" s="17">
        <f>G98-G147</f>
        <v>-185</v>
      </c>
      <c r="H39" s="74">
        <v>0</v>
      </c>
      <c r="I39" s="17"/>
    </row>
    <row r="40">
      <c r="A40" s="1"/>
      <c r="B40" s="53" t="s">
        <v>410</v>
      </c>
      <c r="C40" s="27">
        <f>SUM(C27:C39)</f>
        <v>6143</v>
      </c>
      <c r="D40" s="27">
        <f>SUM(D27:D39)</f>
        <v>-1151</v>
      </c>
      <c r="E40" s="27">
        <f>SUM(E27:E39)</f>
        <v>24538</v>
      </c>
      <c r="F40" s="27">
        <f>SUM(F27:F39)</f>
        <v>-10</v>
      </c>
      <c r="G40" s="27">
        <f>SUM(G27:G39)</f>
        <v>-6414</v>
      </c>
      <c r="H40" s="40">
        <f>SUM(H27:H39)</f>
        <v>-3229</v>
      </c>
      <c r="I40" s="55"/>
    </row>
    <row r="41">
      <c r="A41" s="1"/>
      <c r="B41" s="42"/>
      <c r="C41" s="8"/>
      <c r="D41" s="8"/>
      <c r="E41" s="8"/>
      <c r="F41" s="8"/>
      <c r="G41" s="8"/>
      <c r="H41" s="5"/>
      <c r="I41" s="8"/>
    </row>
    <row r="42">
      <c r="A42" s="1"/>
      <c r="B42" s="51" t="s">
        <v>411</v>
      </c>
      <c r="C42" s="7"/>
      <c r="D42" s="7"/>
      <c r="E42" s="7"/>
      <c r="F42" s="7"/>
      <c r="G42" s="7"/>
      <c r="H42" s="12"/>
      <c r="I42" s="7"/>
    </row>
    <row r="43">
      <c r="A43" s="1"/>
      <c r="B43" s="15" t="s">
        <v>412</v>
      </c>
      <c r="C43" s="17">
        <f>C99-C148</f>
        <v>5999</v>
      </c>
      <c r="D43" s="17">
        <f>D99-D148</f>
        <v>16690</v>
      </c>
      <c r="E43" s="17">
        <f>E99</f>
        <v>-3374</v>
      </c>
      <c r="F43" s="17">
        <f>F99</f>
        <v>-2706</v>
      </c>
      <c r="G43" s="17">
        <f>G99-G148</f>
        <v>-3359</v>
      </c>
      <c r="H43" s="44">
        <f>('Balance Sheet'!H25-'Balance Sheet'!G25)</f>
        <v>-7364</v>
      </c>
      <c r="I43" s="17"/>
    </row>
    <row r="44">
      <c r="A44" s="1"/>
      <c r="B44" s="15" t="s">
        <v>413</v>
      </c>
      <c r="C44" s="17">
        <f>C100-C149</f>
        <v>8760</v>
      </c>
      <c r="D44" s="17">
        <f>D100-D149</f>
        <v>11600</v>
      </c>
      <c r="E44" s="17">
        <f>E100</f>
        <v>28360</v>
      </c>
      <c r="F44" s="17">
        <f>F100</f>
        <v>0</v>
      </c>
      <c r="G44" s="17">
        <f>G100-G149</f>
        <v>500</v>
      </c>
      <c r="H44" s="44">
        <f>MAX('Balance Sheet'!H30-'Balance Sheet'!G30,0)</f>
        <v>0</v>
      </c>
      <c r="I44" s="17"/>
    </row>
    <row r="45">
      <c r="A45" s="1"/>
      <c r="B45" s="15" t="s">
        <v>414</v>
      </c>
      <c r="C45" s="17">
        <f>C101-C150</f>
        <v>-16910</v>
      </c>
      <c r="D45" s="17">
        <f>D101-D150</f>
        <v>-10600</v>
      </c>
      <c r="E45" s="17">
        <f>E101</f>
        <v>-43210</v>
      </c>
      <c r="F45" s="17">
        <f>F101</f>
        <v>-1850</v>
      </c>
      <c r="G45" s="17">
        <f>G101-G150</f>
        <v>0</v>
      </c>
      <c r="H45" s="44">
        <f>MIN('Balance Sheet'!H30-'Balance Sheet'!G30,0)</f>
        <v>-500</v>
      </c>
      <c r="I45" s="17"/>
    </row>
    <row r="46">
      <c r="A46" s="1"/>
      <c r="B46" s="15" t="s">
        <v>415</v>
      </c>
      <c r="C46" s="17">
        <f>C102-C151</f>
        <v>7169</v>
      </c>
      <c r="D46" s="17">
        <f>D102-D151</f>
        <v>9518</v>
      </c>
      <c r="E46" s="17">
        <f>E102</f>
        <v>37046</v>
      </c>
      <c r="F46" s="17">
        <f>F102</f>
        <v>17137</v>
      </c>
      <c r="G46" s="17">
        <f>G102-G151</f>
        <v>22475</v>
      </c>
      <c r="H46" s="44">
        <f>MAX('Balance Sheet'!H29-'Balance Sheet'!G29,0)</f>
        <v>0</v>
      </c>
      <c r="I46" s="17"/>
    </row>
    <row r="47">
      <c r="A47" s="1"/>
      <c r="B47" s="15" t="s">
        <v>416</v>
      </c>
      <c r="C47" s="17">
        <f>C103-C152</f>
        <v>-9117</v>
      </c>
      <c r="D47" s="17">
        <f>D103-D152</f>
        <v>-9161</v>
      </c>
      <c r="E47" s="17">
        <f>E103</f>
        <v>-36184</v>
      </c>
      <c r="F47" s="17">
        <f>F103</f>
        <v>-11594</v>
      </c>
      <c r="G47" s="17">
        <f>G103-G152</f>
        <v>-21070</v>
      </c>
      <c r="H47" s="44">
        <f>MIN('Balance Sheet'!H29-'Balance Sheet'!G29,0)</f>
        <v>-945</v>
      </c>
      <c r="I47" s="17"/>
    </row>
    <row r="48">
      <c r="A48" s="1"/>
      <c r="B48" s="15" t="s">
        <v>417</v>
      </c>
      <c r="C48" s="17">
        <f>C104-C153</f>
        <v>0</v>
      </c>
      <c r="D48" s="17">
        <f>D104-D153</f>
        <v>1986</v>
      </c>
      <c r="E48" s="17">
        <f>E104</f>
        <v>1986</v>
      </c>
      <c r="F48" s="17">
        <f>F104</f>
        <v>0</v>
      </c>
      <c r="G48" s="17">
        <f>G104-G153</f>
        <v>3231</v>
      </c>
      <c r="H48" s="32">
        <f>H68</f>
        <v>2582</v>
      </c>
      <c r="I48" s="17"/>
    </row>
    <row r="49">
      <c r="A49" s="1"/>
      <c r="B49" s="15" t="s">
        <v>418</v>
      </c>
      <c r="C49" s="17">
        <f>C105-C154</f>
        <v>-6</v>
      </c>
      <c r="D49" s="17">
        <f>D105-D154</f>
        <v>-5</v>
      </c>
      <c r="E49" s="17">
        <f>E105</f>
        <v>-2248</v>
      </c>
      <c r="F49" s="17">
        <f>F105</f>
        <v>-1608</v>
      </c>
      <c r="G49" s="17">
        <f>G105-G154</f>
        <v>-1506</v>
      </c>
      <c r="H49" s="44">
        <f>('Balance Sheet'!H31-'Balance Sheet'!G31)-H68</f>
        <v>0</v>
      </c>
      <c r="I49" s="17"/>
    </row>
    <row r="50">
      <c r="A50" s="1"/>
      <c r="B50" s="15" t="s">
        <v>419</v>
      </c>
      <c r="C50" s="17">
        <f>C106-C155</f>
        <v>-2748</v>
      </c>
      <c r="D50" s="17">
        <f>D106-D155</f>
        <v>-2765</v>
      </c>
      <c r="E50" s="17">
        <f>E106</f>
        <v>-7346</v>
      </c>
      <c r="F50" s="17">
        <f>F106</f>
        <v>-2378</v>
      </c>
      <c r="G50" s="17">
        <f>G106-G155</f>
        <v>-999</v>
      </c>
      <c r="H50" s="44">
        <f>-'Share Count'!H29</f>
        <v>-500</v>
      </c>
      <c r="I50" s="17"/>
    </row>
    <row r="51">
      <c r="A51" s="1"/>
      <c r="B51" s="15" t="s">
        <v>420</v>
      </c>
      <c r="C51" s="17">
        <f>C107-C156</f>
        <v>0</v>
      </c>
      <c r="D51" s="17">
        <f>D107-D156</f>
        <v>0</v>
      </c>
      <c r="E51" s="17">
        <f>E107</f>
        <v>0</v>
      </c>
      <c r="F51" s="17">
        <f>F107</f>
        <v>0</v>
      </c>
      <c r="G51" s="17">
        <f>G107-G156</f>
        <v>1480</v>
      </c>
      <c r="H51" s="74">
        <v>0</v>
      </c>
      <c r="I51" s="17"/>
    </row>
    <row r="52">
      <c r="A52" s="1"/>
      <c r="B52" s="15" t="s">
        <v>421</v>
      </c>
      <c r="C52" s="17">
        <f>C108-C157</f>
        <v>0</v>
      </c>
      <c r="D52" s="17">
        <f>D108-D157</f>
        <v>0</v>
      </c>
      <c r="E52" s="17">
        <f>E108</f>
        <v>-2458</v>
      </c>
      <c r="F52" s="17">
        <f>F108</f>
        <v>0</v>
      </c>
      <c r="G52" s="17">
        <f>G108-G157</f>
        <v>-2055</v>
      </c>
      <c r="H52" s="74">
        <v>0</v>
      </c>
      <c r="I52" s="17"/>
    </row>
    <row r="53">
      <c r="A53" s="1"/>
      <c r="B53" s="15" t="s">
        <v>422</v>
      </c>
      <c r="C53" s="17">
        <f>C109-C158</f>
        <v>-562</v>
      </c>
      <c r="D53" s="17">
        <f>D109-D158</f>
        <v>-564</v>
      </c>
      <c r="E53" s="17">
        <f>E109</f>
        <v>-2329</v>
      </c>
      <c r="F53" s="17">
        <f>F109</f>
        <v>-632</v>
      </c>
      <c r="G53" s="17">
        <f>G109-G158</f>
        <v>-643</v>
      </c>
      <c r="H53" s="44">
        <f>-('Share Count'!H43+'Income Statement'!H69)</f>
        <v>-640.3713630188679</v>
      </c>
      <c r="I53" s="115" t="s">
        <v>423</v>
      </c>
    </row>
    <row r="54">
      <c r="A54" s="1"/>
      <c r="B54" s="15" t="s">
        <v>424</v>
      </c>
      <c r="C54" s="17">
        <f>C110-C159</f>
        <v>32</v>
      </c>
      <c r="D54" s="17">
        <f>D110-D159</f>
        <v>15</v>
      </c>
      <c r="E54" s="17">
        <f>E110</f>
        <v>156</v>
      </c>
      <c r="F54" s="17">
        <f>F110</f>
        <v>47</v>
      </c>
      <c r="G54" s="17">
        <f>G110-G159</f>
        <v>11</v>
      </c>
      <c r="H54" s="74">
        <v>0</v>
      </c>
      <c r="I54" s="17"/>
    </row>
    <row r="55">
      <c r="A55" s="1"/>
      <c r="B55" s="15" t="s">
        <v>425</v>
      </c>
      <c r="C55" s="17">
        <f>C111-C160</f>
        <v>-2</v>
      </c>
      <c r="D55" s="17">
        <f>D111-D160</f>
        <v>-4</v>
      </c>
      <c r="E55" s="17">
        <f>E111</f>
        <v>-101</v>
      </c>
      <c r="F55" s="17">
        <f>F111</f>
        <v>-129</v>
      </c>
      <c r="G55" s="17">
        <f>G111-G160</f>
        <v>-29</v>
      </c>
      <c r="H55" s="74">
        <v>0</v>
      </c>
      <c r="I55" s="17"/>
    </row>
    <row r="56">
      <c r="A56" s="1"/>
      <c r="B56" s="53" t="s">
        <v>426</v>
      </c>
      <c r="C56" s="27">
        <f>SUM(C43:C55)</f>
        <v>-7385</v>
      </c>
      <c r="D56" s="27">
        <f>SUM(D43:D55)</f>
        <v>16710</v>
      </c>
      <c r="E56" s="27">
        <f>SUM(E43:E55)</f>
        <v>-29702</v>
      </c>
      <c r="F56" s="27">
        <f>SUM(F43:F55)</f>
        <v>-3713</v>
      </c>
      <c r="G56" s="27">
        <f>SUM(G43:G55)</f>
        <v>-1964</v>
      </c>
      <c r="H56" s="40">
        <f>SUM(H43:H55)</f>
        <v>-7367.371363018868</v>
      </c>
      <c r="I56" s="55"/>
    </row>
    <row r="57">
      <c r="A57" s="1"/>
      <c r="B57" s="42"/>
      <c r="C57" s="8"/>
      <c r="D57" s="8"/>
      <c r="E57" s="8"/>
      <c r="F57" s="8"/>
      <c r="G57" s="8"/>
      <c r="H57" s="5"/>
      <c r="I57" s="8"/>
    </row>
    <row r="58">
      <c r="A58" s="1"/>
      <c r="B58" s="53" t="s">
        <v>427</v>
      </c>
      <c r="C58" s="27">
        <f>C24+C40+C56</f>
        <v>-704</v>
      </c>
      <c r="D58" s="27">
        <f>D24+D40+D56</f>
        <v>14796</v>
      </c>
      <c r="E58" s="27">
        <f>E24+E40+E56</f>
        <v>4147</v>
      </c>
      <c r="F58" s="27">
        <f>F24+F40+F56</f>
        <v>3619</v>
      </c>
      <c r="G58" s="27">
        <f>G24+G40+G56</f>
        <v>-4078</v>
      </c>
      <c r="H58" s="40">
        <f>H24+H40+H56</f>
        <v>-10227.699050371262</v>
      </c>
      <c r="I58" s="55"/>
    </row>
    <row r="59">
      <c r="A59" s="1"/>
      <c r="B59" s="15" t="s">
        <v>428</v>
      </c>
      <c r="C59" s="17">
        <f>C116+C161</f>
        <v>55569</v>
      </c>
      <c r="D59" s="17">
        <f>C60</f>
        <v>54865</v>
      </c>
      <c r="E59" s="17">
        <f>E116</f>
        <v>65514</v>
      </c>
      <c r="F59" s="17">
        <f>F116</f>
        <v>69661</v>
      </c>
      <c r="G59" s="17">
        <f>F60</f>
        <v>73280</v>
      </c>
      <c r="H59" s="32">
        <f>G60</f>
        <v>69202</v>
      </c>
      <c r="I59" s="17"/>
    </row>
    <row r="60">
      <c r="A60" s="1"/>
      <c r="B60" s="53" t="s">
        <v>429</v>
      </c>
      <c r="C60" s="27">
        <f>C59+C58</f>
        <v>54865</v>
      </c>
      <c r="D60" s="27">
        <f>D59+D58</f>
        <v>69661</v>
      </c>
      <c r="E60" s="27">
        <f>E59+E58</f>
        <v>69661</v>
      </c>
      <c r="F60" s="27">
        <f>F59+F58</f>
        <v>73280</v>
      </c>
      <c r="G60" s="27">
        <f>G59+G58</f>
        <v>69202</v>
      </c>
      <c r="H60" s="40">
        <f>H59+H58</f>
        <v>58974.30094962874</v>
      </c>
      <c r="I60" s="55"/>
    </row>
    <row r="61">
      <c r="A61" s="1"/>
      <c r="B61" s="34" t="s">
        <v>430</v>
      </c>
      <c r="C61" s="77">
        <f>ROUND(C60-'Balance Sheet'!C47,3)</f>
        <v>0</v>
      </c>
      <c r="D61" s="77">
        <f>ROUND(D60-'Balance Sheet'!D47,3)</f>
        <v>0</v>
      </c>
      <c r="E61" s="77">
        <f>ROUND(E60-'Balance Sheet'!E47,3)</f>
        <v>0</v>
      </c>
      <c r="F61" s="77">
        <f>ROUND(F60-'Balance Sheet'!F47,3)</f>
        <v>0</v>
      </c>
      <c r="G61" s="77">
        <f>ROUND(G60-'Balance Sheet'!G47,3)</f>
        <v>0</v>
      </c>
      <c r="H61" s="79">
        <f>ROUND(H60-'Balance Sheet'!H47,3)</f>
        <v>0</v>
      </c>
      <c r="I61" s="134" t="s">
        <v>431</v>
      </c>
    </row>
    <row r="62">
      <c r="A62" s="1"/>
      <c r="B62" s="34" t="s">
        <v>432</v>
      </c>
      <c r="C62" s="75"/>
      <c r="D62" s="77">
        <f>ROUND(D58-('Balance Sheet'!D47-'Balance Sheet'!C47),3)</f>
        <v>0</v>
      </c>
      <c r="E62" s="75"/>
      <c r="F62" s="77">
        <f>ROUND(F58-('Balance Sheet'!F47-'Balance Sheet'!D47),3)</f>
        <v>0</v>
      </c>
      <c r="G62" s="77">
        <f>ROUND(G58-('Balance Sheet'!G47-'Balance Sheet'!F47),3)</f>
        <v>0</v>
      </c>
      <c r="H62" s="79">
        <f>ROUND(H58-('Balance Sheet'!H47-'Balance Sheet'!G47),3)</f>
        <v>0</v>
      </c>
      <c r="I62" s="134" t="s">
        <v>433</v>
      </c>
    </row>
    <row r="63">
      <c r="A63" s="1"/>
      <c r="B63" s="42"/>
      <c r="C63" s="8"/>
      <c r="D63" s="8"/>
      <c r="E63" s="8"/>
      <c r="F63" s="8"/>
      <c r="G63" s="8"/>
      <c r="H63" s="5"/>
      <c r="I63" s="8"/>
    </row>
    <row r="64">
      <c r="A64" s="1"/>
      <c r="B64" s="51" t="s">
        <v>434</v>
      </c>
      <c r="C64" s="7"/>
      <c r="D64" s="7"/>
      <c r="E64" s="7"/>
      <c r="F64" s="7"/>
      <c r="G64" s="7"/>
      <c r="H64" s="12"/>
      <c r="I64" s="7"/>
    </row>
    <row r="65">
      <c r="A65" s="1"/>
      <c r="B65" s="15" t="s">
        <v>435</v>
      </c>
      <c r="C65" s="17">
        <f>-C34</f>
        <v>145</v>
      </c>
      <c r="D65" s="17">
        <f>-D34</f>
        <v>158</v>
      </c>
      <c r="E65" s="17">
        <f>-E34</f>
        <v>548</v>
      </c>
      <c r="F65" s="17">
        <f>-F34</f>
        <v>140</v>
      </c>
      <c r="G65" s="17">
        <f>-G34</f>
        <v>185</v>
      </c>
      <c r="H65" s="32">
        <f>-H34</f>
        <v>160</v>
      </c>
      <c r="I65" s="17"/>
    </row>
    <row r="66">
      <c r="A66" s="1"/>
      <c r="B66" s="54" t="s">
        <v>436</v>
      </c>
      <c r="C66" s="14"/>
      <c r="D66" s="14"/>
      <c r="E66" s="14"/>
      <c r="F66" s="14"/>
      <c r="G66" s="14"/>
      <c r="H66" s="37"/>
      <c r="I66" s="14"/>
    </row>
    <row r="67">
      <c r="A67" s="1"/>
      <c r="B67" s="15" t="s">
        <v>437</v>
      </c>
      <c r="C67" s="17"/>
      <c r="D67" s="17"/>
      <c r="E67" s="17"/>
      <c r="F67" s="17"/>
      <c r="G67" s="17"/>
      <c r="H67" s="74">
        <v>160</v>
      </c>
      <c r="I67" s="136" t="s">
        <v>438</v>
      </c>
    </row>
    <row r="68">
      <c r="A68" s="1"/>
      <c r="B68" s="15" t="s">
        <v>439</v>
      </c>
      <c r="C68" s="17"/>
      <c r="D68" s="17"/>
      <c r="E68" s="17"/>
      <c r="F68" s="17"/>
      <c r="G68" s="17"/>
      <c r="H68" s="74">
        <v>2582</v>
      </c>
      <c r="I68" s="17"/>
    </row>
    <row r="69">
      <c r="A69" s="1"/>
      <c r="B69" s="42"/>
      <c r="C69" s="8"/>
      <c r="D69" s="8"/>
      <c r="E69" s="8"/>
      <c r="F69" s="8"/>
      <c r="G69" s="8"/>
      <c r="H69" s="5"/>
      <c r="I69" s="8"/>
    </row>
    <row r="70">
      <c r="A70" s="1"/>
      <c r="B70" s="51" t="s">
        <v>440</v>
      </c>
      <c r="C70" s="7"/>
      <c r="D70" s="7"/>
      <c r="E70" s="7"/>
      <c r="F70" s="7"/>
      <c r="G70" s="7"/>
      <c r="H70" s="12"/>
      <c r="I70" s="7"/>
    </row>
    <row r="71">
      <c r="A71" s="1"/>
      <c r="B71" s="54" t="s">
        <v>441</v>
      </c>
      <c r="C71" s="147" t="s">
        <v>442</v>
      </c>
      <c r="D71" s="147" t="s">
        <v>443</v>
      </c>
      <c r="E71" s="147" t="s">
        <v>444</v>
      </c>
      <c r="F71" s="147" t="s">
        <v>445</v>
      </c>
      <c r="G71" s="147" t="s">
        <v>446</v>
      </c>
      <c r="H71" s="37"/>
      <c r="I71" s="148" t="s">
        <v>447</v>
      </c>
    </row>
    <row r="72">
      <c r="A72" s="1"/>
      <c r="B72" s="15" t="s">
        <v>448</v>
      </c>
      <c r="C72" s="11">
        <f>C121+'Income Statement'!C63</f>
        <v>6393</v>
      </c>
      <c r="D72" s="11">
        <f>'Income Statement'!E63</f>
        <v>8852</v>
      </c>
      <c r="E72" s="17">
        <f>D72</f>
        <v>8852</v>
      </c>
      <c r="F72" s="11">
        <f>'Income Statement'!F63</f>
        <v>2479</v>
      </c>
      <c r="G72" s="11">
        <f>'Income Statement'!F63+'Income Statement'!G63</f>
        <v>5279</v>
      </c>
      <c r="H72" s="32"/>
      <c r="I72" s="17"/>
    </row>
    <row r="73">
      <c r="A73" s="1"/>
      <c r="B73" s="15" t="s">
        <v>449</v>
      </c>
      <c r="C73" s="49">
        <v>259</v>
      </c>
      <c r="D73" s="49">
        <v>317</v>
      </c>
      <c r="E73" s="17">
        <f>D73</f>
        <v>317</v>
      </c>
      <c r="F73" s="49">
        <v>138</v>
      </c>
      <c r="G73" s="49">
        <v>230</v>
      </c>
      <c r="H73" s="32"/>
      <c r="I73" s="17"/>
    </row>
    <row r="74">
      <c r="A74" s="1"/>
      <c r="B74" s="15" t="s">
        <v>450</v>
      </c>
      <c r="C74" s="11">
        <f>C123+'Income Statement'!C42</f>
        <v>644</v>
      </c>
      <c r="D74" s="11">
        <f>'Income Statement'!E42</f>
        <v>850</v>
      </c>
      <c r="E74" s="17">
        <f>D74</f>
        <v>850</v>
      </c>
      <c r="F74" s="11">
        <f>'Income Statement'!F42</f>
        <v>201</v>
      </c>
      <c r="G74" s="11">
        <f>'Income Statement'!F42+'Income Statement'!G42</f>
        <v>399</v>
      </c>
      <c r="H74" s="32"/>
      <c r="I74" s="17"/>
    </row>
    <row r="75">
      <c r="A75" s="1"/>
      <c r="B75" s="15" t="s">
        <v>451</v>
      </c>
      <c r="C75" s="11">
        <f>C124+'Income Statement'!C44</f>
        <v>385</v>
      </c>
      <c r="D75" s="11">
        <f>'Income Statement'!E44</f>
        <v>512</v>
      </c>
      <c r="E75" s="17">
        <f>D75</f>
        <v>512</v>
      </c>
      <c r="F75" s="11">
        <f>'Income Statement'!F44</f>
        <v>132</v>
      </c>
      <c r="G75" s="11">
        <f>'Income Statement'!F44+'Income Statement'!G44</f>
        <v>274</v>
      </c>
      <c r="H75" s="32"/>
      <c r="I75" s="17"/>
    </row>
    <row r="76">
      <c r="A76" s="1"/>
      <c r="B76" s="15" t="s">
        <v>452</v>
      </c>
      <c r="C76" s="49">
        <v>397</v>
      </c>
      <c r="D76" s="49">
        <v>361</v>
      </c>
      <c r="E76" s="17">
        <f>D76</f>
        <v>361</v>
      </c>
      <c r="F76" s="49">
        <v>-10</v>
      </c>
      <c r="G76" s="49">
        <v>-20</v>
      </c>
      <c r="H76" s="32"/>
      <c r="I76" s="17"/>
    </row>
    <row r="77">
      <c r="A77" s="1"/>
      <c r="B77" s="15" t="s">
        <v>453</v>
      </c>
      <c r="C77" s="49">
        <v>524</v>
      </c>
      <c r="D77" s="49">
        <v>695</v>
      </c>
      <c r="E77" s="17">
        <f>D77</f>
        <v>695</v>
      </c>
      <c r="F77" s="49">
        <v>174</v>
      </c>
      <c r="G77" s="49">
        <v>321</v>
      </c>
      <c r="H77" s="32"/>
      <c r="I77" s="17"/>
    </row>
    <row r="78">
      <c r="A78" s="1"/>
      <c r="B78" s="15" t="s">
        <v>454</v>
      </c>
      <c r="C78" s="49">
        <v>525</v>
      </c>
      <c r="D78" s="49">
        <v>729</v>
      </c>
      <c r="E78" s="17">
        <f>D78</f>
        <v>729</v>
      </c>
      <c r="F78" s="49">
        <v>183</v>
      </c>
      <c r="G78" s="49">
        <v>402</v>
      </c>
      <c r="H78" s="32"/>
      <c r="I78" s="17"/>
    </row>
    <row r="79">
      <c r="A79" s="1"/>
      <c r="B79" s="15" t="s">
        <v>455</v>
      </c>
      <c r="C79" s="49">
        <v>-8671</v>
      </c>
      <c r="D79" s="49">
        <v>-4510</v>
      </c>
      <c r="E79" s="17">
        <f>D79</f>
        <v>-4510</v>
      </c>
      <c r="F79" s="49">
        <v>7827</v>
      </c>
      <c r="G79" s="49">
        <v>14911</v>
      </c>
      <c r="H79" s="32"/>
      <c r="I79" s="17"/>
    </row>
    <row r="80">
      <c r="A80" s="1"/>
      <c r="B80" s="15" t="s">
        <v>456</v>
      </c>
      <c r="C80" s="49">
        <v>-2288</v>
      </c>
      <c r="D80" s="49">
        <v>-4750</v>
      </c>
      <c r="E80" s="17">
        <f>D80</f>
        <v>-4750</v>
      </c>
      <c r="F80" s="49">
        <v>-4618</v>
      </c>
      <c r="G80" s="49">
        <v>-14814</v>
      </c>
      <c r="H80" s="32"/>
      <c r="I80" s="17"/>
    </row>
    <row r="81">
      <c r="A81" s="1"/>
      <c r="B81" s="15" t="s">
        <v>457</v>
      </c>
      <c r="C81" s="49">
        <v>-8509</v>
      </c>
      <c r="D81" s="49">
        <v>-19390</v>
      </c>
      <c r="E81" s="17">
        <f>D81</f>
        <v>-19390</v>
      </c>
      <c r="F81" s="49">
        <v>-1571</v>
      </c>
      <c r="G81" s="49">
        <v>-18222</v>
      </c>
      <c r="H81" s="32"/>
      <c r="I81" s="17"/>
    </row>
    <row r="82">
      <c r="A82" s="1"/>
      <c r="B82" s="15" t="s">
        <v>458</v>
      </c>
      <c r="C82" s="49">
        <v>-1038</v>
      </c>
      <c r="D82" s="49">
        <v>-1298</v>
      </c>
      <c r="E82" s="17">
        <f>D82</f>
        <v>-1298</v>
      </c>
      <c r="F82" s="49">
        <v>-584</v>
      </c>
      <c r="G82" s="49">
        <v>-2099</v>
      </c>
      <c r="H82" s="32"/>
      <c r="I82" s="17"/>
    </row>
    <row r="83">
      <c r="A83" s="1"/>
      <c r="B83" s="15" t="s">
        <v>459</v>
      </c>
      <c r="C83" s="49">
        <v>9071</v>
      </c>
      <c r="D83" s="49">
        <v>12353</v>
      </c>
      <c r="E83" s="17">
        <f>D83</f>
        <v>12353</v>
      </c>
      <c r="F83" s="49">
        <v>2418</v>
      </c>
      <c r="G83" s="49">
        <v>18137</v>
      </c>
      <c r="H83" s="32"/>
      <c r="I83" s="17"/>
    </row>
    <row r="84">
      <c r="A84" s="1"/>
      <c r="B84" s="15" t="s">
        <v>460</v>
      </c>
      <c r="C84" s="49">
        <v>13838</v>
      </c>
      <c r="D84" s="49">
        <v>14782</v>
      </c>
      <c r="E84" s="17">
        <f>D84</f>
        <v>14782</v>
      </c>
      <c r="F84" s="49">
        <v>1645</v>
      </c>
      <c r="G84" s="49">
        <v>7627</v>
      </c>
      <c r="H84" s="32"/>
      <c r="I84" s="17"/>
    </row>
    <row r="85">
      <c r="A85" s="1"/>
      <c r="B85" s="15" t="s">
        <v>461</v>
      </c>
      <c r="C85" s="49">
        <v>-1456</v>
      </c>
      <c r="D85" s="49">
        <v>-192</v>
      </c>
      <c r="E85" s="17">
        <f>D85</f>
        <v>-192</v>
      </c>
      <c r="F85" s="49">
        <v>-1072</v>
      </c>
      <c r="G85" s="49">
        <v>-783</v>
      </c>
      <c r="H85" s="32"/>
      <c r="I85" s="17"/>
    </row>
    <row r="86">
      <c r="A86" s="1"/>
      <c r="B86" s="15" t="s">
        <v>462</v>
      </c>
      <c r="C86" s="49">
        <v>-2746</v>
      </c>
      <c r="D86" s="49">
        <v>-8496</v>
      </c>
      <c r="E86" s="17">
        <f>D86</f>
        <v>-8496</v>
      </c>
      <c r="F86" s="49">
        <v>-2199</v>
      </c>
      <c r="G86" s="49">
        <v>-10959</v>
      </c>
      <c r="H86" s="32"/>
      <c r="I86" s="17"/>
    </row>
    <row r="87">
      <c r="A87" s="1"/>
      <c r="B87" s="15" t="s">
        <v>463</v>
      </c>
      <c r="C87" s="49">
        <v>5411</v>
      </c>
      <c r="D87" s="49">
        <v>8987</v>
      </c>
      <c r="E87" s="17">
        <f>D87</f>
        <v>8987</v>
      </c>
      <c r="F87" s="49">
        <v>1541</v>
      </c>
      <c r="G87" s="49">
        <v>6091</v>
      </c>
      <c r="H87" s="32"/>
      <c r="I87" s="17"/>
    </row>
    <row r="88">
      <c r="A88" s="1"/>
      <c r="B88" s="15" t="s">
        <v>464</v>
      </c>
      <c r="C88" s="49">
        <v>20405</v>
      </c>
      <c r="D88" s="49">
        <v>22958</v>
      </c>
      <c r="E88" s="17">
        <f>D88</f>
        <v>22958</v>
      </c>
      <c r="F88" s="49">
        <v>1838</v>
      </c>
      <c r="G88" s="49">
        <v>4549</v>
      </c>
      <c r="H88" s="32"/>
      <c r="I88" s="17"/>
    </row>
    <row r="89">
      <c r="A89" s="1"/>
      <c r="B89" s="15" t="s">
        <v>465</v>
      </c>
      <c r="C89" s="49">
        <v>-676</v>
      </c>
      <c r="D89" s="49">
        <v>-1083</v>
      </c>
      <c r="E89" s="17">
        <f>D89</f>
        <v>-1083</v>
      </c>
      <c r="F89" s="49">
        <v>-635</v>
      </c>
      <c r="G89" s="49">
        <v>-2336</v>
      </c>
      <c r="H89" s="32"/>
      <c r="I89" s="17"/>
    </row>
    <row r="90">
      <c r="A90" s="1"/>
      <c r="B90" s="15" t="s">
        <v>466</v>
      </c>
      <c r="C90" s="49">
        <v>11707</v>
      </c>
      <c r="D90" s="49">
        <v>15262</v>
      </c>
      <c r="E90" s="17">
        <f>D90</f>
        <v>15262</v>
      </c>
      <c r="F90" s="49">
        <v>3319</v>
      </c>
      <c r="G90" s="49">
        <v>6527</v>
      </c>
      <c r="H90" s="32"/>
      <c r="I90" s="17"/>
    </row>
    <row r="91">
      <c r="A91" s="1"/>
      <c r="B91" s="15" t="s">
        <v>467</v>
      </c>
      <c r="C91" s="49">
        <v>-8426</v>
      </c>
      <c r="D91" s="49">
        <v>-12807</v>
      </c>
      <c r="E91" s="17">
        <f>D91</f>
        <v>-12807</v>
      </c>
      <c r="F91" s="49">
        <v>-3021</v>
      </c>
      <c r="G91" s="49">
        <v>-9065</v>
      </c>
      <c r="H91" s="32"/>
      <c r="I91" s="17"/>
    </row>
    <row r="92">
      <c r="A92" s="1"/>
      <c r="B92" s="15" t="s">
        <v>468</v>
      </c>
      <c r="C92" s="49">
        <v>0</v>
      </c>
      <c r="D92" s="49">
        <v>0</v>
      </c>
      <c r="E92" s="17">
        <f>D92</f>
        <v>0</v>
      </c>
      <c r="F92" s="49">
        <v>-577</v>
      </c>
      <c r="G92" s="49">
        <v>-577</v>
      </c>
      <c r="H92" s="32"/>
      <c r="I92" s="17"/>
    </row>
    <row r="93">
      <c r="A93" s="1"/>
      <c r="B93" s="15" t="s">
        <v>469</v>
      </c>
      <c r="C93" s="49">
        <v>-390</v>
      </c>
      <c r="D93" s="49">
        <v>-548</v>
      </c>
      <c r="E93" s="17">
        <f>D93</f>
        <v>-548</v>
      </c>
      <c r="F93" s="49">
        <v>-140</v>
      </c>
      <c r="G93" s="49">
        <v>-325</v>
      </c>
      <c r="H93" s="32"/>
      <c r="I93" s="17"/>
    </row>
    <row r="94">
      <c r="A94" s="1"/>
      <c r="B94" s="15" t="s">
        <v>470</v>
      </c>
      <c r="C94" s="49">
        <v>-589</v>
      </c>
      <c r="D94" s="49">
        <v>-1023</v>
      </c>
      <c r="E94" s="17">
        <f>D94</f>
        <v>-1023</v>
      </c>
      <c r="F94" s="49">
        <v>0</v>
      </c>
      <c r="G94" s="49">
        <v>-21</v>
      </c>
      <c r="H94" s="32"/>
      <c r="I94" s="17"/>
    </row>
    <row r="95">
      <c r="A95" s="1"/>
      <c r="B95" s="15" t="s">
        <v>471</v>
      </c>
      <c r="C95" s="49">
        <v>1262</v>
      </c>
      <c r="D95" s="49">
        <v>1656</v>
      </c>
      <c r="E95" s="17">
        <f>D95</f>
        <v>1656</v>
      </c>
      <c r="F95" s="49">
        <v>80</v>
      </c>
      <c r="G95" s="49">
        <v>83</v>
      </c>
      <c r="H95" s="32"/>
      <c r="I95" s="17"/>
    </row>
    <row r="96">
      <c r="A96" s="1"/>
      <c r="B96" s="15" t="s">
        <v>472</v>
      </c>
      <c r="C96" s="49">
        <v>-9</v>
      </c>
      <c r="D96" s="49">
        <v>-9</v>
      </c>
      <c r="E96" s="17">
        <f>D96</f>
        <v>-9</v>
      </c>
      <c r="F96" s="49">
        <v>0</v>
      </c>
      <c r="G96" s="49">
        <v>-2</v>
      </c>
      <c r="H96" s="32"/>
      <c r="I96" s="17"/>
    </row>
    <row r="97">
      <c r="A97" s="1"/>
      <c r="B97" s="15" t="s">
        <v>473</v>
      </c>
      <c r="C97" s="49">
        <v>8</v>
      </c>
      <c r="D97" s="49">
        <v>11</v>
      </c>
      <c r="E97" s="17">
        <f>D97</f>
        <v>11</v>
      </c>
      <c r="F97" s="49">
        <v>13</v>
      </c>
      <c r="G97" s="49">
        <v>25</v>
      </c>
      <c r="H97" s="32"/>
      <c r="I97" s="17"/>
    </row>
    <row r="98">
      <c r="A98" s="1"/>
      <c r="B98" s="15" t="s">
        <v>474</v>
      </c>
      <c r="C98" s="49">
        <v>-268</v>
      </c>
      <c r="D98" s="49">
        <v>-370</v>
      </c>
      <c r="E98" s="17">
        <f>D98</f>
        <v>-370</v>
      </c>
      <c r="F98" s="49">
        <v>-229</v>
      </c>
      <c r="G98" s="49">
        <v>-414</v>
      </c>
      <c r="H98" s="32"/>
      <c r="I98" s="17"/>
    </row>
    <row r="99">
      <c r="A99" s="1"/>
      <c r="B99" s="15" t="s">
        <v>475</v>
      </c>
      <c r="C99" s="49">
        <v>-20064</v>
      </c>
      <c r="D99" s="49">
        <v>-3374</v>
      </c>
      <c r="E99" s="17">
        <f>D99</f>
        <v>-3374</v>
      </c>
      <c r="F99" s="49">
        <v>-2706</v>
      </c>
      <c r="G99" s="49">
        <v>-6065</v>
      </c>
      <c r="H99" s="32"/>
      <c r="I99" s="17"/>
    </row>
    <row r="100">
      <c r="A100" s="1"/>
      <c r="B100" s="15" t="s">
        <v>476</v>
      </c>
      <c r="C100" s="49">
        <v>16760</v>
      </c>
      <c r="D100" s="49">
        <v>28360</v>
      </c>
      <c r="E100" s="17">
        <f>D100</f>
        <v>28360</v>
      </c>
      <c r="F100" s="49">
        <v>0</v>
      </c>
      <c r="G100" s="49">
        <v>500</v>
      </c>
      <c r="H100" s="32"/>
      <c r="I100" s="17"/>
    </row>
    <row r="101">
      <c r="A101" s="1"/>
      <c r="B101" s="15" t="s">
        <v>477</v>
      </c>
      <c r="C101" s="49">
        <v>-32610</v>
      </c>
      <c r="D101" s="49">
        <v>-43210</v>
      </c>
      <c r="E101" s="17">
        <f>D101</f>
        <v>-43210</v>
      </c>
      <c r="F101" s="49">
        <v>-1850</v>
      </c>
      <c r="G101" s="49">
        <v>-1850</v>
      </c>
      <c r="H101" s="32"/>
      <c r="I101" s="17"/>
    </row>
    <row r="102">
      <c r="A102" s="1"/>
      <c r="B102" s="15" t="s">
        <v>478</v>
      </c>
      <c r="C102" s="49">
        <v>27528</v>
      </c>
      <c r="D102" s="49">
        <v>37046</v>
      </c>
      <c r="E102" s="17">
        <f>D102</f>
        <v>37046</v>
      </c>
      <c r="F102" s="49">
        <v>17137</v>
      </c>
      <c r="G102" s="49">
        <v>39612</v>
      </c>
      <c r="H102" s="32"/>
      <c r="I102" s="17"/>
    </row>
    <row r="103">
      <c r="A103" s="1"/>
      <c r="B103" s="15" t="s">
        <v>479</v>
      </c>
      <c r="C103" s="49">
        <v>-27023</v>
      </c>
      <c r="D103" s="49">
        <v>-36184</v>
      </c>
      <c r="E103" s="17">
        <f>D103</f>
        <v>-36184</v>
      </c>
      <c r="F103" s="49">
        <v>-11594</v>
      </c>
      <c r="G103" s="49">
        <v>-32664</v>
      </c>
      <c r="H103" s="32"/>
      <c r="I103" s="17"/>
    </row>
    <row r="104">
      <c r="A104" s="1"/>
      <c r="B104" s="15" t="s">
        <v>480</v>
      </c>
      <c r="C104" s="49">
        <v>0</v>
      </c>
      <c r="D104" s="49">
        <v>1986</v>
      </c>
      <c r="E104" s="17">
        <f>D104</f>
        <v>1986</v>
      </c>
      <c r="F104" s="49">
        <v>0</v>
      </c>
      <c r="G104" s="49">
        <v>3231</v>
      </c>
      <c r="H104" s="32"/>
      <c r="I104" s="17"/>
    </row>
    <row r="105">
      <c r="A105" s="1"/>
      <c r="B105" s="15" t="s">
        <v>481</v>
      </c>
      <c r="C105" s="49">
        <v>-2243</v>
      </c>
      <c r="D105" s="49">
        <v>-2248</v>
      </c>
      <c r="E105" s="17">
        <f>D105</f>
        <v>-2248</v>
      </c>
      <c r="F105" s="49">
        <v>-1608</v>
      </c>
      <c r="G105" s="49">
        <v>-3114</v>
      </c>
      <c r="H105" s="32"/>
      <c r="I105" s="17"/>
    </row>
    <row r="106">
      <c r="A106" s="1"/>
      <c r="B106" s="15" t="s">
        <v>482</v>
      </c>
      <c r="C106" s="49">
        <v>-4581</v>
      </c>
      <c r="D106" s="49">
        <v>-7346</v>
      </c>
      <c r="E106" s="17">
        <f>D106</f>
        <v>-7346</v>
      </c>
      <c r="F106" s="49">
        <v>-2378</v>
      </c>
      <c r="G106" s="49">
        <v>-3377</v>
      </c>
      <c r="H106" s="32"/>
      <c r="I106" s="17"/>
    </row>
    <row r="107">
      <c r="A107" s="1"/>
      <c r="B107" s="15" t="s">
        <v>483</v>
      </c>
      <c r="C107" s="49">
        <v>0</v>
      </c>
      <c r="D107" s="49">
        <v>0</v>
      </c>
      <c r="E107" s="17">
        <f>D107</f>
        <v>0</v>
      </c>
      <c r="F107" s="49">
        <v>0</v>
      </c>
      <c r="G107" s="49">
        <v>1480</v>
      </c>
      <c r="H107" s="32"/>
      <c r="I107" s="17"/>
    </row>
    <row r="108">
      <c r="A108" s="1"/>
      <c r="B108" s="15" t="s">
        <v>484</v>
      </c>
      <c r="C108" s="49">
        <v>-2458</v>
      </c>
      <c r="D108" s="49">
        <v>-2458</v>
      </c>
      <c r="E108" s="17">
        <f>D108</f>
        <v>-2458</v>
      </c>
      <c r="F108" s="49">
        <v>0</v>
      </c>
      <c r="G108" s="49">
        <v>-2055</v>
      </c>
      <c r="H108" s="32"/>
      <c r="I108" s="17"/>
    </row>
    <row r="109">
      <c r="A109" s="1"/>
      <c r="B109" s="15" t="s">
        <v>485</v>
      </c>
      <c r="C109" s="49">
        <v>-1765</v>
      </c>
      <c r="D109" s="49">
        <v>-2329</v>
      </c>
      <c r="E109" s="17">
        <f>D109</f>
        <v>-2329</v>
      </c>
      <c r="F109" s="49">
        <v>-632</v>
      </c>
      <c r="G109" s="49">
        <v>-1275</v>
      </c>
      <c r="H109" s="32"/>
      <c r="I109" s="17"/>
    </row>
    <row r="110">
      <c r="A110" s="1"/>
      <c r="B110" s="15" t="s">
        <v>486</v>
      </c>
      <c r="C110" s="49">
        <v>141</v>
      </c>
      <c r="D110" s="49">
        <v>156</v>
      </c>
      <c r="E110" s="17">
        <f>D110</f>
        <v>156</v>
      </c>
      <c r="F110" s="49">
        <v>47</v>
      </c>
      <c r="G110" s="49">
        <v>58</v>
      </c>
      <c r="H110" s="32"/>
      <c r="I110" s="17"/>
    </row>
    <row r="111">
      <c r="A111" s="1"/>
      <c r="B111" s="15" t="s">
        <v>487</v>
      </c>
      <c r="C111" s="49">
        <v>-97</v>
      </c>
      <c r="D111" s="49">
        <v>-101</v>
      </c>
      <c r="E111" s="17">
        <f>D111</f>
        <v>-101</v>
      </c>
      <c r="F111" s="49">
        <v>-129</v>
      </c>
      <c r="G111" s="49">
        <v>-158</v>
      </c>
      <c r="H111" s="32"/>
      <c r="I111" s="17"/>
    </row>
    <row r="112">
      <c r="A112" s="1"/>
      <c r="B112" s="15" t="s">
        <v>488</v>
      </c>
      <c r="C112" s="49">
        <v>10074</v>
      </c>
      <c r="D112" s="49">
        <v>9311</v>
      </c>
      <c r="E112" s="17">
        <f>D112</f>
        <v>9311</v>
      </c>
      <c r="F112" s="49">
        <v>7342</v>
      </c>
      <c r="G112" s="49">
        <v>11642</v>
      </c>
      <c r="H112" s="32"/>
      <c r="I112" s="17"/>
    </row>
    <row r="113">
      <c r="A113" s="1"/>
      <c r="B113" s="15" t="s">
        <v>489</v>
      </c>
      <c r="C113" s="49">
        <v>25689</v>
      </c>
      <c r="D113" s="49">
        <v>24538</v>
      </c>
      <c r="E113" s="17">
        <f>D113</f>
        <v>24538</v>
      </c>
      <c r="F113" s="49">
        <v>-10</v>
      </c>
      <c r="G113" s="49">
        <v>-6424</v>
      </c>
      <c r="H113" s="32"/>
      <c r="I113" s="17"/>
    </row>
    <row r="114">
      <c r="A114" s="1"/>
      <c r="B114" s="15" t="s">
        <v>490</v>
      </c>
      <c r="C114" s="49">
        <v>-46412</v>
      </c>
      <c r="D114" s="49">
        <v>-29702</v>
      </c>
      <c r="E114" s="17">
        <f>D114</f>
        <v>-29702</v>
      </c>
      <c r="F114" s="49">
        <v>-3713</v>
      </c>
      <c r="G114" s="49">
        <v>-5677</v>
      </c>
      <c r="H114" s="32"/>
      <c r="I114" s="17"/>
    </row>
    <row r="115">
      <c r="A115" s="1"/>
      <c r="B115" s="15" t="s">
        <v>491</v>
      </c>
      <c r="C115" s="17">
        <f>C112+C113+C114</f>
        <v>-10649</v>
      </c>
      <c r="D115" s="17">
        <f>D112+D113+D114</f>
        <v>4147</v>
      </c>
      <c r="E115" s="17">
        <f>E112+E113+E114</f>
        <v>4147</v>
      </c>
      <c r="F115" s="17">
        <f>F112+F113+F114</f>
        <v>3619</v>
      </c>
      <c r="G115" s="17">
        <f>G112+G113+G114</f>
        <v>-459</v>
      </c>
      <c r="H115" s="32"/>
      <c r="I115" s="17"/>
    </row>
    <row r="116">
      <c r="A116" s="1"/>
      <c r="B116" s="15" t="s">
        <v>492</v>
      </c>
      <c r="C116" s="49">
        <v>65514</v>
      </c>
      <c r="D116" s="17">
        <f>C116</f>
        <v>65514</v>
      </c>
      <c r="E116" s="17">
        <f>C116</f>
        <v>65514</v>
      </c>
      <c r="F116" s="49">
        <v>69661</v>
      </c>
      <c r="G116" s="17">
        <f>F116</f>
        <v>69661</v>
      </c>
      <c r="H116" s="32"/>
      <c r="I116" s="17"/>
    </row>
    <row r="117">
      <c r="A117" s="1"/>
      <c r="B117" s="34" t="s">
        <v>493</v>
      </c>
      <c r="C117" s="75">
        <f>ROUND(SUM(C72:C111)-(C112+C113+C114),3)</f>
        <v>0</v>
      </c>
      <c r="D117" s="75">
        <f>ROUND(SUM(D72:D111)-(D112+D113+D114),3)</f>
        <v>0</v>
      </c>
      <c r="E117" s="75">
        <f>ROUND(SUM(E72:E111)-(E112+E113+E114),3)</f>
        <v>0</v>
      </c>
      <c r="F117" s="75">
        <f>ROUND(SUM(F72:F111)-(F112+F113+F114),3)</f>
        <v>0</v>
      </c>
      <c r="G117" s="75">
        <f>ROUND(SUM(G72:G111)-(G112+G113+G114),3)</f>
        <v>0</v>
      </c>
      <c r="H117" s="76"/>
      <c r="I117" s="75"/>
    </row>
    <row r="118">
      <c r="A118" s="1"/>
      <c r="B118" s="42"/>
      <c r="C118" s="8"/>
      <c r="D118" s="8"/>
      <c r="E118" s="8"/>
      <c r="F118" s="8"/>
      <c r="G118" s="8"/>
      <c r="H118" s="5"/>
      <c r="I118" s="8"/>
    </row>
    <row r="119">
      <c r="A119" s="1"/>
      <c r="B119" s="51" t="s">
        <v>494</v>
      </c>
      <c r="C119" s="7"/>
      <c r="D119" s="7"/>
      <c r="E119" s="7"/>
      <c r="F119" s="7"/>
      <c r="G119" s="7"/>
      <c r="H119" s="12"/>
      <c r="I119" s="7"/>
    </row>
    <row r="120">
      <c r="A120" s="1"/>
      <c r="B120" s="54" t="s">
        <v>495</v>
      </c>
      <c r="C120" s="147" t="s">
        <v>496</v>
      </c>
      <c r="D120" s="147" t="s">
        <v>442</v>
      </c>
      <c r="E120" s="147"/>
      <c r="F120" s="147"/>
      <c r="G120" s="147" t="s">
        <v>445</v>
      </c>
      <c r="H120" s="37"/>
      <c r="I120" s="148" t="s">
        <v>497</v>
      </c>
    </row>
    <row r="121">
      <c r="A121" s="1"/>
      <c r="B121" s="15" t="s">
        <v>498</v>
      </c>
      <c r="C121" s="49">
        <v>4035</v>
      </c>
      <c r="D121" s="17">
        <f>C72</f>
        <v>6393</v>
      </c>
      <c r="E121" s="17"/>
      <c r="F121" s="17"/>
      <c r="G121" s="17">
        <f>F72</f>
        <v>2479</v>
      </c>
      <c r="H121" s="32"/>
      <c r="I121" s="17"/>
    </row>
    <row r="122">
      <c r="A122" s="1"/>
      <c r="B122" s="15" t="s">
        <v>499</v>
      </c>
      <c r="C122" s="49">
        <v>198</v>
      </c>
      <c r="D122" s="17">
        <f>C73</f>
        <v>259</v>
      </c>
      <c r="E122" s="17"/>
      <c r="F122" s="17"/>
      <c r="G122" s="17">
        <f>F73</f>
        <v>138</v>
      </c>
      <c r="H122" s="32"/>
      <c r="I122" s="17"/>
    </row>
    <row r="123">
      <c r="A123" s="1"/>
      <c r="B123" s="15" t="s">
        <v>500</v>
      </c>
      <c r="C123" s="11">
        <f>Inputs!C139</f>
        <v>432</v>
      </c>
      <c r="D123" s="17">
        <f>C74</f>
        <v>644</v>
      </c>
      <c r="E123" s="17"/>
      <c r="F123" s="17"/>
      <c r="G123" s="17">
        <f>F74</f>
        <v>201</v>
      </c>
      <c r="H123" s="32"/>
      <c r="I123" s="17"/>
    </row>
    <row r="124">
      <c r="A124" s="1"/>
      <c r="B124" s="15" t="s">
        <v>501</v>
      </c>
      <c r="C124" s="11">
        <f>Inputs!C140</f>
        <v>258</v>
      </c>
      <c r="D124" s="17">
        <f>C75</f>
        <v>385</v>
      </c>
      <c r="E124" s="17"/>
      <c r="F124" s="17"/>
      <c r="G124" s="17">
        <f>F75</f>
        <v>132</v>
      </c>
      <c r="H124" s="32"/>
      <c r="I124" s="17"/>
    </row>
    <row r="125">
      <c r="A125" s="1"/>
      <c r="B125" s="15" t="s">
        <v>502</v>
      </c>
      <c r="C125" s="49">
        <v>-40</v>
      </c>
      <c r="D125" s="17">
        <f>C76</f>
        <v>397</v>
      </c>
      <c r="E125" s="17"/>
      <c r="F125" s="17"/>
      <c r="G125" s="17">
        <f>F76</f>
        <v>-10</v>
      </c>
      <c r="H125" s="32"/>
      <c r="I125" s="17"/>
    </row>
    <row r="126">
      <c r="A126" s="1"/>
      <c r="B126" s="15" t="s">
        <v>503</v>
      </c>
      <c r="C126" s="49">
        <v>351</v>
      </c>
      <c r="D126" s="17">
        <f>C77</f>
        <v>524</v>
      </c>
      <c r="E126" s="17"/>
      <c r="F126" s="17"/>
      <c r="G126" s="17">
        <f>F77</f>
        <v>174</v>
      </c>
      <c r="H126" s="32"/>
      <c r="I126" s="17"/>
    </row>
    <row r="127">
      <c r="A127" s="1"/>
      <c r="B127" s="15" t="s">
        <v>504</v>
      </c>
      <c r="C127" s="49">
        <v>319</v>
      </c>
      <c r="D127" s="17">
        <f>C78</f>
        <v>525</v>
      </c>
      <c r="E127" s="17"/>
      <c r="F127" s="17"/>
      <c r="G127" s="17">
        <f>F78</f>
        <v>183</v>
      </c>
      <c r="H127" s="32"/>
      <c r="I127" s="17"/>
    </row>
    <row r="128">
      <c r="A128" s="1"/>
      <c r="B128" s="15" t="s">
        <v>505</v>
      </c>
      <c r="C128" s="49">
        <v>-7403</v>
      </c>
      <c r="D128" s="17">
        <f>C79</f>
        <v>-8671</v>
      </c>
      <c r="E128" s="17"/>
      <c r="F128" s="17"/>
      <c r="G128" s="17">
        <f>F79</f>
        <v>7827</v>
      </c>
      <c r="H128" s="32"/>
      <c r="I128" s="17"/>
    </row>
    <row r="129">
      <c r="A129" s="1"/>
      <c r="B129" s="15" t="s">
        <v>506</v>
      </c>
      <c r="C129" s="49">
        <v>-1855</v>
      </c>
      <c r="D129" s="17">
        <f>C80</f>
        <v>-2288</v>
      </c>
      <c r="E129" s="17"/>
      <c r="F129" s="17"/>
      <c r="G129" s="17">
        <f>F80</f>
        <v>-4618</v>
      </c>
      <c r="H129" s="32"/>
      <c r="I129" s="17"/>
    </row>
    <row r="130">
      <c r="A130" s="1"/>
      <c r="B130" s="15" t="s">
        <v>507</v>
      </c>
      <c r="C130" s="49">
        <v>2551</v>
      </c>
      <c r="D130" s="17">
        <f>C81</f>
        <v>-8509</v>
      </c>
      <c r="E130" s="17"/>
      <c r="F130" s="17"/>
      <c r="G130" s="17">
        <f>F81</f>
        <v>-1571</v>
      </c>
      <c r="H130" s="32"/>
      <c r="I130" s="17"/>
    </row>
    <row r="131">
      <c r="A131" s="1"/>
      <c r="B131" s="15" t="s">
        <v>508</v>
      </c>
      <c r="C131" s="49">
        <v>-665</v>
      </c>
      <c r="D131" s="17">
        <f>C82</f>
        <v>-1038</v>
      </c>
      <c r="E131" s="17"/>
      <c r="F131" s="17"/>
      <c r="G131" s="17">
        <f>F82</f>
        <v>-584</v>
      </c>
      <c r="H131" s="32"/>
      <c r="I131" s="17"/>
    </row>
    <row r="132">
      <c r="A132" s="1"/>
      <c r="B132" s="15" t="s">
        <v>509</v>
      </c>
      <c r="C132" s="49">
        <v>5247</v>
      </c>
      <c r="D132" s="17">
        <f>C83</f>
        <v>9071</v>
      </c>
      <c r="E132" s="17"/>
      <c r="F132" s="17"/>
      <c r="G132" s="17">
        <f>F83</f>
        <v>2418</v>
      </c>
      <c r="H132" s="32"/>
      <c r="I132" s="17"/>
    </row>
    <row r="133">
      <c r="A133" s="1"/>
      <c r="B133" s="15" t="s">
        <v>510</v>
      </c>
      <c r="C133" s="49">
        <v>7796</v>
      </c>
      <c r="D133" s="17">
        <f>C84</f>
        <v>13838</v>
      </c>
      <c r="E133" s="17"/>
      <c r="F133" s="17"/>
      <c r="G133" s="17">
        <f>F84</f>
        <v>1645</v>
      </c>
      <c r="H133" s="32"/>
      <c r="I133" s="17"/>
    </row>
    <row r="134">
      <c r="A134" s="1"/>
      <c r="B134" s="15" t="s">
        <v>511</v>
      </c>
      <c r="C134" s="49">
        <v>-1688</v>
      </c>
      <c r="D134" s="17">
        <f>C85</f>
        <v>-1456</v>
      </c>
      <c r="E134" s="17"/>
      <c r="F134" s="17"/>
      <c r="G134" s="17">
        <f>F85</f>
        <v>-1072</v>
      </c>
      <c r="H134" s="32"/>
      <c r="I134" s="17"/>
    </row>
    <row r="135">
      <c r="A135" s="1"/>
      <c r="B135" s="15" t="s">
        <v>512</v>
      </c>
      <c r="C135" s="49">
        <v>-1887</v>
      </c>
      <c r="D135" s="17">
        <f>C86</f>
        <v>-2746</v>
      </c>
      <c r="E135" s="17"/>
      <c r="F135" s="17"/>
      <c r="G135" s="17">
        <f>F86</f>
        <v>-2199</v>
      </c>
      <c r="H135" s="32"/>
      <c r="I135" s="17"/>
    </row>
    <row r="136">
      <c r="A136" s="1"/>
      <c r="B136" s="15" t="s">
        <v>513</v>
      </c>
      <c r="C136" s="49">
        <v>4205</v>
      </c>
      <c r="D136" s="17">
        <f>C87</f>
        <v>5411</v>
      </c>
      <c r="E136" s="17"/>
      <c r="F136" s="17"/>
      <c r="G136" s="17">
        <f>F87</f>
        <v>1541</v>
      </c>
      <c r="H136" s="32"/>
      <c r="I136" s="17"/>
    </row>
    <row r="137">
      <c r="A137" s="1"/>
      <c r="B137" s="15" t="s">
        <v>514</v>
      </c>
      <c r="C137" s="49">
        <v>14893</v>
      </c>
      <c r="D137" s="17">
        <f>C88</f>
        <v>20405</v>
      </c>
      <c r="E137" s="17"/>
      <c r="F137" s="17"/>
      <c r="G137" s="17">
        <f>F88</f>
        <v>1838</v>
      </c>
      <c r="H137" s="32"/>
      <c r="I137" s="17"/>
    </row>
    <row r="138">
      <c r="A138" s="1"/>
      <c r="B138" s="15" t="s">
        <v>515</v>
      </c>
      <c r="C138" s="49">
        <v>-429</v>
      </c>
      <c r="D138" s="17">
        <f>C89</f>
        <v>-676</v>
      </c>
      <c r="E138" s="17"/>
      <c r="F138" s="17"/>
      <c r="G138" s="17">
        <f>F89</f>
        <v>-635</v>
      </c>
      <c r="H138" s="32"/>
      <c r="I138" s="17"/>
    </row>
    <row r="139">
      <c r="A139" s="1"/>
      <c r="B139" s="15" t="s">
        <v>516</v>
      </c>
      <c r="C139" s="49">
        <v>8047</v>
      </c>
      <c r="D139" s="17">
        <f>C90</f>
        <v>11707</v>
      </c>
      <c r="E139" s="17"/>
      <c r="F139" s="17"/>
      <c r="G139" s="17">
        <f>F90</f>
        <v>3319</v>
      </c>
      <c r="H139" s="32"/>
      <c r="I139" s="17"/>
    </row>
    <row r="140">
      <c r="A140" s="1"/>
      <c r="B140" s="15" t="s">
        <v>517</v>
      </c>
      <c r="C140" s="49">
        <v>-5230</v>
      </c>
      <c r="D140" s="17">
        <f>C91</f>
        <v>-8426</v>
      </c>
      <c r="E140" s="17"/>
      <c r="F140" s="17"/>
      <c r="G140" s="17">
        <f>F91</f>
        <v>-3021</v>
      </c>
      <c r="H140" s="32"/>
      <c r="I140" s="17"/>
    </row>
    <row r="141">
      <c r="A141" s="1"/>
      <c r="B141" s="15" t="s">
        <v>518</v>
      </c>
      <c r="C141" s="49">
        <v>0</v>
      </c>
      <c r="D141" s="17">
        <f>C92</f>
        <v>0</v>
      </c>
      <c r="E141" s="17"/>
      <c r="F141" s="17"/>
      <c r="G141" s="17">
        <f>F92</f>
        <v>-577</v>
      </c>
      <c r="H141" s="32"/>
      <c r="I141" s="17"/>
    </row>
    <row r="142">
      <c r="A142" s="1"/>
      <c r="B142" s="15" t="s">
        <v>519</v>
      </c>
      <c r="C142" s="49">
        <v>-245</v>
      </c>
      <c r="D142" s="17">
        <f>C93</f>
        <v>-390</v>
      </c>
      <c r="E142" s="17"/>
      <c r="F142" s="17"/>
      <c r="G142" s="17">
        <f>F93</f>
        <v>-140</v>
      </c>
      <c r="H142" s="32"/>
      <c r="I142" s="17"/>
    </row>
    <row r="143">
      <c r="A143" s="1"/>
      <c r="B143" s="15" t="s">
        <v>520</v>
      </c>
      <c r="C143" s="49">
        <v>-317</v>
      </c>
      <c r="D143" s="17">
        <f>C94</f>
        <v>-589</v>
      </c>
      <c r="E143" s="17"/>
      <c r="F143" s="17"/>
      <c r="G143" s="17">
        <f>F94</f>
        <v>0</v>
      </c>
      <c r="H143" s="32"/>
      <c r="I143" s="17"/>
    </row>
    <row r="144">
      <c r="A144" s="1"/>
      <c r="B144" s="15" t="s">
        <v>521</v>
      </c>
      <c r="C144" s="49">
        <v>644</v>
      </c>
      <c r="D144" s="17">
        <f>C95</f>
        <v>1262</v>
      </c>
      <c r="E144" s="17"/>
      <c r="F144" s="17"/>
      <c r="G144" s="17">
        <f>F95</f>
        <v>80</v>
      </c>
      <c r="H144" s="32"/>
      <c r="I144" s="17"/>
    </row>
    <row r="145">
      <c r="A145" s="1"/>
      <c r="B145" s="15" t="s">
        <v>522</v>
      </c>
      <c r="C145" s="49">
        <v>-9</v>
      </c>
      <c r="D145" s="17">
        <f>C96</f>
        <v>-9</v>
      </c>
      <c r="E145" s="17"/>
      <c r="F145" s="17"/>
      <c r="G145" s="17">
        <f>F96</f>
        <v>0</v>
      </c>
      <c r="H145" s="32"/>
      <c r="I145" s="17"/>
    </row>
    <row r="146">
      <c r="A146" s="1"/>
      <c r="B146" s="15" t="s">
        <v>523</v>
      </c>
      <c r="C146" s="49">
        <v>4</v>
      </c>
      <c r="D146" s="17">
        <f>C97</f>
        <v>8</v>
      </c>
      <c r="E146" s="17"/>
      <c r="F146" s="17"/>
      <c r="G146" s="17">
        <f>F97</f>
        <v>13</v>
      </c>
      <c r="H146" s="32"/>
      <c r="I146" s="17"/>
    </row>
    <row r="147">
      <c r="A147" s="1"/>
      <c r="B147" s="15" t="s">
        <v>524</v>
      </c>
      <c r="C147" s="49">
        <v>-130</v>
      </c>
      <c r="D147" s="17">
        <f>C98</f>
        <v>-268</v>
      </c>
      <c r="E147" s="17"/>
      <c r="F147" s="17"/>
      <c r="G147" s="17">
        <f>F98</f>
        <v>-229</v>
      </c>
      <c r="H147" s="32"/>
      <c r="I147" s="17"/>
    </row>
    <row r="148">
      <c r="A148" s="1"/>
      <c r="B148" s="15" t="s">
        <v>525</v>
      </c>
      <c r="C148" s="49">
        <v>-26063</v>
      </c>
      <c r="D148" s="17">
        <f>C99</f>
        <v>-20064</v>
      </c>
      <c r="E148" s="17"/>
      <c r="F148" s="17"/>
      <c r="G148" s="17">
        <f>F99</f>
        <v>-2706</v>
      </c>
      <c r="H148" s="32"/>
      <c r="I148" s="17"/>
    </row>
    <row r="149">
      <c r="A149" s="1"/>
      <c r="B149" s="15" t="s">
        <v>526</v>
      </c>
      <c r="C149" s="49">
        <v>8000</v>
      </c>
      <c r="D149" s="17">
        <f>C100</f>
        <v>16760</v>
      </c>
      <c r="E149" s="17"/>
      <c r="F149" s="17"/>
      <c r="G149" s="17">
        <f>F100</f>
        <v>0</v>
      </c>
      <c r="H149" s="32"/>
      <c r="I149" s="17"/>
    </row>
    <row r="150">
      <c r="A150" s="1"/>
      <c r="B150" s="15" t="s">
        <v>527</v>
      </c>
      <c r="C150" s="49">
        <v>-15700</v>
      </c>
      <c r="D150" s="17">
        <f>C101</f>
        <v>-32610</v>
      </c>
      <c r="E150" s="17"/>
      <c r="F150" s="17"/>
      <c r="G150" s="17">
        <f>F101</f>
        <v>-1850</v>
      </c>
      <c r="H150" s="32"/>
      <c r="I150" s="17"/>
    </row>
    <row r="151">
      <c r="A151" s="1"/>
      <c r="B151" s="15" t="s">
        <v>528</v>
      </c>
      <c r="C151" s="49">
        <v>20359</v>
      </c>
      <c r="D151" s="17">
        <f>C102</f>
        <v>27528</v>
      </c>
      <c r="E151" s="17"/>
      <c r="F151" s="17"/>
      <c r="G151" s="17">
        <f>F102</f>
        <v>17137</v>
      </c>
      <c r="H151" s="32"/>
      <c r="I151" s="17"/>
    </row>
    <row r="152">
      <c r="A152" s="1"/>
      <c r="B152" s="15" t="s">
        <v>529</v>
      </c>
      <c r="C152" s="49">
        <v>-17906</v>
      </c>
      <c r="D152" s="17">
        <f>C103</f>
        <v>-27023</v>
      </c>
      <c r="E152" s="17"/>
      <c r="F152" s="17"/>
      <c r="G152" s="17">
        <f>F103</f>
        <v>-11594</v>
      </c>
      <c r="H152" s="32"/>
      <c r="I152" s="17"/>
    </row>
    <row r="153">
      <c r="A153" s="1"/>
      <c r="B153" s="15" t="s">
        <v>530</v>
      </c>
      <c r="C153" s="49">
        <v>0</v>
      </c>
      <c r="D153" s="17">
        <f>C104</f>
        <v>0</v>
      </c>
      <c r="E153" s="17"/>
      <c r="F153" s="17"/>
      <c r="G153" s="17">
        <f>F104</f>
        <v>0</v>
      </c>
      <c r="H153" s="32"/>
      <c r="I153" s="17"/>
    </row>
    <row r="154">
      <c r="A154" s="1"/>
      <c r="B154" s="15" t="s">
        <v>531</v>
      </c>
      <c r="C154" s="49">
        <v>-2237</v>
      </c>
      <c r="D154" s="17">
        <f>C105</f>
        <v>-2243</v>
      </c>
      <c r="E154" s="17"/>
      <c r="F154" s="17"/>
      <c r="G154" s="17">
        <f>F105</f>
        <v>-1608</v>
      </c>
      <c r="H154" s="32"/>
      <c r="I154" s="17"/>
    </row>
    <row r="155">
      <c r="A155" s="1"/>
      <c r="B155" s="15" t="s">
        <v>532</v>
      </c>
      <c r="C155" s="49">
        <v>-1833</v>
      </c>
      <c r="D155" s="17">
        <f>C106</f>
        <v>-4581</v>
      </c>
      <c r="E155" s="17"/>
      <c r="F155" s="17"/>
      <c r="G155" s="17">
        <f>F106</f>
        <v>-2378</v>
      </c>
      <c r="H155" s="32"/>
      <c r="I155" s="17"/>
    </row>
    <row r="156">
      <c r="A156" s="1"/>
      <c r="B156" s="15" t="s">
        <v>533</v>
      </c>
      <c r="C156" s="49">
        <v>0</v>
      </c>
      <c r="D156" s="17">
        <f>C107</f>
        <v>0</v>
      </c>
      <c r="E156" s="17"/>
      <c r="F156" s="17"/>
      <c r="G156" s="17">
        <f>F107</f>
        <v>0</v>
      </c>
      <c r="H156" s="32"/>
      <c r="I156" s="17"/>
    </row>
    <row r="157">
      <c r="A157" s="1"/>
      <c r="B157" s="15" t="s">
        <v>534</v>
      </c>
      <c r="C157" s="49">
        <v>-2458</v>
      </c>
      <c r="D157" s="17">
        <f>C108</f>
        <v>-2458</v>
      </c>
      <c r="E157" s="17"/>
      <c r="F157" s="17"/>
      <c r="G157" s="17">
        <f>F108</f>
        <v>0</v>
      </c>
      <c r="H157" s="32"/>
      <c r="I157" s="17"/>
    </row>
    <row r="158">
      <c r="A158" s="1"/>
      <c r="B158" s="15" t="s">
        <v>535</v>
      </c>
      <c r="C158" s="49">
        <v>-1203</v>
      </c>
      <c r="D158" s="17">
        <f>C109</f>
        <v>-1765</v>
      </c>
      <c r="E158" s="17"/>
      <c r="F158" s="17"/>
      <c r="G158" s="17">
        <f>F109</f>
        <v>-632</v>
      </c>
      <c r="H158" s="32"/>
      <c r="I158" s="17"/>
    </row>
    <row r="159">
      <c r="A159" s="1"/>
      <c r="B159" s="15" t="s">
        <v>536</v>
      </c>
      <c r="C159" s="49">
        <v>109</v>
      </c>
      <c r="D159" s="17">
        <f>C110</f>
        <v>141</v>
      </c>
      <c r="E159" s="17"/>
      <c r="F159" s="17"/>
      <c r="G159" s="17">
        <f>F110</f>
        <v>47</v>
      </c>
      <c r="H159" s="32"/>
      <c r="I159" s="17"/>
    </row>
    <row r="160">
      <c r="A160" s="1"/>
      <c r="B160" s="15" t="s">
        <v>537</v>
      </c>
      <c r="C160" s="49">
        <v>-95</v>
      </c>
      <c r="D160" s="17">
        <f>C111</f>
        <v>-97</v>
      </c>
      <c r="E160" s="17"/>
      <c r="F160" s="17"/>
      <c r="G160" s="17">
        <f>F111</f>
        <v>-129</v>
      </c>
      <c r="H160" s="32"/>
      <c r="I160" s="17"/>
    </row>
    <row r="161">
      <c r="A161" s="1"/>
      <c r="B161" s="15" t="s">
        <v>538</v>
      </c>
      <c r="C161" s="49">
        <v>-9945</v>
      </c>
      <c r="D161" s="17">
        <f>C115</f>
        <v>-10649</v>
      </c>
      <c r="E161" s="17"/>
      <c r="F161" s="17"/>
      <c r="G161" s="17">
        <f>F115</f>
        <v>3619</v>
      </c>
      <c r="H161" s="32"/>
      <c r="I161" s="17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539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58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540</v>
      </c>
      <c r="C9" s="7"/>
      <c r="D9" s="7"/>
      <c r="E9" s="7"/>
      <c r="F9" s="7"/>
      <c r="G9" s="7"/>
      <c r="H9" s="12"/>
      <c r="I9" s="7"/>
    </row>
    <row r="10">
      <c r="A10" s="1"/>
      <c r="B10" s="15" t="s">
        <v>541</v>
      </c>
      <c r="C10" s="49">
        <v>2074.189</v>
      </c>
      <c r="D10" s="49">
        <v>2074.189</v>
      </c>
      <c r="E10" s="17">
        <f>D10</f>
        <v>2074.189</v>
      </c>
      <c r="F10" s="49">
        <v>2074.189</v>
      </c>
      <c r="G10" s="49">
        <v>2074.189</v>
      </c>
      <c r="H10" s="32">
        <f>G10</f>
        <v>2074.189</v>
      </c>
      <c r="I10" s="17"/>
    </row>
    <row r="11">
      <c r="A11" s="1"/>
      <c r="B11" s="15" t="s">
        <v>542</v>
      </c>
      <c r="C11" s="49">
        <v>287.497</v>
      </c>
      <c r="D11" s="49">
        <v>315.864</v>
      </c>
      <c r="E11" s="17">
        <f>D11</f>
        <v>315.864</v>
      </c>
      <c r="F11" s="49">
        <v>336.068</v>
      </c>
      <c r="G11" s="49">
        <v>346.07</v>
      </c>
      <c r="H11" s="32">
        <f>H10-H12</f>
        <v>349.98698113207547</v>
      </c>
      <c r="I11" s="17"/>
    </row>
    <row r="12">
      <c r="A12" s="1"/>
      <c r="B12" s="53" t="s">
        <v>543</v>
      </c>
      <c r="C12" s="27">
        <f>C10-C11</f>
        <v>1786.6919999999998</v>
      </c>
      <c r="D12" s="27">
        <f>D10-D11</f>
        <v>1758.3249999999998</v>
      </c>
      <c r="E12" s="27">
        <f>E10-E11</f>
        <v>1758.3249999999998</v>
      </c>
      <c r="F12" s="27">
        <f>F10-F11</f>
        <v>1738.1209999999999</v>
      </c>
      <c r="G12" s="27">
        <f>G10-G11</f>
        <v>1728.119</v>
      </c>
      <c r="H12" s="40">
        <f>G12+H38-H35</f>
        <v>1724.2020188679244</v>
      </c>
      <c r="I12" s="55"/>
    </row>
    <row r="13">
      <c r="A13" s="1"/>
      <c r="B13" s="15" t="s">
        <v>544</v>
      </c>
      <c r="C13" s="17"/>
      <c r="D13" s="17">
        <f>IF(OR(D12="",C12=""),"",D12-C12)</f>
        <v>-28.366999999999962</v>
      </c>
      <c r="E13" s="17"/>
      <c r="F13" s="17">
        <f>IF(OR(F12="",D12=""),"",F12-D12)</f>
        <v>-20.20399999999995</v>
      </c>
      <c r="G13" s="17">
        <f>IF(OR(G12="",F12=""),"",G12-F12)</f>
        <v>-10.001999999999953</v>
      </c>
      <c r="H13" s="32">
        <f>IF(OR(H12="",G12=""),"",H12-G12)</f>
        <v>-3.9169811320755343</v>
      </c>
      <c r="I13" s="17"/>
    </row>
    <row r="14">
      <c r="A14" s="1"/>
      <c r="B14" s="34" t="s">
        <v>77</v>
      </c>
      <c r="C14" s="2"/>
      <c r="D14" s="2"/>
      <c r="E14" s="2"/>
      <c r="F14" s="2"/>
      <c r="G14" s="2"/>
      <c r="H14" s="20">
        <f>IF(OR(H12="",C12=""),"",IF(C12=0,"n/m",H12/C12-1))</f>
        <v>-0.034975239790672075</v>
      </c>
      <c r="I14" s="2"/>
    </row>
    <row r="15">
      <c r="A15" s="1"/>
      <c r="B15" s="42"/>
      <c r="C15" s="8"/>
      <c r="D15" s="8"/>
      <c r="E15" s="8"/>
      <c r="F15" s="8"/>
      <c r="G15" s="8"/>
      <c r="H15" s="5"/>
      <c r="I15" s="8"/>
    </row>
    <row r="16">
      <c r="A16" s="1"/>
      <c r="B16" s="51" t="s">
        <v>545</v>
      </c>
      <c r="C16" s="7"/>
      <c r="D16" s="7"/>
      <c r="E16" s="7"/>
      <c r="F16" s="7"/>
      <c r="G16" s="7"/>
      <c r="H16" s="12"/>
      <c r="I16" s="7"/>
    </row>
    <row r="17">
      <c r="A17" s="1"/>
      <c r="B17" s="15" t="s">
        <v>546</v>
      </c>
      <c r="C17" s="49">
        <v>1806</v>
      </c>
      <c r="D17" s="49">
        <v>1772</v>
      </c>
      <c r="E17" s="49">
        <v>1804</v>
      </c>
      <c r="F17" s="49">
        <v>1746</v>
      </c>
      <c r="G17" s="49">
        <v>1735</v>
      </c>
      <c r="H17" s="32">
        <f>G12+H38*H39-H35*H39</f>
        <v>1726.1605094339623</v>
      </c>
      <c r="I17" s="17"/>
    </row>
    <row r="18">
      <c r="A18" s="1"/>
      <c r="B18" s="15" t="s">
        <v>544</v>
      </c>
      <c r="C18" s="17"/>
      <c r="D18" s="17">
        <f>IF(OR(D17="",C17=""),"",D17-C17)</f>
        <v>-34</v>
      </c>
      <c r="E18" s="17"/>
      <c r="F18" s="17">
        <f>IF(OR(F17="",D17=""),"",F17-D17)</f>
        <v>-26</v>
      </c>
      <c r="G18" s="17">
        <f>IF(OR(G17="",F17=""),"",G17-F17)</f>
        <v>-11</v>
      </c>
      <c r="H18" s="32">
        <f>IF(OR(H17="",G17=""),"",H17-G17)</f>
        <v>-8.839490566037739</v>
      </c>
      <c r="I18" s="17"/>
    </row>
    <row r="19">
      <c r="A19" s="1"/>
      <c r="B19" s="34" t="s">
        <v>77</v>
      </c>
      <c r="C19" s="2"/>
      <c r="D19" s="2"/>
      <c r="E19" s="2"/>
      <c r="F19" s="2"/>
      <c r="G19" s="2"/>
      <c r="H19" s="20">
        <f>IF(OR(H17="",C17=""),"",IF(C17=0,"n/m",H17/C17-1))</f>
        <v>-0.04420791282726344</v>
      </c>
      <c r="I19" s="2"/>
    </row>
    <row r="20">
      <c r="A20" s="1"/>
      <c r="B20" s="15" t="s">
        <v>547</v>
      </c>
      <c r="C20" s="17">
        <f>C23-C17</f>
        <v>5</v>
      </c>
      <c r="D20" s="17">
        <f>D23-D17</f>
        <v>5</v>
      </c>
      <c r="E20" s="17">
        <f>E23-E17</f>
        <v>5</v>
      </c>
      <c r="F20" s="17">
        <f>F23-F17</f>
        <v>6</v>
      </c>
      <c r="G20" s="17">
        <f>G23-G17</f>
        <v>4</v>
      </c>
      <c r="H20" s="74">
        <v>4.5</v>
      </c>
      <c r="I20" s="17"/>
    </row>
    <row r="21">
      <c r="A21" s="1"/>
      <c r="B21" s="34" t="s">
        <v>77</v>
      </c>
      <c r="C21" s="2"/>
      <c r="D21" s="2"/>
      <c r="E21" s="2"/>
      <c r="F21" s="2"/>
      <c r="G21" s="2"/>
      <c r="H21" s="20">
        <f>IF(OR(H20="",C20=""),"",IF(C20=0,"n/m",H20/C20-1))</f>
        <v>-0.09999999999999998</v>
      </c>
      <c r="I21" s="2"/>
    </row>
    <row r="22">
      <c r="A22" s="1"/>
      <c r="B22" s="15" t="s">
        <v>78</v>
      </c>
      <c r="C22" s="17"/>
      <c r="D22" s="17">
        <f>IF(OR(D20="",C20=""),"",D20-C20)</f>
        <v>0</v>
      </c>
      <c r="E22" s="17"/>
      <c r="F22" s="17">
        <f>IF(OR(F20="",D20=""),"",F20-D20)</f>
        <v>1</v>
      </c>
      <c r="G22" s="17">
        <f>IF(OR(G20="",F20=""),"",G20-F20)</f>
        <v>-2</v>
      </c>
      <c r="H22" s="32">
        <f>IF(OR(H20="",G20=""),"",H20-G20)</f>
        <v>0.5</v>
      </c>
      <c r="I22" s="17"/>
    </row>
    <row r="23">
      <c r="A23" s="1"/>
      <c r="B23" s="53" t="s">
        <v>548</v>
      </c>
      <c r="C23" s="72">
        <v>1811</v>
      </c>
      <c r="D23" s="72">
        <v>1777</v>
      </c>
      <c r="E23" s="72">
        <v>1809</v>
      </c>
      <c r="F23" s="72">
        <v>1752</v>
      </c>
      <c r="G23" s="72">
        <v>1739</v>
      </c>
      <c r="H23" s="40">
        <f>H17+H20</f>
        <v>1730.6605094339623</v>
      </c>
      <c r="I23" s="55"/>
    </row>
    <row r="24">
      <c r="A24" s="1"/>
      <c r="B24" s="34" t="s">
        <v>61</v>
      </c>
      <c r="C24" s="2"/>
      <c r="D24" s="2"/>
      <c r="E24" s="2"/>
      <c r="F24" s="2"/>
      <c r="G24" s="2"/>
      <c r="H24" s="20">
        <f>IF(OR(H23="",C23=""),"",IF(C23=0,"n/m",H23/C23-1))</f>
        <v>-0.04436194951189276</v>
      </c>
      <c r="I24" s="2"/>
    </row>
    <row r="25">
      <c r="A25" s="1"/>
      <c r="B25" s="34" t="s">
        <v>62</v>
      </c>
      <c r="C25" s="2"/>
      <c r="D25" s="2">
        <f>IF(OR(D23="",C23=""),"",IF(C23=0,"n/m",D23/C23-1))</f>
        <v>-0.018774157923798995</v>
      </c>
      <c r="E25" s="2"/>
      <c r="F25" s="2">
        <f>IF(OR(F23="",D23=""),"",IF(D23=0,"n/m",F23/D23-1))</f>
        <v>-0.014068655036578503</v>
      </c>
      <c r="G25" s="2">
        <f>IF(OR(G23="",F23=""),"",IF(F23=0,"n/m",G23/F23-1))</f>
        <v>-0.007420091324200961</v>
      </c>
      <c r="H25" s="20">
        <f>IF(OR(H23="",G23=""),"",IF(G23=0,"n/m",H23/G23-1))</f>
        <v>-0.004795566742977431</v>
      </c>
      <c r="I25" s="2"/>
    </row>
    <row r="26">
      <c r="A26" s="1"/>
      <c r="B26" s="15" t="s">
        <v>544</v>
      </c>
      <c r="C26" s="17"/>
      <c r="D26" s="17">
        <f>IF(OR(D23="",C23=""),"",D23-C23)</f>
        <v>-34</v>
      </c>
      <c r="E26" s="17"/>
      <c r="F26" s="17">
        <f>IF(OR(F23="",D23=""),"",F23-D23)</f>
        <v>-25</v>
      </c>
      <c r="G26" s="17">
        <f>IF(OR(G23="",F23=""),"",G23-F23)</f>
        <v>-13</v>
      </c>
      <c r="H26" s="32">
        <f>IF(OR(H23="",G23=""),"",H23-G23)</f>
        <v>-8.339490566037739</v>
      </c>
      <c r="I26" s="17"/>
    </row>
    <row r="27">
      <c r="A27" s="1"/>
      <c r="B27" s="42"/>
      <c r="C27" s="8"/>
      <c r="D27" s="8"/>
      <c r="E27" s="8"/>
      <c r="F27" s="8"/>
      <c r="G27" s="8"/>
      <c r="H27" s="5"/>
      <c r="I27" s="8"/>
    </row>
    <row r="28">
      <c r="A28" s="1"/>
      <c r="B28" s="51" t="s">
        <v>549</v>
      </c>
      <c r="C28" s="7"/>
      <c r="D28" s="7"/>
      <c r="E28" s="7"/>
      <c r="F28" s="7"/>
      <c r="G28" s="7"/>
      <c r="H28" s="12"/>
      <c r="I28" s="7"/>
    </row>
    <row r="29">
      <c r="A29" s="1"/>
      <c r="B29" s="15" t="s">
        <v>550</v>
      </c>
      <c r="C29" s="11">
        <f>-'Cash Flow Statement'!C50</f>
        <v>2748</v>
      </c>
      <c r="D29" s="11">
        <f>-'Cash Flow Statement'!D50</f>
        <v>2765</v>
      </c>
      <c r="E29" s="11">
        <f>-'Cash Flow Statement'!E50</f>
        <v>7346</v>
      </c>
      <c r="F29" s="11">
        <f>-'Cash Flow Statement'!F50</f>
        <v>2378</v>
      </c>
      <c r="G29" s="11">
        <f>-'Cash Flow Statement'!G50</f>
        <v>999</v>
      </c>
      <c r="H29" s="74">
        <v>500</v>
      </c>
      <c r="I29" s="17"/>
    </row>
    <row r="30">
      <c r="A30" s="1"/>
      <c r="B30" s="34" t="s">
        <v>77</v>
      </c>
      <c r="C30" s="2"/>
      <c r="D30" s="2"/>
      <c r="E30" s="2"/>
      <c r="F30" s="2"/>
      <c r="G30" s="2"/>
      <c r="H30" s="20">
        <f>IF(OR(H29="",C29=""),"",IF(C29=0,"n/m",H29/C29-1))</f>
        <v>-0.8180494905385736</v>
      </c>
      <c r="I30" s="2"/>
    </row>
    <row r="31">
      <c r="A31" s="1"/>
      <c r="B31" s="15" t="s">
        <v>78</v>
      </c>
      <c r="C31" s="17"/>
      <c r="D31" s="17">
        <f>IF(OR(D29="",C29=""),"",D29-C29)</f>
        <v>17</v>
      </c>
      <c r="E31" s="17"/>
      <c r="F31" s="17">
        <f>IF(OR(F29="",D29=""),"",F29-D29)</f>
        <v>-387</v>
      </c>
      <c r="G31" s="17">
        <f>IF(OR(G29="",F29=""),"",G29-F29)</f>
        <v>-1379</v>
      </c>
      <c r="H31" s="32">
        <f>IF(OR(H29="",G29=""),"",H29-G29)</f>
        <v>-499</v>
      </c>
      <c r="I31" s="17"/>
    </row>
    <row r="32">
      <c r="A32" s="1"/>
      <c r="B32" s="15" t="s">
        <v>551</v>
      </c>
      <c r="C32" s="4"/>
      <c r="D32" s="4"/>
      <c r="E32" s="4"/>
      <c r="F32" s="4"/>
      <c r="G32" s="4">
        <f>G29/G35</f>
        <v>89.19642857142858</v>
      </c>
      <c r="H32" s="61">
        <v>106</v>
      </c>
      <c r="I32" s="101" t="s">
        <v>552</v>
      </c>
    </row>
    <row r="33">
      <c r="A33" s="1"/>
      <c r="B33" s="34" t="s">
        <v>77</v>
      </c>
      <c r="C33" s="2"/>
      <c r="D33" s="2"/>
      <c r="E33" s="2"/>
      <c r="F33" s="2"/>
      <c r="G33" s="2"/>
      <c r="H33" s="20" t="str">
        <f>IF(OR(H32="",C32=""),"",IF(C32=0,"n/m",H32/C32-1))</f>
        <v/>
      </c>
      <c r="I33" s="2"/>
    </row>
    <row r="34">
      <c r="A34" s="1"/>
      <c r="B34" s="15" t="s">
        <v>177</v>
      </c>
      <c r="C34" s="4"/>
      <c r="D34" s="4" t="str">
        <f>IF(OR(D32="",C32=""),"",D32-C32)</f>
        <v/>
      </c>
      <c r="E34" s="4"/>
      <c r="F34" s="4" t="str">
        <f>IF(OR(F32="",D32=""),"",F32-D32)</f>
        <v/>
      </c>
      <c r="G34" s="4" t="str">
        <f>IF(OR(G32="",F32=""),"",G32-F32)</f>
        <v/>
      </c>
      <c r="H34" s="29">
        <f>IF(OR(H32="",G32=""),"",H32-G32)</f>
        <v>16.803571428571416</v>
      </c>
      <c r="I34" s="4"/>
    </row>
    <row r="35">
      <c r="A35" s="1"/>
      <c r="B35" s="15" t="s">
        <v>553</v>
      </c>
      <c r="C35" s="17"/>
      <c r="D35" s="17"/>
      <c r="E35" s="17"/>
      <c r="F35" s="17"/>
      <c r="G35" s="49">
        <v>11.2</v>
      </c>
      <c r="H35" s="32">
        <f>H29/H32</f>
        <v>4.716981132075472</v>
      </c>
      <c r="I35" s="17"/>
    </row>
    <row r="36">
      <c r="A36" s="1"/>
      <c r="B36" s="34" t="s">
        <v>77</v>
      </c>
      <c r="C36" s="2"/>
      <c r="D36" s="2"/>
      <c r="E36" s="2"/>
      <c r="F36" s="2"/>
      <c r="G36" s="2"/>
      <c r="H36" s="20" t="str">
        <f>IF(OR(H35="",C35=""),"",IF(C35=0,"n/m",H35/C35-1))</f>
        <v/>
      </c>
      <c r="I36" s="2"/>
    </row>
    <row r="37">
      <c r="A37" s="1"/>
      <c r="B37" s="15" t="s">
        <v>78</v>
      </c>
      <c r="C37" s="17"/>
      <c r="D37" s="17" t="str">
        <f>IF(OR(D35="",C35=""),"",D35-C35)</f>
        <v/>
      </c>
      <c r="E37" s="17"/>
      <c r="F37" s="17" t="str">
        <f>IF(OR(F35="",D35=""),"",F35-D35)</f>
        <v/>
      </c>
      <c r="G37" s="17" t="str">
        <f>IF(OR(G35="",F35=""),"",G35-F35)</f>
        <v/>
      </c>
      <c r="H37" s="32">
        <f>IF(OR(H35="",G35=""),"",H35-G35)</f>
        <v>-6.483018867924527</v>
      </c>
      <c r="I37" s="17"/>
    </row>
    <row r="38">
      <c r="A38" s="1"/>
      <c r="B38" s="15" t="s">
        <v>554</v>
      </c>
      <c r="C38" s="17"/>
      <c r="D38" s="17"/>
      <c r="E38" s="17"/>
      <c r="F38" s="17"/>
      <c r="G38" s="17"/>
      <c r="H38" s="74">
        <v>0.8</v>
      </c>
      <c r="I38" s="136" t="s">
        <v>555</v>
      </c>
    </row>
    <row r="39">
      <c r="A39" s="1"/>
      <c r="B39" s="34" t="s">
        <v>556</v>
      </c>
      <c r="C39" s="2"/>
      <c r="D39" s="2"/>
      <c r="E39" s="2"/>
      <c r="F39" s="2"/>
      <c r="G39" s="2"/>
      <c r="H39" s="28">
        <v>0.5</v>
      </c>
      <c r="I39" s="2"/>
    </row>
    <row r="40">
      <c r="A40" s="1"/>
      <c r="B40" s="15" t="s">
        <v>557</v>
      </c>
      <c r="C40" s="21">
        <v>0.27</v>
      </c>
      <c r="D40" s="21">
        <v>0.27</v>
      </c>
      <c r="E40" s="21">
        <v>1.08</v>
      </c>
      <c r="F40" s="21">
        <v>0.32</v>
      </c>
      <c r="G40" s="21">
        <v>0.32</v>
      </c>
      <c r="H40" s="61">
        <v>0.32</v>
      </c>
      <c r="I40" s="4"/>
    </row>
    <row r="41">
      <c r="A41" s="1"/>
      <c r="B41" s="34" t="s">
        <v>77</v>
      </c>
      <c r="C41" s="2"/>
      <c r="D41" s="2"/>
      <c r="E41" s="2"/>
      <c r="F41" s="2"/>
      <c r="G41" s="2"/>
      <c r="H41" s="20">
        <f>IF(OR(H40="",C40=""),"",IF(C40=0,"n/m",H40/C40-1))</f>
        <v>0.18518518518518512</v>
      </c>
      <c r="I41" s="2"/>
    </row>
    <row r="42">
      <c r="A42" s="1"/>
      <c r="B42" s="15" t="s">
        <v>177</v>
      </c>
      <c r="C42" s="4"/>
      <c r="D42" s="4">
        <f>IF(OR(D40="",C40=""),"",D40-C40)</f>
        <v>0</v>
      </c>
      <c r="E42" s="4"/>
      <c r="F42" s="4">
        <f>IF(OR(F40="",D40=""),"",F40-D40)</f>
        <v>0.04999999999999999</v>
      </c>
      <c r="G42" s="4">
        <f>IF(OR(G40="",F40=""),"",G40-F40)</f>
        <v>0</v>
      </c>
      <c r="H42" s="29">
        <f>IF(OR(H40="",G40=""),"",H40-G40)</f>
        <v>0</v>
      </c>
      <c r="I42" s="4"/>
    </row>
    <row r="43">
      <c r="A43" s="1"/>
      <c r="B43" s="15" t="s">
        <v>558</v>
      </c>
      <c r="C43" s="17">
        <f>C40*C17</f>
        <v>487.62</v>
      </c>
      <c r="D43" s="17">
        <f>D40*D17</f>
        <v>478.44000000000005</v>
      </c>
      <c r="E43" s="17">
        <f>E40*E17</f>
        <v>1948.3200000000002</v>
      </c>
      <c r="F43" s="17">
        <f>F40*F17</f>
        <v>558.72</v>
      </c>
      <c r="G43" s="17">
        <f>G40*G17</f>
        <v>555.2</v>
      </c>
      <c r="H43" s="32">
        <f>H40*H17</f>
        <v>552.3713630188679</v>
      </c>
      <c r="I43" s="115" t="s">
        <v>559</v>
      </c>
    </row>
    <row r="44">
      <c r="A44" s="1"/>
      <c r="B44" s="53" t="s">
        <v>560</v>
      </c>
      <c r="C44" s="27"/>
      <c r="D44" s="27"/>
      <c r="E44" s="27"/>
      <c r="F44" s="27"/>
      <c r="G44" s="27"/>
      <c r="H44" s="40">
        <f>H23</f>
        <v>1730.6605094339623</v>
      </c>
      <c r="I44" s="55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6" customWidth="1"/>
    <col min="10" max="10" width="8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  <c r="J1" s="1"/>
    </row>
    <row r="2">
      <c r="A2" s="1"/>
      <c r="B2" s="33" t="s">
        <v>561</v>
      </c>
      <c r="C2" s="1"/>
      <c r="D2" s="1"/>
      <c r="E2" s="1"/>
      <c r="F2" s="1"/>
      <c r="G2" s="1"/>
      <c r="H2" s="1"/>
      <c r="I2" s="1"/>
      <c r="J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</row>
    <row r="4">
      <c r="A4" s="1"/>
      <c r="B4" s="25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  <c r="J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  <c r="J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  <c r="J6" s="1"/>
    </row>
    <row r="7">
      <c r="A7" s="1"/>
      <c r="B7" s="1"/>
      <c r="C7" s="1"/>
      <c r="D7" s="1"/>
      <c r="E7" s="1"/>
      <c r="F7" s="1"/>
      <c r="G7" s="1"/>
      <c r="H7" s="68"/>
      <c r="I7" s="1"/>
      <c r="J7" s="1"/>
    </row>
    <row r="8">
      <c r="A8" s="1"/>
      <c r="B8" s="42"/>
      <c r="C8" s="8"/>
      <c r="D8" s="8"/>
      <c r="E8" s="8"/>
      <c r="F8" s="8"/>
      <c r="G8" s="8"/>
      <c r="H8" s="5"/>
      <c r="I8" s="8"/>
      <c r="J8" s="8"/>
    </row>
    <row r="9">
      <c r="A9" s="1"/>
      <c r="B9" s="51" t="s">
        <v>562</v>
      </c>
      <c r="C9" s="7"/>
      <c r="D9" s="7"/>
      <c r="E9" s="7"/>
      <c r="F9" s="7"/>
      <c r="G9" s="7"/>
      <c r="H9" s="12"/>
      <c r="I9" s="7"/>
      <c r="J9" s="7"/>
    </row>
    <row r="10">
      <c r="A10" s="1"/>
      <c r="B10" s="53" t="s">
        <v>32</v>
      </c>
      <c r="C10" s="18" t="s">
        <v>563</v>
      </c>
      <c r="D10" s="18" t="s">
        <v>58</v>
      </c>
      <c r="E10" s="18" t="s">
        <v>564</v>
      </c>
      <c r="F10" s="18" t="s">
        <v>565</v>
      </c>
      <c r="G10" s="18" t="s">
        <v>566</v>
      </c>
      <c r="H10" s="141" t="s">
        <v>567</v>
      </c>
      <c r="I10" s="107" t="s">
        <v>568</v>
      </c>
      <c r="J10" s="107" t="s">
        <v>569</v>
      </c>
    </row>
    <row r="11">
      <c r="A11" s="1"/>
      <c r="B11" s="138" t="s">
        <v>570</v>
      </c>
      <c r="C11" s="22">
        <v>45856</v>
      </c>
      <c r="D11" s="109" t="s">
        <v>571</v>
      </c>
      <c r="E11" s="38">
        <v>0.185</v>
      </c>
      <c r="F11" s="38">
        <v>0.195</v>
      </c>
      <c r="G11" s="2">
        <f>AVERAGE(E11,F11)</f>
        <v>0.19</v>
      </c>
      <c r="H11" s="144">
        <f>'Income Statement'!E27/Inputs!C189-1</f>
        <v>0.2200856880546771</v>
      </c>
      <c r="I11" s="2" t="str">
        <f>IF(H11&gt;F11,"Beat (above high)",IF(H11&gt;=E11,"In range","Miss"))</f>
        <v>Beat (above high)</v>
      </c>
      <c r="J11" s="2" t="s">
        <v>572</v>
      </c>
    </row>
    <row r="12">
      <c r="A12" s="1"/>
      <c r="B12" s="138" t="s">
        <v>573</v>
      </c>
      <c r="C12" s="39">
        <v>45856</v>
      </c>
      <c r="D12" s="112" t="s">
        <v>571</v>
      </c>
      <c r="E12" s="21">
        <v>4.55</v>
      </c>
      <c r="F12" s="21">
        <v>4.65</v>
      </c>
      <c r="G12" s="4">
        <f>AVERAGE(E12,F12)</f>
        <v>4.6</v>
      </c>
      <c r="H12" s="139">
        <f>'Income Statement'!E99</f>
        <v>4.868435599778883</v>
      </c>
      <c r="I12" s="4" t="str">
        <f>IF(H12&gt;F12,"Beat (above high)",IF(H12&gt;=E12,"In range","Miss"))</f>
        <v>Beat (above high)</v>
      </c>
      <c r="J12" s="4" t="s">
        <v>572</v>
      </c>
    </row>
    <row r="13">
      <c r="A13" s="1"/>
      <c r="B13" s="138" t="s">
        <v>570</v>
      </c>
      <c r="C13" s="22">
        <v>46043</v>
      </c>
      <c r="D13" s="109" t="s">
        <v>574</v>
      </c>
      <c r="E13" s="38">
        <v>0.095</v>
      </c>
      <c r="F13" s="38">
        <v>0.105</v>
      </c>
      <c r="G13" s="2">
        <f>AVERAGE(E13,F13)</f>
        <v>0.1</v>
      </c>
      <c r="H13" s="137" t="s">
        <v>575</v>
      </c>
      <c r="I13" s="2" t="s">
        <v>576</v>
      </c>
      <c r="J13" s="2" t="s">
        <v>577</v>
      </c>
    </row>
    <row r="14">
      <c r="A14" s="1"/>
      <c r="B14" s="138" t="s">
        <v>578</v>
      </c>
      <c r="C14" s="22">
        <v>46043</v>
      </c>
      <c r="D14" s="114" t="s">
        <v>574</v>
      </c>
      <c r="E14" s="56">
        <v>0.0285</v>
      </c>
      <c r="F14" s="56">
        <v>0.0295</v>
      </c>
      <c r="G14" s="16">
        <f>AVERAGE(E14,F14)</f>
        <v>0.028999999999999998</v>
      </c>
      <c r="H14" s="143" t="s">
        <v>575</v>
      </c>
      <c r="I14" s="16" t="s">
        <v>576</v>
      </c>
      <c r="J14" s="16" t="s">
        <v>577</v>
      </c>
    </row>
    <row r="15">
      <c r="A15" s="1"/>
      <c r="B15" s="138" t="s">
        <v>579</v>
      </c>
      <c r="C15" s="22">
        <v>46043</v>
      </c>
      <c r="D15" s="109" t="s">
        <v>574</v>
      </c>
      <c r="E15" s="38">
        <v>0.055</v>
      </c>
      <c r="F15" s="38">
        <v>0.065</v>
      </c>
      <c r="G15" s="2">
        <f>AVERAGE(E15,F15)</f>
        <v>0.06</v>
      </c>
      <c r="H15" s="137" t="s">
        <v>575</v>
      </c>
      <c r="I15" s="2" t="s">
        <v>576</v>
      </c>
      <c r="J15" s="2" t="s">
        <v>577</v>
      </c>
    </row>
    <row r="16">
      <c r="A16" s="1"/>
      <c r="B16" s="138" t="s">
        <v>573</v>
      </c>
      <c r="C16" s="39">
        <v>46043</v>
      </c>
      <c r="D16" s="112" t="s">
        <v>574</v>
      </c>
      <c r="E16" s="21">
        <v>5.7</v>
      </c>
      <c r="F16" s="21">
        <v>5.8</v>
      </c>
      <c r="G16" s="4">
        <f>AVERAGE(E16,F16)</f>
        <v>5.75</v>
      </c>
      <c r="H16" s="140" t="s">
        <v>575</v>
      </c>
      <c r="I16" s="4" t="s">
        <v>576</v>
      </c>
      <c r="J16" s="4" t="s">
        <v>577</v>
      </c>
    </row>
    <row r="17">
      <c r="A17" s="1"/>
      <c r="B17" s="138" t="s">
        <v>570</v>
      </c>
      <c r="C17" s="22">
        <v>46156</v>
      </c>
      <c r="D17" s="109" t="s">
        <v>574</v>
      </c>
      <c r="E17" s="38">
        <v>0.14</v>
      </c>
      <c r="F17" s="38">
        <v>0.15</v>
      </c>
      <c r="G17" s="2">
        <f>AVERAGE(E17,F17)</f>
        <v>0.14500000000000002</v>
      </c>
      <c r="H17" s="137" t="s">
        <v>575</v>
      </c>
      <c r="I17" s="2" t="s">
        <v>576</v>
      </c>
      <c r="J17" s="2" t="s">
        <v>580</v>
      </c>
    </row>
    <row r="18">
      <c r="A18" s="1"/>
      <c r="B18" s="138" t="s">
        <v>579</v>
      </c>
      <c r="C18" s="22">
        <v>46156</v>
      </c>
      <c r="D18" s="109" t="s">
        <v>574</v>
      </c>
      <c r="E18" s="38">
        <v>0.085</v>
      </c>
      <c r="F18" s="38">
        <v>0.095</v>
      </c>
      <c r="G18" s="2">
        <f>AVERAGE(E18,F18)</f>
        <v>0.09</v>
      </c>
      <c r="H18" s="137" t="s">
        <v>575</v>
      </c>
      <c r="I18" s="2" t="s">
        <v>576</v>
      </c>
      <c r="J18" s="2" t="s">
        <v>580</v>
      </c>
    </row>
    <row r="19">
      <c r="A19" s="1"/>
      <c r="B19" s="138" t="s">
        <v>570</v>
      </c>
      <c r="C19" s="22">
        <v>46224</v>
      </c>
      <c r="D19" s="109" t="s">
        <v>574</v>
      </c>
      <c r="E19" s="38">
        <v>0.175</v>
      </c>
      <c r="F19" s="38">
        <v>0.185</v>
      </c>
      <c r="G19" s="2">
        <f>AVERAGE(E19,F19)</f>
        <v>0.18</v>
      </c>
      <c r="H19" s="137" t="s">
        <v>575</v>
      </c>
      <c r="I19" s="2" t="s">
        <v>576</v>
      </c>
      <c r="J19" s="2" t="s">
        <v>581</v>
      </c>
    </row>
    <row r="20">
      <c r="A20" s="1"/>
      <c r="B20" s="138" t="s">
        <v>578</v>
      </c>
      <c r="C20" s="22">
        <v>46224</v>
      </c>
      <c r="D20" s="114" t="s">
        <v>574</v>
      </c>
      <c r="E20" s="56">
        <v>0.03</v>
      </c>
      <c r="F20" s="56">
        <v>0.031</v>
      </c>
      <c r="G20" s="16">
        <f>AVERAGE(E20,F20)</f>
        <v>0.0305</v>
      </c>
      <c r="H20" s="143" t="s">
        <v>575</v>
      </c>
      <c r="I20" s="16" t="s">
        <v>576</v>
      </c>
      <c r="J20" s="16" t="s">
        <v>581</v>
      </c>
    </row>
    <row r="21">
      <c r="A21" s="1"/>
      <c r="B21" s="138" t="s">
        <v>582</v>
      </c>
      <c r="C21" s="22">
        <v>46224</v>
      </c>
      <c r="D21" s="114" t="s">
        <v>583</v>
      </c>
      <c r="E21" s="56">
        <v>0.0325</v>
      </c>
      <c r="F21" s="56">
        <v>0.033</v>
      </c>
      <c r="G21" s="16">
        <f>AVERAGE(E21,F21)</f>
        <v>0.03275</v>
      </c>
      <c r="H21" s="143" t="s">
        <v>575</v>
      </c>
      <c r="I21" s="16" t="s">
        <v>576</v>
      </c>
      <c r="J21" s="16" t="s">
        <v>581</v>
      </c>
    </row>
    <row r="22">
      <c r="A22" s="1"/>
      <c r="B22" s="138" t="s">
        <v>579</v>
      </c>
      <c r="C22" s="22">
        <v>46224</v>
      </c>
      <c r="D22" s="109" t="s">
        <v>574</v>
      </c>
      <c r="E22" s="38">
        <v>0.095</v>
      </c>
      <c r="F22" s="38">
        <v>0.105</v>
      </c>
      <c r="G22" s="2">
        <f>AVERAGE(E22,F22)</f>
        <v>0.1</v>
      </c>
      <c r="H22" s="137" t="s">
        <v>575</v>
      </c>
      <c r="I22" s="2" t="s">
        <v>576</v>
      </c>
      <c r="J22" s="2" t="s">
        <v>581</v>
      </c>
    </row>
    <row r="23">
      <c r="A23" s="1"/>
      <c r="B23" s="138" t="s">
        <v>584</v>
      </c>
      <c r="C23" s="39">
        <v>46224</v>
      </c>
      <c r="D23" s="105" t="s">
        <v>574</v>
      </c>
      <c r="E23" s="49">
        <v>10.6</v>
      </c>
      <c r="F23" s="49">
        <v>10.6</v>
      </c>
      <c r="G23" s="17">
        <f>AVERAGE(E23,F23)</f>
        <v>10.6</v>
      </c>
      <c r="H23" s="142" t="s">
        <v>575</v>
      </c>
      <c r="I23" s="17" t="s">
        <v>576</v>
      </c>
      <c r="J23" s="17" t="s">
        <v>581</v>
      </c>
    </row>
    <row r="24">
      <c r="A24" s="1"/>
      <c r="B24" s="138" t="s">
        <v>585</v>
      </c>
      <c r="C24" s="22">
        <v>46224</v>
      </c>
      <c r="D24" s="109" t="s">
        <v>586</v>
      </c>
      <c r="E24" s="128">
        <v>0.0675</v>
      </c>
      <c r="F24" s="128">
        <v>0.07</v>
      </c>
      <c r="G24" s="130">
        <f>AVERAGE(E24,F24)</f>
        <v>0.06875</v>
      </c>
      <c r="H24" s="145">
        <v>0.068</v>
      </c>
      <c r="I24" s="2" t="str">
        <f>IF(H24&gt;F24,"Beat (above high)",IF(H24&gt;=E24,"In range","Miss"))</f>
        <v>In range</v>
      </c>
      <c r="J24" s="2" t="s">
        <v>587</v>
      </c>
    </row>
    <row r="25">
      <c r="A25" s="1"/>
      <c r="B25" s="138" t="s">
        <v>588</v>
      </c>
      <c r="C25" s="22">
        <v>46078</v>
      </c>
      <c r="D25" s="109" t="s">
        <v>574</v>
      </c>
      <c r="E25" s="38">
        <v>0.03</v>
      </c>
      <c r="F25" s="38">
        <v>0.05</v>
      </c>
      <c r="G25" s="2">
        <f>AVERAGE(E25,F25)</f>
        <v>0.04</v>
      </c>
      <c r="H25" s="137" t="s">
        <v>575</v>
      </c>
      <c r="I25" s="2" t="s">
        <v>576</v>
      </c>
      <c r="J25" s="2" t="s">
        <v>589</v>
      </c>
    </row>
    <row r="26">
      <c r="A26" s="1"/>
      <c r="B26" s="54" t="s">
        <v>590</v>
      </c>
      <c r="C26" s="14"/>
      <c r="D26" s="14"/>
      <c r="E26" s="14"/>
      <c r="F26" s="14"/>
      <c r="G26" s="14"/>
      <c r="H26" s="37"/>
      <c r="I26" s="14"/>
      <c r="J26" s="14"/>
    </row>
    <row r="27">
      <c r="A27" s="1"/>
      <c r="B27" s="42"/>
      <c r="C27" s="8"/>
      <c r="D27" s="8"/>
      <c r="E27" s="8"/>
      <c r="F27" s="8"/>
      <c r="G27" s="8"/>
      <c r="H27" s="5"/>
      <c r="I27" s="8"/>
      <c r="J27" s="8"/>
    </row>
    <row r="28">
      <c r="A28" s="1"/>
      <c r="B28" s="51" t="s">
        <v>591</v>
      </c>
      <c r="C28" s="7"/>
      <c r="D28" s="7"/>
      <c r="E28" s="7"/>
      <c r="F28" s="7"/>
      <c r="G28" s="7"/>
      <c r="H28" s="12"/>
      <c r="I28" s="7"/>
      <c r="J28" s="7"/>
    </row>
    <row r="29">
      <c r="A29" s="1"/>
      <c r="B29" s="15" t="s">
        <v>592</v>
      </c>
      <c r="C29" s="17"/>
      <c r="D29" s="17"/>
      <c r="E29" s="17"/>
      <c r="F29" s="17"/>
      <c r="G29" s="17"/>
      <c r="H29" s="44">
        <f>'Income Statement'!E27*(1+G19)</f>
        <v>28226.78</v>
      </c>
      <c r="I29" s="17"/>
      <c r="J29" s="17"/>
    </row>
    <row r="30">
      <c r="A30" s="1"/>
      <c r="B30" s="15" t="s">
        <v>593</v>
      </c>
      <c r="C30" s="17"/>
      <c r="D30" s="17"/>
      <c r="E30" s="17"/>
      <c r="F30" s="17"/>
      <c r="G30" s="17"/>
      <c r="H30" s="44">
        <f>'Income Statement'!F27+'Income Statement'!G27</f>
        <v>13554</v>
      </c>
      <c r="I30" s="17"/>
      <c r="J30" s="17"/>
    </row>
    <row r="31">
      <c r="A31" s="1"/>
      <c r="B31" s="53" t="s">
        <v>594</v>
      </c>
      <c r="C31" s="27"/>
      <c r="D31" s="27"/>
      <c r="E31" s="27"/>
      <c r="F31" s="27"/>
      <c r="G31" s="27"/>
      <c r="H31" s="40">
        <f>H29-H30</f>
        <v>14672.779999999999</v>
      </c>
      <c r="I31" s="55"/>
      <c r="J31" s="55"/>
    </row>
    <row r="32">
      <c r="A32" s="1"/>
      <c r="B32" s="34" t="s">
        <v>595</v>
      </c>
      <c r="C32" s="2"/>
      <c r="D32" s="2"/>
      <c r="E32" s="2"/>
      <c r="F32" s="2"/>
      <c r="G32" s="2"/>
      <c r="H32" s="28">
        <v>0.492</v>
      </c>
      <c r="I32" s="2"/>
      <c r="J32" s="2"/>
    </row>
    <row r="33">
      <c r="A33" s="1"/>
      <c r="B33" s="53" t="s">
        <v>596</v>
      </c>
      <c r="C33" s="27"/>
      <c r="D33" s="27"/>
      <c r="E33" s="27"/>
      <c r="F33" s="27"/>
      <c r="G33" s="27"/>
      <c r="H33" s="40">
        <f>H31*H32</f>
        <v>7219.0077599999995</v>
      </c>
      <c r="I33" s="55"/>
      <c r="J33" s="55"/>
    </row>
    <row r="34">
      <c r="A34" s="1"/>
      <c r="B34" s="15" t="s">
        <v>597</v>
      </c>
      <c r="C34" s="17"/>
      <c r="D34" s="17"/>
      <c r="E34" s="17"/>
      <c r="F34" s="17"/>
      <c r="G34" s="17"/>
      <c r="H34" s="44">
        <f>Inputs!C190*(1+G22)</f>
        <v>13145.000000000002</v>
      </c>
      <c r="I34" s="17"/>
      <c r="J34" s="17"/>
    </row>
    <row r="35">
      <c r="A35" s="1"/>
      <c r="B35" s="15" t="s">
        <v>598</v>
      </c>
      <c r="C35" s="17"/>
      <c r="D35" s="17"/>
      <c r="E35" s="17"/>
      <c r="F35" s="17"/>
      <c r="G35" s="17"/>
      <c r="H35" s="44">
        <f>H34-Inputs!C191</f>
        <v>6761.000000000002</v>
      </c>
      <c r="I35" s="17"/>
      <c r="J35" s="17"/>
    </row>
    <row r="36">
      <c r="A36" s="1"/>
      <c r="B36" s="34" t="s">
        <v>599</v>
      </c>
      <c r="C36" s="2"/>
      <c r="D36" s="2"/>
      <c r="E36" s="2"/>
      <c r="F36" s="2"/>
      <c r="G36" s="2"/>
      <c r="H36" s="28">
        <v>0.494</v>
      </c>
      <c r="I36" s="2"/>
      <c r="J36" s="2"/>
    </row>
    <row r="37">
      <c r="A37" s="1"/>
      <c r="B37" s="15" t="s">
        <v>600</v>
      </c>
      <c r="C37" s="17"/>
      <c r="D37" s="17"/>
      <c r="E37" s="17"/>
      <c r="F37" s="17"/>
      <c r="G37" s="17"/>
      <c r="H37" s="32">
        <f>H35*H36</f>
        <v>3339.9340000000007</v>
      </c>
      <c r="I37" s="17"/>
      <c r="J37" s="17"/>
    </row>
    <row r="38">
      <c r="A38" s="1"/>
      <c r="B38" s="15" t="s">
        <v>601</v>
      </c>
      <c r="C38" s="17"/>
      <c r="D38" s="17"/>
      <c r="E38" s="17"/>
      <c r="F38" s="17"/>
      <c r="G38" s="17"/>
      <c r="H38" s="32">
        <f>H33-H37</f>
        <v>3879.073759999999</v>
      </c>
      <c r="I38" s="17"/>
      <c r="J38" s="17"/>
    </row>
    <row r="39">
      <c r="A39" s="1"/>
      <c r="B39" s="15" t="s">
        <v>602</v>
      </c>
      <c r="C39" s="17"/>
      <c r="D39" s="17"/>
      <c r="E39" s="17"/>
      <c r="F39" s="17"/>
      <c r="G39" s="17"/>
      <c r="H39" s="44">
        <f>H38*(1-('Income Statement'!H59-'Income Statement'!H88)/'Income Statement'!H110)-'Income Statement'!H69</f>
        <v>2901.8168733993352</v>
      </c>
      <c r="I39" s="115" t="s">
        <v>603</v>
      </c>
      <c r="J39" s="17"/>
    </row>
    <row r="40">
      <c r="A40" s="1"/>
      <c r="B40" s="53" t="s">
        <v>604</v>
      </c>
      <c r="C40" s="50"/>
      <c r="D40" s="50"/>
      <c r="E40" s="50"/>
      <c r="F40" s="50"/>
      <c r="G40" s="50"/>
      <c r="H40" s="63">
        <f>H39/'Income Statement'!H76</f>
        <v>1.6767106301792354</v>
      </c>
      <c r="I40" s="19"/>
      <c r="J40" s="19"/>
    </row>
    <row r="41">
      <c r="A41" s="1"/>
      <c r="B41" s="34" t="s">
        <v>605</v>
      </c>
      <c r="C41" s="16"/>
      <c r="D41" s="16"/>
      <c r="E41" s="16"/>
      <c r="F41" s="16"/>
      <c r="G41" s="16"/>
      <c r="H41" s="59">
        <f>'Revenue summary'!H237</f>
        <v>0.030311845536867672</v>
      </c>
      <c r="I41" s="16"/>
      <c r="J41" s="16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2" width="14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33" t="s">
        <v>606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25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  <c r="J4" s="1"/>
      <c r="K4" s="1"/>
      <c r="L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  <c r="J5" s="1"/>
      <c r="K5" s="1"/>
      <c r="L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  <c r="J6" s="1"/>
      <c r="K6" s="1"/>
      <c r="L6" s="1"/>
    </row>
    <row r="7">
      <c r="A7" s="1"/>
      <c r="B7" s="1"/>
      <c r="C7" s="1"/>
      <c r="D7" s="1"/>
      <c r="E7" s="1"/>
      <c r="F7" s="1"/>
      <c r="G7" s="1"/>
      <c r="H7" s="68"/>
      <c r="I7" s="1"/>
      <c r="J7" s="1"/>
      <c r="K7" s="1"/>
      <c r="L7" s="1"/>
    </row>
    <row r="8">
      <c r="A8" s="1"/>
      <c r="B8" s="42"/>
      <c r="C8" s="8"/>
      <c r="D8" s="8"/>
      <c r="E8" s="8"/>
      <c r="F8" s="8"/>
      <c r="G8" s="8"/>
      <c r="H8" s="5"/>
      <c r="I8" s="8"/>
      <c r="J8" s="8"/>
      <c r="K8" s="8"/>
      <c r="L8" s="8"/>
    </row>
    <row r="9">
      <c r="A9" s="1"/>
      <c r="B9" s="51" t="s">
        <v>607</v>
      </c>
      <c r="C9" s="7"/>
      <c r="D9" s="7"/>
      <c r="E9" s="7"/>
      <c r="F9" s="7"/>
      <c r="G9" s="7"/>
      <c r="H9" s="12"/>
      <c r="I9" s="7"/>
      <c r="J9" s="7"/>
      <c r="K9" s="7"/>
      <c r="L9" s="7"/>
    </row>
    <row r="10">
      <c r="A10" s="1"/>
      <c r="B10" s="54" t="s">
        <v>608</v>
      </c>
      <c r="C10" s="14"/>
      <c r="D10" s="14"/>
      <c r="E10" s="14"/>
      <c r="F10" s="14"/>
      <c r="G10" s="14"/>
      <c r="H10" s="37"/>
      <c r="I10" s="14"/>
      <c r="J10" s="14"/>
      <c r="K10" s="14"/>
      <c r="L10" s="14"/>
    </row>
    <row r="11">
      <c r="A11" s="1"/>
      <c r="B11" s="15" t="s">
        <v>609</v>
      </c>
      <c r="C11" s="8" t="s">
        <v>16</v>
      </c>
      <c r="D11" s="8"/>
      <c r="E11" s="8"/>
      <c r="F11" s="8"/>
      <c r="G11" s="8"/>
      <c r="H11" s="5"/>
      <c r="I11" s="8"/>
      <c r="J11" s="8"/>
      <c r="K11" s="8"/>
      <c r="L11" s="8"/>
    </row>
    <row r="12">
      <c r="A12" s="1"/>
      <c r="B12" s="15" t="s">
        <v>610</v>
      </c>
      <c r="C12" s="8" t="s">
        <v>14</v>
      </c>
      <c r="D12" s="8"/>
      <c r="E12" s="8"/>
      <c r="F12" s="8"/>
      <c r="G12" s="8"/>
      <c r="H12" s="5"/>
      <c r="I12" s="8"/>
      <c r="J12" s="8"/>
      <c r="K12" s="8"/>
      <c r="L12" s="8"/>
    </row>
    <row r="13">
      <c r="A13" s="1"/>
      <c r="B13" s="15" t="s">
        <v>611</v>
      </c>
      <c r="C13" s="8" t="s">
        <v>612</v>
      </c>
      <c r="D13" s="8"/>
      <c r="E13" s="8"/>
      <c r="F13" s="8"/>
      <c r="G13" s="8"/>
      <c r="H13" s="5"/>
      <c r="I13" s="8"/>
      <c r="J13" s="8"/>
      <c r="K13" s="8"/>
      <c r="L13" s="8"/>
    </row>
    <row r="14">
      <c r="A14" s="1"/>
      <c r="B14" s="15" t="s">
        <v>613</v>
      </c>
      <c r="C14" s="93">
        <v>34093</v>
      </c>
      <c r="D14" s="8"/>
      <c r="E14" s="8"/>
      <c r="F14" s="8"/>
      <c r="G14" s="8"/>
      <c r="H14" s="5"/>
      <c r="I14" s="8"/>
      <c r="J14" s="8"/>
      <c r="K14" s="8"/>
      <c r="L14" s="8"/>
    </row>
    <row r="15">
      <c r="A15" s="1"/>
      <c r="B15" s="15" t="s">
        <v>614</v>
      </c>
      <c r="C15" s="8" t="s">
        <v>615</v>
      </c>
      <c r="D15" s="8"/>
      <c r="E15" s="8"/>
      <c r="F15" s="8"/>
      <c r="G15" s="8"/>
      <c r="H15" s="5"/>
      <c r="I15" s="8"/>
      <c r="J15" s="8"/>
      <c r="K15" s="8"/>
      <c r="L15" s="8"/>
    </row>
    <row r="16">
      <c r="A16" s="1"/>
      <c r="B16" s="42" t="s">
        <v>616</v>
      </c>
      <c r="C16" s="8"/>
      <c r="D16" s="8"/>
      <c r="E16" s="8"/>
      <c r="F16" s="8"/>
      <c r="G16" s="8"/>
      <c r="H16" s="5"/>
      <c r="I16" s="8"/>
      <c r="J16" s="8"/>
      <c r="K16" s="8"/>
      <c r="L16" s="8"/>
    </row>
    <row r="17">
      <c r="A17" s="1"/>
      <c r="B17" s="15" t="s">
        <v>617</v>
      </c>
      <c r="C17" s="8" t="s">
        <v>618</v>
      </c>
      <c r="D17" s="8"/>
      <c r="E17" s="8"/>
      <c r="F17" s="8"/>
      <c r="G17" s="8"/>
      <c r="H17" s="5"/>
      <c r="I17" s="8"/>
      <c r="J17" s="8"/>
      <c r="K17" s="8"/>
      <c r="L17" s="8"/>
    </row>
    <row r="18">
      <c r="A18" s="1"/>
      <c r="B18" s="15" t="s">
        <v>619</v>
      </c>
      <c r="C18" s="39">
        <v>46295</v>
      </c>
      <c r="D18" s="8"/>
      <c r="E18" s="8"/>
      <c r="F18" s="8"/>
      <c r="G18" s="8"/>
      <c r="H18" s="5"/>
      <c r="I18" s="8"/>
      <c r="J18" s="8"/>
      <c r="K18" s="8"/>
      <c r="L18" s="8"/>
    </row>
    <row r="19">
      <c r="A19" s="1"/>
      <c r="B19" s="15" t="s">
        <v>620</v>
      </c>
      <c r="C19" s="39">
        <v>46310</v>
      </c>
      <c r="D19" s="8"/>
      <c r="E19" s="8"/>
      <c r="F19" s="8"/>
      <c r="G19" s="8"/>
      <c r="H19" s="5"/>
      <c r="I19" s="8"/>
      <c r="J19" s="8"/>
      <c r="K19" s="8"/>
      <c r="L19" s="8"/>
    </row>
    <row r="20">
      <c r="A20" s="1"/>
      <c r="B20" s="15" t="s">
        <v>621</v>
      </c>
      <c r="C20" s="8" t="s">
        <v>622</v>
      </c>
      <c r="D20" s="8"/>
      <c r="E20" s="8"/>
      <c r="F20" s="8"/>
      <c r="G20" s="8"/>
      <c r="H20" s="5"/>
      <c r="I20" s="8"/>
      <c r="J20" s="8"/>
      <c r="K20" s="8"/>
      <c r="L20" s="8"/>
    </row>
    <row r="21">
      <c r="A21" s="1"/>
      <c r="B21" s="15" t="s">
        <v>623</v>
      </c>
      <c r="C21" s="131">
        <v>23</v>
      </c>
      <c r="D21" s="84"/>
      <c r="E21" s="84"/>
      <c r="F21" s="84"/>
      <c r="G21" s="84"/>
      <c r="H21" s="85"/>
      <c r="I21" s="84"/>
      <c r="J21" s="84"/>
      <c r="K21" s="84"/>
      <c r="L21" s="84"/>
    </row>
    <row r="22">
      <c r="A22" s="1"/>
      <c r="B22" s="15" t="s">
        <v>624</v>
      </c>
      <c r="C22" s="88">
        <v>1.66</v>
      </c>
      <c r="D22" s="84"/>
      <c r="E22" s="84"/>
      <c r="F22" s="84"/>
      <c r="G22" s="84"/>
      <c r="H22" s="85"/>
      <c r="I22" s="84"/>
      <c r="J22" s="84"/>
      <c r="K22" s="84"/>
      <c r="L22" s="84"/>
    </row>
    <row r="23">
      <c r="A23" s="1"/>
      <c r="B23" s="15" t="s">
        <v>625</v>
      </c>
      <c r="C23" s="88">
        <v>1.67</v>
      </c>
      <c r="D23" s="84"/>
      <c r="E23" s="84"/>
      <c r="F23" s="84"/>
      <c r="G23" s="84"/>
      <c r="H23" s="85"/>
      <c r="I23" s="84"/>
      <c r="J23" s="84"/>
      <c r="K23" s="84"/>
      <c r="L23" s="84"/>
    </row>
    <row r="24">
      <c r="A24" s="1"/>
      <c r="B24" s="15" t="s">
        <v>626</v>
      </c>
      <c r="C24" s="88">
        <v>1.73</v>
      </c>
      <c r="D24" s="84"/>
      <c r="E24" s="84"/>
      <c r="F24" s="84"/>
      <c r="G24" s="84"/>
      <c r="H24" s="85"/>
      <c r="I24" s="84"/>
      <c r="J24" s="84"/>
      <c r="K24" s="84"/>
      <c r="L24" s="84"/>
    </row>
    <row r="25">
      <c r="A25" s="1"/>
      <c r="B25" s="15" t="s">
        <v>627</v>
      </c>
      <c r="C25" s="88">
        <v>1.59</v>
      </c>
      <c r="D25" s="84"/>
      <c r="E25" s="84"/>
      <c r="F25" s="84"/>
      <c r="G25" s="84"/>
      <c r="H25" s="85"/>
      <c r="I25" s="84"/>
      <c r="J25" s="84"/>
      <c r="K25" s="84"/>
      <c r="L25" s="84"/>
    </row>
    <row r="26">
      <c r="A26" s="1"/>
      <c r="B26" s="15" t="s">
        <v>628</v>
      </c>
      <c r="C26" s="88">
        <v>0.03</v>
      </c>
      <c r="D26" s="84"/>
      <c r="E26" s="84"/>
      <c r="F26" s="84"/>
      <c r="G26" s="84"/>
      <c r="H26" s="85"/>
      <c r="I26" s="84"/>
      <c r="J26" s="84"/>
      <c r="K26" s="84"/>
      <c r="L26" s="84"/>
    </row>
    <row r="27">
      <c r="A27" s="1"/>
      <c r="B27" s="15" t="s">
        <v>629</v>
      </c>
      <c r="C27" s="131">
        <v>19</v>
      </c>
      <c r="D27" s="84"/>
      <c r="E27" s="84"/>
      <c r="F27" s="84"/>
      <c r="G27" s="84"/>
      <c r="H27" s="85"/>
      <c r="I27" s="84"/>
      <c r="J27" s="84"/>
      <c r="K27" s="84"/>
      <c r="L27" s="84"/>
    </row>
    <row r="28">
      <c r="A28" s="1"/>
      <c r="B28" s="42" t="s">
        <v>630</v>
      </c>
      <c r="C28" s="8"/>
      <c r="D28" s="8"/>
      <c r="E28" s="8"/>
      <c r="F28" s="8"/>
      <c r="G28" s="8"/>
      <c r="H28" s="5"/>
      <c r="I28" s="8"/>
      <c r="J28" s="8"/>
      <c r="K28" s="8"/>
      <c r="L28" s="8"/>
    </row>
    <row r="29">
      <c r="A29" s="1"/>
      <c r="B29" s="42" t="s">
        <v>631</v>
      </c>
      <c r="C29" s="8"/>
      <c r="D29" s="8"/>
      <c r="E29" s="8"/>
      <c r="F29" s="8"/>
      <c r="G29" s="8"/>
      <c r="H29" s="5"/>
      <c r="I29" s="8"/>
      <c r="J29" s="8"/>
      <c r="K29" s="8"/>
      <c r="L29" s="8"/>
    </row>
    <row r="30">
      <c r="A30" s="1"/>
      <c r="B30" s="42" t="s">
        <v>632</v>
      </c>
      <c r="C30" s="8"/>
      <c r="D30" s="8"/>
      <c r="E30" s="8"/>
      <c r="F30" s="8"/>
      <c r="G30" s="8"/>
      <c r="H30" s="5"/>
      <c r="I30" s="8"/>
      <c r="J30" s="8"/>
      <c r="K30" s="8"/>
      <c r="L30" s="8"/>
    </row>
    <row r="31">
      <c r="A31" s="1"/>
      <c r="B31" s="15" t="s">
        <v>633</v>
      </c>
      <c r="C31" s="88">
        <v>1.61</v>
      </c>
      <c r="D31" s="84"/>
      <c r="E31" s="84"/>
      <c r="F31" s="84"/>
      <c r="G31" s="84"/>
      <c r="H31" s="85"/>
      <c r="I31" s="84"/>
      <c r="J31" s="84"/>
      <c r="K31" s="84"/>
      <c r="L31" s="84"/>
    </row>
    <row r="32">
      <c r="A32" s="1"/>
      <c r="B32" s="15" t="s">
        <v>634</v>
      </c>
      <c r="C32" s="88">
        <v>1.62</v>
      </c>
      <c r="D32" s="84"/>
      <c r="E32" s="84"/>
      <c r="F32" s="84"/>
      <c r="G32" s="84"/>
      <c r="H32" s="85"/>
      <c r="I32" s="84"/>
      <c r="J32" s="84"/>
      <c r="K32" s="84"/>
      <c r="L32" s="84"/>
    </row>
    <row r="33">
      <c r="A33" s="1"/>
      <c r="B33" s="15" t="s">
        <v>635</v>
      </c>
      <c r="C33" s="88">
        <v>1.67</v>
      </c>
      <c r="D33" s="84"/>
      <c r="E33" s="84"/>
      <c r="F33" s="84"/>
      <c r="G33" s="84"/>
      <c r="H33" s="85"/>
      <c r="I33" s="84"/>
      <c r="J33" s="84"/>
      <c r="K33" s="84"/>
      <c r="L33" s="84"/>
    </row>
    <row r="34">
      <c r="A34" s="1"/>
      <c r="B34" s="15" t="s">
        <v>636</v>
      </c>
      <c r="C34" s="88">
        <v>1.56</v>
      </c>
      <c r="D34" s="84"/>
      <c r="E34" s="84"/>
      <c r="F34" s="84"/>
      <c r="G34" s="84"/>
      <c r="H34" s="85"/>
      <c r="I34" s="84"/>
      <c r="J34" s="84"/>
      <c r="K34" s="84"/>
      <c r="L34" s="84"/>
    </row>
    <row r="35">
      <c r="A35" s="1"/>
      <c r="B35" s="15" t="s">
        <v>637</v>
      </c>
      <c r="C35" s="88">
        <v>0.03</v>
      </c>
      <c r="D35" s="84"/>
      <c r="E35" s="84"/>
      <c r="F35" s="84"/>
      <c r="G35" s="84"/>
      <c r="H35" s="85"/>
      <c r="I35" s="84"/>
      <c r="J35" s="84"/>
      <c r="K35" s="84"/>
      <c r="L35" s="84"/>
    </row>
    <row r="36">
      <c r="A36" s="1"/>
      <c r="B36" s="15" t="s">
        <v>638</v>
      </c>
      <c r="C36" s="131">
        <v>10</v>
      </c>
      <c r="D36" s="84"/>
      <c r="E36" s="84"/>
      <c r="F36" s="84"/>
      <c r="G36" s="84"/>
      <c r="H36" s="85"/>
      <c r="I36" s="84"/>
      <c r="J36" s="84"/>
      <c r="K36" s="84"/>
      <c r="L36" s="84"/>
    </row>
    <row r="37">
      <c r="A37" s="1"/>
      <c r="B37" s="42" t="s">
        <v>639</v>
      </c>
      <c r="C37" s="8"/>
      <c r="D37" s="8"/>
      <c r="E37" s="8"/>
      <c r="F37" s="8"/>
      <c r="G37" s="8"/>
      <c r="H37" s="5"/>
      <c r="I37" s="8"/>
      <c r="J37" s="8"/>
      <c r="K37" s="8"/>
      <c r="L37" s="8"/>
    </row>
    <row r="38">
      <c r="A38" s="1"/>
      <c r="B38" s="15" t="s">
        <v>640</v>
      </c>
      <c r="C38" s="88">
        <v>7199.92</v>
      </c>
      <c r="D38" s="84"/>
      <c r="E38" s="84"/>
      <c r="F38" s="84"/>
      <c r="G38" s="84"/>
      <c r="H38" s="85"/>
      <c r="I38" s="84"/>
      <c r="J38" s="84"/>
      <c r="K38" s="84"/>
      <c r="L38" s="84"/>
    </row>
    <row r="39">
      <c r="A39" s="1"/>
      <c r="B39" s="15" t="s">
        <v>641</v>
      </c>
      <c r="C39" s="88">
        <v>7218</v>
      </c>
      <c r="D39" s="84"/>
      <c r="E39" s="84"/>
      <c r="F39" s="84"/>
      <c r="G39" s="84"/>
      <c r="H39" s="85"/>
      <c r="I39" s="84"/>
      <c r="J39" s="84"/>
      <c r="K39" s="84"/>
      <c r="L39" s="84"/>
    </row>
    <row r="40">
      <c r="A40" s="1"/>
      <c r="B40" s="15" t="s">
        <v>642</v>
      </c>
      <c r="C40" s="88">
        <v>7278</v>
      </c>
      <c r="D40" s="84"/>
      <c r="E40" s="84"/>
      <c r="F40" s="84"/>
      <c r="G40" s="84"/>
      <c r="H40" s="85"/>
      <c r="I40" s="84"/>
      <c r="J40" s="84"/>
      <c r="K40" s="84"/>
      <c r="L40" s="84"/>
    </row>
    <row r="41">
      <c r="A41" s="1"/>
      <c r="B41" s="15" t="s">
        <v>643</v>
      </c>
      <c r="C41" s="88">
        <v>7060.92</v>
      </c>
      <c r="D41" s="84"/>
      <c r="E41" s="84"/>
      <c r="F41" s="84"/>
      <c r="G41" s="84"/>
      <c r="H41" s="85"/>
      <c r="I41" s="84"/>
      <c r="J41" s="84"/>
      <c r="K41" s="84"/>
      <c r="L41" s="84"/>
    </row>
    <row r="42">
      <c r="A42" s="1"/>
      <c r="B42" s="15" t="s">
        <v>644</v>
      </c>
      <c r="C42" s="88">
        <v>60.88</v>
      </c>
      <c r="D42" s="84"/>
      <c r="E42" s="84"/>
      <c r="F42" s="84"/>
      <c r="G42" s="84"/>
      <c r="H42" s="85"/>
      <c r="I42" s="84"/>
      <c r="J42" s="84"/>
      <c r="K42" s="84"/>
      <c r="L42" s="84"/>
    </row>
    <row r="43">
      <c r="A43" s="1"/>
      <c r="B43" s="15" t="s">
        <v>645</v>
      </c>
      <c r="C43" s="131">
        <v>13</v>
      </c>
      <c r="D43" s="84"/>
      <c r="E43" s="84"/>
      <c r="F43" s="84"/>
      <c r="G43" s="84"/>
      <c r="H43" s="85"/>
      <c r="I43" s="84"/>
      <c r="J43" s="84"/>
      <c r="K43" s="84"/>
      <c r="L43" s="84"/>
    </row>
    <row r="44">
      <c r="A44" s="1"/>
      <c r="B44" s="42" t="s">
        <v>646</v>
      </c>
      <c r="C44" s="8"/>
      <c r="D44" s="8"/>
      <c r="E44" s="8"/>
      <c r="F44" s="8"/>
      <c r="G44" s="8"/>
      <c r="H44" s="5"/>
      <c r="I44" s="8"/>
      <c r="J44" s="8"/>
      <c r="K44" s="8"/>
      <c r="L44" s="8"/>
    </row>
    <row r="45">
      <c r="A45" s="1"/>
      <c r="B45" s="42" t="s">
        <v>647</v>
      </c>
      <c r="C45" s="8"/>
      <c r="D45" s="8"/>
      <c r="E45" s="8"/>
      <c r="F45" s="8"/>
      <c r="G45" s="8"/>
      <c r="H45" s="5"/>
      <c r="I45" s="8"/>
      <c r="J45" s="8"/>
      <c r="K45" s="8"/>
      <c r="L45" s="8"/>
    </row>
    <row r="46">
      <c r="A46" s="1"/>
      <c r="B46" s="42" t="s">
        <v>648</v>
      </c>
      <c r="C46" s="8"/>
      <c r="D46" s="8"/>
      <c r="E46" s="8"/>
      <c r="F46" s="8"/>
      <c r="G46" s="8"/>
      <c r="H46" s="5"/>
      <c r="I46" s="8"/>
      <c r="J46" s="8"/>
      <c r="K46" s="8"/>
      <c r="L46" s="8"/>
    </row>
    <row r="47">
      <c r="A47" s="1"/>
      <c r="B47" s="15" t="s">
        <v>649</v>
      </c>
      <c r="C47" s="88">
        <v>4434.08</v>
      </c>
      <c r="D47" s="84"/>
      <c r="E47" s="84"/>
      <c r="F47" s="84"/>
      <c r="G47" s="84"/>
      <c r="H47" s="85"/>
      <c r="I47" s="84"/>
      <c r="J47" s="84"/>
      <c r="K47" s="84"/>
      <c r="L47" s="84"/>
    </row>
    <row r="48">
      <c r="A48" s="1"/>
      <c r="B48" s="15" t="s">
        <v>650</v>
      </c>
      <c r="C48" s="88">
        <v>3887.76</v>
      </c>
      <c r="D48" s="84"/>
      <c r="E48" s="84"/>
      <c r="F48" s="84"/>
      <c r="G48" s="84"/>
      <c r="H48" s="85"/>
      <c r="I48" s="84"/>
      <c r="J48" s="84"/>
      <c r="K48" s="84"/>
      <c r="L48" s="84"/>
    </row>
    <row r="49">
      <c r="A49" s="1"/>
      <c r="B49" s="15" t="s">
        <v>651</v>
      </c>
      <c r="C49" s="88">
        <v>3888.34</v>
      </c>
      <c r="D49" s="84"/>
      <c r="E49" s="84"/>
      <c r="F49" s="84"/>
      <c r="G49" s="84"/>
      <c r="H49" s="85"/>
      <c r="I49" s="84"/>
      <c r="J49" s="84"/>
      <c r="K49" s="84"/>
      <c r="L49" s="84"/>
    </row>
    <row r="50">
      <c r="A50" s="1"/>
      <c r="B50" s="15" t="s">
        <v>652</v>
      </c>
      <c r="C50" s="88">
        <v>3754</v>
      </c>
      <c r="D50" s="84"/>
      <c r="E50" s="84"/>
      <c r="F50" s="84"/>
      <c r="G50" s="84"/>
      <c r="H50" s="85"/>
      <c r="I50" s="84"/>
      <c r="J50" s="84"/>
      <c r="K50" s="84"/>
      <c r="L50" s="84"/>
    </row>
    <row r="51">
      <c r="A51" s="1"/>
      <c r="B51" s="15" t="s">
        <v>653</v>
      </c>
      <c r="C51" s="88">
        <v>2882.55</v>
      </c>
      <c r="D51" s="84"/>
      <c r="E51" s="84"/>
      <c r="F51" s="84"/>
      <c r="G51" s="84"/>
      <c r="H51" s="85"/>
      <c r="I51" s="84"/>
      <c r="J51" s="84"/>
      <c r="K51" s="84"/>
      <c r="L51" s="84"/>
    </row>
    <row r="52">
      <c r="A52" s="1"/>
      <c r="B52" s="15" t="s">
        <v>654</v>
      </c>
      <c r="C52" s="88">
        <v>2785.85</v>
      </c>
      <c r="D52" s="84"/>
      <c r="E52" s="84"/>
      <c r="F52" s="84"/>
      <c r="G52" s="84"/>
      <c r="H52" s="85"/>
      <c r="I52" s="84"/>
      <c r="J52" s="84"/>
      <c r="K52" s="84"/>
      <c r="L52" s="84"/>
    </row>
    <row r="53">
      <c r="A53" s="1"/>
      <c r="B53" s="42" t="s">
        <v>655</v>
      </c>
      <c r="C53" s="8"/>
      <c r="D53" s="8"/>
      <c r="E53" s="8"/>
      <c r="F53" s="8"/>
      <c r="G53" s="8"/>
      <c r="H53" s="5"/>
      <c r="I53" s="8"/>
      <c r="J53" s="8"/>
      <c r="K53" s="8"/>
      <c r="L53" s="8"/>
    </row>
    <row r="54">
      <c r="A54" s="1"/>
      <c r="B54" s="42" t="s">
        <v>656</v>
      </c>
      <c r="C54" s="8"/>
      <c r="D54" s="8"/>
      <c r="E54" s="8"/>
      <c r="F54" s="8"/>
      <c r="G54" s="8"/>
      <c r="H54" s="5"/>
      <c r="I54" s="8"/>
      <c r="J54" s="8"/>
      <c r="K54" s="8"/>
      <c r="L54" s="8"/>
    </row>
    <row r="55">
      <c r="A55" s="1"/>
      <c r="B55" s="15" t="s">
        <v>657</v>
      </c>
      <c r="C55" s="88">
        <v>207.29</v>
      </c>
      <c r="D55" s="84"/>
      <c r="E55" s="84"/>
      <c r="F55" s="84"/>
      <c r="G55" s="84"/>
      <c r="H55" s="85"/>
      <c r="I55" s="84"/>
      <c r="J55" s="84"/>
      <c r="K55" s="84"/>
      <c r="L55" s="84"/>
    </row>
    <row r="56">
      <c r="A56" s="1"/>
      <c r="B56" s="42" t="s">
        <v>658</v>
      </c>
      <c r="C56" s="8"/>
      <c r="D56" s="8"/>
      <c r="E56" s="8"/>
      <c r="F56" s="8"/>
      <c r="G56" s="8"/>
      <c r="H56" s="5"/>
      <c r="I56" s="8"/>
      <c r="J56" s="8"/>
      <c r="K56" s="8"/>
      <c r="L56" s="8"/>
    </row>
    <row r="57">
      <c r="A57" s="1"/>
      <c r="B57" s="42" t="s">
        <v>659</v>
      </c>
      <c r="C57" s="8"/>
      <c r="D57" s="8"/>
      <c r="E57" s="8"/>
      <c r="F57" s="8"/>
      <c r="G57" s="8"/>
      <c r="H57" s="5"/>
      <c r="I57" s="8"/>
      <c r="J57" s="8"/>
      <c r="K57" s="8"/>
      <c r="L57" s="8"/>
    </row>
    <row r="58">
      <c r="A58" s="1"/>
      <c r="B58" s="42" t="s">
        <v>660</v>
      </c>
      <c r="C58" s="8"/>
      <c r="D58" s="8"/>
      <c r="E58" s="8"/>
      <c r="F58" s="8"/>
      <c r="G58" s="8"/>
      <c r="H58" s="5"/>
      <c r="I58" s="8"/>
      <c r="J58" s="8"/>
      <c r="K58" s="8"/>
      <c r="L58" s="8"/>
    </row>
    <row r="59">
      <c r="A59" s="1"/>
      <c r="B59" s="15" t="s">
        <v>661</v>
      </c>
      <c r="C59" s="88">
        <v>-1115.33</v>
      </c>
      <c r="D59" s="84"/>
      <c r="E59" s="84"/>
      <c r="F59" s="84"/>
      <c r="G59" s="84"/>
      <c r="H59" s="85"/>
      <c r="I59" s="84"/>
      <c r="J59" s="84"/>
      <c r="K59" s="84"/>
      <c r="L59" s="84"/>
    </row>
    <row r="60">
      <c r="A60" s="1"/>
      <c r="B60" s="15" t="s">
        <v>662</v>
      </c>
      <c r="C60" s="88">
        <v>16065.73</v>
      </c>
      <c r="D60" s="84"/>
      <c r="E60" s="84"/>
      <c r="F60" s="84"/>
      <c r="G60" s="84"/>
      <c r="H60" s="85"/>
      <c r="I60" s="84"/>
      <c r="J60" s="84"/>
      <c r="K60" s="84"/>
      <c r="L60" s="84"/>
    </row>
    <row r="61">
      <c r="A61" s="1"/>
      <c r="B61" s="42" t="s">
        <v>663</v>
      </c>
      <c r="C61" s="8"/>
      <c r="D61" s="8"/>
      <c r="E61" s="8"/>
      <c r="F61" s="8"/>
      <c r="G61" s="8"/>
      <c r="H61" s="5"/>
      <c r="I61" s="8"/>
      <c r="J61" s="8"/>
      <c r="K61" s="8"/>
      <c r="L61" s="8"/>
    </row>
    <row r="62">
      <c r="A62" s="1"/>
      <c r="B62" s="42" t="s">
        <v>664</v>
      </c>
      <c r="C62" s="8"/>
      <c r="D62" s="8"/>
      <c r="E62" s="8"/>
      <c r="F62" s="8"/>
      <c r="G62" s="8"/>
      <c r="H62" s="5"/>
      <c r="I62" s="8"/>
      <c r="J62" s="8"/>
      <c r="K62" s="8"/>
      <c r="L62" s="8"/>
    </row>
    <row r="63">
      <c r="A63" s="1"/>
      <c r="B63" s="42" t="s">
        <v>665</v>
      </c>
      <c r="C63" s="8"/>
      <c r="D63" s="8"/>
      <c r="E63" s="8"/>
      <c r="F63" s="8"/>
      <c r="G63" s="8"/>
      <c r="H63" s="5"/>
      <c r="I63" s="8"/>
      <c r="J63" s="8"/>
      <c r="K63" s="8"/>
      <c r="L63" s="8"/>
    </row>
    <row r="64">
      <c r="A64" s="1"/>
      <c r="B64" s="42" t="s">
        <v>666</v>
      </c>
      <c r="C64" s="8"/>
      <c r="D64" s="8"/>
      <c r="E64" s="8"/>
      <c r="F64" s="8"/>
      <c r="G64" s="8"/>
      <c r="H64" s="5"/>
      <c r="I64" s="8"/>
      <c r="J64" s="8"/>
      <c r="K64" s="8"/>
      <c r="L64" s="8"/>
    </row>
    <row r="65">
      <c r="A65" s="1"/>
      <c r="B65" s="42" t="s">
        <v>667</v>
      </c>
      <c r="C65" s="8"/>
      <c r="D65" s="8"/>
      <c r="E65" s="8"/>
      <c r="F65" s="8"/>
      <c r="G65" s="8"/>
      <c r="H65" s="5"/>
      <c r="I65" s="8"/>
      <c r="J65" s="8"/>
      <c r="K65" s="8"/>
      <c r="L65" s="8"/>
    </row>
    <row r="66">
      <c r="A66" s="1"/>
      <c r="B66" s="42" t="s">
        <v>668</v>
      </c>
      <c r="C66" s="8"/>
      <c r="D66" s="8"/>
      <c r="E66" s="8"/>
      <c r="F66" s="8"/>
      <c r="G66" s="8"/>
      <c r="H66" s="5"/>
      <c r="I66" s="8"/>
      <c r="J66" s="8"/>
      <c r="K66" s="8"/>
      <c r="L66" s="8"/>
    </row>
    <row r="67">
      <c r="A67" s="1"/>
      <c r="B67" s="15" t="s">
        <v>669</v>
      </c>
      <c r="C67" s="88">
        <v>123</v>
      </c>
      <c r="D67" s="84"/>
      <c r="E67" s="84"/>
      <c r="F67" s="84"/>
      <c r="G67" s="84"/>
      <c r="H67" s="85"/>
      <c r="I67" s="84"/>
      <c r="J67" s="84"/>
      <c r="K67" s="84"/>
      <c r="L67" s="84"/>
    </row>
    <row r="68">
      <c r="A68" s="1"/>
      <c r="B68" s="15" t="s">
        <v>670</v>
      </c>
      <c r="C68" s="88">
        <v>124</v>
      </c>
      <c r="D68" s="84"/>
      <c r="E68" s="84"/>
      <c r="F68" s="84"/>
      <c r="G68" s="84"/>
      <c r="H68" s="85"/>
      <c r="I68" s="84"/>
      <c r="J68" s="84"/>
      <c r="K68" s="84"/>
      <c r="L68" s="84"/>
    </row>
    <row r="69">
      <c r="A69" s="1"/>
      <c r="B69" s="15" t="s">
        <v>671</v>
      </c>
      <c r="C69" s="88">
        <v>150</v>
      </c>
      <c r="D69" s="84"/>
      <c r="E69" s="84"/>
      <c r="F69" s="84"/>
      <c r="G69" s="84"/>
      <c r="H69" s="85"/>
      <c r="I69" s="84"/>
      <c r="J69" s="84"/>
      <c r="K69" s="84"/>
      <c r="L69" s="84"/>
    </row>
    <row r="70">
      <c r="A70" s="1"/>
      <c r="B70" s="15" t="s">
        <v>672</v>
      </c>
      <c r="C70" s="88">
        <v>95</v>
      </c>
      <c r="D70" s="84"/>
      <c r="E70" s="84"/>
      <c r="F70" s="84"/>
      <c r="G70" s="84"/>
      <c r="H70" s="85"/>
      <c r="I70" s="84"/>
      <c r="J70" s="84"/>
      <c r="K70" s="84"/>
      <c r="L70" s="84"/>
    </row>
    <row r="71">
      <c r="A71" s="1"/>
      <c r="B71" s="15" t="s">
        <v>673</v>
      </c>
      <c r="C71" s="88">
        <v>13.9</v>
      </c>
      <c r="D71" s="84"/>
      <c r="E71" s="84"/>
      <c r="F71" s="84"/>
      <c r="G71" s="84"/>
      <c r="H71" s="85"/>
      <c r="I71" s="84"/>
      <c r="J71" s="84"/>
      <c r="K71" s="84"/>
      <c r="L71" s="84"/>
    </row>
    <row r="72">
      <c r="A72" s="1"/>
      <c r="B72" s="15" t="s">
        <v>674</v>
      </c>
      <c r="C72" s="131">
        <v>21</v>
      </c>
      <c r="D72" s="84"/>
      <c r="E72" s="84"/>
      <c r="F72" s="84"/>
      <c r="G72" s="84"/>
      <c r="H72" s="85"/>
      <c r="I72" s="84"/>
      <c r="J72" s="84"/>
      <c r="K72" s="84"/>
      <c r="L72" s="84"/>
    </row>
    <row r="73">
      <c r="A73" s="1"/>
      <c r="B73" s="15" t="s">
        <v>675</v>
      </c>
      <c r="C73" s="8" t="s">
        <v>676</v>
      </c>
      <c r="D73" s="8"/>
      <c r="E73" s="8"/>
      <c r="F73" s="8"/>
      <c r="G73" s="8"/>
      <c r="H73" s="5"/>
      <c r="I73" s="8"/>
      <c r="J73" s="8"/>
      <c r="K73" s="8"/>
      <c r="L73" s="8"/>
    </row>
    <row r="74">
      <c r="A74" s="1"/>
      <c r="B74" s="15" t="s">
        <v>677</v>
      </c>
      <c r="C74" s="88">
        <v>1.78</v>
      </c>
      <c r="D74" s="84"/>
      <c r="E74" s="84"/>
      <c r="F74" s="84"/>
      <c r="G74" s="84"/>
      <c r="H74" s="85"/>
      <c r="I74" s="84"/>
      <c r="J74" s="84"/>
      <c r="K74" s="84"/>
      <c r="L74" s="84"/>
    </row>
    <row r="75">
      <c r="A75" s="1"/>
      <c r="B75" s="15" t="s">
        <v>678</v>
      </c>
      <c r="C75" s="88">
        <v>96.7</v>
      </c>
      <c r="D75" s="84"/>
      <c r="E75" s="84"/>
      <c r="F75" s="84"/>
      <c r="G75" s="84"/>
      <c r="H75" s="85"/>
      <c r="I75" s="84"/>
      <c r="J75" s="84"/>
      <c r="K75" s="84"/>
      <c r="L75" s="84"/>
    </row>
    <row r="76">
      <c r="A76" s="1"/>
      <c r="B76" s="15" t="s">
        <v>679</v>
      </c>
      <c r="C76" s="8" t="s">
        <v>680</v>
      </c>
      <c r="D76" s="8"/>
      <c r="E76" s="8"/>
      <c r="F76" s="8"/>
      <c r="G76" s="8"/>
      <c r="H76" s="5"/>
      <c r="I76" s="8"/>
      <c r="J76" s="8"/>
      <c r="K76" s="8"/>
      <c r="L76" s="8"/>
    </row>
    <row r="77">
      <c r="A77" s="1"/>
      <c r="B77" s="15" t="s">
        <v>681</v>
      </c>
      <c r="C77" s="8" t="s">
        <v>21</v>
      </c>
      <c r="D77" s="8"/>
      <c r="E77" s="8"/>
      <c r="F77" s="8"/>
      <c r="G77" s="8"/>
      <c r="H77" s="5"/>
      <c r="I77" s="8"/>
      <c r="J77" s="8"/>
      <c r="K77" s="8"/>
      <c r="L77" s="8"/>
    </row>
    <row r="78">
      <c r="A78" s="1"/>
      <c r="B78" s="15" t="s">
        <v>682</v>
      </c>
      <c r="C78" s="8" t="s">
        <v>683</v>
      </c>
      <c r="D78" s="8"/>
      <c r="E78" s="8"/>
      <c r="F78" s="8"/>
      <c r="G78" s="8"/>
      <c r="H78" s="5"/>
      <c r="I78" s="8"/>
      <c r="J78" s="8"/>
      <c r="K78" s="8"/>
      <c r="L78" s="8"/>
    </row>
    <row r="79">
      <c r="A79" s="1"/>
      <c r="B79" s="15" t="s">
        <v>684</v>
      </c>
      <c r="C79" s="39">
        <v>46306</v>
      </c>
      <c r="D79" s="8"/>
      <c r="E79" s="8"/>
      <c r="F79" s="8"/>
      <c r="G79" s="8"/>
      <c r="H79" s="5"/>
      <c r="I79" s="8"/>
      <c r="J79" s="8"/>
      <c r="K79" s="8"/>
      <c r="L79" s="8"/>
    </row>
    <row r="80">
      <c r="A80" s="1"/>
      <c r="B80" s="15" t="s">
        <v>685</v>
      </c>
      <c r="C80" s="8" t="s">
        <v>686</v>
      </c>
      <c r="D80" s="8"/>
      <c r="E80" s="8"/>
      <c r="F80" s="8"/>
      <c r="G80" s="8"/>
      <c r="H80" s="5"/>
      <c r="I80" s="8"/>
      <c r="J80" s="8"/>
      <c r="K80" s="8"/>
      <c r="L80" s="8"/>
    </row>
    <row r="81">
      <c r="A81" s="1"/>
      <c r="B81" s="42"/>
      <c r="C81" s="8"/>
      <c r="D81" s="8"/>
      <c r="E81" s="8"/>
      <c r="F81" s="8"/>
      <c r="G81" s="8"/>
      <c r="H81" s="5"/>
      <c r="I81" s="8"/>
      <c r="J81" s="8"/>
      <c r="K81" s="8"/>
      <c r="L81" s="8"/>
    </row>
    <row r="82">
      <c r="A82" s="1"/>
      <c r="B82" s="51" t="s">
        <v>687</v>
      </c>
      <c r="C82" s="7"/>
      <c r="D82" s="7"/>
      <c r="E82" s="7"/>
      <c r="F82" s="7"/>
      <c r="G82" s="7"/>
      <c r="H82" s="12"/>
      <c r="I82" s="7"/>
      <c r="J82" s="7"/>
      <c r="K82" s="7"/>
      <c r="L82" s="7"/>
    </row>
    <row r="83">
      <c r="A83" s="1"/>
      <c r="B83" s="15" t="s">
        <v>688</v>
      </c>
      <c r="C83" s="8" t="s">
        <v>689</v>
      </c>
      <c r="D83" s="8"/>
      <c r="E83" s="8"/>
      <c r="F83" s="8"/>
      <c r="G83" s="8"/>
      <c r="H83" s="5"/>
      <c r="I83" s="8"/>
      <c r="J83" s="8"/>
      <c r="K83" s="8"/>
      <c r="L83" s="8"/>
    </row>
    <row r="84">
      <c r="A84" s="1"/>
      <c r="B84" s="15" t="s">
        <v>609</v>
      </c>
      <c r="C84" s="8" t="s">
        <v>16</v>
      </c>
      <c r="D84" s="8"/>
      <c r="E84" s="8"/>
      <c r="F84" s="8"/>
      <c r="G84" s="8"/>
      <c r="H84" s="5"/>
      <c r="I84" s="8"/>
      <c r="J84" s="8"/>
      <c r="K84" s="8"/>
      <c r="L84" s="8"/>
    </row>
    <row r="85">
      <c r="A85" s="1"/>
      <c r="B85" s="15" t="s">
        <v>690</v>
      </c>
      <c r="C85" s="8" t="s">
        <v>14</v>
      </c>
      <c r="D85" s="8"/>
      <c r="E85" s="8"/>
      <c r="F85" s="8"/>
      <c r="G85" s="8"/>
      <c r="H85" s="5"/>
      <c r="I85" s="8"/>
      <c r="J85" s="8"/>
      <c r="K85" s="8"/>
      <c r="L85" s="8"/>
    </row>
    <row r="86">
      <c r="A86" s="1"/>
      <c r="B86" s="15" t="s">
        <v>691</v>
      </c>
      <c r="C86" s="8" t="s">
        <v>618</v>
      </c>
      <c r="D86" s="8"/>
      <c r="E86" s="8"/>
      <c r="F86" s="8"/>
      <c r="G86" s="8"/>
      <c r="H86" s="5"/>
      <c r="I86" s="8"/>
      <c r="J86" s="8"/>
      <c r="K86" s="8"/>
      <c r="L86" s="8"/>
    </row>
    <row r="87">
      <c r="A87" s="1"/>
      <c r="B87" s="15" t="s">
        <v>692</v>
      </c>
      <c r="C87" s="39">
        <v>46295</v>
      </c>
      <c r="D87" s="8"/>
      <c r="E87" s="8"/>
      <c r="F87" s="8"/>
      <c r="G87" s="8"/>
      <c r="H87" s="5"/>
      <c r="I87" s="8"/>
      <c r="J87" s="8"/>
      <c r="K87" s="8"/>
      <c r="L87" s="8"/>
    </row>
    <row r="88">
      <c r="A88" s="1"/>
      <c r="B88" s="15" t="s">
        <v>693</v>
      </c>
      <c r="C88" s="39">
        <v>46306</v>
      </c>
      <c r="D88" s="8"/>
      <c r="E88" s="8"/>
      <c r="F88" s="8"/>
      <c r="G88" s="8"/>
      <c r="H88" s="5"/>
      <c r="I88" s="8"/>
      <c r="J88" s="8"/>
      <c r="K88" s="8"/>
      <c r="L88" s="8"/>
    </row>
    <row r="89">
      <c r="A89" s="1"/>
      <c r="B89" s="15" t="s">
        <v>694</v>
      </c>
      <c r="C89" s="131">
        <v>19</v>
      </c>
      <c r="D89" s="84"/>
      <c r="E89" s="84"/>
      <c r="F89" s="84"/>
      <c r="G89" s="84"/>
      <c r="H89" s="85"/>
      <c r="I89" s="84"/>
      <c r="J89" s="84"/>
      <c r="K89" s="84"/>
      <c r="L89" s="84"/>
    </row>
    <row r="90">
      <c r="A90" s="1"/>
      <c r="B90" s="15" t="s">
        <v>695</v>
      </c>
      <c r="C90" s="88">
        <v>1.66</v>
      </c>
      <c r="D90" s="84"/>
      <c r="E90" s="84"/>
      <c r="F90" s="84"/>
      <c r="G90" s="84"/>
      <c r="H90" s="85"/>
      <c r="I90" s="84"/>
      <c r="J90" s="84"/>
      <c r="K90" s="84"/>
      <c r="L90" s="84"/>
    </row>
    <row r="91">
      <c r="A91" s="1"/>
      <c r="B91" s="15" t="s">
        <v>696</v>
      </c>
      <c r="C91" s="8" t="s">
        <v>697</v>
      </c>
      <c r="D91" s="8"/>
      <c r="E91" s="8"/>
      <c r="F91" s="8"/>
      <c r="G91" s="8"/>
      <c r="H91" s="5"/>
      <c r="I91" s="8"/>
      <c r="J91" s="8"/>
      <c r="K91" s="8"/>
      <c r="L91" s="8"/>
    </row>
    <row r="92">
      <c r="A92" s="1"/>
      <c r="B92" s="15" t="s">
        <v>698</v>
      </c>
      <c r="C92" s="88">
        <v>7199.92</v>
      </c>
      <c r="D92" s="84"/>
      <c r="E92" s="84"/>
      <c r="F92" s="84"/>
      <c r="G92" s="84"/>
      <c r="H92" s="85"/>
      <c r="I92" s="84"/>
      <c r="J92" s="84"/>
      <c r="K92" s="84"/>
      <c r="L92" s="84"/>
    </row>
    <row r="93">
      <c r="A93" s="1"/>
      <c r="B93" s="15" t="s">
        <v>681</v>
      </c>
      <c r="C93" s="8" t="s">
        <v>21</v>
      </c>
      <c r="D93" s="8"/>
      <c r="E93" s="8"/>
      <c r="F93" s="8"/>
      <c r="G93" s="8"/>
      <c r="H93" s="5"/>
      <c r="I93" s="8"/>
      <c r="J93" s="8"/>
      <c r="K93" s="8"/>
      <c r="L93" s="8"/>
    </row>
    <row r="94">
      <c r="A94" s="1"/>
      <c r="B94" s="15" t="s">
        <v>699</v>
      </c>
      <c r="C94" s="8" t="s">
        <v>700</v>
      </c>
      <c r="D94" s="8"/>
      <c r="E94" s="8"/>
      <c r="F94" s="8"/>
      <c r="G94" s="8"/>
      <c r="H94" s="5"/>
      <c r="I94" s="8"/>
      <c r="J94" s="8"/>
      <c r="K94" s="8"/>
      <c r="L94" s="8"/>
    </row>
    <row r="95">
      <c r="A95" s="1"/>
      <c r="B95" s="15" t="s">
        <v>701</v>
      </c>
      <c r="C95" s="8" t="s">
        <v>702</v>
      </c>
      <c r="D95" s="8"/>
      <c r="E95" s="8"/>
      <c r="F95" s="8"/>
      <c r="G95" s="8"/>
      <c r="H95" s="5"/>
      <c r="I95" s="8"/>
      <c r="J95" s="8"/>
      <c r="K95" s="8"/>
      <c r="L95" s="8"/>
    </row>
    <row r="96">
      <c r="A96" s="1"/>
      <c r="B96" s="15" t="s">
        <v>703</v>
      </c>
      <c r="C96" s="8" t="s">
        <v>683</v>
      </c>
      <c r="D96" s="8"/>
      <c r="E96" s="8"/>
      <c r="F96" s="8"/>
      <c r="G96" s="8"/>
      <c r="H96" s="5"/>
      <c r="I96" s="8"/>
      <c r="J96" s="8"/>
      <c r="K96" s="8"/>
      <c r="L96" s="8"/>
    </row>
    <row r="97">
      <c r="A97" s="1"/>
      <c r="B97" s="42"/>
      <c r="C97" s="8"/>
      <c r="D97" s="8"/>
      <c r="E97" s="8"/>
      <c r="F97" s="8"/>
      <c r="G97" s="8"/>
      <c r="H97" s="5"/>
      <c r="I97" s="8"/>
      <c r="J97" s="8"/>
      <c r="K97" s="8"/>
      <c r="L97" s="8"/>
    </row>
    <row r="98">
      <c r="A98" s="1"/>
      <c r="B98" s="51" t="s">
        <v>704</v>
      </c>
      <c r="C98" s="7"/>
      <c r="D98" s="7"/>
      <c r="E98" s="7"/>
      <c r="F98" s="7"/>
      <c r="G98" s="7"/>
      <c r="H98" s="12"/>
      <c r="I98" s="7"/>
      <c r="J98" s="7"/>
      <c r="K98" s="7"/>
      <c r="L98" s="7"/>
    </row>
    <row r="99" ht="25.5">
      <c r="A99" s="1"/>
      <c r="B99" s="121" t="s">
        <v>692</v>
      </c>
      <c r="C99" s="41" t="s">
        <v>705</v>
      </c>
      <c r="D99" s="41" t="s">
        <v>706</v>
      </c>
      <c r="E99" s="41" t="s">
        <v>707</v>
      </c>
      <c r="F99" s="41" t="s">
        <v>708</v>
      </c>
      <c r="G99" s="41" t="s">
        <v>709</v>
      </c>
      <c r="H99" s="132" t="s">
        <v>710</v>
      </c>
      <c r="I99" s="41" t="s">
        <v>711</v>
      </c>
      <c r="J99" s="41" t="s">
        <v>712</v>
      </c>
      <c r="K99" s="41" t="s">
        <v>713</v>
      </c>
      <c r="L99" s="41" t="s">
        <v>714</v>
      </c>
    </row>
    <row r="100">
      <c r="A100" s="1"/>
      <c r="B100" s="92">
        <v>45747</v>
      </c>
      <c r="C100" s="39">
        <v>45764</v>
      </c>
      <c r="D100" s="21">
        <v>1.01</v>
      </c>
      <c r="E100" s="21">
        <v>1.04</v>
      </c>
      <c r="F100" s="21">
        <v>0.96</v>
      </c>
      <c r="G100" s="21">
        <v>0.99</v>
      </c>
      <c r="H100" s="133">
        <v>5538.44</v>
      </c>
      <c r="I100" s="49">
        <v>5599</v>
      </c>
      <c r="J100" s="89">
        <f>IF(E100&gt;D100,1,0)</f>
        <v>1</v>
      </c>
      <c r="K100" s="4">
        <f>E100-D100</f>
        <v>0.030000000000000027</v>
      </c>
      <c r="L100" s="17">
        <f>I100-H100</f>
        <v>60.5600000000004</v>
      </c>
    </row>
    <row r="101">
      <c r="A101" s="1"/>
      <c r="B101" s="92">
        <v>45838</v>
      </c>
      <c r="C101" s="39">
        <v>45856</v>
      </c>
      <c r="D101" s="21">
        <v>1.1</v>
      </c>
      <c r="E101" s="21">
        <v>1.14</v>
      </c>
      <c r="F101" s="21">
        <v>1.05</v>
      </c>
      <c r="G101" s="21">
        <v>1.08</v>
      </c>
      <c r="H101" s="133">
        <v>5735.34</v>
      </c>
      <c r="I101" s="49">
        <v>5851</v>
      </c>
      <c r="J101" s="89">
        <f>IF(E101&gt;D101,1,0)</f>
        <v>1</v>
      </c>
      <c r="K101" s="4">
        <f>E101-D101</f>
        <v>0.039999999999999813</v>
      </c>
      <c r="L101" s="17">
        <f>I101-H101</f>
        <v>115.65999999999985</v>
      </c>
    </row>
    <row r="102">
      <c r="A102" s="1"/>
      <c r="B102" s="92">
        <v>45930</v>
      </c>
      <c r="C102" s="39">
        <v>45946</v>
      </c>
      <c r="D102" s="21">
        <v>1.25</v>
      </c>
      <c r="E102" s="21">
        <v>1.31</v>
      </c>
      <c r="F102" s="21">
        <v>1.19</v>
      </c>
      <c r="G102" s="21">
        <v>1.26</v>
      </c>
      <c r="H102" s="133">
        <v>6017.31</v>
      </c>
      <c r="I102" s="49">
        <v>6135</v>
      </c>
      <c r="J102" s="89">
        <f>IF(E102&gt;D102,1,0)</f>
        <v>1</v>
      </c>
      <c r="K102" s="4">
        <f>E102-D102</f>
        <v>0.06000000000000005</v>
      </c>
      <c r="L102" s="17">
        <f>I102-H102</f>
        <v>117.6899999999996</v>
      </c>
    </row>
    <row r="103">
      <c r="A103" s="1"/>
      <c r="B103" s="92">
        <v>46022</v>
      </c>
      <c r="C103" s="39">
        <v>46043</v>
      </c>
      <c r="D103" s="21">
        <v>1.39</v>
      </c>
      <c r="E103" s="21">
        <v>1.39</v>
      </c>
      <c r="F103" s="21">
        <v>1.35</v>
      </c>
      <c r="G103" s="21">
        <v>1.33</v>
      </c>
      <c r="H103" s="133">
        <v>6392.06</v>
      </c>
      <c r="I103" s="49">
        <v>6336</v>
      </c>
      <c r="J103" s="89">
        <f>IF(E103&gt;D103,1,0)</f>
        <v>0</v>
      </c>
      <c r="K103" s="4">
        <f>E103-D103</f>
        <v>0</v>
      </c>
      <c r="L103" s="17">
        <f>I103-H103</f>
        <v>-56.0600000000004</v>
      </c>
    </row>
    <row r="104">
      <c r="A104" s="1"/>
      <c r="B104" s="92">
        <v>46112</v>
      </c>
      <c r="C104" s="39">
        <v>46128</v>
      </c>
      <c r="D104" s="21">
        <v>1.4</v>
      </c>
      <c r="E104" s="21">
        <v>1.43</v>
      </c>
      <c r="F104" s="21">
        <v>1.34</v>
      </c>
      <c r="G104" s="21">
        <v>1.37</v>
      </c>
      <c r="H104" s="133">
        <v>6512.42</v>
      </c>
      <c r="I104" s="49">
        <v>6482</v>
      </c>
      <c r="J104" s="89">
        <f>IF(E104&gt;D104,1,0)</f>
        <v>1</v>
      </c>
      <c r="K104" s="4">
        <f>E104-D104</f>
        <v>0.030000000000000027</v>
      </c>
      <c r="L104" s="17">
        <f>I104-H104</f>
        <v>-30.420000000000073</v>
      </c>
    </row>
    <row r="105">
      <c r="A105" s="1"/>
      <c r="B105" s="92">
        <v>46203</v>
      </c>
      <c r="C105" s="39">
        <v>46224</v>
      </c>
      <c r="D105" s="21">
        <v>1.55</v>
      </c>
      <c r="E105" s="21">
        <v>1.62</v>
      </c>
      <c r="F105" s="21">
        <v>1.49</v>
      </c>
      <c r="G105" s="21">
        <v>1.54</v>
      </c>
      <c r="H105" s="133">
        <v>6899.1</v>
      </c>
      <c r="I105" s="49">
        <v>7072</v>
      </c>
      <c r="J105" s="89">
        <f>IF(E105&gt;D105,1,0)</f>
        <v>1</v>
      </c>
      <c r="K105" s="4">
        <f>E105-D105</f>
        <v>0.07000000000000006</v>
      </c>
      <c r="L105" s="17">
        <f>I105-H105</f>
        <v>172.89999999999964</v>
      </c>
    </row>
    <row r="106">
      <c r="A106" s="1"/>
      <c r="B106" s="53" t="s">
        <v>715</v>
      </c>
      <c r="C106" s="86"/>
      <c r="D106" s="86"/>
      <c r="E106" s="86"/>
      <c r="F106" s="86"/>
      <c r="G106" s="86"/>
      <c r="H106" s="90"/>
      <c r="I106" s="86"/>
      <c r="J106" s="94">
        <f>SUM(J100:J105)</f>
        <v>5</v>
      </c>
      <c r="K106" s="50">
        <f>AVERAGE(K100:K105)</f>
        <v>0.03833333333333333</v>
      </c>
      <c r="L106" s="27">
        <f>AVERAGE(L100:L105)</f>
        <v>63.38833333333317</v>
      </c>
    </row>
    <row r="107">
      <c r="A107" s="1"/>
      <c r="B107" s="42"/>
      <c r="C107" s="8"/>
      <c r="D107" s="8"/>
      <c r="E107" s="8"/>
      <c r="F107" s="8"/>
      <c r="G107" s="8"/>
      <c r="H107" s="5"/>
      <c r="I107" s="8"/>
      <c r="J107" s="8"/>
      <c r="K107" s="8"/>
      <c r="L107" s="8"/>
    </row>
    <row r="108">
      <c r="A108" s="1"/>
      <c r="B108" s="51" t="s">
        <v>716</v>
      </c>
      <c r="C108" s="7"/>
      <c r="D108" s="7"/>
      <c r="E108" s="7"/>
      <c r="F108" s="7"/>
      <c r="G108" s="7"/>
      <c r="H108" s="12"/>
      <c r="I108" s="7"/>
      <c r="J108" s="7"/>
      <c r="K108" s="7"/>
      <c r="L108" s="7"/>
    </row>
    <row r="109">
      <c r="A109" s="1"/>
      <c r="B109" s="15" t="s">
        <v>717</v>
      </c>
      <c r="C109" s="49">
        <v>167.23</v>
      </c>
      <c r="D109" s="17"/>
      <c r="E109" s="17"/>
      <c r="F109" s="17"/>
      <c r="G109" s="17"/>
      <c r="H109" s="32"/>
      <c r="I109" s="17"/>
      <c r="J109" s="17"/>
      <c r="K109" s="17"/>
      <c r="L109" s="17"/>
    </row>
    <row r="110">
      <c r="A110" s="1"/>
      <c r="B110" s="15" t="s">
        <v>718</v>
      </c>
      <c r="C110" s="8" t="str">
        <f>C15</f>
        <v>Y</v>
      </c>
      <c r="D110" s="8"/>
      <c r="E110" s="8"/>
      <c r="F110" s="8"/>
      <c r="G110" s="8"/>
      <c r="H110" s="5"/>
      <c r="I110" s="8"/>
      <c r="J110" s="8"/>
      <c r="K110" s="8"/>
      <c r="L110" s="8"/>
    </row>
    <row r="111">
      <c r="A111" s="1"/>
      <c r="B111" s="15" t="s">
        <v>719</v>
      </c>
      <c r="C111" s="49">
        <v>10</v>
      </c>
      <c r="D111" s="17"/>
      <c r="E111" s="17"/>
      <c r="F111" s="17"/>
      <c r="G111" s="17"/>
      <c r="H111" s="32"/>
      <c r="I111" s="17"/>
      <c r="J111" s="17"/>
      <c r="K111" s="17"/>
      <c r="L111" s="17"/>
    </row>
    <row r="112">
      <c r="A112" s="1"/>
      <c r="B112" s="15" t="s">
        <v>720</v>
      </c>
      <c r="C112" s="49">
        <v>2</v>
      </c>
      <c r="D112" s="17"/>
      <c r="E112" s="17"/>
      <c r="F112" s="17"/>
      <c r="G112" s="17"/>
      <c r="H112" s="32"/>
      <c r="I112" s="17"/>
      <c r="J112" s="17"/>
      <c r="K112" s="17"/>
      <c r="L112" s="17"/>
    </row>
    <row r="113">
      <c r="A113" s="1"/>
      <c r="B113" s="15" t="s">
        <v>721</v>
      </c>
      <c r="C113" s="8" t="str">
        <f>IF(C109&gt;C111,"Large",IF(C109&gt;=C112,"Mid","Small"))</f>
        <v>Large</v>
      </c>
      <c r="D113" s="8"/>
      <c r="E113" s="8"/>
      <c r="F113" s="8"/>
      <c r="G113" s="8"/>
      <c r="H113" s="5"/>
      <c r="I113" s="8"/>
      <c r="J113" s="8"/>
      <c r="K113" s="8"/>
      <c r="L113" s="8"/>
    </row>
    <row r="114">
      <c r="A114" s="1"/>
      <c r="B114" s="34" t="s">
        <v>722</v>
      </c>
      <c r="C114" s="38">
        <v>0.78</v>
      </c>
      <c r="D114" s="146" t="s">
        <v>723</v>
      </c>
      <c r="E114" s="2"/>
      <c r="F114" s="2"/>
      <c r="G114" s="2"/>
      <c r="H114" s="20"/>
      <c r="I114" s="2"/>
      <c r="J114" s="2"/>
      <c r="K114" s="2"/>
      <c r="L114" s="2"/>
    </row>
    <row r="115">
      <c r="A115" s="1"/>
      <c r="B115" s="34" t="s">
        <v>724</v>
      </c>
      <c r="C115" s="38">
        <v>0.7</v>
      </c>
      <c r="D115" s="2"/>
      <c r="E115" s="2"/>
      <c r="F115" s="2"/>
      <c r="G115" s="2"/>
      <c r="H115" s="20"/>
      <c r="I115" s="2"/>
      <c r="J115" s="2"/>
      <c r="K115" s="2"/>
      <c r="L115" s="2"/>
    </row>
    <row r="116">
      <c r="A116" s="1"/>
      <c r="B116" s="34" t="s">
        <v>725</v>
      </c>
      <c r="C116" s="38">
        <v>0.6</v>
      </c>
      <c r="D116" s="2"/>
      <c r="E116" s="2"/>
      <c r="F116" s="2"/>
      <c r="G116" s="2"/>
      <c r="H116" s="20"/>
      <c r="I116" s="2"/>
      <c r="J116" s="2"/>
      <c r="K116" s="2"/>
      <c r="L116" s="2"/>
    </row>
    <row r="117">
      <c r="A117" s="1"/>
      <c r="B117" s="34" t="s">
        <v>726</v>
      </c>
      <c r="C117" s="2">
        <f>IF(OR(C113="Large",C110="Y"),C114,IF(C113="Mid",C115,C116))</f>
        <v>0.78</v>
      </c>
      <c r="D117" s="2"/>
      <c r="E117" s="2"/>
      <c r="F117" s="2"/>
      <c r="G117" s="2"/>
      <c r="H117" s="20"/>
      <c r="I117" s="2"/>
      <c r="J117" s="2"/>
      <c r="K117" s="2"/>
      <c r="L117" s="2"/>
    </row>
    <row r="118">
      <c r="A118" s="1"/>
      <c r="B118" s="15" t="s">
        <v>727</v>
      </c>
      <c r="C118" s="89">
        <f>J106</f>
        <v>5</v>
      </c>
      <c r="D118" s="89"/>
      <c r="E118" s="89"/>
      <c r="F118" s="89"/>
      <c r="G118" s="89"/>
      <c r="H118" s="87"/>
      <c r="I118" s="89"/>
      <c r="J118" s="89"/>
      <c r="K118" s="89"/>
      <c r="L118" s="89"/>
    </row>
    <row r="119">
      <c r="A119" s="1"/>
      <c r="B119" s="15" t="s">
        <v>728</v>
      </c>
      <c r="C119" s="89">
        <f>COUNT(E100:E105)</f>
        <v>6</v>
      </c>
      <c r="D119" s="89"/>
      <c r="E119" s="89"/>
      <c r="F119" s="89"/>
      <c r="G119" s="89"/>
      <c r="H119" s="87"/>
      <c r="I119" s="89"/>
      <c r="J119" s="89"/>
      <c r="K119" s="89"/>
      <c r="L119" s="89"/>
    </row>
    <row r="120">
      <c r="A120" s="1"/>
      <c r="B120" s="15" t="s">
        <v>729</v>
      </c>
      <c r="C120" s="91">
        <v>8</v>
      </c>
      <c r="D120" s="89"/>
      <c r="E120" s="89"/>
      <c r="F120" s="89"/>
      <c r="G120" s="89"/>
      <c r="H120" s="87"/>
      <c r="I120" s="89"/>
      <c r="J120" s="89"/>
      <c r="K120" s="89"/>
      <c r="L120" s="89"/>
    </row>
    <row r="121">
      <c r="A121" s="1"/>
      <c r="B121" s="34" t="s">
        <v>730</v>
      </c>
      <c r="C121" s="2">
        <f>(C120*C117+C118)/(C120+C119)</f>
        <v>0.8028571428571428</v>
      </c>
      <c r="D121" s="2"/>
      <c r="E121" s="2"/>
      <c r="F121" s="2"/>
      <c r="G121" s="2"/>
      <c r="H121" s="20"/>
      <c r="I121" s="2"/>
      <c r="J121" s="2"/>
      <c r="K121" s="2"/>
      <c r="L121" s="2"/>
    </row>
    <row r="122">
      <c r="A122" s="1"/>
      <c r="B122" s="34" t="s">
        <v>731</v>
      </c>
      <c r="C122" s="38">
        <v>-0.18</v>
      </c>
      <c r="D122" s="120" t="s">
        <v>732</v>
      </c>
      <c r="E122" s="2"/>
      <c r="F122" s="2"/>
      <c r="G122" s="2"/>
      <c r="H122" s="20"/>
      <c r="I122" s="2"/>
      <c r="J122" s="2"/>
      <c r="K122" s="2"/>
      <c r="L122" s="2"/>
    </row>
    <row r="123">
      <c r="A123" s="1"/>
      <c r="B123" s="60" t="s">
        <v>733</v>
      </c>
      <c r="C123" s="31">
        <f>C121+C122</f>
        <v>0.6228571428571428</v>
      </c>
      <c r="D123" s="31"/>
      <c r="E123" s="31"/>
      <c r="F123" s="31"/>
      <c r="G123" s="31"/>
      <c r="H123" s="64"/>
      <c r="I123" s="31"/>
      <c r="J123" s="31"/>
      <c r="K123" s="31"/>
      <c r="L123" s="31"/>
    </row>
    <row r="124">
      <c r="A124" s="1"/>
      <c r="B124" s="53" t="s">
        <v>47</v>
      </c>
      <c r="C124" s="7" t="s">
        <v>734</v>
      </c>
      <c r="D124" s="7"/>
      <c r="E124" s="7"/>
      <c r="F124" s="7"/>
      <c r="G124" s="7"/>
      <c r="H124" s="12"/>
      <c r="I124" s="7"/>
      <c r="J124" s="7"/>
      <c r="K124" s="7"/>
      <c r="L124" s="7"/>
    </row>
    <row r="125">
      <c r="A125" s="1"/>
      <c r="B125" s="42"/>
      <c r="C125" s="8"/>
      <c r="D125" s="8"/>
      <c r="E125" s="8"/>
      <c r="F125" s="8"/>
      <c r="G125" s="8"/>
      <c r="H125" s="5"/>
      <c r="I125" s="8"/>
      <c r="J125" s="8"/>
      <c r="K125" s="8"/>
      <c r="L125" s="8"/>
    </row>
    <row r="126">
      <c r="A126" s="1"/>
      <c r="B126" s="51" t="s">
        <v>735</v>
      </c>
      <c r="C126" s="7"/>
      <c r="D126" s="7"/>
      <c r="E126" s="7"/>
      <c r="F126" s="7"/>
      <c r="G126" s="7"/>
      <c r="H126" s="12"/>
      <c r="I126" s="7"/>
      <c r="J126" s="7"/>
      <c r="K126" s="7"/>
      <c r="L126" s="7"/>
    </row>
    <row r="127">
      <c r="A127" s="1"/>
      <c r="B127" s="54" t="s">
        <v>736</v>
      </c>
      <c r="C127" s="14"/>
      <c r="D127" s="14"/>
      <c r="E127" s="14"/>
      <c r="F127" s="14"/>
      <c r="G127" s="14"/>
      <c r="H127" s="37"/>
      <c r="I127" s="14"/>
      <c r="J127" s="14"/>
      <c r="K127" s="14"/>
      <c r="L127" s="14"/>
    </row>
    <row r="128">
      <c r="A128" s="1"/>
      <c r="B128" s="15" t="s">
        <v>286</v>
      </c>
      <c r="C128" s="49">
        <v>7544</v>
      </c>
      <c r="D128" s="49">
        <v>15504</v>
      </c>
      <c r="E128" s="17"/>
      <c r="F128" s="17"/>
      <c r="G128" s="17"/>
      <c r="H128" s="32"/>
      <c r="I128" s="17"/>
      <c r="J128" s="17"/>
      <c r="K128" s="17"/>
      <c r="L128" s="17"/>
    </row>
    <row r="129">
      <c r="A129" s="1"/>
      <c r="B129" s="15" t="s">
        <v>287</v>
      </c>
      <c r="C129" s="49">
        <v>-2016</v>
      </c>
      <c r="D129" s="49">
        <v>-3754</v>
      </c>
      <c r="E129" s="17"/>
      <c r="F129" s="17"/>
      <c r="G129" s="17"/>
      <c r="H129" s="32"/>
      <c r="I129" s="17"/>
      <c r="J129" s="17"/>
      <c r="K129" s="17"/>
      <c r="L129" s="17"/>
    </row>
    <row r="130">
      <c r="A130" s="1"/>
      <c r="B130" s="15" t="s">
        <v>160</v>
      </c>
      <c r="C130" s="49">
        <v>3100</v>
      </c>
      <c r="D130" s="49">
        <v>6506</v>
      </c>
      <c r="E130" s="17"/>
      <c r="F130" s="17"/>
      <c r="G130" s="17"/>
      <c r="H130" s="32"/>
      <c r="I130" s="17"/>
      <c r="J130" s="17"/>
      <c r="K130" s="17"/>
      <c r="L130" s="17"/>
    </row>
    <row r="131">
      <c r="A131" s="1"/>
      <c r="B131" s="15" t="s">
        <v>178</v>
      </c>
      <c r="C131" s="49">
        <v>1860</v>
      </c>
      <c r="D131" s="49">
        <v>3921</v>
      </c>
      <c r="E131" s="17"/>
      <c r="F131" s="17"/>
      <c r="G131" s="17"/>
      <c r="H131" s="32"/>
      <c r="I131" s="17"/>
      <c r="J131" s="17"/>
      <c r="K131" s="17"/>
      <c r="L131" s="17"/>
    </row>
    <row r="132">
      <c r="A132" s="1"/>
      <c r="B132" s="15" t="s">
        <v>185</v>
      </c>
      <c r="C132" s="49">
        <v>492</v>
      </c>
      <c r="D132" s="49">
        <v>977</v>
      </c>
      <c r="E132" s="17"/>
      <c r="F132" s="17"/>
      <c r="G132" s="17"/>
      <c r="H132" s="32"/>
      <c r="I132" s="17"/>
      <c r="J132" s="17"/>
      <c r="K132" s="17"/>
      <c r="L132" s="17"/>
    </row>
    <row r="133">
      <c r="A133" s="1"/>
      <c r="B133" s="15" t="s">
        <v>189</v>
      </c>
      <c r="C133" s="49">
        <v>470</v>
      </c>
      <c r="D133" s="49">
        <v>767</v>
      </c>
      <c r="E133" s="17"/>
      <c r="F133" s="17"/>
      <c r="G133" s="17"/>
      <c r="H133" s="32"/>
      <c r="I133" s="17"/>
      <c r="J133" s="17"/>
      <c r="K133" s="17"/>
      <c r="L133" s="17"/>
    </row>
    <row r="134">
      <c r="A134" s="1"/>
      <c r="B134" s="15" t="s">
        <v>254</v>
      </c>
      <c r="C134" s="49">
        <v>3208</v>
      </c>
      <c r="D134" s="49">
        <v>6491</v>
      </c>
      <c r="E134" s="17"/>
      <c r="F134" s="17"/>
      <c r="G134" s="17"/>
      <c r="H134" s="32"/>
      <c r="I134" s="17"/>
      <c r="J134" s="17"/>
      <c r="K134" s="17"/>
      <c r="L134" s="17"/>
    </row>
    <row r="135">
      <c r="A135" s="1"/>
      <c r="B135" s="15" t="s">
        <v>256</v>
      </c>
      <c r="C135" s="49">
        <v>560</v>
      </c>
      <c r="D135" s="49">
        <v>1197</v>
      </c>
      <c r="E135" s="17"/>
      <c r="F135" s="17"/>
      <c r="G135" s="17"/>
      <c r="H135" s="32"/>
      <c r="I135" s="17"/>
      <c r="J135" s="17"/>
      <c r="K135" s="17"/>
      <c r="L135" s="17"/>
    </row>
    <row r="136">
      <c r="A136" s="1"/>
      <c r="B136" s="15" t="s">
        <v>258</v>
      </c>
      <c r="C136" s="49">
        <v>544</v>
      </c>
      <c r="D136" s="49">
        <v>1117</v>
      </c>
      <c r="E136" s="17"/>
      <c r="F136" s="17"/>
      <c r="G136" s="17"/>
      <c r="H136" s="32"/>
      <c r="I136" s="17"/>
      <c r="J136" s="17"/>
      <c r="K136" s="17"/>
      <c r="L136" s="17"/>
    </row>
    <row r="137">
      <c r="A137" s="1"/>
      <c r="B137" s="15" t="s">
        <v>260</v>
      </c>
      <c r="C137" s="49">
        <v>204</v>
      </c>
      <c r="D137" s="49">
        <v>420</v>
      </c>
      <c r="E137" s="17"/>
      <c r="F137" s="17"/>
      <c r="G137" s="17"/>
      <c r="H137" s="32"/>
      <c r="I137" s="17"/>
      <c r="J137" s="17"/>
      <c r="K137" s="17"/>
      <c r="L137" s="17"/>
    </row>
    <row r="138">
      <c r="A138" s="1"/>
      <c r="B138" s="15" t="s">
        <v>262</v>
      </c>
      <c r="C138" s="49">
        <v>329</v>
      </c>
      <c r="D138" s="49">
        <v>620</v>
      </c>
      <c r="E138" s="17"/>
      <c r="F138" s="17"/>
      <c r="G138" s="17"/>
      <c r="H138" s="32"/>
      <c r="I138" s="17"/>
      <c r="J138" s="17"/>
      <c r="K138" s="17"/>
      <c r="L138" s="17"/>
    </row>
    <row r="139">
      <c r="A139" s="1"/>
      <c r="B139" s="15" t="s">
        <v>264</v>
      </c>
      <c r="C139" s="49">
        <v>432</v>
      </c>
      <c r="D139" s="49">
        <v>850</v>
      </c>
      <c r="E139" s="17"/>
      <c r="F139" s="17"/>
      <c r="G139" s="17"/>
      <c r="H139" s="32"/>
      <c r="I139" s="17"/>
      <c r="J139" s="17"/>
      <c r="K139" s="17"/>
      <c r="L139" s="17"/>
    </row>
    <row r="140">
      <c r="A140" s="1"/>
      <c r="B140" s="15" t="s">
        <v>266</v>
      </c>
      <c r="C140" s="49">
        <v>258</v>
      </c>
      <c r="D140" s="49">
        <v>512</v>
      </c>
      <c r="E140" s="17"/>
      <c r="F140" s="17"/>
      <c r="G140" s="17"/>
      <c r="H140" s="32"/>
      <c r="I140" s="17"/>
      <c r="J140" s="17"/>
      <c r="K140" s="17"/>
      <c r="L140" s="17"/>
    </row>
    <row r="141">
      <c r="A141" s="1"/>
      <c r="B141" s="15" t="s">
        <v>268</v>
      </c>
      <c r="C141" s="49">
        <v>166</v>
      </c>
      <c r="D141" s="49">
        <v>287</v>
      </c>
      <c r="E141" s="17"/>
      <c r="F141" s="17"/>
      <c r="G141" s="17"/>
      <c r="H141" s="32"/>
      <c r="I141" s="17"/>
      <c r="J141" s="17"/>
      <c r="K141" s="17"/>
      <c r="L141" s="17"/>
    </row>
    <row r="142">
      <c r="A142" s="1"/>
      <c r="B142" s="15" t="s">
        <v>270</v>
      </c>
      <c r="C142" s="49">
        <v>491</v>
      </c>
      <c r="D142" s="49">
        <v>968</v>
      </c>
      <c r="E142" s="17"/>
      <c r="F142" s="17"/>
      <c r="G142" s="17"/>
      <c r="H142" s="32"/>
      <c r="I142" s="17"/>
      <c r="J142" s="17"/>
      <c r="K142" s="17"/>
      <c r="L142" s="17"/>
    </row>
    <row r="143">
      <c r="A143" s="1"/>
      <c r="B143" s="15" t="s">
        <v>293</v>
      </c>
      <c r="C143" s="49">
        <v>1223</v>
      </c>
      <c r="D143" s="49">
        <v>2607</v>
      </c>
      <c r="E143" s="17"/>
      <c r="F143" s="17"/>
      <c r="G143" s="17"/>
      <c r="H143" s="32"/>
      <c r="I143" s="17"/>
      <c r="J143" s="17"/>
      <c r="K143" s="17"/>
      <c r="L143" s="17"/>
    </row>
    <row r="144">
      <c r="A144" s="1"/>
      <c r="B144" s="15" t="s">
        <v>297</v>
      </c>
      <c r="C144" s="49">
        <v>262</v>
      </c>
      <c r="D144" s="49">
        <v>435</v>
      </c>
      <c r="E144" s="17"/>
      <c r="F144" s="17"/>
      <c r="G144" s="17"/>
      <c r="H144" s="32"/>
      <c r="I144" s="17"/>
      <c r="J144" s="17"/>
      <c r="K144" s="17"/>
      <c r="L144" s="17"/>
    </row>
    <row r="145">
      <c r="A145" s="1"/>
      <c r="B145" s="15" t="s">
        <v>737</v>
      </c>
      <c r="C145" s="49">
        <v>0</v>
      </c>
      <c r="D145" s="49">
        <v>0</v>
      </c>
      <c r="E145" s="17"/>
      <c r="F145" s="17"/>
      <c r="G145" s="17"/>
      <c r="H145" s="32"/>
      <c r="I145" s="17"/>
      <c r="J145" s="17"/>
      <c r="K145" s="17"/>
      <c r="L145" s="17"/>
    </row>
    <row r="146">
      <c r="A146" s="1"/>
      <c r="B146" s="15" t="s">
        <v>738</v>
      </c>
      <c r="C146" s="49">
        <v>-63</v>
      </c>
      <c r="D146" s="49">
        <v>-122</v>
      </c>
      <c r="E146" s="17"/>
      <c r="F146" s="17"/>
      <c r="G146" s="17"/>
      <c r="H146" s="32"/>
      <c r="I146" s="17"/>
      <c r="J146" s="17"/>
      <c r="K146" s="17"/>
      <c r="L146" s="17"/>
    </row>
    <row r="147">
      <c r="A147" s="1"/>
      <c r="B147" s="15" t="s">
        <v>739</v>
      </c>
      <c r="C147" s="49">
        <v>4402</v>
      </c>
      <c r="D147" s="49">
        <v>9328</v>
      </c>
      <c r="E147" s="17"/>
      <c r="F147" s="17"/>
      <c r="G147" s="17"/>
      <c r="H147" s="32"/>
      <c r="I147" s="17"/>
      <c r="J147" s="17"/>
      <c r="K147" s="17"/>
      <c r="L147" s="17"/>
    </row>
    <row r="148">
      <c r="A148" s="1"/>
      <c r="B148" s="15" t="s">
        <v>740</v>
      </c>
      <c r="C148" s="49">
        <v>2258</v>
      </c>
      <c r="D148" s="49">
        <v>4756</v>
      </c>
      <c r="E148" s="17"/>
      <c r="F148" s="17"/>
      <c r="G148" s="17"/>
      <c r="H148" s="32"/>
      <c r="I148" s="17"/>
      <c r="J148" s="17"/>
      <c r="K148" s="17"/>
      <c r="L148" s="17"/>
    </row>
    <row r="149">
      <c r="A149" s="1"/>
      <c r="B149" s="15" t="s">
        <v>741</v>
      </c>
      <c r="C149" s="49">
        <v>1657</v>
      </c>
      <c r="D149" s="49">
        <v>3525</v>
      </c>
      <c r="E149" s="17"/>
      <c r="F149" s="17"/>
      <c r="G149" s="17"/>
      <c r="H149" s="32"/>
      <c r="I149" s="17"/>
      <c r="J149" s="17"/>
      <c r="K149" s="17"/>
      <c r="L149" s="17"/>
    </row>
    <row r="150">
      <c r="A150" s="1"/>
      <c r="B150" s="15" t="s">
        <v>742</v>
      </c>
      <c r="C150" s="49">
        <v>385</v>
      </c>
      <c r="D150" s="49">
        <v>766</v>
      </c>
      <c r="E150" s="17"/>
      <c r="F150" s="17"/>
      <c r="G150" s="17"/>
      <c r="H150" s="32"/>
      <c r="I150" s="17"/>
      <c r="J150" s="17"/>
      <c r="K150" s="17"/>
      <c r="L150" s="17"/>
    </row>
    <row r="151">
      <c r="A151" s="1"/>
      <c r="B151" s="15" t="s">
        <v>743</v>
      </c>
      <c r="C151" s="49">
        <v>378</v>
      </c>
      <c r="D151" s="49">
        <v>624</v>
      </c>
      <c r="E151" s="17"/>
      <c r="F151" s="17"/>
      <c r="G151" s="17"/>
      <c r="H151" s="32"/>
      <c r="I151" s="17"/>
      <c r="J151" s="17"/>
      <c r="K151" s="17"/>
      <c r="L151" s="17"/>
    </row>
    <row r="152">
      <c r="A152" s="1"/>
      <c r="B152" s="15" t="s">
        <v>744</v>
      </c>
      <c r="C152" s="49">
        <v>2476</v>
      </c>
      <c r="D152" s="49">
        <v>5025</v>
      </c>
      <c r="E152" s="17"/>
      <c r="F152" s="17"/>
      <c r="G152" s="17"/>
      <c r="H152" s="32"/>
      <c r="I152" s="17"/>
      <c r="J152" s="17"/>
      <c r="K152" s="17"/>
      <c r="L152" s="17"/>
    </row>
    <row r="153">
      <c r="A153" s="1"/>
      <c r="B153" s="15" t="s">
        <v>745</v>
      </c>
      <c r="C153" s="49">
        <v>445</v>
      </c>
      <c r="D153" s="49">
        <v>953</v>
      </c>
      <c r="E153" s="17"/>
      <c r="F153" s="17"/>
      <c r="G153" s="17"/>
      <c r="H153" s="32"/>
      <c r="I153" s="17"/>
      <c r="J153" s="17"/>
      <c r="K153" s="17"/>
      <c r="L153" s="17"/>
    </row>
    <row r="154">
      <c r="A154" s="1"/>
      <c r="B154" s="15" t="s">
        <v>746</v>
      </c>
      <c r="C154" s="49">
        <v>427</v>
      </c>
      <c r="D154" s="49">
        <v>876</v>
      </c>
      <c r="E154" s="17"/>
      <c r="F154" s="17"/>
      <c r="G154" s="17"/>
      <c r="H154" s="32"/>
      <c r="I154" s="17"/>
      <c r="J154" s="17"/>
      <c r="K154" s="17"/>
      <c r="L154" s="17"/>
    </row>
    <row r="155">
      <c r="A155" s="1"/>
      <c r="B155" s="15" t="s">
        <v>747</v>
      </c>
      <c r="C155" s="49">
        <v>134</v>
      </c>
      <c r="D155" s="49">
        <v>280</v>
      </c>
      <c r="E155" s="17"/>
      <c r="F155" s="17"/>
      <c r="G155" s="17"/>
      <c r="H155" s="32"/>
      <c r="I155" s="17"/>
      <c r="J155" s="17"/>
      <c r="K155" s="17"/>
      <c r="L155" s="17"/>
    </row>
    <row r="156">
      <c r="A156" s="1"/>
      <c r="B156" s="15" t="s">
        <v>748</v>
      </c>
      <c r="C156" s="49">
        <v>233</v>
      </c>
      <c r="D156" s="49">
        <v>439</v>
      </c>
      <c r="E156" s="17"/>
      <c r="F156" s="17"/>
      <c r="G156" s="17"/>
      <c r="H156" s="32"/>
      <c r="I156" s="17"/>
      <c r="J156" s="17"/>
      <c r="K156" s="17"/>
      <c r="L156" s="17"/>
    </row>
    <row r="157">
      <c r="A157" s="1"/>
      <c r="B157" s="15" t="s">
        <v>749</v>
      </c>
      <c r="C157" s="49">
        <v>327</v>
      </c>
      <c r="D157" s="49">
        <v>644</v>
      </c>
      <c r="E157" s="17"/>
      <c r="F157" s="17"/>
      <c r="G157" s="17"/>
      <c r="H157" s="32"/>
      <c r="I157" s="17"/>
      <c r="J157" s="17"/>
      <c r="K157" s="17"/>
      <c r="L157" s="17"/>
    </row>
    <row r="158">
      <c r="A158" s="1"/>
      <c r="B158" s="15" t="s">
        <v>750</v>
      </c>
      <c r="C158" s="49">
        <v>210</v>
      </c>
      <c r="D158" s="49">
        <v>418</v>
      </c>
      <c r="E158" s="17"/>
      <c r="F158" s="17"/>
      <c r="G158" s="17"/>
      <c r="H158" s="32"/>
      <c r="I158" s="17"/>
      <c r="J158" s="17"/>
      <c r="K158" s="17"/>
      <c r="L158" s="17"/>
    </row>
    <row r="159">
      <c r="A159" s="1"/>
      <c r="B159" s="15" t="s">
        <v>751</v>
      </c>
      <c r="C159" s="49">
        <v>132</v>
      </c>
      <c r="D159" s="49">
        <v>237</v>
      </c>
      <c r="E159" s="17"/>
      <c r="F159" s="17"/>
      <c r="G159" s="17"/>
      <c r="H159" s="32"/>
      <c r="I159" s="17"/>
      <c r="J159" s="17"/>
      <c r="K159" s="17"/>
      <c r="L159" s="17"/>
    </row>
    <row r="160">
      <c r="A160" s="1"/>
      <c r="B160" s="15" t="s">
        <v>752</v>
      </c>
      <c r="C160" s="49">
        <v>411</v>
      </c>
      <c r="D160" s="49">
        <v>806</v>
      </c>
      <c r="E160" s="17"/>
      <c r="F160" s="17"/>
      <c r="G160" s="17"/>
      <c r="H160" s="32"/>
      <c r="I160" s="17"/>
      <c r="J160" s="17"/>
      <c r="K160" s="17"/>
      <c r="L160" s="17"/>
    </row>
    <row r="161">
      <c r="A161" s="1"/>
      <c r="B161" s="15" t="s">
        <v>753</v>
      </c>
      <c r="C161" s="49">
        <v>1126</v>
      </c>
      <c r="D161" s="49">
        <v>2422</v>
      </c>
      <c r="E161" s="17"/>
      <c r="F161" s="17"/>
      <c r="G161" s="17"/>
      <c r="H161" s="32"/>
      <c r="I161" s="17"/>
      <c r="J161" s="17"/>
      <c r="K161" s="17"/>
      <c r="L161" s="17"/>
    </row>
    <row r="162">
      <c r="A162" s="1"/>
      <c r="B162" s="15" t="s">
        <v>754</v>
      </c>
      <c r="C162" s="49">
        <v>842</v>
      </c>
      <c r="D162" s="49">
        <v>1750</v>
      </c>
      <c r="E162" s="17"/>
      <c r="F162" s="17"/>
      <c r="G162" s="17"/>
      <c r="H162" s="32"/>
      <c r="I162" s="17"/>
      <c r="J162" s="17"/>
      <c r="K162" s="17"/>
      <c r="L162" s="17"/>
    </row>
    <row r="163">
      <c r="A163" s="1"/>
      <c r="B163" s="15" t="s">
        <v>755</v>
      </c>
      <c r="C163" s="49">
        <v>203</v>
      </c>
      <c r="D163" s="49">
        <v>396</v>
      </c>
      <c r="E163" s="17"/>
      <c r="F163" s="17"/>
      <c r="G163" s="17"/>
      <c r="H163" s="32"/>
      <c r="I163" s="17"/>
      <c r="J163" s="17"/>
      <c r="K163" s="17"/>
      <c r="L163" s="17"/>
    </row>
    <row r="164">
      <c r="A164" s="1"/>
      <c r="B164" s="15" t="s">
        <v>756</v>
      </c>
      <c r="C164" s="49">
        <v>107</v>
      </c>
      <c r="D164" s="49">
        <v>211</v>
      </c>
      <c r="E164" s="17"/>
      <c r="F164" s="17"/>
      <c r="G164" s="17"/>
      <c r="H164" s="32"/>
      <c r="I164" s="17"/>
      <c r="J164" s="17"/>
      <c r="K164" s="17"/>
      <c r="L164" s="17"/>
    </row>
    <row r="165">
      <c r="A165" s="1"/>
      <c r="B165" s="15" t="s">
        <v>757</v>
      </c>
      <c r="C165" s="49">
        <v>92</v>
      </c>
      <c r="D165" s="49">
        <v>143</v>
      </c>
      <c r="E165" s="17"/>
      <c r="F165" s="17"/>
      <c r="G165" s="17"/>
      <c r="H165" s="32"/>
      <c r="I165" s="17"/>
      <c r="J165" s="17"/>
      <c r="K165" s="17"/>
      <c r="L165" s="17"/>
    </row>
    <row r="166">
      <c r="A166" s="1"/>
      <c r="B166" s="15" t="s">
        <v>758</v>
      </c>
      <c r="C166" s="49">
        <v>732</v>
      </c>
      <c r="D166" s="49">
        <v>1466</v>
      </c>
      <c r="E166" s="17"/>
      <c r="F166" s="17"/>
      <c r="G166" s="17"/>
      <c r="H166" s="32"/>
      <c r="I166" s="17"/>
      <c r="J166" s="17"/>
      <c r="K166" s="17"/>
      <c r="L166" s="17"/>
    </row>
    <row r="167">
      <c r="A167" s="1"/>
      <c r="B167" s="15" t="s">
        <v>759</v>
      </c>
      <c r="C167" s="49">
        <v>115</v>
      </c>
      <c r="D167" s="49">
        <v>244</v>
      </c>
      <c r="E167" s="17"/>
      <c r="F167" s="17"/>
      <c r="G167" s="17"/>
      <c r="H167" s="32"/>
      <c r="I167" s="17"/>
      <c r="J167" s="17"/>
      <c r="K167" s="17"/>
      <c r="L167" s="17"/>
    </row>
    <row r="168">
      <c r="A168" s="1"/>
      <c r="B168" s="15" t="s">
        <v>760</v>
      </c>
      <c r="C168" s="49">
        <v>117</v>
      </c>
      <c r="D168" s="49">
        <v>241</v>
      </c>
      <c r="E168" s="17"/>
      <c r="F168" s="17"/>
      <c r="G168" s="17"/>
      <c r="H168" s="32"/>
      <c r="I168" s="17"/>
      <c r="J168" s="17"/>
      <c r="K168" s="17"/>
      <c r="L168" s="17"/>
    </row>
    <row r="169">
      <c r="A169" s="1"/>
      <c r="B169" s="15" t="s">
        <v>761</v>
      </c>
      <c r="C169" s="49">
        <v>70</v>
      </c>
      <c r="D169" s="49">
        <v>140</v>
      </c>
      <c r="E169" s="17"/>
      <c r="F169" s="17"/>
      <c r="G169" s="17"/>
      <c r="H169" s="32"/>
      <c r="I169" s="17"/>
      <c r="J169" s="17"/>
      <c r="K169" s="17"/>
      <c r="L169" s="17"/>
    </row>
    <row r="170">
      <c r="A170" s="1"/>
      <c r="B170" s="15" t="s">
        <v>762</v>
      </c>
      <c r="C170" s="49">
        <v>96</v>
      </c>
      <c r="D170" s="49">
        <v>181</v>
      </c>
      <c r="E170" s="17"/>
      <c r="F170" s="17"/>
      <c r="G170" s="17"/>
      <c r="H170" s="32"/>
      <c r="I170" s="17"/>
      <c r="J170" s="17"/>
      <c r="K170" s="17"/>
      <c r="L170" s="17"/>
    </row>
    <row r="171">
      <c r="A171" s="1"/>
      <c r="B171" s="15" t="s">
        <v>763</v>
      </c>
      <c r="C171" s="49">
        <v>105</v>
      </c>
      <c r="D171" s="49">
        <v>206</v>
      </c>
      <c r="E171" s="17"/>
      <c r="F171" s="17"/>
      <c r="G171" s="17"/>
      <c r="H171" s="32"/>
      <c r="I171" s="17"/>
      <c r="J171" s="17"/>
      <c r="K171" s="17"/>
      <c r="L171" s="17"/>
    </row>
    <row r="172">
      <c r="A172" s="1"/>
      <c r="B172" s="15" t="s">
        <v>764</v>
      </c>
      <c r="C172" s="49">
        <v>48</v>
      </c>
      <c r="D172" s="49">
        <v>94</v>
      </c>
      <c r="E172" s="17"/>
      <c r="F172" s="17"/>
      <c r="G172" s="17"/>
      <c r="H172" s="32"/>
      <c r="I172" s="17"/>
      <c r="J172" s="17"/>
      <c r="K172" s="17"/>
      <c r="L172" s="17"/>
    </row>
    <row r="173">
      <c r="A173" s="1"/>
      <c r="B173" s="15" t="s">
        <v>765</v>
      </c>
      <c r="C173" s="49">
        <v>34</v>
      </c>
      <c r="D173" s="49">
        <v>50</v>
      </c>
      <c r="E173" s="17"/>
      <c r="F173" s="17"/>
      <c r="G173" s="17"/>
      <c r="H173" s="32"/>
      <c r="I173" s="17"/>
      <c r="J173" s="17"/>
      <c r="K173" s="17"/>
      <c r="L173" s="17"/>
    </row>
    <row r="174">
      <c r="A174" s="1"/>
      <c r="B174" s="15" t="s">
        <v>766</v>
      </c>
      <c r="C174" s="49">
        <v>80</v>
      </c>
      <c r="D174" s="49">
        <v>162</v>
      </c>
      <c r="E174" s="17"/>
      <c r="F174" s="17"/>
      <c r="G174" s="17"/>
      <c r="H174" s="32"/>
      <c r="I174" s="17"/>
      <c r="J174" s="17"/>
      <c r="K174" s="17"/>
      <c r="L174" s="17"/>
    </row>
    <row r="175">
      <c r="A175" s="1"/>
      <c r="B175" s="15" t="s">
        <v>767</v>
      </c>
      <c r="C175" s="49">
        <v>206</v>
      </c>
      <c r="D175" s="49">
        <v>498.6</v>
      </c>
      <c r="E175" s="17"/>
      <c r="F175" s="17"/>
      <c r="G175" s="17"/>
      <c r="H175" s="32"/>
      <c r="I175" s="17"/>
      <c r="J175" s="17"/>
      <c r="K175" s="17"/>
      <c r="L175" s="17"/>
    </row>
    <row r="176">
      <c r="A176" s="1"/>
      <c r="B176" s="15" t="s">
        <v>768</v>
      </c>
      <c r="C176" s="49">
        <v>100.7</v>
      </c>
      <c r="D176" s="49">
        <v>213.8</v>
      </c>
      <c r="E176" s="17"/>
      <c r="F176" s="17"/>
      <c r="G176" s="17"/>
      <c r="H176" s="32"/>
      <c r="I176" s="17"/>
      <c r="J176" s="17"/>
      <c r="K176" s="17"/>
      <c r="L176" s="17"/>
    </row>
    <row r="177">
      <c r="A177" s="1"/>
      <c r="B177" s="15" t="s">
        <v>769</v>
      </c>
      <c r="C177" s="49">
        <v>105.3</v>
      </c>
      <c r="D177" s="49">
        <v>284.8</v>
      </c>
      <c r="E177" s="17"/>
      <c r="F177" s="17"/>
      <c r="G177" s="17"/>
      <c r="H177" s="32"/>
      <c r="I177" s="17"/>
      <c r="J177" s="17"/>
      <c r="K177" s="17"/>
      <c r="L177" s="17"/>
    </row>
    <row r="178">
      <c r="A178" s="1"/>
      <c r="B178" s="15" t="s">
        <v>770</v>
      </c>
      <c r="C178" s="49">
        <v>450</v>
      </c>
      <c r="D178" s="49">
        <v>1303.1</v>
      </c>
      <c r="E178" s="17"/>
      <c r="F178" s="17"/>
      <c r="G178" s="17"/>
      <c r="H178" s="32"/>
      <c r="I178" s="17"/>
      <c r="J178" s="17"/>
      <c r="K178" s="17"/>
      <c r="L178" s="17"/>
    </row>
    <row r="179">
      <c r="A179" s="1"/>
      <c r="B179" s="15" t="s">
        <v>208</v>
      </c>
      <c r="C179" s="49">
        <v>218</v>
      </c>
      <c r="D179" s="49">
        <v>519.4</v>
      </c>
      <c r="E179" s="17"/>
      <c r="F179" s="17"/>
      <c r="G179" s="17"/>
      <c r="H179" s="32"/>
      <c r="I179" s="17"/>
      <c r="J179" s="17"/>
      <c r="K179" s="17"/>
      <c r="L179" s="17"/>
    </row>
    <row r="180">
      <c r="A180" s="1"/>
      <c r="B180" s="15" t="s">
        <v>771</v>
      </c>
      <c r="C180" s="91">
        <v>2281</v>
      </c>
      <c r="D180" s="91">
        <v>4692</v>
      </c>
      <c r="E180" s="89"/>
      <c r="F180" s="89"/>
      <c r="G180" s="89"/>
      <c r="H180" s="87"/>
      <c r="I180" s="89"/>
      <c r="J180" s="89"/>
      <c r="K180" s="89"/>
      <c r="L180" s="89"/>
    </row>
    <row r="181">
      <c r="A181" s="1"/>
      <c r="B181" s="15" t="s">
        <v>772</v>
      </c>
      <c r="C181" s="49">
        <v>7391</v>
      </c>
      <c r="D181" s="49">
        <v>60</v>
      </c>
      <c r="E181" s="17"/>
      <c r="F181" s="17"/>
      <c r="G181" s="17"/>
      <c r="H181" s="32"/>
      <c r="I181" s="17"/>
      <c r="J181" s="17"/>
      <c r="K181" s="17"/>
      <c r="L181" s="17"/>
    </row>
    <row r="182">
      <c r="A182" s="1"/>
      <c r="B182" s="15" t="s">
        <v>773</v>
      </c>
      <c r="C182" s="49">
        <v>7571</v>
      </c>
      <c r="D182" s="49">
        <v>62</v>
      </c>
      <c r="E182" s="17"/>
      <c r="F182" s="17"/>
      <c r="G182" s="17"/>
      <c r="H182" s="32"/>
      <c r="I182" s="17"/>
      <c r="J182" s="17"/>
      <c r="K182" s="17"/>
      <c r="L182" s="17"/>
    </row>
    <row r="183">
      <c r="A183" s="1"/>
      <c r="B183" s="15" t="s">
        <v>774</v>
      </c>
      <c r="C183" s="49">
        <v>10101.3</v>
      </c>
      <c r="D183" s="49">
        <v>5721.6</v>
      </c>
      <c r="E183" s="49">
        <v>4379.7</v>
      </c>
      <c r="F183" s="17"/>
      <c r="G183" s="17"/>
      <c r="H183" s="32"/>
      <c r="I183" s="17"/>
      <c r="J183" s="17"/>
      <c r="K183" s="17"/>
      <c r="L183" s="17"/>
    </row>
    <row r="184">
      <c r="A184" s="1"/>
      <c r="B184" s="15" t="s">
        <v>775</v>
      </c>
      <c r="C184" s="49">
        <v>10757.3</v>
      </c>
      <c r="D184" s="49">
        <v>6069.9</v>
      </c>
      <c r="E184" s="49">
        <v>4687.4</v>
      </c>
      <c r="F184" s="17"/>
      <c r="G184" s="17"/>
      <c r="H184" s="32"/>
      <c r="I184" s="17"/>
      <c r="J184" s="17"/>
      <c r="K184" s="17"/>
      <c r="L184" s="17"/>
    </row>
    <row r="185">
      <c r="A185" s="1"/>
      <c r="B185" s="15" t="s">
        <v>776</v>
      </c>
      <c r="C185" s="91">
        <v>36456</v>
      </c>
      <c r="D185" s="91">
        <v>37476</v>
      </c>
      <c r="E185" s="89"/>
      <c r="F185" s="89"/>
      <c r="G185" s="89"/>
      <c r="H185" s="87"/>
      <c r="I185" s="89"/>
      <c r="J185" s="89"/>
      <c r="K185" s="89"/>
      <c r="L185" s="89"/>
    </row>
    <row r="186">
      <c r="A186" s="1"/>
      <c r="B186" s="15" t="s">
        <v>777</v>
      </c>
      <c r="C186" s="49">
        <v>82.1</v>
      </c>
      <c r="D186" s="49">
        <v>87.6</v>
      </c>
      <c r="E186" s="17"/>
      <c r="F186" s="17"/>
      <c r="G186" s="17"/>
      <c r="H186" s="32"/>
      <c r="I186" s="17"/>
      <c r="J186" s="17"/>
      <c r="K186" s="17"/>
      <c r="L186" s="17"/>
    </row>
    <row r="187">
      <c r="A187" s="1"/>
      <c r="B187" s="15" t="s">
        <v>778</v>
      </c>
      <c r="C187" s="49">
        <v>23921</v>
      </c>
      <c r="D187" s="17"/>
      <c r="E187" s="17"/>
      <c r="F187" s="17"/>
      <c r="G187" s="17"/>
      <c r="H187" s="32"/>
      <c r="I187" s="17"/>
      <c r="J187" s="17"/>
      <c r="K187" s="17"/>
      <c r="L187" s="17"/>
    </row>
    <row r="188">
      <c r="A188" s="1"/>
      <c r="B188" s="15" t="s">
        <v>779</v>
      </c>
      <c r="C188" s="49">
        <v>8852</v>
      </c>
      <c r="D188" s="17"/>
      <c r="E188" s="17"/>
      <c r="F188" s="17"/>
      <c r="G188" s="17"/>
      <c r="H188" s="32"/>
      <c r="I188" s="17"/>
      <c r="J188" s="17"/>
      <c r="K188" s="17"/>
      <c r="L188" s="17"/>
    </row>
    <row r="189">
      <c r="A189" s="1"/>
      <c r="B189" s="15" t="s">
        <v>780</v>
      </c>
      <c r="C189" s="49">
        <v>19606</v>
      </c>
      <c r="D189" s="17"/>
      <c r="E189" s="17"/>
      <c r="F189" s="17"/>
      <c r="G189" s="17"/>
      <c r="H189" s="32"/>
      <c r="I189" s="17"/>
      <c r="J189" s="17"/>
      <c r="K189" s="17"/>
      <c r="L189" s="17"/>
    </row>
    <row r="190">
      <c r="A190" s="1"/>
      <c r="B190" s="15" t="s">
        <v>781</v>
      </c>
      <c r="C190" s="49">
        <v>11950</v>
      </c>
      <c r="D190" s="17"/>
      <c r="E190" s="17"/>
      <c r="F190" s="17"/>
      <c r="G190" s="17"/>
      <c r="H190" s="32"/>
      <c r="I190" s="17"/>
      <c r="J190" s="17"/>
      <c r="K190" s="17"/>
      <c r="L190" s="17"/>
    </row>
    <row r="191">
      <c r="A191" s="1"/>
      <c r="B191" s="15" t="s">
        <v>782</v>
      </c>
      <c r="C191" s="49">
        <v>6384</v>
      </c>
      <c r="D191" s="17"/>
      <c r="E191" s="17"/>
      <c r="F191" s="17"/>
      <c r="G191" s="17"/>
      <c r="H191" s="32"/>
      <c r="I191" s="17"/>
      <c r="J191" s="17"/>
      <c r="K191" s="17"/>
      <c r="L191" s="17"/>
    </row>
    <row r="192">
      <c r="A192" s="1"/>
      <c r="B192" s="15" t="s">
        <v>783</v>
      </c>
      <c r="C192" s="21">
        <v>1.31</v>
      </c>
      <c r="D192" s="21">
        <v>1.39</v>
      </c>
      <c r="E192" s="21">
        <v>4.87</v>
      </c>
      <c r="F192" s="21">
        <v>1.43</v>
      </c>
      <c r="G192" s="21">
        <v>1.62</v>
      </c>
      <c r="H192" s="29"/>
      <c r="I192" s="4"/>
      <c r="J192" s="4"/>
      <c r="K192" s="4"/>
      <c r="L192" s="4"/>
    </row>
    <row r="193">
      <c r="A193" s="1"/>
      <c r="B193" s="15" t="s">
        <v>784</v>
      </c>
      <c r="C193" s="21">
        <v>1.26</v>
      </c>
      <c r="D193" s="21">
        <v>1.33</v>
      </c>
      <c r="E193" s="21">
        <v>4.65</v>
      </c>
      <c r="F193" s="21">
        <v>1.37</v>
      </c>
      <c r="G193" s="21">
        <v>1.54</v>
      </c>
      <c r="H193" s="29"/>
      <c r="I193" s="4"/>
      <c r="J193" s="4"/>
      <c r="K193" s="4"/>
      <c r="L193" s="4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22" customWidth="1"/>
    <col min="4" max="4" width="34" customWidth="1"/>
    <col min="5" max="5" width="70" customWidth="1"/>
    <col min="6" max="6" width="60" customWidth="1"/>
    <col min="7" max="7" width="14" customWidth="1"/>
    <col min="8" max="9" width="12" customWidth="1"/>
  </cols>
  <sheetData>
    <row r="1">
      <c r="A1" s="1"/>
      <c r="B1" s="65" t="s">
        <v>0</v>
      </c>
      <c r="C1" s="1"/>
      <c r="D1" s="1"/>
      <c r="E1" s="1"/>
      <c r="F1" s="1"/>
      <c r="G1" s="1"/>
      <c r="H1" s="1"/>
      <c r="I1" s="1"/>
    </row>
    <row r="2">
      <c r="A2" s="1"/>
      <c r="B2" s="33" t="s">
        <v>785</v>
      </c>
      <c r="C2" s="1"/>
      <c r="D2" s="1"/>
      <c r="E2" s="1"/>
      <c r="F2" s="1"/>
      <c r="G2" s="1"/>
      <c r="H2" s="1"/>
      <c r="I2" s="1"/>
    </row>
    <row r="3">
      <c r="A3" s="1"/>
      <c r="B3" s="1" t="s">
        <v>2</v>
      </c>
      <c r="C3" s="1"/>
      <c r="D3" s="1"/>
      <c r="E3" s="1"/>
      <c r="F3" s="1"/>
      <c r="G3" s="1"/>
      <c r="H3" s="1"/>
      <c r="I3" s="1"/>
    </row>
    <row r="4">
      <c r="A4" s="1"/>
      <c r="B4" s="25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67" t="s">
        <v>9</v>
      </c>
      <c r="I4" s="1"/>
    </row>
    <row r="5">
      <c r="A5" s="1"/>
      <c r="B5" s="45" t="s">
        <v>10</v>
      </c>
      <c r="C5" s="35">
        <f>DATE(2025,9,30)</f>
        <v>45930</v>
      </c>
      <c r="D5" s="35">
        <f>DATE(2025,12,31)</f>
        <v>46022</v>
      </c>
      <c r="E5" s="35">
        <f>DATE(2025,12,31)</f>
        <v>46022</v>
      </c>
      <c r="F5" s="35">
        <f>DATE(2026,3,31)</f>
        <v>46112</v>
      </c>
      <c r="G5" s="35">
        <f>DATE(2026,6,30)</f>
        <v>46203</v>
      </c>
      <c r="H5" s="26">
        <f>DATE(2026,9,30)</f>
        <v>46295</v>
      </c>
      <c r="I5" s="1"/>
    </row>
    <row r="6">
      <c r="A6" s="1"/>
      <c r="B6" s="58" t="s">
        <v>11</v>
      </c>
      <c r="C6" s="13">
        <f>C5-DATE(2025,6,30)</f>
        <v>92</v>
      </c>
      <c r="D6" s="13">
        <f>D5-C5</f>
        <v>92</v>
      </c>
      <c r="E6" s="13">
        <f>E5-DATE(2024,12,31)</f>
        <v>365</v>
      </c>
      <c r="F6" s="13">
        <f>F5-D5</f>
        <v>90</v>
      </c>
      <c r="G6" s="13">
        <f>G5-F5</f>
        <v>91</v>
      </c>
      <c r="H6" s="47">
        <f>H5-G5</f>
        <v>92</v>
      </c>
      <c r="I6" s="1"/>
    </row>
    <row r="7">
      <c r="A7" s="1"/>
      <c r="B7" s="1"/>
      <c r="C7" s="1"/>
      <c r="D7" s="1"/>
      <c r="E7" s="1"/>
      <c r="F7" s="1"/>
      <c r="G7" s="1"/>
      <c r="H7" s="68"/>
      <c r="I7" s="1"/>
    </row>
    <row r="8">
      <c r="A8" s="1"/>
      <c r="B8" s="42"/>
      <c r="C8" s="8"/>
      <c r="D8" s="8"/>
      <c r="E8" s="8"/>
      <c r="F8" s="8"/>
      <c r="G8" s="8"/>
      <c r="H8" s="5"/>
      <c r="I8" s="8"/>
    </row>
    <row r="9">
      <c r="A9" s="1"/>
      <c r="B9" s="51" t="s">
        <v>786</v>
      </c>
      <c r="C9" s="7"/>
      <c r="D9" s="7"/>
      <c r="E9" s="7"/>
      <c r="F9" s="7"/>
      <c r="G9" s="7"/>
      <c r="H9" s="12"/>
      <c r="I9" s="7"/>
    </row>
    <row r="10">
      <c r="A10" s="1"/>
      <c r="B10" s="53" t="s">
        <v>787</v>
      </c>
      <c r="C10" s="118" t="s">
        <v>788</v>
      </c>
      <c r="D10" s="7" t="s">
        <v>789</v>
      </c>
      <c r="E10" s="7" t="s">
        <v>790</v>
      </c>
      <c r="F10" s="7" t="s">
        <v>791</v>
      </c>
      <c r="G10" s="118" t="s">
        <v>792</v>
      </c>
      <c r="H10" s="12"/>
      <c r="I10" s="7"/>
    </row>
    <row r="11" ht="41.25">
      <c r="A11" s="1"/>
      <c r="B11" s="73" t="s">
        <v>587</v>
      </c>
      <c r="C11" s="69">
        <v>46224</v>
      </c>
      <c r="D11" s="70" t="s">
        <v>793</v>
      </c>
      <c r="E11" s="70" t="s">
        <v>794</v>
      </c>
      <c r="F11" s="70" t="s">
        <v>795</v>
      </c>
      <c r="G11" s="69">
        <v>46307</v>
      </c>
      <c r="H11" s="5"/>
      <c r="I11" s="8"/>
    </row>
    <row r="12" ht="28.5">
      <c r="A12" s="1"/>
      <c r="B12" s="73" t="s">
        <v>796</v>
      </c>
      <c r="C12" s="69">
        <v>46241</v>
      </c>
      <c r="D12" s="70" t="s">
        <v>797</v>
      </c>
      <c r="E12" s="70" t="s">
        <v>798</v>
      </c>
      <c r="F12" s="70" t="s">
        <v>799</v>
      </c>
      <c r="G12" s="69">
        <v>46307</v>
      </c>
      <c r="H12" s="5"/>
      <c r="I12" s="8"/>
    </row>
    <row r="13" ht="41.25">
      <c r="A13" s="1"/>
      <c r="B13" s="73" t="s">
        <v>581</v>
      </c>
      <c r="C13" s="69">
        <v>46225</v>
      </c>
      <c r="D13" s="70" t="s">
        <v>800</v>
      </c>
      <c r="E13" s="70" t="s">
        <v>801</v>
      </c>
      <c r="F13" s="70" t="s">
        <v>802</v>
      </c>
      <c r="G13" s="69">
        <v>46307</v>
      </c>
      <c r="H13" s="5"/>
      <c r="I13" s="8"/>
    </row>
    <row r="14" ht="41.25">
      <c r="A14" s="1"/>
      <c r="B14" s="73" t="s">
        <v>803</v>
      </c>
      <c r="C14" s="69">
        <v>46248</v>
      </c>
      <c r="D14" s="70" t="s">
        <v>804</v>
      </c>
      <c r="E14" s="70" t="s">
        <v>805</v>
      </c>
      <c r="F14" s="70" t="s">
        <v>806</v>
      </c>
      <c r="G14" s="69">
        <v>46307</v>
      </c>
      <c r="H14" s="5"/>
      <c r="I14" s="8"/>
    </row>
    <row r="15" ht="41.25">
      <c r="A15" s="1"/>
      <c r="B15" s="73" t="s">
        <v>807</v>
      </c>
      <c r="C15" s="69">
        <v>46280</v>
      </c>
      <c r="D15" s="70" t="s">
        <v>808</v>
      </c>
      <c r="E15" s="70" t="s">
        <v>809</v>
      </c>
      <c r="F15" s="70" t="s">
        <v>810</v>
      </c>
      <c r="G15" s="69">
        <v>46307</v>
      </c>
      <c r="H15" s="5"/>
      <c r="I15" s="8"/>
    </row>
    <row r="16" ht="28.5">
      <c r="A16" s="1"/>
      <c r="B16" s="73" t="s">
        <v>811</v>
      </c>
      <c r="C16" s="69">
        <v>45968</v>
      </c>
      <c r="D16" s="70" t="s">
        <v>812</v>
      </c>
      <c r="E16" s="70" t="s">
        <v>813</v>
      </c>
      <c r="F16" s="70" t="s">
        <v>814</v>
      </c>
      <c r="G16" s="69">
        <v>46307</v>
      </c>
      <c r="H16" s="5"/>
      <c r="I16" s="8"/>
    </row>
    <row r="17" ht="28.5">
      <c r="A17" s="1"/>
      <c r="B17" s="73" t="s">
        <v>589</v>
      </c>
      <c r="C17" s="69">
        <v>46078</v>
      </c>
      <c r="D17" s="70" t="s">
        <v>815</v>
      </c>
      <c r="E17" s="70" t="s">
        <v>816</v>
      </c>
      <c r="F17" s="70" t="s">
        <v>817</v>
      </c>
      <c r="G17" s="69">
        <v>46307</v>
      </c>
      <c r="H17" s="5"/>
      <c r="I17" s="8"/>
    </row>
    <row r="18" ht="28.5">
      <c r="A18" s="1"/>
      <c r="B18" s="73" t="s">
        <v>818</v>
      </c>
      <c r="C18" s="69">
        <v>46078</v>
      </c>
      <c r="D18" s="70" t="s">
        <v>819</v>
      </c>
      <c r="E18" s="70" t="s">
        <v>820</v>
      </c>
      <c r="F18" s="70" t="s">
        <v>821</v>
      </c>
      <c r="G18" s="69">
        <v>46307</v>
      </c>
      <c r="H18" s="5"/>
      <c r="I18" s="8"/>
    </row>
    <row r="19" ht="28.5">
      <c r="A19" s="1"/>
      <c r="B19" s="73" t="s">
        <v>822</v>
      </c>
      <c r="C19" s="69">
        <v>46150</v>
      </c>
      <c r="D19" s="70" t="s">
        <v>823</v>
      </c>
      <c r="E19" s="70" t="s">
        <v>824</v>
      </c>
      <c r="F19" s="70" t="s">
        <v>825</v>
      </c>
      <c r="G19" s="69">
        <v>46307</v>
      </c>
      <c r="H19" s="5"/>
      <c r="I19" s="8"/>
    </row>
    <row r="20" ht="28.5">
      <c r="A20" s="1"/>
      <c r="B20" s="73" t="s">
        <v>826</v>
      </c>
      <c r="C20" s="69">
        <v>46043</v>
      </c>
      <c r="D20" s="70" t="s">
        <v>827</v>
      </c>
      <c r="E20" s="70" t="s">
        <v>828</v>
      </c>
      <c r="F20" s="70" t="s">
        <v>829</v>
      </c>
      <c r="G20" s="69">
        <v>46307</v>
      </c>
      <c r="H20" s="5"/>
      <c r="I20" s="8"/>
    </row>
    <row r="21" ht="54">
      <c r="A21" s="1"/>
      <c r="B21" s="73" t="s">
        <v>830</v>
      </c>
      <c r="C21" s="117" t="s">
        <v>831</v>
      </c>
      <c r="D21" s="70" t="s">
        <v>832</v>
      </c>
      <c r="E21" s="70" t="s">
        <v>833</v>
      </c>
      <c r="F21" s="70" t="s">
        <v>834</v>
      </c>
      <c r="G21" s="69">
        <v>46307</v>
      </c>
      <c r="H21" s="5"/>
      <c r="I21" s="8"/>
    </row>
    <row r="22" ht="28.5">
      <c r="A22" s="1"/>
      <c r="B22" s="73" t="s">
        <v>572</v>
      </c>
      <c r="C22" s="69">
        <v>45856</v>
      </c>
      <c r="D22" s="70" t="s">
        <v>835</v>
      </c>
      <c r="E22" s="70" t="s">
        <v>836</v>
      </c>
      <c r="F22" s="70" t="s">
        <v>837</v>
      </c>
      <c r="G22" s="69">
        <v>46307</v>
      </c>
      <c r="H22" s="5"/>
      <c r="I22" s="8"/>
    </row>
    <row r="23" ht="28.5">
      <c r="A23" s="1"/>
      <c r="B23" s="73" t="s">
        <v>577</v>
      </c>
      <c r="C23" s="69">
        <v>46043</v>
      </c>
      <c r="D23" s="70" t="s">
        <v>838</v>
      </c>
      <c r="E23" s="70" t="s">
        <v>839</v>
      </c>
      <c r="F23" s="70" t="s">
        <v>840</v>
      </c>
      <c r="G23" s="69">
        <v>46307</v>
      </c>
      <c r="H23" s="5"/>
      <c r="I23" s="8"/>
    </row>
    <row r="24" ht="28.5">
      <c r="A24" s="1"/>
      <c r="B24" s="73" t="s">
        <v>580</v>
      </c>
      <c r="C24" s="69">
        <v>46156</v>
      </c>
      <c r="D24" s="70" t="s">
        <v>841</v>
      </c>
      <c r="E24" s="70" t="s">
        <v>842</v>
      </c>
      <c r="F24" s="70" t="s">
        <v>843</v>
      </c>
      <c r="G24" s="69">
        <v>46307</v>
      </c>
      <c r="H24" s="5"/>
      <c r="I24" s="8"/>
    </row>
    <row r="25" ht="28.5">
      <c r="A25" s="1"/>
      <c r="B25" s="73" t="s">
        <v>844</v>
      </c>
      <c r="C25" s="69">
        <v>46306</v>
      </c>
      <c r="D25" s="70" t="s">
        <v>845</v>
      </c>
      <c r="E25" s="70" t="s">
        <v>846</v>
      </c>
      <c r="F25" s="70" t="s">
        <v>847</v>
      </c>
      <c r="G25" s="69">
        <v>46307</v>
      </c>
      <c r="H25" s="5"/>
      <c r="I25" s="8"/>
    </row>
    <row r="26" ht="41.25">
      <c r="A26" s="1"/>
      <c r="B26" s="73" t="s">
        <v>848</v>
      </c>
      <c r="C26" s="69">
        <v>46300</v>
      </c>
      <c r="D26" s="70" t="s">
        <v>849</v>
      </c>
      <c r="E26" s="70" t="s">
        <v>850</v>
      </c>
      <c r="F26" s="70" t="s">
        <v>851</v>
      </c>
      <c r="G26" s="69">
        <v>46307</v>
      </c>
      <c r="H26" s="5"/>
      <c r="I26" s="8"/>
    </row>
    <row r="27" ht="28.5">
      <c r="A27" s="1"/>
      <c r="B27" s="73" t="s">
        <v>852</v>
      </c>
      <c r="C27" s="69">
        <v>46302</v>
      </c>
      <c r="D27" s="70" t="s">
        <v>853</v>
      </c>
      <c r="E27" s="70" t="s">
        <v>854</v>
      </c>
      <c r="F27" s="70" t="s">
        <v>855</v>
      </c>
      <c r="G27" s="69">
        <v>46307</v>
      </c>
      <c r="H27" s="5"/>
      <c r="I27" s="8"/>
    </row>
    <row r="28" ht="28.5">
      <c r="A28" s="1"/>
      <c r="B28" s="73" t="s">
        <v>856</v>
      </c>
      <c r="C28" s="69">
        <v>46281</v>
      </c>
      <c r="D28" s="70" t="s">
        <v>857</v>
      </c>
      <c r="E28" s="70" t="s">
        <v>858</v>
      </c>
      <c r="F28" s="70" t="s">
        <v>859</v>
      </c>
      <c r="G28" s="69">
        <v>46307</v>
      </c>
      <c r="H28" s="5"/>
      <c r="I28" s="8"/>
    </row>
    <row r="29" ht="66.75">
      <c r="A29" s="1"/>
      <c r="B29" s="73" t="s">
        <v>860</v>
      </c>
      <c r="C29" s="117" t="s">
        <v>861</v>
      </c>
      <c r="D29" s="70" t="s">
        <v>862</v>
      </c>
      <c r="E29" s="70" t="s">
        <v>863</v>
      </c>
      <c r="F29" s="70" t="s">
        <v>864</v>
      </c>
      <c r="G29" s="69">
        <v>46307</v>
      </c>
      <c r="H29" s="5"/>
      <c r="I29" s="8"/>
    </row>
    <row r="30" ht="28.5">
      <c r="A30" s="1"/>
      <c r="B30" s="73" t="s">
        <v>865</v>
      </c>
      <c r="C30" s="69">
        <v>46304</v>
      </c>
      <c r="D30" s="70" t="s">
        <v>866</v>
      </c>
      <c r="E30" s="70" t="s">
        <v>867</v>
      </c>
      <c r="F30" s="70" t="s">
        <v>868</v>
      </c>
      <c r="G30" s="69">
        <v>46307</v>
      </c>
      <c r="H30" s="5"/>
      <c r="I30" s="8"/>
    </row>
    <row r="31" ht="28.5">
      <c r="A31" s="1"/>
      <c r="B31" s="73" t="s">
        <v>869</v>
      </c>
      <c r="C31" s="69">
        <v>46295</v>
      </c>
      <c r="D31" s="70" t="s">
        <v>870</v>
      </c>
      <c r="E31" s="70" t="s">
        <v>871</v>
      </c>
      <c r="F31" s="70" t="s">
        <v>872</v>
      </c>
      <c r="G31" s="69">
        <v>46307</v>
      </c>
      <c r="H31" s="5"/>
      <c r="I31" s="8"/>
    </row>
    <row r="32" ht="28.5">
      <c r="A32" s="1"/>
      <c r="B32" s="73" t="s">
        <v>873</v>
      </c>
      <c r="C32" s="69">
        <v>46246</v>
      </c>
      <c r="D32" s="70" t="s">
        <v>874</v>
      </c>
      <c r="E32" s="70" t="s">
        <v>875</v>
      </c>
      <c r="F32" s="70" t="s">
        <v>876</v>
      </c>
      <c r="G32" s="69">
        <v>46307</v>
      </c>
      <c r="H32" s="5"/>
      <c r="I32" s="8"/>
    </row>
    <row r="33" ht="54">
      <c r="A33" s="1"/>
      <c r="B33" s="73" t="s">
        <v>877</v>
      </c>
      <c r="C33" s="117" t="s">
        <v>878</v>
      </c>
      <c r="D33" s="70" t="s">
        <v>879</v>
      </c>
      <c r="E33" s="70" t="s">
        <v>880</v>
      </c>
      <c r="F33" s="70" t="s">
        <v>881</v>
      </c>
      <c r="G33" s="69">
        <v>46307</v>
      </c>
      <c r="H33" s="5"/>
      <c r="I33" s="8"/>
    </row>
    <row r="34" ht="41.25">
      <c r="A34" s="1"/>
      <c r="B34" s="73" t="s">
        <v>882</v>
      </c>
      <c r="C34" s="69">
        <v>46301</v>
      </c>
      <c r="D34" s="70" t="s">
        <v>883</v>
      </c>
      <c r="E34" s="70" t="s">
        <v>884</v>
      </c>
      <c r="F34" s="70" t="s">
        <v>885</v>
      </c>
      <c r="G34" s="69">
        <v>46307</v>
      </c>
      <c r="H34" s="5"/>
      <c r="I34" s="8"/>
    </row>
    <row r="35">
      <c r="A35" s="1"/>
      <c r="B35" s="42"/>
      <c r="C35" s="8"/>
      <c r="D35" s="8"/>
      <c r="E35" s="8"/>
      <c r="F35" s="8"/>
      <c r="G35" s="8"/>
      <c r="H35" s="5"/>
      <c r="I35" s="8"/>
    </row>
    <row r="36">
      <c r="A36" s="1"/>
      <c r="B36" s="42" t="s">
        <v>886</v>
      </c>
      <c r="C36" s="8"/>
      <c r="D36" s="8"/>
      <c r="E36" s="8"/>
      <c r="F36" s="8"/>
      <c r="G36" s="8"/>
      <c r="H36" s="5"/>
      <c r="I36" s="8"/>
    </row>
    <row r="37">
      <c r="A37" s="1"/>
      <c r="B37" s="42" t="s">
        <v>887</v>
      </c>
      <c r="C37" s="8"/>
      <c r="D37" s="8"/>
      <c r="E37" s="8"/>
      <c r="F37" s="8"/>
      <c r="G37" s="8"/>
      <c r="H37" s="5"/>
      <c r="I37" s="8"/>
    </row>
    <row r="38">
      <c r="A38" s="1"/>
      <c r="B38" s="42" t="s">
        <v>888</v>
      </c>
      <c r="C38" s="8"/>
      <c r="D38" s="8"/>
      <c r="E38" s="8"/>
      <c r="F38" s="8"/>
      <c r="G38" s="8"/>
      <c r="H38" s="5"/>
      <c r="I38" s="8"/>
    </row>
    <row r="39">
      <c r="B39" s="119" t="s">
        <v>889</v>
      </c>
    </row>
  </sheetData>
</worksheet>
</file>