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Investment Servicing" sheetId="3" r:id="rId4"/>
    <sheet name="Segment - Investment Management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24" authorId="0">
      <text>
        <t>Consensus = CapIQ net_income_excl_excep_m (1,013.18), retained as captured. CapIQ does not state whether this is before or after preferred dividends; at $3.68 x ~276m shares it is consistent with net income to common, but this is unverified. Variance cells E24:F24 are therefore withheld (n.a.).</t>
      </text>
    </comment>
    <comment ref="B29" authorId="0">
      <text>
        <t>Equivalent scalar form (repair 2026-10-12): for each of the same 25 check ranges, SUMIF(&gt;0) - SUMIF(&lt;0) = sum of absolute values, plus ABS(C30); same 0.001 tolerance. Any text or error in a check range returns #N/A, so failures still propagate. The original SUMPRODUCT(ABS()) form is valid Excel but returned #VALUE! in one render engine. 3Q26E check cells are identities by construction (mix held / partial cash roll), not independent tests.</t>
      </text>
    </comment>
    <comment ref="D24" authorId="0">
      <text>
        <t>Basis: Inputs!C66 = CapIQ net_income_excl_excep_m (net income excluding exceptional items), 1,013.18. CapIQ does not state whether preferred dividends (58/qtr) and participating-securities earnings are deducted, so it is not confirmed as NI to common ex-notables. E24:F24 variance withheld (n.a.). Cross-check only: 3.68 x 278.237 = 1,023.9.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11" authorId="0">
      <text>
        <t>2024 quarters from S8 (4Q25 addendum, consolidated results of operations).</t>
      </text>
    </comment>
    <comment ref="B14" authorId="0">
      <text>
        <t>Total revenue currency translation impact vs prior-year quarter: 1Q25 (S13), 2Q25 (S12), 3Q25 (S11), 4Q25 (S9), 1Q26 (S7), 2Q26 (S4). FY25 sum $82m = S8 YTD. 3Q26E not forecast.</t>
      </text>
    </comment>
    <comment ref="B16" authorId="0">
      <text>
        <t>No M&amp;A/scope impact disclosed. Santander CACEIS Latam acquisition (announced 28-Jul-2026) is not expected to close until 2027 (S28).</t>
      </text>
    </comment>
    <comment ref="B18" authorId="0">
      <text>
        <t>Not computable: M&amp;A/scope impact not disclosed (n.d.); not assumed to be zero.</t>
      </text>
    </comment>
    <comment ref="B23" authorId="0">
      <text>
        <t>2024 line-of-business total revenue: 1Q24 and 4Q24 from S13-era 1Q25 addendum (S37), 2Q24 from 2Q25 addendum (S38), 3Q24 from S10, 4Q24 also in S8. LOB totals unaffected by the 1Q26 reclassification.</t>
      </text>
    </comment>
    <comment ref="B27" authorId="0">
      <text>
        <t>FX translation impact is not disclosed by line of business.</t>
      </text>
    </comment>
    <comment ref="B32" authorId="0">
      <text>
        <t>2024 line-of-business total revenue: 1Q24 and 4Q24 from S13-era 1Q25 addendum (S37), 2Q24 from 2Q25 addendum (S38), 3Q24 from S10, 4Q24 also in S8. LOB totals unaffected by the 1Q26 reclassification.</t>
      </text>
    </comment>
    <comment ref="B36" authorId="0">
      <text>
        <t>FX translation impact is not disclosed by line of business.</t>
      </text>
    </comment>
    <comment ref="B41" authorId="0">
      <text>
        <t>Other LOB revenue = revenue-side notable items, linked (sign-flipped) from the Income Statement non-GAAP bridge: 2Q25 $3m FX benchmark litigation recovery.</t>
      </text>
    </comment>
    <comment ref="B43" authorId="0">
      <text>
        <t>Growth not meaningful: prior-year base is zero, negative or immaterial.</t>
      </text>
    </comment>
    <comment ref="B49" authorId="0">
      <text>
        <t>Linked from the Income Statement bridge: 2Q25 client rescoping (-$24m).</t>
      </text>
    </comment>
    <comment ref="B51" authorId="0">
      <text>
        <t>Growth not meaningful: prior-year base is zero, negative or immaterial.</t>
      </text>
    </comment>
    <comment ref="B60" authorId="0">
      <text>
        <t>Growth not meaningful: prior-year base is zero, negative or immaterial.</t>
      </text>
    </comment>
    <comment ref="B75" authorId="0">
      <text>
        <t>Consolidated constant-currency reconciliations: 3Q25 (S10), 4Q25/FY25 (S8), 1Q26 (S6), 2Q26 (S3).</t>
      </text>
    </comment>
    <comment ref="B84" authorId="0">
      <text>
        <t>Consolidated constant-currency reconciliation: 1Q26 (S6), 2Q26 (S3). 2025 Y/Y not shown for this line: 2024 comparatives exist only on the pre-1Q26 presentation.</t>
      </text>
    </comment>
    <comment ref="B93" authorId="0">
      <text>
        <t>Consolidated constant-currency reconciliation: 1Q26 (S6), 2Q26 (S3). 2025 Y/Y not shown for this line: 2024 comparatives exist only on the pre-1Q26 presentation.</t>
      </text>
    </comment>
    <comment ref="B102" authorId="0">
      <text>
        <t>Consolidated constant-currency reconciliation: 1Q26 (S6), 2Q26 (S3). 2025 Y/Y not shown for this line: 2024 comparatives exist only on the pre-1Q26 presentation.</t>
      </text>
    </comment>
    <comment ref="B111" authorId="0">
      <text>
        <t>Consolidated constant-currency reconciliation: 1Q26 (S6), 2Q26 (S3). 2025 Y/Y not shown for this line: 2024 comparatives exist only on the pre-1Q26 presentation.</t>
      </text>
    </comment>
    <comment ref="B120" authorId="0">
      <text>
        <t>Consolidated constant-currency reconciliation: 1Q26 (S6), 2Q26 (S3). 2025 Y/Y not shown for this line: 2024 comparatives exist only on the pre-1Q26 presentation.</t>
      </text>
    </comment>
    <comment ref="B126" authorId="0">
      <text>
        <t>2024 quarters from S8.</t>
      </text>
    </comment>
    <comment ref="B136" authorId="0">
      <text>
        <t>2024 quarters from S8.</t>
      </text>
    </comment>
    <comment ref="B148" authorId="0">
      <text>
        <t>Growth not meaningful: prior-year base is zero, negative or immaterial.</t>
      </text>
    </comment>
    <comment ref="B79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88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97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06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15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24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34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44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7" authorId="0">
      <text>
        <t>Approximation, not an issuer-reported measure: (1 + Y/Y) / (1 + FX$ / prior-year revenue) - 1, formula retained from the original model. State Street's non-GAAP constant-currency basis applies prior-period weighted average FX rates to current-period results (2Q26 press release non-GAAP note, S4); its additive equivalent would be (revenue - FX$) / prior-year revenue - 1. Example: ~26bp gap on total revenue in 1Q26 (Revenue summary H17); individual lines differ by up to ~43bp. Non-scoring; no EPS impact.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0" authorId="0">
      <text>
        <t>1Q25 opening = 31-Dec-2024 AUC/A of $46.56tn (S3 4-year summary; rounded to $10bn).</t>
      </text>
    </comment>
    <comment ref="B12" authorId="0">
      <text>
        <t>2Q26: ~$228bn onboarded (S15 10-Q). Other quarters not disclosed in sources read. 3Q26E assumption $200bn (to-be-installed backlog $2.93tn).</t>
      </text>
    </comment>
    <comment ref="B13" authorId="0">
      <text>
        <t>Year-ago onboarding not disclosed (n.d.).</t>
      </text>
    </comment>
    <comment ref="B16" authorId="0">
      <text>
        <t>Year-ago market/FX split not disclosed (n.d.).</t>
      </text>
    </comment>
    <comment ref="B18" authorId="0">
      <text>
        <t>3Q26E assumption +1.0%: S&amp;P 500 +2.0% in 3Q26 (S25) on ~60% equity mix; 10-yr UST +87bp (S26) weighs on the ~25% fixed-income mix; one-month valuation lag on some asset classes.</t>
      </text>
    </comment>
    <comment ref="B21" authorId="0">
      <text>
        <t>Source: S3 2Q26 earnings release addendum (8-K Ex.99.2, 16-Jul-2026) (AUC/A page).</t>
      </text>
    </comment>
    <comment ref="B28" authorId="0">
      <text>
        <t>Source: S3 2Q26 earnings release addendum (8-K Ex.99.2, 16-Jul-2026). 3Q26E: 2Q26 mix held.</t>
      </text>
    </comment>
    <comment ref="B31" authorId="0">
      <text>
        <t>Source: S3 2Q26 earnings release addendum (8-K Ex.99.2, 16-Jul-2026). 3Q26E: 2Q26 mix held.</t>
      </text>
    </comment>
    <comment ref="B34" authorId="0">
      <text>
        <t>Source: S3 2Q26 earnings release addendum (8-K Ex.99.2, 16-Jul-2026). 3Q26E: 2Q26 mix held.</t>
      </text>
    </comment>
    <comment ref="B37" authorId="0">
      <text>
        <t>Source: S3 2Q26 earnings release addendum (8-K Ex.99.2, 16-Jul-2026). 3Q26E: 2Q26 mix held.</t>
      </text>
    </comment>
    <comment ref="B43" authorId="0">
      <text>
        <t>Source: S3 2Q26 earnings release addendum (8-K Ex.99.2, 16-Jul-2026). 3Q26E: 2Q26 mix held.</t>
      </text>
    </comment>
    <comment ref="B47" authorId="0">
      <text>
        <t>Source: S3 2Q26 earnings release addendum (8-K Ex.99.2, 16-Jul-2026). 3Q26E: 2Q26 mix held.</t>
      </text>
    </comment>
    <comment ref="B51" authorId="0">
      <text>
        <t>Source: S3 2Q26 earnings release addendum (8-K Ex.99.2, 16-Jul-2026). 3Q26E: 2Q26 mix held.</t>
      </text>
    </comment>
    <comment ref="B57" authorId="0">
      <text>
        <t>Source: S3 2Q26 earnings release addendum (8-K Ex.99.2, 16-Jul-2026)</t>
      </text>
    </comment>
    <comment ref="B62" authorId="0">
      <text>
        <t>1Q25 $182bn (S13); 2Q25-2Q26 from S5 2Q26 earnings presentation p.5.</t>
      </text>
    </comment>
    <comment ref="B65" authorId="0">
      <text>
        <t>1Q25 "$3.1 trillion" (S13, rounded); 2Q25-2Q26 from S5 p.5.</t>
      </text>
    </comment>
    <comment ref="B68" authorId="0">
      <text>
        <t>S5 p.5 and S13. FY25 sum $334m vs company-stated $333m (rounding).</t>
      </text>
    </comment>
    <comment ref="B71" authorId="0">
      <text>
        <t>S5 p.5; 1Q25 from S13.</t>
      </text>
    </comment>
    <comment ref="B76" authorId="0">
      <text>
        <t>3Q26E assumption 1.030bp vs 1.048bp in 2Q26: the simple opening/closing average understates 2Q26 average assets (markets rallied early in 2Q26), and normal ~2% annual repricing. CFO (14-Sep-2026, S22): servicing "doing a little better".</t>
      </text>
    </comment>
    <comment ref="B79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</t>
      </text>
    </comment>
    <comment ref="B81" authorId="0">
      <text>
        <t>2024 quarters from S8 4Q25 addendum (servicing fees unaffected by the 1Q26 reclassification).</t>
      </text>
    </comment>
    <comment ref="B83" authorId="0">
      <text>
        <t>Linked from Revenue summary (consolidated constant-currency reconciliations: 3Q25 S10, 4Q25/FY25 S8, 1Q26 S6, 2Q26 S3). Servicing fees sit entirely in Investment Servicing. 1Q25/2Q25 not in sources read. 3Q26E not forecast.</t>
      </text>
    </comment>
    <comment ref="B88" authorId="0">
      <text>
        <t>3Q26E assumption -8%: CFO cited "some moderation in the markets business" in 3Q26 (S22) after a record 2Q26 (FX client volumes +25% Y/Y); 3Q25 fell 7% Q/Q seasonally.</t>
      </text>
    </comment>
    <comment ref="B89" authorId="0">
      <text>
        <t>S4 (2Q26 +25%); FY25 +14% (S5/4Q25 presentation).</t>
      </text>
    </comment>
    <comment ref="B90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</t>
      </text>
    </comment>
    <comment ref="B92" authorId="0">
      <text>
        <t>Linked from Revenue summary: consolidated FX translation impact for this line (segment split not disclosed; Investment Management share immaterial).</t>
      </text>
    </comment>
    <comment ref="B97" authorId="0">
      <text>
        <t>Source: S3 2Q26 earnings release addendum (8-K Ex.99.2, 16-Jul-2026). 3Q26E assumption $445bn: 30-Jun-2026 period-end balance $426bn sat below the 2Q26 average (dividend-season peak).</t>
      </text>
    </comment>
    <comment ref="B100" authorId="0">
      <text>
        <t>Source: S3 2Q26 earnings release addendum (8-K Ex.99.2, 16-Jul-2026) (footnote 7).</t>
      </text>
    </comment>
    <comment ref="B103" authorId="0">
      <text>
        <t>3Q26E assumption 11.5bp (4-quarter range 10.4-13.1bp).</t>
      </text>
    </comment>
    <comment ref="B106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</t>
      </text>
    </comment>
    <comment ref="B109" authorId="0">
      <text>
        <t>Linked from Revenue summary: consolidated FX translation impact for this line (segment split not disclosed; Investment Management share immaterial).</t>
      </text>
    </comment>
    <comment ref="B114" authorId="0">
      <text>
        <t>S5 2Q26 presentation p.8 (current ARR definition: annualized last-month revenue). 1Q25 only available on the prior definition ($373m, S7) - not comparable, shown n.a. 3Q26E assumption $440m (+~$6-7m/qtr trend).</t>
      </text>
    </comment>
    <comment ref="B117" authorId="0">
      <text>
        <t>S5 p.8.</t>
      </text>
    </comment>
    <comment ref="B120" authorId="0">
      <text>
        <t>S5 p.8.</t>
      </text>
    </comment>
    <comment ref="B123" authorId="0">
      <text>
        <t>3Q26E assumption 154.5% (2Q26 153%, 1Q26 161%; on-premises renewals lumpy).</t>
      </text>
    </comment>
    <comment ref="B126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2Q25 IS software $193m excludes the $24m client-rescoping notable booked in Other.</t>
      </text>
    </comment>
    <comment ref="B129" authorId="0">
      <text>
        <t>Linked from Revenue summary: consolidated FX translation impact for this line (segment split not disclosed; Investment Management share immaterial).</t>
      </text>
    </comment>
    <comment ref="B134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3Q25 derived: IS total fee $2,149m (S10) less recast components. 3Q26E assumption $110m (4-quarter IS average $115m; FX/market-related adjustments volatile).</t>
      </text>
    </comment>
    <comment ref="B137" authorId="0">
      <text>
        <t>Linked from Revenue summary: consolidated FX translation impact for this line (segment split not disclosed; Investment Management share immaterial).</t>
      </text>
    </comment>
    <comment ref="B145" authorId="0">
      <text>
        <t>Segment-level FX impact not disclosed; component rows above carry consolidated line-item FX impacts (linked from Revenue summary), which are not summed into a segment total.</t>
      </text>
    </comment>
    <comment ref="B152" authorId="0">
      <text>
        <t>Source: S3 2Q26 earnings release addendum (8-K Ex.99.2, 16-Jul-2026) (average statement of condition). 3Q26E: 2Q26 mix of interest-earning assets held.</t>
      </text>
    </comment>
    <comment ref="B155" authorId="0">
      <text>
        <t>Source: S3 2Q26 earnings release addendum (8-K Ex.99.2, 16-Jul-2026) (average statement of condition). 3Q26E: 2Q26 mix of interest-earning assets held.</t>
      </text>
    </comment>
    <comment ref="B158" authorId="0">
      <text>
        <t>Source: S3 2Q26 earnings release addendum (8-K Ex.99.2, 16-Jul-2026) (average statement of condition). 3Q26E: 2Q26 mix of interest-earning assets held.</t>
      </text>
    </comment>
    <comment ref="B161" authorId="0">
      <text>
        <t>Source: S3 2Q26 earnings release addendum (8-K Ex.99.2, 16-Jul-2026)</t>
      </text>
    </comment>
    <comment ref="B164" authorId="0">
      <text>
        <t>Source: S3 2Q26 earnings release addendum (8-K Ex.99.2, 16-Jul-2026)</t>
      </text>
    </comment>
    <comment ref="B170" authorId="0">
      <text>
        <t>Source: S3 2Q26 earnings release addendum (8-K Ex.99.2, 16-Jul-2026). Tracked target average_loans.</t>
      </text>
    </comment>
    <comment ref="B173" authorId="0">
      <text>
        <t>Source: S3 2Q26 earnings release addendum (8-K Ex.99.2, 16-Jul-2026)</t>
      </text>
    </comment>
    <comment ref="B176" authorId="0">
      <text>
        <t>FY25 column = average of quarterly averages. 3Q26E = average deposits x interest-earning assets/deposits ratio.</t>
      </text>
    </comment>
    <comment ref="B180" authorId="0">
      <text>
        <t>Source: S3 2Q26 earnings release addendum (8-K Ex.99.2, 16-Jul-2026)</t>
      </text>
    </comment>
    <comment ref="B183" authorId="0">
      <text>
        <t>Source: S3 2Q26 earnings release addendum (8-K Ex.99.2, 16-Jul-2026)</t>
      </text>
    </comment>
    <comment ref="B189" authorId="0">
      <text>
        <t>Source: S3 2Q26 earnings release addendum (8-K Ex.99.2, 16-Jul-2026)</t>
      </text>
    </comment>
    <comment ref="B192" authorId="0">
      <text>
        <t>3Q26E assumption $275bn: CFO (14-Sep-2026, S22) still sees ~$270bn for full-year 2026, implying 2H growth vs the $264bn 1H average; 30-Jun-2026 period-end deposits were $320bn. Tracked target average_deposits.</t>
      </text>
    </comment>
    <comment ref="B198" authorId="0">
      <text>
        <t>Source: S3 2Q26 earnings release addendum (8-K Ex.99.2, 16-Jul-2026). 3Q26E held at 2Q26.</t>
      </text>
    </comment>
    <comment ref="B201" authorId="0">
      <text>
        <t>Source: S3 2Q26 earnings release addendum (8-K Ex.99.2, 16-Jul-2026). 3Q26E held at 2Q26.</t>
      </text>
    </comment>
    <comment ref="B204" authorId="0">
      <text>
        <t>Source: S3 2Q26 earnings release addendum (8-K Ex.99.2, 16-Jul-2026). 3Q26E held at 2Q26.</t>
      </text>
    </comment>
    <comment ref="B207" authorId="0">
      <text>
        <t>Source: S3 2Q26 earnings release addendum (8-K Ex.99.2, 16-Jul-2026). 3Q26E held at 2Q26.</t>
      </text>
    </comment>
    <comment ref="B214" authorId="0">
      <text>
        <t>Source: S3 2Q26 earnings release addendum (8-K Ex.99.2, 16-Jul-2026). Annualized FTE rate in basis points. Not forecast line by line; 3Q26E NII driven by NIM.</t>
      </text>
    </comment>
    <comment ref="B217" authorId="0">
      <text>
        <t>Source: S3 2Q26 earnings release addendum (8-K Ex.99.2, 16-Jul-2026). Annualized FTE rate in basis points. Not forecast line by line; 3Q26E NII driven by NIM.</t>
      </text>
    </comment>
    <comment ref="B220" authorId="0">
      <text>
        <t>Source: S3 2Q26 earnings release addendum (8-K Ex.99.2, 16-Jul-2026). Annualized FTE rate in basis points. Not forecast line by line; 3Q26E NII driven by NIM.</t>
      </text>
    </comment>
    <comment ref="B223" authorId="0">
      <text>
        <t>Source: S3 2Q26 earnings release addendum (8-K Ex.99.2, 16-Jul-2026). Annualized FTE rate in basis points. Not forecast line by line; 3Q26E NII driven by NIM.</t>
      </text>
    </comment>
    <comment ref="B226" authorId="0">
      <text>
        <t>Source: S3 2Q26 earnings release addendum (8-K Ex.99.2, 16-Jul-2026). Annualized FTE rate in basis points. Not forecast line by line; 3Q26E NII driven by NIM.</t>
      </text>
    </comment>
    <comment ref="B229" authorId="0">
      <text>
        <t>Source: S3 2Q26 earnings release addendum (8-K Ex.99.2, 16-Jul-2026). Annualized FTE rate in basis points. Not forecast line by line; 3Q26E NII driven by NIM.</t>
      </text>
    </comment>
    <comment ref="B232" authorId="0">
      <text>
        <t>Source: S3 2Q26 earnings release addendum (8-K Ex.99.2, 16-Jul-2026). Annualized FTE rate in basis points. Not forecast line by line; 3Q26E NII driven by NIM.</t>
      </text>
    </comment>
    <comment ref="B235" authorId="0">
      <text>
        <t>Source: S3 2Q26 earnings release addendum (8-K Ex.99.2, 16-Jul-2026). Annualized FTE rate in basis points. Not forecast line by line; 3Q26E NII driven by NIM.</t>
      </text>
    </comment>
    <comment ref="B238" authorId="0">
      <text>
        <t>Source: S3 2Q26 earnings release addendum (8-K Ex.99.2, 16-Jul-2026). Annualized FTE rate in basis points. Not forecast line by line; 3Q26E NII driven by NIM.</t>
      </text>
    </comment>
    <comment ref="B241" authorId="0">
      <text>
        <t>Source: S3 2Q26 earnings release addendum (8-K Ex.99.2, 16-Jul-2026). 3Q26E assumption 3.72% (Fed hike to 4.00% on 16-Sep-2026 only affects the last two weeks; S26).</t>
      </text>
    </comment>
    <comment ref="B244" authorId="0">
      <text>
        <t>3Q26E assumption 1.125x (2Q26 1.130x, 1Q26 1.136x).</t>
      </text>
    </comment>
    <comment ref="B247" authorId="0">
      <text>
        <t>Source: S3 2Q26 earnings release addendum (8-K Ex.99.2, 16-Jul-2026). 3Q26E assumption 1.10%: CFO (S22) sees NIM "range-bound in the 110-115bp range"; 2Q26 -3bp Q/Q on interest-bearing deposit mix. Tracked target net_interest_margin.</t>
      </text>
    </comment>
    <comment ref="B250" authorId="0">
      <text>
        <t>Source: S3 2Q26 earnings release addendum (8-K Ex.99.2, 16-Jul-2026)</t>
      </text>
    </comment>
    <comment ref="B253" authorId="0">
      <text>
        <t>Source: S3 2Q26 earnings release addendum (8-K Ex.99.2, 16-Jul-2026). 3Q26E assumption nil.</t>
      </text>
    </comment>
    <comment ref="B259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</t>
      </text>
    </comment>
    <comment ref="B262" authorId="0">
      <text>
        <t>Linked from Revenue summary: consolidated NII FX translation impact (segment split not disclosed; IM NII is $0-3m).</t>
      </text>
    </comment>
    <comment ref="B270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assumption nil.</t>
      </text>
    </comment>
    <comment ref="B272" authorId="0">
      <text>
        <t>Growth not meaningful: prior-year base is zero, negative or immaterial.</t>
      </text>
    </comment>
    <comment ref="B281" authorId="0">
      <text>
        <t>Segment-level FX impact not disclosed (n.d.); consolidated FX impact is on Revenue summary.</t>
      </text>
    </comment>
    <comment ref="B286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assumption $10m (last six quarters averaged $12.5m; 2Q26 nil reflected a reserve release on loan sales). Tracked target credit_loss_provisions.</t>
      </text>
    </comment>
    <comment ref="B289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= consolidated expenses (Income Statement) less IM and Other.</t>
      </text>
    </comment>
    <comment ref="B87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96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13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33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41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49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266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285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86" authorId="0">
      <text>
        <t>Approximation, not an issuer-reported measure: (1 + Y/Y) / (1 + FX$ / prior-year revenue) - 1, formula retained from the original model. State Street's non-GAAP constant-currency basis applies prior-period weighted average FX rates to current-period results (2Q26 press release non-GAAP note, S4); its additive equivalent would be (revenue - FX$) / prior-year revenue - 1. Example: ~26bp gap on total revenue in 1Q26 (Revenue summary H17); individual lines differ by up to ~43bp. Non-scoring; no EPS impact.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10" authorId="0">
      <text>
        <t>1Q25 opening $4,715bn (S13 1Q25 press release AUM roll-forward).</t>
      </text>
    </comment>
    <comment ref="B12" authorId="0">
      <text>
        <t>Source: S3 2Q26 earnings release addendum (8-K Ex.99.2, 16-Jul-2026) (AUM net flows by strategy).</t>
      </text>
    </comment>
    <comment ref="B15" authorId="0">
      <text>
        <t>Source: S3 2Q26 earnings release addendum (8-K Ex.99.2, 16-Jul-2026) (AUM net flows by strategy).</t>
      </text>
    </comment>
    <comment ref="B21" authorId="0">
      <text>
        <t>Source: S3 2Q26 earnings release addendum (8-K Ex.99.2, 16-Jul-2026)</t>
      </text>
    </comment>
    <comment ref="B24" authorId="0">
      <text>
        <t>Source: S3 2Q26 earnings release addendum (8-K Ex.99.2, 16-Jul-2026)</t>
      </text>
    </comment>
    <comment ref="B27" authorId="0">
      <text>
        <t>3Q26E assumption +$60bn (last four quarters averaged +$69bn; SPYM default ETF for Trump Accounts from July 2026, S4).</t>
      </text>
    </comment>
    <comment ref="B33" authorId="0">
      <text>
        <t>S4 2Q26 press release (5-quarter AUM roll-forward); 1Q25 from S13.</t>
      </text>
    </comment>
    <comment ref="B36" authorId="0">
      <text>
        <t>3Q26E assumption +0.7%: equity ~65% of AUM x ~+1.5% (S&amp;P 500 +2.0%, Russell 2000 -7.5%, S25), fixed income ~12% x ~-3.5% (10-yr +87bp), cash accrual, gold ~+3%.</t>
      </text>
    </comment>
    <comment ref="B39" authorId="0">
      <text>
        <t>S4/S13. 3Q26E assumption nil (explicit assumption, not missing data).</t>
      </text>
    </comment>
    <comment ref="B46" authorId="0">
      <text>
        <t>Source: S3 2Q26 earnings release addendum (8-K Ex.99.2, 16-Jul-2026) (AUM page).</t>
      </text>
    </comment>
    <comment ref="B52" authorId="0">
      <text>
        <t>Source: S3 2Q26 earnings release addendum (8-K Ex.99.2, 16-Jul-2026). 3Q26E: 2Q26 mix held.</t>
      </text>
    </comment>
    <comment ref="B55" authorId="0">
      <text>
        <t>Source: S3 2Q26 earnings release addendum (8-K Ex.99.2, 16-Jul-2026). 3Q26E: 2Q26 mix held.</t>
      </text>
    </comment>
    <comment ref="B58" authorId="0">
      <text>
        <t>Source: S3 2Q26 earnings release addendum (8-K Ex.99.2, 16-Jul-2026). 3Q26E: 2Q26 mix held.</t>
      </text>
    </comment>
    <comment ref="B61" authorId="0">
      <text>
        <t>Source: S3 2Q26 earnings release addendum (8-K Ex.99.2, 16-Jul-2026). 3Q26E: 2Q26 mix held.</t>
      </text>
    </comment>
    <comment ref="B64" authorId="0">
      <text>
        <t>Source: S3 2Q26 earnings release addendum (8-K Ex.99.2, 16-Jul-2026). 3Q26E: 2Q26 mix held.</t>
      </text>
    </comment>
    <comment ref="B70" authorId="0">
      <text>
        <t>Source: S3 2Q26 earnings release addendum (8-K Ex.99.2, 16-Jul-2026). 3Q26E: 2Q26 mix held.</t>
      </text>
    </comment>
    <comment ref="B73" authorId="0">
      <text>
        <t>Source: S3 2Q26 earnings release addendum (8-K Ex.99.2, 16-Jul-2026). 3Q26E: 2Q26 mix held.</t>
      </text>
    </comment>
    <comment ref="B76" authorId="0">
      <text>
        <t>Source: S3 2Q26 earnings release addendum (8-K Ex.99.2, 16-Jul-2026). 3Q26E: 2Q26 mix held.</t>
      </text>
    </comment>
    <comment ref="B82" authorId="0">
      <text>
        <t>Source: S3 2Q26 earnings release addendum (8-K Ex.99.2, 16-Jul-2026). 3Q26E: 2Q26 mix held.</t>
      </text>
    </comment>
    <comment ref="B85" authorId="0">
      <text>
        <t>Source: S3 2Q26 earnings release addendum (8-K Ex.99.2, 16-Jul-2026). 3Q26E: 2Q26 mix held.</t>
      </text>
    </comment>
    <comment ref="B88" authorId="0">
      <text>
        <t>Source: S3 2Q26 earnings release addendum (8-K Ex.99.2, 16-Jul-2026). 3Q26E: 2Q26 mix held.</t>
      </text>
    </comment>
    <comment ref="B91" authorId="0">
      <text>
        <t>Cash AUM is the same pool under both views; linked to AUM by asset class.</t>
      </text>
    </comment>
    <comment ref="B98" authorId="0">
      <text>
        <t>3Q26E assumption 5.10bp vs 5.21bp in 2Q26: the 2Q26 simple average understates true average AUM after the April-May rally; mix shift to low-fee ETFs/cash.</t>
      </text>
    </comment>
    <comment ref="B101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</t>
      </text>
    </comment>
    <comment ref="B104" authorId="0">
      <text>
        <t>Linked from Revenue summary (consolidated constant-currency reconciliation, S6/S3). Management fees sit entirely in Investment Management.</t>
      </text>
    </comment>
    <comment ref="B109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assumption = 2Q26.</t>
      </text>
    </comment>
    <comment ref="B112" authorId="0">
      <text>
        <t>Growth not meaningful: prior-year base is zero, negative or immaterial.</t>
      </text>
    </comment>
    <comment ref="B118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assumption $8m.</t>
      </text>
    </comment>
    <comment ref="B126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assumption $15m.</t>
      </text>
    </comment>
    <comment ref="B129" authorId="0">
      <text>
        <t>Growth not meaningful: prior-year base is zero, negative or immaterial.</t>
      </text>
    </comment>
    <comment ref="B143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assumption nil (2Q26 nil).</t>
      </text>
    </comment>
    <comment ref="B146" authorId="0">
      <text>
        <t>Growth not meaningful: prior-year base is zero, negative or immaterial.</t>
      </text>
    </comment>
    <comment ref="B160" authorId="0">
      <text>
        <t>Source: LOB tables - 1Q25/4Q25/1Q26 from S6 (1Q26 addendum, recast for 1Q26 reclassification); 2Q25/2Q26 from S3 (2Q26 addendum); 3Q25 from S10 (3Q25 addendum) re-mapped to the 1Q26 presentation (IM FX $52m moved to management fees; software/other split from consolidated recast in S3). 3Q26E assumption $505m (+1.6% Q/Q on higher fund marketing tied to AUM).</t>
      </text>
    </comment>
    <comment ref="B108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25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42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59" authorId="0">
      <text>
        <t>Organic growth not computable: State Street does not disclose an M&amp;A/scope impact; shown as n.a. rather than assuming zero. The 'Ex-FX growth (approximation)' row uses the disclosed FX translation impact.</t>
      </text>
    </comment>
    <comment ref="B107" authorId="0">
      <text>
        <t>Approximation, not an issuer-reported measure: (1 + Y/Y) / (1 + FX$ / prior-year revenue) - 1, formula retained from the original model. State Street's non-GAAP constant-currency basis applies prior-period weighted average FX rates to current-period results (2Q26 press release non-GAAP note, S4); its additive equivalent would be (revenue - FX$) / prior-year revenue - 1. Example: ~26bp gap on total revenue in 1Q26 (Revenue summary H17); individual lines differ by up to ~43bp. Non-scoring; no EPS impact.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16" authorId="0">
      <text>
        <t>Tracked target fee_noninterest_income.</t>
      </text>
    </comment>
    <comment ref="B20" authorId="0">
      <text>
        <t>Source: S3 2Q26 earnings release addendum (8-K Ex.99.2, 16-Jul-2026). 3Q26E from IEA x yield (Segment - Investment Servicing).</t>
      </text>
    </comment>
    <comment ref="B21" authorId="0">
      <text>
        <t>Source: S3 2Q26 earnings release addendum (8-K Ex.99.2, 16-Jul-2026)</t>
      </text>
    </comment>
    <comment ref="B22" authorId="0">
      <text>
        <t>Tracked target net_interest_income.</t>
      </text>
    </comment>
    <comment ref="B27" authorId="0">
      <text>
        <t>Tracked target total_revenue (issuer definition: fee revenue + NII + other income).</t>
      </text>
    </comment>
    <comment ref="B32" authorId="0">
      <text>
        <t>Source: S3 2Q26 earnings release addendum (8-K Ex.99.2, 16-Jul-2026)</t>
      </text>
    </comment>
    <comment ref="B35" authorId="0">
      <text>
        <t>3Q26E +0.3% Q/Q: revenue-linked incentive accrual roughly flat; headcount -2% Q/Q in 2Q26 (S5).</t>
      </text>
    </comment>
    <comment ref="B36" authorId="0">
      <text>
        <t>Source: S3 2Q26 earnings release addendum (8-K Ex.99.2, 16-Jul-2026)</t>
      </text>
    </comment>
    <comment ref="B39" authorId="0">
      <text>
        <t>3Q26E +1.0% Q/Q: volume-related costs and technology investment.</t>
      </text>
    </comment>
    <comment ref="B40" authorId="0">
      <text>
        <t>Source: S3 2Q26 earnings release addendum (8-K Ex.99.2, 16-Jul-2026)</t>
      </text>
    </comment>
    <comment ref="B43" authorId="0">
      <text>
        <t>3Q26E +1.0% Q/Q: revenue-related.</t>
      </text>
    </comment>
    <comment ref="B44" authorId="0">
      <text>
        <t>Source: S3 2Q26 earnings release addendum (8-K Ex.99.2, 16-Jul-2026)</t>
      </text>
    </comment>
    <comment ref="B47" authorId="0">
      <text>
        <t>3Q26E +1.0% Q/Q.</t>
      </text>
    </comment>
    <comment ref="B48" authorId="0">
      <text>
        <t>Source: S3 2Q26 earnings release addendum (8-K Ex.99.2, 16-Jul-2026)</t>
      </text>
    </comment>
    <comment ref="B51" authorId="0">
      <text>
        <t>3Q26E -1.7% Q/Q: 2Q26 carried elevated fund marketing and professional fees (S5).</t>
      </text>
    </comment>
    <comment ref="B52" authorId="0">
      <text>
        <t>3Q26E total ~flat Q/Q, consistent with CFO "stability on the expense side" (14-Sep-2026, S22) and FY26 expenses ~8.5% ex-notables. Tracked target operating_expenses.</t>
      </text>
    </comment>
    <comment ref="B61" authorId="0">
      <text>
        <t>Other LOB expenses equal the expense-side notable items (S3/S6 LOB tables: 2Q25 $117m, 4Q25 $206m, 1Q26 $130m), linked to the bridge below.</t>
      </text>
    </comment>
    <comment ref="B65" authorId="0">
      <text>
        <t>Tracked target pretax_profit (banks: issuer pretax profit, no operating-profit proxy).</t>
      </text>
    </comment>
    <comment ref="B70" authorId="0">
      <text>
        <t>Source: S3 2Q26 earnings release addendum (8-K Ex.99.2, 16-Jul-2026)</t>
      </text>
    </comment>
    <comment ref="B71" authorId="0">
      <text>
        <t>3Q26E 21.9% (3Q25 and 2Q26 actual); company guides ~22% for FY26 (S20).</t>
      </text>
    </comment>
    <comment ref="B79" authorId="0">
      <text>
        <t>Source: S3 2Q26 earnings release addendum (8-K Ex.99.2, 16-Jul-2026) 3Q26E = 3Q25/1Q26/2Q26 run-rate.</t>
      </text>
    </comment>
    <comment ref="B82" authorId="0">
      <text>
        <t>Source: S3 2Q26 earnings release addendum (8-K Ex.99.2, 16-Jul-2026) 3Q26E assumption $1m.</t>
      </text>
    </comment>
    <comment ref="B85" authorId="0">
      <text>
        <t>Tracked target net_income_to_common (GAAP).</t>
      </text>
    </comment>
    <comment ref="B89" authorId="0">
      <text>
        <t>Tracked target diluted_shares.</t>
      </text>
    </comment>
    <comment ref="B91" authorId="0">
      <text>
        <t>Tracked target gaap_diluted_eps.</t>
      </text>
    </comment>
    <comment ref="B95" authorId="0">
      <text>
        <t>S3 reconciliations of non-GAAP financial information. 3Q26E assumption nil: no notable items announced before the cutoff.</t>
      </text>
    </comment>
    <comment ref="B96" authorId="0">
      <text>
        <t>S3 reconciliations of non-GAAP financial information. 3Q26E assumption nil: no notable items announced before the cutoff.</t>
      </text>
    </comment>
    <comment ref="B97" authorId="0">
      <text>
        <t>S3 reconciliations of non-GAAP financial information. 3Q26E assumption nil: no notable items announced before the cutoff.</t>
      </text>
    </comment>
    <comment ref="B98" authorId="0">
      <text>
        <t>S3 reconciliations of non-GAAP financial information. 3Q26E assumption nil: no notable items announced before the cutoff.</t>
      </text>
    </comment>
    <comment ref="B99" authorId="0">
      <text>
        <t>S3 reconciliations of non-GAAP financial information. 3Q26E assumption nil: no notable items announced before the cutoff.</t>
      </text>
    </comment>
    <comment ref="B101" authorId="0">
      <text>
        <t>Source: S3 2Q26 earnings release addendum (8-K Ex.99.2, 16-Jul-2026)</t>
      </text>
    </comment>
    <comment ref="B115" authorId="0">
      <text>
        <t>EPS basis check: CapIQ normalized EPS actuals (Inputs) equal State Street EPS ex-notable items in all six history quarters. Scored target normalized_diluted_eps.</t>
      </text>
    </comment>
    <comment ref="B122" authorId="0">
      <text>
        <t>History: reported minus CapIQ consensus. 3Q26E: Shortcut estimate minus frozen consensus.</t>
      </text>
    </comment>
    <comment ref="B121" authorId="0">
      <text>
        <t>2Q25 (D121 = -0.0067) is explained by the issuer's per-share bridge, not an NI gap. S38 (2Q25 addendum, non-GAAP reconciliation): NI to common ex-notables = $733m (= D113) and diluted shares 290,490k (= D89), so 733/290.49 = 2.5233. The issuer derives reported EPS ex-notables as GAAP diluted EPS 2.17 plus individually rounded per-share notable items (-0.01 + 0.06 + 0.26 + 0.05 = 0.36) = 2.53. No plug applied; other quarters are within +/-0.0032.</t>
      </text>
    </comment>
    <comment ref="J21" authorId="0">
      <text>
        <t>3Q26E interest expense is derived, not built from liabilities x rate paid: interest income (IEA x yield) less NIM-based NII (Segment - Investment Servicing!J256). Implied rate paid ~289bp annualized vs 2Q26 288bp. Assumption retained from original model.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11" authorId="0">
      <text>
        <t>Source: S3 2Q26 earnings release addendum (8-K Ex.99.2, 16-Jul-2026) (Consolidated Statement of Condition). 3Q26E held at 30-Jun-2026 unless noted.</t>
      </text>
    </comment>
    <comment ref="B12" authorId="0">
      <text>
        <t>Source: S3 2Q26 earnings release addendum (8-K Ex.99.2, 16-Jul-2026) (Consolidated Statement of Condition). 3Q26E held at 30-Jun-2026 unless noted.</t>
      </text>
    </comment>
    <comment ref="B13" authorId="0">
      <text>
        <t>Source: S3 2Q26 earnings release addendum (8-K Ex.99.2, 16-Jul-2026) (Consolidated Statement of Condition). 3Q26E held at 30-Jun-2026 unless noted.</t>
      </text>
    </comment>
    <comment ref="B14" authorId="0">
      <text>
        <t>Source: S3 2Q26 earnings release addendum (8-K Ex.99.2, 16-Jul-2026) (Consolidated Statement of Condition). 3Q26E held at 30-Jun-2026 unless noted.</t>
      </text>
    </comment>
    <comment ref="B15" authorId="0">
      <text>
        <t>Source: S3 2Q26 earnings release addendum (8-K Ex.99.2, 16-Jul-2026) (Consolidated Statement of Condition). 3Q26E held at 30-Jun-2026 unless noted.</t>
      </text>
    </comment>
    <comment ref="B17" authorId="0">
      <text>
        <t>Source: S3 2Q26 earnings release addendum (8-K Ex.99.2, 16-Jul-2026) (Consolidated Statement of Condition). 3Q26E held at 30-Jun-2026 unless noted.</t>
      </text>
    </comment>
    <comment ref="B22" authorId="0">
      <text>
        <t>Source: S3 2Q26 earnings release addendum (8-K Ex.99.2, 16-Jul-2026) (Consolidated Statement of Condition). 3Q26E held at 30-Jun-2026 unless noted.</t>
      </text>
    </comment>
    <comment ref="B23" authorId="0">
      <text>
        <t>Source: S3 2Q26 earnings release addendum (8-K Ex.99.2, 16-Jul-2026) (Consolidated Statement of Condition). 3Q26E held at 30-Jun-2026 unless noted.</t>
      </text>
    </comment>
    <comment ref="B24" authorId="0">
      <text>
        <t>Source: S3 2Q26 earnings release addendum (8-K Ex.99.2, 16-Jul-2026) (Consolidated Statement of Condition). 3Q26E held at 30-Jun-2026 unless noted.</t>
      </text>
    </comment>
    <comment ref="B25" authorId="0">
      <text>
        <t>Source: S3 2Q26 earnings release addendum (8-K Ex.99.2, 16-Jul-2026) (Consolidated Statement of Condition). 3Q26E held at 30-Jun-2026 unless noted.</t>
      </text>
    </comment>
    <comment ref="B26" authorId="0">
      <text>
        <t>Source: S3 2Q26 earnings release addendum (8-K Ex.99.2, 16-Jul-2026) (Consolidated Statement of Condition). 3Q26E held at 30-Jun-2026 unless noted.</t>
      </text>
    </comment>
    <comment ref="B29" authorId="0">
      <text>
        <t>Source: S3 2Q26 earnings release addendum (8-K Ex.99.2, 16-Jul-2026) (Consolidated Statement of Condition). 3Q26E held at 30-Jun-2026 unless noted.</t>
      </text>
    </comment>
    <comment ref="B30" authorId="0">
      <text>
        <t>Source: S3 2Q26 earnings release addendum (8-K Ex.99.2, 16-Jul-2026) (Consolidated Statement of Condition). 3Q26E held at 30-Jun-2026 unless noted.</t>
      </text>
    </comment>
    <comment ref="B31" authorId="0">
      <text>
        <t>Source: S3 2Q26 earnings release addendum (8-K Ex.99.2, 16-Jul-2026) (Consolidated Statement of Condition). 3Q26E held at 30-Jun-2026 unless noted.</t>
      </text>
    </comment>
    <comment ref="B35" authorId="0">
      <text>
        <t>Source: S3 2Q26 earnings release addendum (8-K Ex.99.2, 16-Jul-2026) (Consolidated Statement of Condition). 3Q26E held at 30-Jun-2026 unless noted.</t>
      </text>
    </comment>
    <comment ref="B36" authorId="0">
      <text>
        <t>Source: S3 2Q26 earnings release addendum (8-K Ex.99.2, 16-Jul-2026) (Consolidated Statement of Condition). 3Q26E held at 30-Jun-2026 unless noted.</t>
      </text>
    </comment>
    <comment ref="B37" authorId="0">
      <text>
        <t>Source: S3 2Q26 earnings release addendum (8-K Ex.99.2, 16-Jul-2026) (Consolidated Statement of Condition). 3Q26E held at 30-Jun-2026 unless noted.</t>
      </text>
    </comment>
    <comment ref="B38" authorId="0">
      <text>
        <t>Source: S3 2Q26 earnings release addendum (8-K Ex.99.2, 16-Jul-2026) (Consolidated Statement of Condition). 3Q26E held at 30-Jun-2026 unless noted.</t>
      </text>
    </comment>
    <comment ref="B41" authorId="0">
      <text>
        <t>Source: S3 2Q26 earnings release addendum (8-K Ex.99.2, 16-Jul-2026) (Consolidated Statement of Condition). 3Q26E held at 30-Jun-2026 unless noted.</t>
      </text>
    </comment>
    <comment ref="B42" authorId="0">
      <text>
        <t>Source: S3 2Q26 earnings release addendum (8-K Ex.99.2, 16-Jul-2026) (Consolidated Statement of Condition). 3Q26E held at 30-Jun-2026 unless noted.</t>
      </text>
    </comment>
    <comment ref="B43" authorId="0">
      <text>
        <t>Source: S3 2Q26 earnings release addendum (8-K Ex.99.2, 16-Jul-2026) (Consolidated Statement of Condition). 3Q26E held at 30-Jun-2026 unless noted.</t>
      </text>
    </comment>
    <comment ref="B44" authorId="0">
      <text>
        <t>Source: S3 2Q26 earnings release addendum (8-K Ex.99.2, 16-Jul-2026) (Consolidated Statement of Condition). 3Q26E held at 30-Jun-2026 unless noted.</t>
      </text>
    </comment>
    <comment ref="B46" authorId="0">
      <text>
        <t>Source: S3 2Q26 earnings release addendum (8-K Ex.99.2, 16-Jul-2026) (Consolidated Statement of Condition). 3Q26E held at 30-Jun-2026 unless noted.</t>
      </text>
    </comment>
    <comment ref="B47" authorId="0">
      <text>
        <t>Source: S3 2Q26 earnings release addendum (8-K Ex.99.2, 16-Jul-2026) (Consolidated Statement of Condition). 3Q26E held at 30-Jun-2026 unless noted.</t>
      </text>
    </comment>
    <comment ref="B48" authorId="0">
      <text>
        <t>Source: S3 2Q26 earnings release addendum (8-K Ex.99.2, 16-Jul-2026). 3Q26E = prior + net income - preferred dividends - common dividends declared.</t>
      </text>
    </comment>
    <comment ref="B49" authorId="0">
      <text>
        <t>Source: S3 2Q26 earnings release addendum (8-K Ex.99.2, 16-Jul-2026) (Consolidated Statement of Condition). 3Q26E held at 30-Jun-2026 unless noted.</t>
      </text>
    </comment>
    <comment ref="B50" authorId="0">
      <text>
        <t>Source: S3 2Q26 earnings release addendum (8-K Ex.99.2, 16-Jul-2026). 3Q26E = prior - modeled buyback.</t>
      </text>
    </comment>
    <comment ref="B57" authorId="0">
      <text>
        <t>Source: S3 2Q26 earnings release addendum (8-K Ex.99.2, 16-Jul-2026)</t>
      </text>
    </comment>
    <comment ref="B58" authorId="0">
      <text>
        <t>Source: S3 2Q26 earnings release addendum (8-K Ex.99.2, 16-Jul-2026) (TBVPS reconciliation).</t>
      </text>
    </comment>
    <comment ref="B61" authorId="0">
      <text>
        <t>Source: S3 2Q26 earnings release addendum (8-K Ex.99.2, 16-Jul-2026)</t>
      </text>
    </comment>
    <comment ref="B62" authorId="0">
      <text>
        <t>Source: S3 2Q26 earnings release addendum (8-K Ex.99.2, 16-Jul-2026)</t>
      </text>
    </comment>
    <comment ref="B65" authorId="0">
      <text>
        <t>Source: S3 2Q26 earnings release addendum (8-K Ex.99.2, 16-Jul-2026)</t>
      </text>
    </comment>
    <comment ref="B10" authorId="0">
      <text>
        <t>Source: S3 2Q26 earnings release addendum (8-K Ex.99.2, 16-Jul-2026). 3Q26E = Cash Flow Statement ending cash from the partial capital-return scenario (not a cash forecast).</t>
      </text>
    </comment>
    <comment ref="B20" authorId="0">
      <text>
        <t>Source: S3 2Q26 earnings release addendum (8-K Ex.99.2, 16-Jul-2026) (Consolidated Statement of Condition). 3Q26E held at 30-Jun-2026. The net allowance change = provision ($10m, Income Statement J30) less net charge-offs and other; with no charge-off evidence, no bridge is assumed.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53" authorId="0">
      <text>
        <t>1Q25 beginning cash $3,145m (S16 / S14).</t>
      </text>
    </comment>
    <comment ref="B64" authorId="0">
      <text>
        <t>YTD cash flow statements: 3M25 (S16 comparative), 6M25 (S18 R9), 9M25 (S17 R9), FY25 (S14 R10), 3M26 (S16 R9), 6M26 (S15 R9).</t>
      </text>
    </comment>
    <comment ref="B65" authorId="0">
      <text>
        <t>YTD cash flow statements: 3M25 (S16 comparative), 6M25 (S18 R9), 9M25 (S17 R9), FY25 (S14 R10), 3M26 (S16 R9), 6M26 (S15 R9).</t>
      </text>
    </comment>
    <comment ref="B66" authorId="0">
      <text>
        <t>YTD cash flow statements: 3M25 (S16 comparative), 6M25 (S18 R9), 9M25 (S17 R9), FY25 (S14 R10), 3M26 (S16 R9), 6M26 (S15 R9).</t>
      </text>
    </comment>
    <comment ref="B67" authorId="0">
      <text>
        <t>YTD cash flow statements: 3M25 (S16 comparative), 6M25 (S18 R9), 9M25 (S17 R9), FY25 (S14 R10), 3M26 (S16 R9), 6M26 (S15 R9).</t>
      </text>
    </comment>
    <comment ref="B68" authorId="0">
      <text>
        <t>YTD cash flow statements: 3M25 (S16 comparative), 6M25 (S18 R9), 9M25 (S17 R9), FY25 (S14 R10), 3M26 (S16 R9), 6M26 (S15 R9).</t>
      </text>
    </comment>
    <comment ref="B69" authorId="0">
      <text>
        <t>YTD cash flow statements: 3M25 (S16 comparative), 6M25 (S18 R9), 9M25 (S17 R9), FY25 (S14 R10), 3M26 (S16 R9), 6M26 (S15 R9).</t>
      </text>
    </comment>
    <comment ref="B70" authorId="0">
      <text>
        <t>YTD cash flow statements: 3M25 (S16 comparative), 6M25 (S18 R9), 9M25 (S17 R9), FY25 (S14 R10), 3M26 (S16 R9), 6M26 (S15 R9).</t>
      </text>
    </comment>
    <comment ref="B71" authorId="0">
      <text>
        <t>YTD cash flow statements: 3M25 (S16 comparative), 6M25 (S18 R9), 9M25 (S17 R9), FY25 (S14 R10), 3M26 (S16 R9), 6M26 (S15 R9).</t>
      </text>
    </comment>
    <comment ref="B72" authorId="0">
      <text>
        <t>YTD cash flow statements: 3M25 (S16 comparative), 6M25 (S18 R9), 9M25 (S17 R9), FY25 (S14 R10), 3M26 (S16 R9), 6M26 (S15 R9).</t>
      </text>
    </comment>
    <comment ref="B73" authorId="0">
      <text>
        <t>YTD cash flow statements: 3M25 (S16 comparative), 6M25 (S18 R9), 9M25 (S17 R9), FY25 (S14 R10), 3M26 (S16 R9), 6M26 (S15 R9).</t>
      </text>
    </comment>
    <comment ref="B74" authorId="0">
      <text>
        <t>YTD cash flow statements: 3M25 (S16 comparative), 6M25 (S18 R9), 9M25 (S17 R9), FY25 (S14 R10), 3M26 (S16 R9), 6M26 (S15 R9).</t>
      </text>
    </comment>
    <comment ref="B75" authorId="0">
      <text>
        <t>YTD cash flow statements: 3M25 (S16 comparative), 6M25 (S18 R9), 9M25 (S17 R9), FY25 (S14 R10), 3M26 (S16 R9), 6M26 (S15 R9).</t>
      </text>
    </comment>
    <comment ref="B76" authorId="0">
      <text>
        <t>YTD cash flow statements: 3M25 (S16 comparative), 6M25 (S18 R9), 9M25 (S17 R9), FY25 (S14 R10), 3M26 (S16 R9), 6M26 (S15 R9).</t>
      </text>
    </comment>
    <comment ref="B77" authorId="0">
      <text>
        <t>YTD cash flow statements: 3M25 (S16 comparative), 6M25 (S18 R9), 9M25 (S17 R9), FY25 (S14 R10), 3M26 (S16 R9), 6M26 (S15 R9).</t>
      </text>
    </comment>
    <comment ref="B78" authorId="0">
      <text>
        <t>YTD cash flow statements: 3M25 (S16 comparative), 6M25 (S18 R9), 9M25 (S17 R9), FY25 (S14 R10), 3M26 (S16 R9), 6M26 (S15 R9).</t>
      </text>
    </comment>
    <comment ref="B79" authorId="0">
      <text>
        <t>YTD cash flow statements: 3M25 (S16 comparative), 6M25 (S18 R9), 9M25 (S17 R9), FY25 (S14 R10), 3M26 (S16 R9), 6M26 (S15 R9).</t>
      </text>
    </comment>
    <comment ref="B80" authorId="0">
      <text>
        <t>YTD cash flow statements: 3M25 (S16 comparative), 6M25 (S18 R9), 9M25 (S17 R9), FY25 (S14 R10), 3M26 (S16 R9), 6M26 (S15 R9).</t>
      </text>
    </comment>
    <comment ref="B81" authorId="0">
      <text>
        <t>YTD cash flow statements: 3M25 (S16 comparative), 6M25 (S18 R9), 9M25 (S17 R9), FY25 (S14 R10), 3M26 (S16 R9), 6M26 (S15 R9).</t>
      </text>
    </comment>
    <comment ref="B82" authorId="0">
      <text>
        <t>YTD cash flow statements: 3M25 (S16 comparative), 6M25 (S18 R9), 9M25 (S17 R9), FY25 (S14 R10), 3M26 (S16 R9), 6M26 (S15 R9).</t>
      </text>
    </comment>
    <comment ref="B83" authorId="0">
      <text>
        <t>YTD cash flow statements: 3M25 (S16 comparative), 6M25 (S18 R9), 9M25 (S17 R9), FY25 (S14 R10), 3M26 (S16 R9), 6M26 (S15 R9).</t>
      </text>
    </comment>
    <comment ref="B84" authorId="0">
      <text>
        <t>YTD cash flow statements: 3M25 (S16 comparative), 6M25 (S18 R9), 9M25 (S17 R9), FY25 (S14 R10), 3M26 (S16 R9), 6M26 (S15 R9).</t>
      </text>
    </comment>
    <comment ref="B85" authorId="0">
      <text>
        <t>YTD cash flow statements: 3M25 (S16 comparative), 6M25 (S18 R9), 9M25 (S17 R9), FY25 (S14 R10), 3M26 (S16 R9), 6M26 (S15 R9).</t>
      </text>
    </comment>
    <comment ref="B86" authorId="0">
      <text>
        <t>YTD cash flow statements: 3M25 (S16 comparative), 6M25 (S18 R9), 9M25 (S17 R9), FY25 (S14 R10), 3M26 (S16 R9), 6M26 (S15 R9).</t>
      </text>
    </comment>
    <comment ref="B87" authorId="0">
      <text>
        <t>YTD cash flow statements: 3M25 (S16 comparative), 6M25 (S18 R9), 9M25 (S17 R9), FY25 (S14 R10), 3M26 (S16 R9), 6M26 (S15 R9).</t>
      </text>
    </comment>
    <comment ref="B88" authorId="0">
      <text>
        <t>YTD cash flow statements: 3M25 (S16 comparative), 6M25 (S18 R9), 9M25 (S17 R9), FY25 (S14 R10), 3M26 (S16 R9), 6M26 (S15 R9).</t>
      </text>
    </comment>
    <comment ref="B89" authorId="0">
      <text>
        <t>YTD cash flow statements: 3M25 (S16 comparative), 6M25 (S18 R9), 9M25 (S17 R9), FY25 (S14 R10), 3M26 (S16 R9), 6M26 (S15 R9).</t>
      </text>
    </comment>
    <comment ref="B90" authorId="0">
      <text>
        <t>YTD cash flow statements: 3M25 (S16 comparative), 6M25 (S18 R9), 9M25 (S17 R9), FY25 (S14 R10), 3M26 (S16 R9), 6M26 (S15 R9).</t>
      </text>
    </comment>
    <comment ref="B91" authorId="0">
      <text>
        <t>YTD cash flow statements: 3M25 (S16 comparative), 6M25 (S18 R9), 9M25 (S17 R9), FY25 (S14 R10), 3M26 (S16 R9), 6M26 (S15 R9).</t>
      </text>
    </comment>
    <comment ref="B92" authorId="0">
      <text>
        <t>YTD cash flow statements: 3M25 (S16 comparative), 6M25 (S18 R9), 9M25 (S17 R9), FY25 (S14 R10), 3M26 (S16 R9), 6M26 (S15 R9).</t>
      </text>
    </comment>
    <comment ref="B93" authorId="0">
      <text>
        <t>YTD cash flow statements: 3M25 (S16 comparative), 6M25 (S18 R9), 9M25 (S17 R9), FY25 (S14 R10), 3M26 (S16 R9), 6M26 (S15 R9).</t>
      </text>
    </comment>
    <comment ref="B94" authorId="0">
      <text>
        <t>YTD cash flow statements: 3M25 (S16 comparative), 6M25 (S18 R9), 9M25 (S17 R9), FY25 (S14 R10), 3M26 (S16 R9), 6M26 (S15 R9).</t>
      </text>
    </comment>
    <comment ref="B95" authorId="0">
      <text>
        <t>YTD cash flow statements: 3M25 (S16 comparative), 6M25 (S18 R9), 9M25 (S17 R9), FY25 (S14 R10), 3M26 (S16 R9), 6M26 (S15 R9).</t>
      </text>
    </comment>
    <comment ref="B96" authorId="0">
      <text>
        <t>YTD cash flow statements: 3M25 (S16 comparative), 6M25 (S18 R9), 9M25 (S17 R9), FY25 (S14 R10), 3M26 (S16 R9), 6M26 (S15 R9).</t>
      </text>
    </comment>
    <comment ref="B97" authorId="0">
      <text>
        <t>YTD cash flow statements: 3M25 (S16 comparative), 6M25 (S18 R9), 9M25 (S17 R9), FY25 (S14 R10), 3M26 (S16 R9), 6M26 (S15 R9).</t>
      </text>
    </comment>
    <comment ref="B98" authorId="0">
      <text>
        <t>YTD cash flow statements: 3M25 (S16 comparative), 6M25 (S18 R9), 9M25 (S17 R9), FY25 (S14 R10), 3M26 (S16 R9), 6M26 (S15 R9).</t>
      </text>
    </comment>
    <comment ref="B99" authorId="0">
      <text>
        <t>YTD cash flow statements: 3M25 (S16 comparative), 6M25 (S18 R9), 9M25 (S17 R9), FY25 (S14 R10), 3M26 (S16 R9), 6M26 (S15 R9).</t>
      </text>
    </comment>
    <comment ref="B100" authorId="0">
      <text>
        <t>As reported (S14-S18).</t>
      </text>
    </comment>
    <comment ref="B101" authorId="0">
      <text>
        <t>As reported (S14-S18).</t>
      </text>
    </comment>
    <comment ref="B102" authorId="0">
      <text>
        <t>As reported (S14-S18).</t>
      </text>
    </comment>
    <comment ref="B103" authorId="0">
      <text>
        <t>As reported (S14-S18).</t>
      </text>
    </comment>
    <comment ref="B16" authorId="0">
      <text>
        <t>3Q26E n.f.: the $10m provision is forecast on the Income Statement (J30), but the cash-flow add-back is not, because operating cash flow is not forecast. The provision is not the net allowance change (that also reflects net charge-offs, which are not forecast).</t>
      </text>
    </comment>
    <comment ref="B24" authorId="0">
      <text>
        <t>Tracked target operating_cash_flow: not forecast for 3Q26E. Bank operating cash flow is dominated by collateral, FX-derivative and other balance-sheet swings (e.g. 2Q26 collateral -7,896) with no evidence-based quarterly driver in the preserved sources.</t>
      </text>
    </comment>
    <comment ref="B34" authorId="0">
      <text>
        <t>n.p. = line not presented in the issuer's 3M25, 3M26 and 6M26 cash flow statements (S16, S15); the reported investing subtotals tie without it (row 105 check). Treated as unavailable, not zero, so the 1Q25, 2Q25, 1Q26 and 2Q26 discrete quarters show n.p. FY25 -286 = 10-K full-year amount (S14 R10).</t>
      </text>
    </comment>
    <comment ref="B52" authorId="0">
      <text>
        <t>3Q26E: partial capital-return scenario only (net income less buybacks and common + preferred dividends = 280.7). All other operating, investing and financing flows are not forecast (n.f.) and the related balance sheet lines are held flat. This is not a cash forecast.</t>
      </text>
    </comment>
    <comment ref="B59" authorId="0">
      <text>
        <t>Tracked target capital_expenditures: not forecast for 3Q26E. No issuer capex guidance in the preserved sources, and quarterly capex is volatile (226-675 over the last six quarters).</t>
      </text>
    </comment>
    <comment ref="J24" authorId="0">
      <text>
        <t>n.f. (not forecast): bank operating cash flow is dominated by collateral, FX-derivative and other balance-sheet swings with no evidence-based quarterly driver in the preserved sources. J52 is a partial capital-return scenario, not OCF.</t>
      </text>
    </comment>
    <comment ref="J59" authorId="0">
      <text>
        <t>n.f. (not forecast): no issuer capex guidance in the preserved sources; quarterly capex is volatile (226-675 over the last six quarters).</t>
      </text>
    </comment>
    <comment ref="J60" authorId="0">
      <text>
        <t>n.a. (not applicable): no issuer-defined free cash flow measure was found in the preserved sources (2025-2026 earnings releases, 10-Q/10-K caches) and CapIQ fcf_m is blank (Inputs!C73). The model does not construct one. Left as n.a., not zero.</t>
      </text>
    </comment>
    <comment ref="B60" authorId="0">
      <text>
        <t>Not applicable: no issuer-defined free cash flow measure was found in the preserved sources, so none is constructed; operating cash flow is dominated by collateral and derivative balance swings. Historical and 3Q26E cells are n.a., not zero.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B10" authorId="0">
      <text>
        <t>S14 10-K (R141). Quarterly geographic revenue not disclosed (n.d.).</t>
      </text>
    </comment>
    <comment ref="B11" authorId="0">
      <text>
        <t>S14 10-K (R141).</t>
      </text>
    </comment>
    <comment ref="B17" authorId="0">
      <text>
        <t>S14 10-K (R141).</t>
      </text>
    </comment>
    <comment ref="B18" authorId="0">
      <text>
        <t>S14 10-K (R141).</t>
      </text>
    </comment>
    <comment ref="B22" authorId="0">
      <text>
        <t>Source: S3 2Q26 earnings release addendum (8-K Ex.99.2, 16-Jul-2026). 3Q26E: 2Q26 mix held.</t>
      </text>
    </comment>
    <comment ref="B26" authorId="0">
      <text>
        <t>Source: S3 2Q26 earnings release addendum (8-K Ex.99.2, 16-Jul-2026). 3Q26E: 2Q26 mix held.</t>
      </text>
    </comment>
    <comment ref="B30" authorId="0">
      <text>
        <t>Source: S3 2Q26 earnings release addendum (8-K Ex.99.2, 16-Jul-2026). 3Q26E: 2Q26 mix held.</t>
      </text>
    </comment>
    <comment ref="B38" authorId="0">
      <text>
        <t>Source: S3 2Q26 earnings release addendum (8-K Ex.99.2, 16-Jul-2026). 3Q26E: 2Q26 mix held.</t>
      </text>
    </comment>
    <comment ref="B42" authorId="0">
      <text>
        <t>Source: S3 2Q26 earnings release addendum (8-K Ex.99.2, 16-Jul-2026). 3Q26E: 2Q26 mix held.</t>
      </text>
    </comment>
    <comment ref="B46" authorId="0">
      <text>
        <t>Source: S3 2Q26 earnings release addendum (8-K Ex.99.2, 16-Jul-2026). 3Q26E: 2Q26 mix held.</t>
      </text>
    </comment>
    <comment ref="B53" authorId="0">
      <text>
        <t>Source: S3 2Q26 earnings release addendum (8-K Ex.99.2, 16-Jul-2026)</t>
      </text>
    </comment>
    <comment ref="B56" authorId="0">
      <text>
        <t>Source: S3 2Q26 earnings release addendum (8-K Ex.99.2, 16-Jul-2026)</t>
      </text>
    </comment>
    <comment ref="B59" authorId="0">
      <text>
        <t>Source: S3 2Q26 earnings release addendum (8-K Ex.99.2, 16-Jul-2026)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B10" authorId="0">
      <text>
        <t>1Q25 opening = 503.880m issued less 215.113m treasury shares at 31-Dec-2024 (S14 10-K statement of changes in equity).</t>
      </text>
    </comment>
    <comment ref="B11" authorId="0">
      <text>
        <t>10-Q capital sections: 1Q25 1.0m (S19), 2Q25 3.5m (S18), 3Q25 3.6m (S17), 1Q26 3.2m (S16), 2Q26 2.5m (S15). 4Q25 count not disclosed in sources read (n.d.).</t>
      </text>
    </comment>
    <comment ref="B14" authorId="0">
      <text>
        <t>3Q26E assumption: ~$183 average STT price in 3Q26 (30-Jun close $169.60; ~$192 early Sep; $174.96 on 9-Oct). S3, S29.</t>
      </text>
    </comment>
    <comment ref="B17" authorId="0">
      <text>
        <t>History linked to Cash Flow Statement (repurchases of common stock). 3Q26E assumption $500m: ~80% total payout guide (S20) implies ~$600m/quarter of H2 buybacks; $500m used (Q1/Q2 were $400m).</t>
      </text>
    </comment>
    <comment ref="B20" authorId="0">
      <text>
        <t>Employee award issuance net of tax-withholding shares; derived = closing - opening + repurchased. 3Q26E assumption 0.3m (2Q26: 0.28m).</t>
      </text>
    </comment>
    <comment ref="B23" authorId="0">
      <text>
        <t>Source: S3 2Q26 earnings release addendum (8-K Ex.99.2, 16-Jul-2026) (Consolidated Statement of Condition, footnote 6).</t>
      </text>
    </comment>
    <comment ref="B31" authorId="0">
      <text>
        <t>3Q26E assumption 4.75m (average of last four quarters 4.72m).</t>
      </text>
    </comment>
    <comment ref="B40" authorId="0">
      <text>
        <t>Source: S3 2Q26 earnings release addendum (8-K Ex.99.2, 16-Jul-2026). 3Q26 $0.92 declared July 2026 (S15).</t>
      </text>
    </comment>
    <comment ref="B28" authorId="0">
      <text>
        <t>Source: S3 2Q26 earnings release addendum (8-K Ex.99.2, 16-Jul-2026). FY25 column = issuer-reported FY25 average basic shares 284,545k (S8 4Q25 earnings release addendum, 'Average common shares outstanding: Basic'); equals the 90/91/92/92 day-weighted quarterly average (284.545), replacing the unweighted average 284.571. 3Q26E = average of opening and closing shares.</t>
      </text>
    </comment>
    <comment ref="B34" authorId="0">
      <text>
        <t>Source: S3 2Q26 earnings release addendum (8-K Ex.99.2, 16-Jul-2026). FY25 column links to G37, issuer-reported FY25 average diluted shares 289,019k (S8 4Q25 addendum; S3 4-year summary); equals the day-weighted quarterly average 289.0197, replacing the unweighted average 289.044.</t>
      </text>
    </comment>
    <comment ref="B37" authorId="0">
      <text>
        <t>Source: S3 4-year summary of results; S8 4Q25 earnings release addendum (Average diluted common shares outstanding, FY25: 289,019 thousand).</t>
      </text>
    </comment>
    <comment ref="B43" authorId="0">
      <text>
        <t>1Q25 $220m (S16), 2Q25 $217m (S15), 3Q25 $237m (S11), 4Q25 $235m (S9), 1Q26 $233m (S7), 2Q26 $231m (S4). FY25 = $909m (S14 equity statement). 3Q26E = DPS x weighted-average basic shares: original forecasting judgment, retained. History tracks closer to DPS x period-end shares; that basis would give ~$250.5m (-$1.1m), affecting retained earnings and the cash scenario only, not EPS.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B11" authorId="0">
      <text>
        <t>Actual = FY25 fee revenue growth ex-notables computed below (company stated "up 9%", S9).</t>
      </text>
    </comment>
    <comment ref="B12" authorId="0">
      <text>
        <t>Actual = FY25 fee revenue growth ex-notables computed below (company stated "up 9%", S9).</t>
      </text>
    </comment>
    <comment ref="B24" authorId="0">
      <text>
        <t>Low/high are Shortcut's numeric reading of qualitative CFO language (S22); not a company-quantified range.</t>
      </text>
    </comment>
    <comment ref="B25" authorId="0">
      <text>
        <t>Low/high are Shortcut's numeric reading of qualitative CFO language (S22); not a company-quantified range.</t>
      </text>
    </comment>
    <comment ref="B53" authorId="0">
      <text>
        <t>Not company quarterly guidance: Shortcut derivation from FY26 ex-notables outlook. It sits below consensus, consistent with State Street raising FY guidance every quarter since July 2025.</t>
      </text>
    </comment>
    <comment ref="B31" authorId="0">
      <text>
        <t>S8 4Q25 earnings release addendum (8-K Ex.99.2, 16-Jan-2026): LOB table, year ended 31-Dec-2024, Other total fee revenue $81m; non-GAAP reconciliation FY24 total fee revenue ex-notables $10,075m vs GAAP $10,156m. Also S14 10-K LOB note (R137): FX $15m + other fee $66m.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B110" authorId="0">
      <text>
        <t>CapIQ market_cap_usd_m is blank in the export; derived from CapIQ last close $174.96 (9-Oct-2026 close) x 274.703m shares (S3). Cross-check: Tickeron (11-Oct-2026) "near $49 billion". S29.</t>
      </text>
    </comment>
    <comment ref="B118" authorId="0">
      <text>
        <t>Shortcut judgment: starting 87.4% (cohort prior 0.78, 6/6 historical beats, 8 pseudo-counts) lowered to 70% because: (i) the model EPS ($3.71) is only ~$0.03 above the $3.68 frozen consensus, well inside a typical $0.10+ forecast error; (ii) the CFO's 14-Sep-2026 guide that 3Q26 is 'pretty stable' vs 2Q26 was public before the consensus snapshot (+0.6% 30-day revision), so it is not new upside; (iii) guidance-implied 3Q26 EPS ~$3.56 sits below consensus; (iv) a rate-driven bank sell-off (10-yr UST 5.36% on 7-Oct) lowers fixed-income asset values. Historical beats ($0.03-$0.31) argue for some residual upside skew. See artifacts/prior-calibration.json.</t>
      </text>
    </comment>
  </commentList>
</comments>
</file>

<file path=xl/comments12.xml><?xml version="1.0" encoding="utf-8"?>
<comments xmlns="http://schemas.openxmlformats.org/spreadsheetml/2006/main">
  <authors>
    <author>Shortcut</author>
  </authors>
  <commentList>
    <comment ref="B30" authorId="0">
      <text>
        <t>Published date = Motley Fool transcript publication (byline 'Jul 23, 2026 at 9:53AM EST'; page metadata Published 2026-07-23). The call itself was held Thursday, July 16, 2026 (transcript DATE section). Both dates precede the cutoff.</t>
      </text>
    </comment>
  </commentList>
</comments>
</file>

<file path=xl/sharedStrings.xml><?xml version="1.0" encoding="utf-8"?>
<sst xmlns="http://schemas.openxmlformats.org/spreadsheetml/2006/main" count="3020" uniqueCount="819">
  <si>
    <t>Company Model — built by Shortcut</t>
  </si>
  <si>
    <t>State Street Corporation (NYSE: STT)</t>
  </si>
  <si>
    <t>$ millions, except per share</t>
  </si>
  <si>
    <t>Fiscal 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</si>
  <si>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</si>
  <si>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</si>
  <si>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</si>
  <si>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</si>
  <si>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</si>
  <si>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</si>
  <si>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</si>
  <si>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</si>
  <si>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</si>
  <si>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</si>
  <si>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Period band above is navigation only; the tables below use their own column headers (columns are not fiscal periods).</t>
  </si>
  <si>
    <t>Company information</t>
  </si>
  <si>
    <t>Company</t>
  </si>
  <si>
    <t>State Street Corporation</t>
  </si>
  <si>
    <t>Ticker</t>
  </si>
  <si>
    <t>STT</t>
  </si>
  <si>
    <t>Exchange</t>
  </si>
  <si>
    <t>NYSE (NYSE:STT)</t>
  </si>
  <si>
    <t>Fiscal year end</t>
  </si>
  <si>
    <t>Calendar year (ends 31 December)</t>
  </si>
  <si>
    <t>Reporting currency</t>
  </si>
  <si>
    <t>USD</t>
  </si>
  <si>
    <t>Forecast period</t>
  </si>
  <si>
    <t>3Q26E = FQ3 2026 (quarter ended 30-Sep-2026; calendar quarter, label not shorthand)</t>
  </si>
  <si>
    <t>EPS basis</t>
  </si>
  <si>
    <t>Diluted EPS excluding notable items (= CapIQ normalized diluted EPS), USD per common share</t>
  </si>
  <si>
    <t>Information cutoff</t>
  </si>
  <si>
    <t>2026-10-11 22:24 UTC</t>
  </si>
  <si>
    <t>Expected report date</t>
  </si>
  <si>
    <t>2026-10-14 (confirmed by State Street, 23-Sep-2026; ~7:30am ET)</t>
  </si>
  <si>
    <t>Author</t>
  </si>
  <si>
    <t>Shortcut</t>
  </si>
  <si>
    <t>Headline: 3Q26E vs consensus vs guidance ($m, except per share)</t>
  </si>
  <si>
    <t>Shortcut est.</t>
  </si>
  <si>
    <t>Consensus</t>
  </si>
  <si>
    <t>Variance</t>
  </si>
  <si>
    <t>Variance %</t>
  </si>
  <si>
    <t>Guidance mid</t>
  </si>
  <si>
    <t>Est. vs guid.</t>
  </si>
  <si>
    <t>Cons. #est.</t>
  </si>
  <si>
    <t>Total revenue</t>
  </si>
  <si>
    <t>Net income to common, ex-notables</t>
  </si>
  <si>
    <t>n.a.</t>
  </si>
  <si>
    <t>n.d.</t>
  </si>
  <si>
    <t>Diluted EPS ex-notables (normalized)</t>
  </si>
  <si>
    <t>Diluted EPS (GAAP)</t>
  </si>
  <si>
    <t>P(beat consensus EPS)</t>
  </si>
  <si>
    <t>Confidence</t>
  </si>
  <si>
    <t>Overall model check (3Q26E checks are identities)</t>
  </si>
  <si>
    <t>Check: Cover links to statements (link identity; should be 0)</t>
  </si>
  <si>
    <t>Consensus: S&amp;P Capital IQ snapshot 11-Oct-2026 (frozen scoring baseline; 13 normalized EPS estimates, 8 revenue). Newer/other consensus observations are recorded on Sources.</t>
  </si>
  <si>
    <t>Key 3Q26E drivers</t>
  </si>
  <si>
    <t>Average AUC/A ($bn)</t>
  </si>
  <si>
    <t>Servicing fees ($m)</t>
  </si>
  <si>
    <t>Average AUM ($bn)</t>
  </si>
  <si>
    <t>Management fees ($m)</t>
  </si>
  <si>
    <t>FX trading + securities finance ($m)</t>
  </si>
  <si>
    <t>Net interest income ($m)</t>
  </si>
  <si>
    <t>Net interest margin, FTE (bp)</t>
  </si>
  <si>
    <t>Total expenses ($m)</t>
  </si>
  <si>
    <t>Diluted shares (m)</t>
  </si>
  <si>
    <t>Codes: n.a. = not applicable; n.d. = not disclosed; n.f. = not forecast; n.p. = not presented; n.m. = not meaningful.</t>
  </si>
  <si>
    <t>Revenue summary</t>
  </si>
  <si>
    <t>Consolidated revenue growth and FX decomposition</t>
  </si>
  <si>
    <t>Prior-year total revenue (memo)</t>
  </si>
  <si>
    <t>% Y/Y</t>
  </si>
  <si>
    <t>% Q/Q</t>
  </si>
  <si>
    <t>FX translation impact ($m)</t>
  </si>
  <si>
    <t>n.f.</t>
  </si>
  <si>
    <t>FX impact (% of prior-year)</t>
  </si>
  <si>
    <t>M&amp;A / scope impact (%)</t>
  </si>
  <si>
    <t>Ex-FX growth (approximation)</t>
  </si>
  <si>
    <t>Organic growth = (1+Y/Y)/((1+M&amp;A)*(1+FX))-1</t>
  </si>
  <si>
    <t>Geography: revenue is reported U.S. vs non-U.S. annually only (FY25 non-U.S. ~43%); quarterly split not disclosed - see Geo tab.</t>
  </si>
  <si>
    <t>Revenue by reported line of business</t>
  </si>
  <si>
    <t>Investment Servicing</t>
  </si>
  <si>
    <t>Prior-year segment revenue (memo)</t>
  </si>
  <si>
    <t>% of total revenue</t>
  </si>
  <si>
    <t>FX translation impact (%)</t>
  </si>
  <si>
    <t>Investment Management</t>
  </si>
  <si>
    <t>Other (not allocated to a line of business)</t>
  </si>
  <si>
    <t>Foreign exchange trading services - Other</t>
  </si>
  <si>
    <t>Q/Q chg</t>
  </si>
  <si>
    <t>Total growth Y/Y</t>
  </si>
  <si>
    <t>n.m.</t>
  </si>
  <si>
    <t>Software services - Other</t>
  </si>
  <si>
    <t>Other revenue</t>
  </si>
  <si>
    <t>Sum of lines of business</t>
  </si>
  <si>
    <t>Check: segments sum to total revenue (should be 0)</t>
  </si>
  <si>
    <t>Revenue by line item (consolidated)</t>
  </si>
  <si>
    <t>Servicing fees</t>
  </si>
  <si>
    <t>Prior-year servicing fees (memo)</t>
  </si>
  <si>
    <t>Management fees</t>
  </si>
  <si>
    <t>Foreign exchange trading services</t>
  </si>
  <si>
    <t>Securities finance</t>
  </si>
  <si>
    <t>Software services</t>
  </si>
  <si>
    <t>Other fee revenue</t>
  </si>
  <si>
    <t>Total fee revenue</t>
  </si>
  <si>
    <t>Prior-year total fee revenue (memo)</t>
  </si>
  <si>
    <t>Net interest income</t>
  </si>
  <si>
    <t>Prior-year net interest income (memo)</t>
  </si>
  <si>
    <t>Other income</t>
  </si>
  <si>
    <t>Total revenue (line items)</t>
  </si>
  <si>
    <t>Check: line items - total revenue (should be 0)</t>
  </si>
  <si>
    <t>Segment - Investment Servicing</t>
  </si>
  <si>
    <t>A. Assets under custody and/or administration (AUC/A, $bn)</t>
  </si>
  <si>
    <t>Opening AUC/A</t>
  </si>
  <si>
    <t>Net change in AUC/A</t>
  </si>
  <si>
    <t>of which: new business onboarded</t>
  </si>
  <si>
    <t>Y/Y chg (abs)</t>
  </si>
  <si>
    <t>of which: market, FX and other</t>
  </si>
  <si>
    <t>Market, FX and other (% of opening)</t>
  </si>
  <si>
    <t>Q/Q chg (bp)</t>
  </si>
  <si>
    <t>Y/Y chg (bp)</t>
  </si>
  <si>
    <t>Closing AUC/A</t>
  </si>
  <si>
    <t>Q/Q chg (abs)</t>
  </si>
  <si>
    <t>Average AUC/A (simple average of opening and closing)</t>
  </si>
  <si>
    <t>AUC/A by product (closing)</t>
  </si>
  <si>
    <t>Collective funds, including ETFs</t>
  </si>
  <si>
    <t>Mutual funds</t>
  </si>
  <si>
    <t>Pension products</t>
  </si>
  <si>
    <t>Insurance and other products</t>
  </si>
  <si>
    <t>Total AUC/A by product</t>
  </si>
  <si>
    <t>Check: by product - closing AUC/A (should be 0; 3Q26E identity, mix held)</t>
  </si>
  <si>
    <t>AUC/A by asset class (closing)</t>
  </si>
  <si>
    <t>Equities</t>
  </si>
  <si>
    <t>% of AUC/A</t>
  </si>
  <si>
    <t>Fixed income</t>
  </si>
  <si>
    <t>Short-term and other investments</t>
  </si>
  <si>
    <t>Total AUC/A by asset class</t>
  </si>
  <si>
    <t>Check: by asset class - closing AUC/A (should be 0; 3Q26E identity, mix held)</t>
  </si>
  <si>
    <t>Memo: assets under custody (subset of AUC/A)</t>
  </si>
  <si>
    <t>B. New business (Investment Services)</t>
  </si>
  <si>
    <t>New servicing AUC/A wins ($bn)</t>
  </si>
  <si>
    <t>AUC/A to be installed, period end ($bn)</t>
  </si>
  <si>
    <t>New servicing fee revenue wins ($m)</t>
  </si>
  <si>
    <t>Servicing fee revenue to be installed, period end ($m)</t>
  </si>
  <si>
    <t>C. Fee revenue build ($m)</t>
  </si>
  <si>
    <t>Servicing fee yield (bp of average AUC/A, annualized)</t>
  </si>
  <si>
    <t>Memo: prior-year servicing fees</t>
  </si>
  <si>
    <t>FX trading services - Q/Q growth (3Q26E: assumption)</t>
  </si>
  <si>
    <t>FX client trading volumes (% Y/Y, disclosed)</t>
  </si>
  <si>
    <t>Foreign exchange trading services (IS)</t>
  </si>
  <si>
    <t>Average securities on loan ($m, consolidated)</t>
  </si>
  <si>
    <t>Period-end securities on loan ($m)</t>
  </si>
  <si>
    <t>Securities finance yield, IS (bp of average securities on loan, annualized)</t>
  </si>
  <si>
    <t>Securities finance (IS)</t>
  </si>
  <si>
    <t>Software services ARR, period end ($m)</t>
  </si>
  <si>
    <t>Software new bookings ($m)</t>
  </si>
  <si>
    <t>Software uninstalled revenue backlog, period end ($m)</t>
  </si>
  <si>
    <t>Annualized software services revenue as % of ARR</t>
  </si>
  <si>
    <t>Other fee revenue (IS)</t>
  </si>
  <si>
    <t>Total fee revenue - Investment Servicing</t>
  </si>
  <si>
    <t>D. Net interest income build (consolidated average balance sheet, $m, FTE)</t>
  </si>
  <si>
    <t>Interest-bearing deposits with banks</t>
  </si>
  <si>
    <t>Securities purchased under resale agreements</t>
  </si>
  <si>
    <t>Trading account assets</t>
  </si>
  <si>
    <t>Investment securities - available for sale</t>
  </si>
  <si>
    <t>Investment securities - held to maturity</t>
  </si>
  <si>
    <t>Total investment securities</t>
  </si>
  <si>
    <t>Loans (average, gross)</t>
  </si>
  <si>
    <t>Other interest-earning assets</t>
  </si>
  <si>
    <t>Total interest-earning assets</t>
  </si>
  <si>
    <t>Average funding ($m)</t>
  </si>
  <si>
    <t>Interest-bearing deposits - U.S.</t>
  </si>
  <si>
    <t>Interest-bearing deposits - non-U.S.</t>
  </si>
  <si>
    <t>Total interest-bearing deposits</t>
  </si>
  <si>
    <t>Non-interest-bearing deposits</t>
  </si>
  <si>
    <t>Total average deposits</t>
  </si>
  <si>
    <t>Non-interest-bearing share of deposits</t>
  </si>
  <si>
    <t>Securities sold under repurchase agreements</t>
  </si>
  <si>
    <t>Other short-term borrowings</t>
  </si>
  <si>
    <t>Long-term debt</t>
  </si>
  <si>
    <t>Other interest-bearing liabilities</t>
  </si>
  <si>
    <t>Total interest-bearing liabilities</t>
  </si>
  <si>
    <t>Average rates (FTE, annualized)</t>
  </si>
  <si>
    <t>Yield - interest-bearing deposits with banks (bp)</t>
  </si>
  <si>
    <t>Yield - AFS securities (bp)</t>
  </si>
  <si>
    <t>Yield - HTM securities (bp)</t>
  </si>
  <si>
    <t>Yield - total investment securities (bp)</t>
  </si>
  <si>
    <t>Yield - loans (bp)</t>
  </si>
  <si>
    <t>Rate paid - U.S. interest-bearing deposits (bp)</t>
  </si>
  <si>
    <t>Rate paid - non-U.S. interest-bearing deposits (bp)</t>
  </si>
  <si>
    <t>Rate paid - total interest-bearing deposits (bp)</t>
  </si>
  <si>
    <t>Rate paid - total interest-bearing liabilities (bp)</t>
  </si>
  <si>
    <t>Yield - total interest-earning assets (bp)</t>
  </si>
  <si>
    <t>Interest-earning assets / average deposits (x)</t>
  </si>
  <si>
    <t>Q/Q chg (x)</t>
  </si>
  <si>
    <t>Y/Y chg (x)</t>
  </si>
  <si>
    <t>Net interest income (FTE)</t>
  </si>
  <si>
    <t>Tax-equivalent adjustment</t>
  </si>
  <si>
    <t>Net interest income (GAAP, consolidated)</t>
  </si>
  <si>
    <t>Implied interest income, 3Q26E ($m) = IEA x yield x days/365</t>
  </si>
  <si>
    <t>less: Investment Management NII</t>
  </si>
  <si>
    <t>Net interest income - Investment Servicing</t>
  </si>
  <si>
    <t>Check: consolidated NII - (IS NII + IM NII) (should be 0)</t>
  </si>
  <si>
    <t>E. Segment P&amp;L ($m)</t>
  </si>
  <si>
    <t>Other income (gains on AFS securities)</t>
  </si>
  <si>
    <t>Total revenue - Investment Servicing</t>
  </si>
  <si>
    <t>Provision for credit losses</t>
  </si>
  <si>
    <t>Total expenses - Investment Servicing</t>
  </si>
  <si>
    <t>Income before income tax expense - Investment Servicing</t>
  </si>
  <si>
    <t>Pre-tax margin</t>
  </si>
  <si>
    <t>Segment - Investment Management</t>
  </si>
  <si>
    <t>A. Assets under management (AUM, $bn)</t>
  </si>
  <si>
    <t>Opening AUM</t>
  </si>
  <si>
    <t>Net asset flows by strategy</t>
  </si>
  <si>
    <t>Index - ETFs</t>
  </si>
  <si>
    <t>Index - other index</t>
  </si>
  <si>
    <t>Total index strategies and solutions</t>
  </si>
  <si>
    <t>Active, alternatives and other</t>
  </si>
  <si>
    <t>Cash</t>
  </si>
  <si>
    <t>Total net asset flows</t>
  </si>
  <si>
    <t>Organic AUM growth (annualized flows / opening AUM)</t>
  </si>
  <si>
    <t>Market appreciation / (depreciation)</t>
  </si>
  <si>
    <t>Market appreciation (% of opening)</t>
  </si>
  <si>
    <t>Foreign exchange impact</t>
  </si>
  <si>
    <t>Total market and FX impact</t>
  </si>
  <si>
    <t>Closing AUM</t>
  </si>
  <si>
    <t>Memo: reported closing AUM</t>
  </si>
  <si>
    <t>Check: roll-forward closing - reported (should be 0)</t>
  </si>
  <si>
    <t>Average AUM (simple average of opening and closing)</t>
  </si>
  <si>
    <t>AUM by asset class (closing)</t>
  </si>
  <si>
    <t>Equity</t>
  </si>
  <si>
    <t>Multi-asset</t>
  </si>
  <si>
    <t>Alternative investments</t>
  </si>
  <si>
    <t>Total AUM by asset class</t>
  </si>
  <si>
    <t>Check: by asset class - closing AUM (should be 0; 3Q26E identity, mix held)</t>
  </si>
  <si>
    <t>AUM by vehicle (closing)</t>
  </si>
  <si>
    <t>ETF</t>
  </si>
  <si>
    <t>Separately managed accounts</t>
  </si>
  <si>
    <t>Other commingled funds</t>
  </si>
  <si>
    <t>Total AUM by vehicle</t>
  </si>
  <si>
    <t>Check: by vehicle - closing AUM (should be 0; 3Q26E identity, mix held)</t>
  </si>
  <si>
    <t>AUM by strategy (closing)</t>
  </si>
  <si>
    <t>Total AUM by strategy</t>
  </si>
  <si>
    <t>Check: by strategy - closing AUM (should be 0; 3Q26E identity, mix held)</t>
  </si>
  <si>
    <t>B. Fee revenue build ($m)</t>
  </si>
  <si>
    <t>Management fee yield (bp of average AUM, annualized)</t>
  </si>
  <si>
    <t>Foreign exchange trading services (IM)</t>
  </si>
  <si>
    <t>Securities finance (IM)</t>
  </si>
  <si>
    <t>Other fee revenue (IM)</t>
  </si>
  <si>
    <t>Total fee revenue - Investment Management</t>
  </si>
  <si>
    <t>Net interest income (IM)</t>
  </si>
  <si>
    <t>Total revenue - Investment Management</t>
  </si>
  <si>
    <t>Total expenses - Investment Management</t>
  </si>
  <si>
    <t>Income before income tax expense - Investment Management</t>
  </si>
  <si>
    <t>Income Statement</t>
  </si>
  <si>
    <t>Fee revenue</t>
  </si>
  <si>
    <t>Interest income</t>
  </si>
  <si>
    <t>Interest expense</t>
  </si>
  <si>
    <t>Check: NII - segment NII (IS + IM) (should be 0)</t>
  </si>
  <si>
    <t>Other income (gains on sales of AFS securities, net)</t>
  </si>
  <si>
    <t>Expenses</t>
  </si>
  <si>
    <t>Compensation and employee benefits</t>
  </si>
  <si>
    <t>% Q/Q (3Q26E: assumption)</t>
  </si>
  <si>
    <t>Information systems and communications</t>
  </si>
  <si>
    <t>Transaction processing services</t>
  </si>
  <si>
    <t>Occupancy</t>
  </si>
  <si>
    <t>Other expenses</t>
  </si>
  <si>
    <t>Total expenses</t>
  </si>
  <si>
    <t>Expense / revenue ratio</t>
  </si>
  <si>
    <t>Expenses by line of business</t>
  </si>
  <si>
    <t>Other (notable items not allocated)</t>
  </si>
  <si>
    <t>Total expenses by line of business</t>
  </si>
  <si>
    <t>Check: by LOB - by nature (should be 0)</t>
  </si>
  <si>
    <t>Profitability</t>
  </si>
  <si>
    <t>Income before income tax expense</t>
  </si>
  <si>
    <t>Income tax expense</t>
  </si>
  <si>
    <t>Effective tax rate (3Q26E: assumption)</t>
  </si>
  <si>
    <t>Net income</t>
  </si>
  <si>
    <t>Net income margin</t>
  </si>
  <si>
    <t>Dividends on preferred stock</t>
  </si>
  <si>
    <t>Earnings allocated to participating securities</t>
  </si>
  <si>
    <t>Net income available to common shareholders (GAAP)</t>
  </si>
  <si>
    <t>Per share</t>
  </si>
  <si>
    <t>Weighted-average basic shares (m)</t>
  </si>
  <si>
    <t>Weighted-average diluted shares (m)</t>
  </si>
  <si>
    <t>Basic EPS (GAAP)</t>
  </si>
  <si>
    <t>Check: diluted EPS - NI to common / diluted shares (should be 0)</t>
  </si>
  <si>
    <t>GAAP to non-GAAP bridge (notable items; pre-tax impact added back to GAAP)</t>
  </si>
  <si>
    <t>FX benchmark litigation recovery (revenue)</t>
  </si>
  <si>
    <t>Client rescoping (revenue)</t>
  </si>
  <si>
    <t>Repositioning charges (expense)</t>
  </si>
  <si>
    <t>Client rescoping (expense)</t>
  </si>
  <si>
    <t>Other notable items (expense)</t>
  </si>
  <si>
    <t>Total notable items (pre-tax)</t>
  </si>
  <si>
    <t>Tax impact of notable items</t>
  </si>
  <si>
    <t>Notable items, after tax</t>
  </si>
  <si>
    <t>Total revenue, excluding notable items</t>
  </si>
  <si>
    <t>Total expenses, excluding notable items</t>
  </si>
  <si>
    <t>Operating leverage ex-notables, Y/Y (bp)</t>
  </si>
  <si>
    <t>Income before tax, excluding notable items</t>
  </si>
  <si>
    <t>Pre-tax margin, excluding notable items</t>
  </si>
  <si>
    <t>Net income to common, excluding notable items</t>
  </si>
  <si>
    <t>Diluted EPS excluding notable items (consensus basis: CapIQ normalized)</t>
  </si>
  <si>
    <t>Per-share impact of notable items</t>
  </si>
  <si>
    <t>CapIQ history and consensus (linked from Inputs)</t>
  </si>
  <si>
    <t>CapIQ normalized EPS - consensus</t>
  </si>
  <si>
    <t>CapIQ normalized EPS - actual (= reported EPS ex-notables)</t>
  </si>
  <si>
    <t>Difference: model EPS ex-notables - CapIQ actual (issuer per-share bridge rounding; see note)</t>
  </si>
  <si>
    <t>Surprise vs consensus ($/share)</t>
  </si>
  <si>
    <t>CapIQ GAAP EPS - actual (= reported diluted EPS)</t>
  </si>
  <si>
    <t>Difference: model GAAP EPS - CapIQ GAAP actual (rounding)</t>
  </si>
  <si>
    <t>CapIQ revenue - consensus</t>
  </si>
  <si>
    <t>CapIQ revenue - actual</t>
  </si>
  <si>
    <t>Check: model total revenue - CapIQ revenue actual (should be 0)</t>
  </si>
  <si>
    <t>Balance Sheet</t>
  </si>
  <si>
    <t>Assets</t>
  </si>
  <si>
    <t>Cash and due from banks</t>
  </si>
  <si>
    <t>Interest-bearing deposits with banks, net</t>
  </si>
  <si>
    <t>Investment securities available-for-sale, net</t>
  </si>
  <si>
    <t>Investment securities held-to-maturity, net</t>
  </si>
  <si>
    <t>Loans</t>
  </si>
  <si>
    <t>Allowance for credit losses on loans</t>
  </si>
  <si>
    <t>Loans, net</t>
  </si>
  <si>
    <t>Premises and equipment, net</t>
  </si>
  <si>
    <t>Accrued interest and fees receivable</t>
  </si>
  <si>
    <t>Goodwill</t>
  </si>
  <si>
    <t>Other intangible assets</t>
  </si>
  <si>
    <t>Other assets</t>
  </si>
  <si>
    <t>Total assets</t>
  </si>
  <si>
    <t>Liabilities</t>
  </si>
  <si>
    <t>Total deposits</t>
  </si>
  <si>
    <t>Accrued expenses and other liabilities</t>
  </si>
  <si>
    <t>Total liabilities</t>
  </si>
  <si>
    <t>Shareholders' equity</t>
  </si>
  <si>
    <t>Preferred stock - Series G</t>
  </si>
  <si>
    <t>Preferred stock - Series I</t>
  </si>
  <si>
    <t>Preferred stock - Series J</t>
  </si>
  <si>
    <t>Preferred stock - Series K</t>
  </si>
  <si>
    <t>Total preferred stock</t>
  </si>
  <si>
    <t>Common stock ($1 par)</t>
  </si>
  <si>
    <t>Surplus</t>
  </si>
  <si>
    <t>Retained earnings</t>
  </si>
  <si>
    <t>Accumulated other comprehensive income (loss)</t>
  </si>
  <si>
    <t>Treasury stock, at cost</t>
  </si>
  <si>
    <t>Total shareholders' equity</t>
  </si>
  <si>
    <t>Total liabilities and equity</t>
  </si>
  <si>
    <t>Check: assets - liabilities - equity (should be 0; 3Q26E identity, lines held flat)</t>
  </si>
  <si>
    <t>Memo</t>
  </si>
  <si>
    <t>Common shares outstanding (m)</t>
  </si>
  <si>
    <t>Book value per common share</t>
  </si>
  <si>
    <t>Memo: reported book value per common share</t>
  </si>
  <si>
    <t>Deferred tax liabilities on goodwill and intangibles</t>
  </si>
  <si>
    <t>Tangible common equity</t>
  </si>
  <si>
    <t>Tangible book value per common share</t>
  </si>
  <si>
    <t>Memo: reported tangible book value per share</t>
  </si>
  <si>
    <t>CET1 ratio (standardized)</t>
  </si>
  <si>
    <t>Tier 1 leverage ratio</t>
  </si>
  <si>
    <t>Cash Flow Statement</t>
  </si>
  <si>
    <t>Discrete-quarter cash flows ($m; quarters derived from reported year-to-date statements below)</t>
  </si>
  <si>
    <t>Operating activities</t>
  </si>
  <si>
    <t>Deferred income tax</t>
  </si>
  <si>
    <t>Amortization of other intangible assets</t>
  </si>
  <si>
    <t>Other non-cash depreciation, amortization and accretion, net</t>
  </si>
  <si>
    <t>(Gains) losses related to investment securities, net</t>
  </si>
  <si>
    <t>Change in trading account assets, net</t>
  </si>
  <si>
    <t>Change in accrued interest and fees receivable, net</t>
  </si>
  <si>
    <t>Change in collateral deposits, net</t>
  </si>
  <si>
    <t>Change in unrealized losses (gains) on FX derivatives, net</t>
  </si>
  <si>
    <t>Change in other assets, net</t>
  </si>
  <si>
    <t>Change in accrued expenses and other liabilities, net</t>
  </si>
  <si>
    <t>Other, net (operating)</t>
  </si>
  <si>
    <t>Net cash provided by (used in) operating activities</t>
  </si>
  <si>
    <t>n.f.: full operating cash flow not forecast; collateral, FX-derivative and other balance-sheet movements lack forecast inputs (2Q26: OCF -2,326 vs NI 1,084).</t>
  </si>
  <si>
    <t>Investing activities</t>
  </si>
  <si>
    <t>Net (increase) decrease in interest-bearing deposits with banks</t>
  </si>
  <si>
    <t>Net (increase) decrease in securities purchased under resale agreements</t>
  </si>
  <si>
    <t>Proceeds from sales of AFS securities</t>
  </si>
  <si>
    <t>Proceeds from maturities of AFS securities</t>
  </si>
  <si>
    <t>Purchases of AFS securities</t>
  </si>
  <si>
    <t>Proceeds from maturities of HTM securities</t>
  </si>
  <si>
    <t>Sale of loans</t>
  </si>
  <si>
    <t>Net increase in loans</t>
  </si>
  <si>
    <t>Business acquisitions, net of cash acquired</t>
  </si>
  <si>
    <t>Purchases of equity investments and other long-term assets</t>
  </si>
  <si>
    <t>Purchases of premises and equipment, net (capex)</t>
  </si>
  <si>
    <t>Other, net (investing)</t>
  </si>
  <si>
    <t>Net cash (used in) provided by investing activities</t>
  </si>
  <si>
    <t>Financing activities</t>
  </si>
  <si>
    <t>Net (decrease) increase in time deposits</t>
  </si>
  <si>
    <t>Net increase in all other deposits</t>
  </si>
  <si>
    <t>Net (decrease) increase in securities sold under repurchase agreements</t>
  </si>
  <si>
    <t>Net (decrease) increase in other short-term borrowings</t>
  </si>
  <si>
    <t>Proceeds from issuance of long-term debt, net</t>
  </si>
  <si>
    <t>Payments for long-term debt and finance leases</t>
  </si>
  <si>
    <t>Proceeds from issuance of preferred stock, net</t>
  </si>
  <si>
    <t>Repurchases of common stock</t>
  </si>
  <si>
    <t>Repurchases of common stock for employee tax withholding</t>
  </si>
  <si>
    <t>Payments for cash dividends</t>
  </si>
  <si>
    <t>Other, net (financing)</t>
  </si>
  <si>
    <t>Net cash provided by (used in) financing activities</t>
  </si>
  <si>
    <t>Net increase (decrease) in cash and due from banks (3Q26E: partial capital-return scenario)</t>
  </si>
  <si>
    <t>Cash and due from banks, beginning of period</t>
  </si>
  <si>
    <t>Cash and due from banks, end of period (3Q26E: scenario, not a forecast)</t>
  </si>
  <si>
    <t>Check: ending cash - Balance Sheet cash (should be 0; 3Q26E identity)</t>
  </si>
  <si>
    <t>Check: change in cash - change in Balance Sheet cash (should be 0; 3Q26E identity)</t>
  </si>
  <si>
    <t>Check: cash-flow net income - Income Statement net income (should be 0; 3Q26E identity)</t>
  </si>
  <si>
    <t>Cash flow metrics</t>
  </si>
  <si>
    <t>Capital expenditures (purchases of premises and equipment)</t>
  </si>
  <si>
    <t>n.f.: capex not in the original forecasting inputs (CapIQ capex_m blank, Inputs!C71; not in STT_history.csv); no issuer capex guidance found in preserved sources.</t>
  </si>
  <si>
    <t>Free cash flow (issuer-defined)</t>
  </si>
  <si>
    <t>n.a.: no issuer-defined free cash flow measure found in the preserved sources; CapIQ fcf_m blank (Inputs!C73); not constructed by the model.</t>
  </si>
  <si>
    <t>Reported year-to-date statement of cash flows ($m) - inputs</t>
  </si>
  <si>
    <t>Columns hold YTD to each period end: 3M25, 6M25, 9M25, FY25, (FY25 col blank), 3M26, 6M26</t>
  </si>
  <si>
    <t>Net income (YTD)</t>
  </si>
  <si>
    <t>Deferred income tax (YTD)</t>
  </si>
  <si>
    <t>Amortization of other intangible assets (YTD)</t>
  </si>
  <si>
    <t>Other non-cash depreciation, amortization and accretion, net (YTD)</t>
  </si>
  <si>
    <t>(Gains) losses related to investment securities, net (YTD)</t>
  </si>
  <si>
    <t>Provision for credit losses (YTD)</t>
  </si>
  <si>
    <t>Change in trading account assets, net (YTD)</t>
  </si>
  <si>
    <t>Change in accrued interest and fees receivable, net (YTD)</t>
  </si>
  <si>
    <t>Change in collateral deposits, net (YTD)</t>
  </si>
  <si>
    <t>Change in unrealized losses (gains) on FX derivatives, net (YTD)</t>
  </si>
  <si>
    <t>Change in other assets, net (YTD)</t>
  </si>
  <si>
    <t>Change in accrued expenses and other liabilities, net (YTD)</t>
  </si>
  <si>
    <t>Other, net (operating) (YTD)</t>
  </si>
  <si>
    <t>Net (increase) decrease in interest-bearing deposits with banks (YTD)</t>
  </si>
  <si>
    <t>Net (increase) decrease in securities purchased under resale agreements (YTD)</t>
  </si>
  <si>
    <t>Proceeds from sales of AFS securities (YTD)</t>
  </si>
  <si>
    <t>Proceeds from maturities of AFS securities (YTD)</t>
  </si>
  <si>
    <t>Purchases of AFS securities (YTD)</t>
  </si>
  <si>
    <t>Proceeds from maturities of HTM securities (YTD)</t>
  </si>
  <si>
    <t>Sale of loans (YTD)</t>
  </si>
  <si>
    <t>Net increase in loans (YTD)</t>
  </si>
  <si>
    <t>Business acquisitions, net of cash acquired (YTD)</t>
  </si>
  <si>
    <t>n.p.</t>
  </si>
  <si>
    <t>Purchases of equity investments and other long-term assets (YTD)</t>
  </si>
  <si>
    <t>Purchases of premises and equipment, net (capex) (YTD)</t>
  </si>
  <si>
    <t>Other, net (investing) (YTD)</t>
  </si>
  <si>
    <t>Net (decrease) increase in time deposits (YTD)</t>
  </si>
  <si>
    <t>Net increase in all other deposits (YTD)</t>
  </si>
  <si>
    <t>Net (decrease) increase in securities sold under repurchase agreements (YTD)</t>
  </si>
  <si>
    <t>Net (decrease) increase in other short-term borrowings (YTD)</t>
  </si>
  <si>
    <t>Proceeds from issuance of long-term debt, net (YTD)</t>
  </si>
  <si>
    <t>Payments for long-term debt and finance leases (YTD)</t>
  </si>
  <si>
    <t>Proceeds from issuance of preferred stock, net (YTD)</t>
  </si>
  <si>
    <t>Repurchases of common stock (YTD)</t>
  </si>
  <si>
    <t>Repurchases of common stock for employee tax withholding (YTD)</t>
  </si>
  <si>
    <t>Payments for cash dividends (YTD)</t>
  </si>
  <si>
    <t>Other, net (financing) (YTD)</t>
  </si>
  <si>
    <t>Memo: reported YTD Operating subtotal</t>
  </si>
  <si>
    <t>Memo: reported YTD Investing subtotal</t>
  </si>
  <si>
    <t>Memo: reported YTD Financing subtotal</t>
  </si>
  <si>
    <t>Memo: reported YTD Net change in cash subtotal</t>
  </si>
  <si>
    <t>Check: YTD operating components - reported subtotal (should be 0)</t>
  </si>
  <si>
    <t>Check: YTD investing components - reported subtotal (should be 0)</t>
  </si>
  <si>
    <t>Check: YTD financing components - reported subtotal (should be 0)</t>
  </si>
  <si>
    <t>Geography</t>
  </si>
  <si>
    <t>$ millions for revenue and pre-tax income; AUC/A, AUM and net flows in $ billions</t>
  </si>
  <si>
    <t>Revenue by geography (annual disclosure only, 10-K Non-U.S. Activities note)</t>
  </si>
  <si>
    <t>U.S. total revenue</t>
  </si>
  <si>
    <t>Non-U.S. total revenue</t>
  </si>
  <si>
    <t>Total revenue by geography</t>
  </si>
  <si>
    <t>Check: geography sum - Income Statement total revenue (should be 0)</t>
  </si>
  <si>
    <t>U.S. % of total revenue</t>
  </si>
  <si>
    <t>Non-U.S. % of total revenue</t>
  </si>
  <si>
    <t>Pre-tax income by geography (annual)</t>
  </si>
  <si>
    <t>U.S. income before income tax</t>
  </si>
  <si>
    <t>Non-U.S. income before income tax</t>
  </si>
  <si>
    <t>Check: geography sum - Income Statement pre-tax income (should be 0)</t>
  </si>
  <si>
    <t>AUC/A by geography (closing, $bn; domicile of servicing entity)</t>
  </si>
  <si>
    <t>Americas</t>
  </si>
  <si>
    <t>Europe / Middle East / Africa</t>
  </si>
  <si>
    <t>Asia-Pacific</t>
  </si>
  <si>
    <t>Total AUC/A by geography</t>
  </si>
  <si>
    <t>Check: geography - closing AUC/A (should be 0; 3Q26E identity, mix held)</t>
  </si>
  <si>
    <t>AUM by geography (closing, $bn; client or fund-management location)</t>
  </si>
  <si>
    <t>% of AUM</t>
  </si>
  <si>
    <t>Total AUM by geography</t>
  </si>
  <si>
    <t>Check: geography - closing AUM (should be 0; 3Q26E identity, mix held)</t>
  </si>
  <si>
    <t>AUM net flows by geography ($bn)</t>
  </si>
  <si>
    <t>Total net flows by geography</t>
  </si>
  <si>
    <t>Check: geography flows - total net flows (should be 0)</t>
  </si>
  <si>
    <t>Share Count</t>
  </si>
  <si>
    <t>Shares in millions; repurchase cost and dividends in $ millions; prices and DPS in $ per share</t>
  </si>
  <si>
    <t>Common shares (millions)</t>
  </si>
  <si>
    <t>Opening common shares outstanding</t>
  </si>
  <si>
    <t>Shares repurchased under program</t>
  </si>
  <si>
    <t>Average repurchase price ($)</t>
  </si>
  <si>
    <t>Repurchase cost ($m)</t>
  </si>
  <si>
    <t>Net shares issued / other (history derived; 3Q26E assumption)</t>
  </si>
  <si>
    <t>Closing common shares outstanding</t>
  </si>
  <si>
    <t>Weighted-average shares (millions)</t>
  </si>
  <si>
    <t>Weighted-average basic shares</t>
  </si>
  <si>
    <t>Dilutive securities</t>
  </si>
  <si>
    <t>Weighted-average diluted shares</t>
  </si>
  <si>
    <t>Memo: FY25 reported average diluted shares</t>
  </si>
  <si>
    <t>Dividends and capital return</t>
  </si>
  <si>
    <t>Dividends declared per common share ($)</t>
  </si>
  <si>
    <t>Common dividends declared ($m)</t>
  </si>
  <si>
    <t>Preferred dividends ($m)</t>
  </si>
  <si>
    <t>Total payout ratio (dividends + buybacks) / NI to common</t>
  </si>
  <si>
    <t>Forecast share count behind 3Q26E EPS</t>
  </si>
  <si>
    <t>Diluted shares used in 3Q26E EPS (m)</t>
  </si>
  <si>
    <t>Guidance</t>
  </si>
  <si>
    <t>Period band above is navigation only; the guidance table below uses its own column headers (columns are not fiscal periods).</t>
  </si>
  <si>
    <t>Guidance given (all FY metrics ex-notable items, Y/Y growth)</t>
  </si>
  <si>
    <t>Metric</t>
  </si>
  <si>
    <t>Date given</t>
  </si>
  <si>
    <t>Period</t>
  </si>
  <si>
    <t>Source</t>
  </si>
  <si>
    <t>Low</t>
  </si>
  <si>
    <t>High</t>
  </si>
  <si>
    <t>Midpoint</t>
  </si>
  <si>
    <t>Actual</t>
  </si>
  <si>
    <t>Beat / miss</t>
  </si>
  <si>
    <t>Fee revenue growth</t>
  </si>
  <si>
    <t>FY25</t>
  </si>
  <si>
    <t>S12</t>
  </si>
  <si>
    <t>S11</t>
  </si>
  <si>
    <t>FY26</t>
  </si>
  <si>
    <t>S21</t>
  </si>
  <si>
    <t>pending</t>
  </si>
  <si>
    <t>NII growth ("low single digit")</t>
  </si>
  <si>
    <t>Expense growth</t>
  </si>
  <si>
    <t>NII growth</t>
  </si>
  <si>
    <t>S5</t>
  </si>
  <si>
    <t>Expense growth ("~8% +/-")</t>
  </si>
  <si>
    <t>Effective tax rate (~22%)</t>
  </si>
  <si>
    <t>S20</t>
  </si>
  <si>
    <t>S22</t>
  </si>
  <si>
    <t>NII growth ("towards upper end of 14-15%")</t>
  </si>
  <si>
    <t>Expense growth ("slightly higher" than ~8%)</t>
  </si>
  <si>
    <t>3Q26 fees, NII, expenses vs 2Q26 ("pretty stable")</t>
  </si>
  <si>
    <t>3Q26</t>
  </si>
  <si>
    <t>FY25 actual fee revenue growth, ex-notables (for beat/miss)</t>
  </si>
  <si>
    <t>FY25 fee revenue ex-notables ($m)</t>
  </si>
  <si>
    <t>FY24 total fee revenue, reported ($m)</t>
  </si>
  <si>
    <t>FY24 fee-revenue notable items (Other LOB; S8 addendum, S14 10-K)</t>
  </si>
  <si>
    <t>FY25 fee revenue growth, ex-notables</t>
  </si>
  <si>
    <t>Guidance-implied 3Q26 (latest FY26 outlook, 14-Sep-2026; 2H26 split by days)</t>
  </si>
  <si>
    <t>Days in 4Q26</t>
  </si>
  <si>
    <t>3Q26 share of 2H26 (days)</t>
  </si>
  <si>
    <t>Fee growth midpoint</t>
  </si>
  <si>
    <t>Implied FY26 fee revenue</t>
  </si>
  <si>
    <t>less: 1H26 actual fee revenue</t>
  </si>
  <si>
    <t>Implied 3Q26 fee revenue</t>
  </si>
  <si>
    <t>FY25 NII ($m)</t>
  </si>
  <si>
    <t>NII growth midpoint</t>
  </si>
  <si>
    <t>Implied 3Q26 NII</t>
  </si>
  <si>
    <t>Guidance-implied 3Q26 total revenue</t>
  </si>
  <si>
    <t>FY25 expenses ex-notables ($m)</t>
  </si>
  <si>
    <t>Expense growth midpoint</t>
  </si>
  <si>
    <t>Implied 3Q26 expenses</t>
  </si>
  <si>
    <t>Provision (not guided; model assumption)</t>
  </si>
  <si>
    <t>Implied pre-tax income</t>
  </si>
  <si>
    <t>Tax at guided ~22%</t>
  </si>
  <si>
    <t>Guidance-implied net income to common (after preferred / participating)</t>
  </si>
  <si>
    <t>Guidance-implied 3Q26 EPS (ex-notables)</t>
  </si>
  <si>
    <t>Sources</t>
  </si>
  <si>
    <t>Period band above is navigation only; the source register below uses its own column headers (columns are not fiscal periods).</t>
  </si>
  <si>
    <t>Source register (retrieved 2026-10-12 UTC via web_fetch / web search; publication dates on or before the 2026-10-11 cutoff date; same-day caveat in B66)</t>
  </si>
  <si>
    <t>ID</t>
  </si>
  <si>
    <t>Published</t>
  </si>
  <si>
    <t>Publisher</t>
  </si>
  <si>
    <t>Retrieved</t>
  </si>
  <si>
    <t>Feeds</t>
  </si>
  <si>
    <t>URL or file</t>
  </si>
  <si>
    <t>S1</t>
  </si>
  <si>
    <t>S&amp;P Capital IQ</t>
  </si>
  <si>
    <t>Inputs; Cover consensus</t>
  </si>
  <si>
    <t>STT_consensus.json (attached CapIQ snapshot)</t>
  </si>
  <si>
    <t>S2</t>
  </si>
  <si>
    <t>Inputs; IncSt memo</t>
  </si>
  <si>
    <t>STT_history.csv (attached CapIQ snapshot)</t>
  </si>
  <si>
    <t>S3</t>
  </si>
  <si>
    <t>State Street (SEC)</t>
  </si>
  <si>
    <t>All tabs</t>
  </si>
  <si>
    <t>https://www.sec.gov/Archives/edgar/data/93751/000009375126000387/exhibit992-2q26earningsrel.htm</t>
  </si>
  <si>
    <t>S4</t>
  </si>
  <si>
    <t>IM; RS; ShCnt</t>
  </si>
  <si>
    <t>https://www.sec.gov/Archives/edgar/data/93751/000009375126000387/a2q26earningspressrelease.htm</t>
  </si>
  <si>
    <t>IS; Guidance</t>
  </si>
  <si>
    <t>https://www.sec.gov/Archives/edgar/data/93751/000009375126000387/stt2q26earningspresentat.htm</t>
  </si>
  <si>
    <t>S6</t>
  </si>
  <si>
    <t>IS; IM LOB</t>
  </si>
  <si>
    <t>https://www.sec.gov/Archives/edgar/data/93751/000009375126000184/exhibit992-1q26earningsrel.htm</t>
  </si>
  <si>
    <t>S7</t>
  </si>
  <si>
    <t>RS; IS</t>
  </si>
  <si>
    <t>https://www.sec.gov/Archives/edgar/data/93751/000009375126000184/a1q26earningspressrelease.htm</t>
  </si>
  <si>
    <t>S8</t>
  </si>
  <si>
    <t>RS; IS FX</t>
  </si>
  <si>
    <t>https://www.sec.gov/Archives/edgar/data/93751/000009375126000008/exhibit992-4q25earningsrel.htm</t>
  </si>
  <si>
    <t>S9</t>
  </si>
  <si>
    <t>RS; Guidance</t>
  </si>
  <si>
    <t>https://www.sec.gov/Archives/edgar/data/93751/000009375126000008/a4q25earningspressrelease.htm</t>
  </si>
  <si>
    <t>S10</t>
  </si>
  <si>
    <t>https://www.sec.gov/Archives/edgar/data/93751/000009375125000560/exhibit992-3q25earningsrel.htm</t>
  </si>
  <si>
    <t>https://www.sec.gov/Archives/edgar/data/93751/000009375125000560/a3q25earningspressrelease.htm</t>
  </si>
  <si>
    <t>https://www.sec.gov/Archives/edgar/data/93751/000009375125000403/a2q25earningspressrelease.htm</t>
  </si>
  <si>
    <t>S13</t>
  </si>
  <si>
    <t>IS; IM; RS</t>
  </si>
  <si>
    <t>https://www.sec.gov/Archives/edgar/data/93751/000009375125000220/a1q25earningspressrelease.htm</t>
  </si>
  <si>
    <t>S14</t>
  </si>
  <si>
    <t>CF; Geo; ShCnt</t>
  </si>
  <si>
    <t>https://www.sec.gov/Archives/edgar/data/93751/000009375126000124/stt-20251231.htm (R8, R10, R137, R141)</t>
  </si>
  <si>
    <t>S15</t>
  </si>
  <si>
    <t>CF; ShCnt</t>
  </si>
  <si>
    <t>https://www.sec.gov/Archives/edgar/data/93751/000009375126000397/stt-20260630.htm (R9)</t>
  </si>
  <si>
    <t>S16</t>
  </si>
  <si>
    <t>https://www.sec.gov/Archives/edgar/data/93751/000009375126000196/stt-20260331.htm (R9)</t>
  </si>
  <si>
    <t>S17</t>
  </si>
  <si>
    <t>https://www.sec.gov/Archives/edgar/data/93751/000009375125000575/stt-20250930.htm (R9)</t>
  </si>
  <si>
    <t>S18</t>
  </si>
  <si>
    <t>https://www.sec.gov/Archives/edgar/data/93751/000009375125000425/stt-20250630.htm (R9)</t>
  </si>
  <si>
    <t>S19</t>
  </si>
  <si>
    <t>ShCnt</t>
  </si>
  <si>
    <t>https://www.sec.gov/Archives/edgar/data/93751/000009375125000226/stt-20250331.htm</t>
  </si>
  <si>
    <t>Motley Fool</t>
  </si>
  <si>
    <t>Guidance; IncSt</t>
  </si>
  <si>
    <t>https://www.fool.com/earnings/call-transcripts/2026/07/23/state-street-stt-q2-2026-earnings-call-transcript/</t>
  </si>
  <si>
    <t>https://www.fool.com/earnings/call-transcripts/2026/04/17/state-street-stt-q1-2026-earnings-transcript/</t>
  </si>
  <si>
    <t>Equibles (transcript)</t>
  </si>
  <si>
    <t>Guidance; IS; IM</t>
  </si>
  <si>
    <t>https://equibles.com/stocks/stt/documents/667e5233-0b4c-4db8-8279-94b268d3fc0d</t>
  </si>
  <si>
    <t>S23</t>
  </si>
  <si>
    <t>Investing.com</t>
  </si>
  <si>
    <t>https://www.investing.com/news/transcripts/state-street-at-barclays-conference-growth-ai-and-margin-gains-93CH-4900063</t>
  </si>
  <si>
    <t>S24</t>
  </si>
  <si>
    <t>Zacks / Yahoo</t>
  </si>
  <si>
    <t>Inputs (other cons.)</t>
  </si>
  <si>
    <t>https://finance.yahoo.com/markets/stocks/articles/ahead-state-street-stt-q3-121501904.html</t>
  </si>
  <si>
    <t>S25</t>
  </si>
  <si>
    <t>Dow Jones / Morningstar</t>
  </si>
  <si>
    <t>IS; IM assumptions</t>
  </si>
  <si>
    <t>https://www.morningstar.com/news/dow-jones/202609307962/sp-500-rises-203-this-quarter-to-765154-data-talk</t>
  </si>
  <si>
    <t>S26</t>
  </si>
  <si>
    <t>First Trust</t>
  </si>
  <si>
    <t>IS NIM; AUC/A</t>
  </si>
  <si>
    <t>https://www.ftportfolios.com/Commentary/MarketCommentary/2026/10/8/a-recap-of-september-2026</t>
  </si>
  <si>
    <t>S27</t>
  </si>
  <si>
    <t>State Street IR</t>
  </si>
  <si>
    <t>Cover report date</t>
  </si>
  <si>
    <t>https://investors.statestreet.com/investor-news-events/press-releases/news-details/2026/State-Street-Corporation-to-Report-Third-Quarter-2026-Financial-Results-and-Host-Conference-Call-Webcast-on-October-14/default.aspx</t>
  </si>
  <si>
    <t>S28</t>
  </si>
  <si>
    <t>RS (M&amp;A n.d.)</t>
  </si>
  <si>
    <t>https://investors.statestreet.com/investor-news-events/press-releases/news-details/2026/State-Street-to-Expand-Latin-America-Footprint-with-Santander-CACEIS-Latam-Securities-Services/default.aspx</t>
  </si>
  <si>
    <t>S29</t>
  </si>
  <si>
    <t>Tickeron</t>
  </si>
  <si>
    <t>Inputs (mkt cap cross-check only)</t>
  </si>
  <si>
    <t>https://tickeron.com/ticker/STT/</t>
  </si>
  <si>
    <t>S30</t>
  </si>
  <si>
    <t>Q3 market recap</t>
  </si>
  <si>
    <t>IM assumptions</t>
  </si>
  <si>
    <t>https://usmarketcurrent.com/q3-2026-scorecard-sp-500-up-2-russell-2000-down-7-5-energy-led-utilities-fell-13-10-year-up-87bp/</t>
  </si>
  <si>
    <t>S31</t>
  </si>
  <si>
    <t>Earnings Whispers</t>
  </si>
  <si>
    <t>https://wt11.earningswhispers.com/article/STT/20326</t>
  </si>
  <si>
    <t>S32</t>
  </si>
  <si>
    <t>ORTEX News</t>
  </si>
  <si>
    <t>Context</t>
  </si>
  <si>
    <t>https://ortex.news/articles/185005/state-street-bulls-and-bears-draw-battle-lines-before-q3-print</t>
  </si>
  <si>
    <t>S33</t>
  </si>
  <si>
    <t>levelbox.ai</t>
  </si>
  <si>
    <t>Context (rates)</t>
  </si>
  <si>
    <t>https://levelbox.ai/blog/bank-stocks-bond-losses-selloff-october-2026</t>
  </si>
  <si>
    <t>S34</t>
  </si>
  <si>
    <t>MarketBeat</t>
  </si>
  <si>
    <t>https://www.americanbankingnews.com/2026/10/07/state-street-stt-set-to-post-earnings-on-wednesday.html</t>
  </si>
  <si>
    <t>S35</t>
  </si>
  <si>
    <t>Benzinga</t>
  </si>
  <si>
    <t>https://www.benzinga.com/analyst-stock-ratings/price-target/26/10/62128654/state-street-gears-up-for-q3-print-here-are-the-recent-forecast-changes-from-wall-streets-most-accurate-analysts</t>
  </si>
  <si>
    <t>S36</t>
  </si>
  <si>
    <t>FactSet</t>
  </si>
  <si>
    <t>Prior (reference)</t>
  </si>
  <si>
    <t>https://insight.factset.com/sp-500-earnings-season-update-july-31-2026</t>
  </si>
  <si>
    <t>S37</t>
  </si>
  <si>
    <t>RS prior-year LOB</t>
  </si>
  <si>
    <t>https://www.sec.gov/Archives/edgar/data/93751/000009375125000220/exhibit992-1q25earningsrel.htm</t>
  </si>
  <si>
    <t>S38</t>
  </si>
  <si>
    <t>https://www.sec.gov/Archives/edgar/data/93751/000009375125000403/exhibit992-2q25earningsrel.htm</t>
  </si>
  <si>
    <t>Other / newer consensus observations (recorded separately; NOT the scoring baseline, which is the CapIQ snapshot on Cover)</t>
  </si>
  <si>
    <t>Observation</t>
  </si>
  <si>
    <t>Value</t>
  </si>
  <si>
    <t>Source ID</t>
  </si>
  <si>
    <t>Zacks consensus EPS (Yahoo Finance, 9-Oct-2026)</t>
  </si>
  <si>
    <t>Earnings Whispers consensus EPS (6-Oct-2026)</t>
  </si>
  <si>
    <t>Benzinga consensus EPS (2-Oct-2026)</t>
  </si>
  <si>
    <t>MarketBeat consensus EPS (7-Oct-2026)</t>
  </si>
  <si>
    <t>Zacks key-metric consensus: total fee revenue ($m, 9-Oct-2026)</t>
  </si>
  <si>
    <t>Zacks key-metric consensus: net interest income ($m)</t>
  </si>
  <si>
    <t>Zacks key-metric consensus: servicing fees ($m)</t>
  </si>
  <si>
    <t>Zacks key-metric consensus: management fees ($m)</t>
  </si>
  <si>
    <t>Zacks key-metric consensus: AUM ($bn)</t>
  </si>
  <si>
    <t>Inputs tab: kept because the task requires the raw CapIQ summary row and six history rows to be embedded in Inputs; it holds raw files and prior calibration, and the consensus shown to readers lives in the Cover headline table.</t>
  </si>
  <si>
    <t>Tab coverage: no requested tab omitted. Geo is included, but revenue by geography is annual only (10-K Non-U.S. Activities note, S14); quarterly revenue split checked in S3/S6/S8 addenda and not disclosed.</t>
  </si>
  <si>
    <t>Target-quarter (3Q26) actual results: not encountered and not used. Expected release 2026-10-14, after the cutoff.</t>
  </si>
  <si>
    <t>Not used as evidence: undated pages (e.g. prediction-market pages), OpenStocks estimates, target-price data.</t>
  </si>
  <si>
    <t>Same-day sources: S1, S2, S29 and S32 carry date-only 11-Oct-2026 stamps, so precedence to the 22:24 UTC cutoff is not independently provable (no capture times recorded). S1/S2 are the frozen CapIQ snapshot.</t>
  </si>
  <si>
    <t>Inputs (S&amp;P Capital IQ snapshot, raw)</t>
  </si>
  <si>
    <t>Period band above applies only to section C (rows 98-105); sections A, B and D are field / value lists with values in column C.</t>
  </si>
  <si>
    <t>A. CapIQ consensus file (STT_consensus.json) - top-level fields</t>
  </si>
  <si>
    <t>source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</si>
  <si>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</si>
  <si>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</si>
  <si>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</si>
  <si>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</si>
  <si>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</si>
  <si>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</si>
  <si>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</si>
  <si>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</si>
  <si>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</si>
  <si>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</si>
  <si>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</si>
  <si>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</si>
  <si>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</si>
  <si>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</si>
  <si>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</si>
  <si>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</si>
  <si>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</si>
  <si>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per-share in USD; revenue and income in USD millions</t>
  </si>
  <si>
    <t>B. CapIQ summary_row (complete, raw; blank source values left blank)</t>
  </si>
  <si>
    <t>company_name</t>
  </si>
  <si>
    <t>exchange_ticker</t>
  </si>
  <si>
    <t>NYSE:STT</t>
  </si>
  <si>
    <t>capiq_company_id</t>
  </si>
  <si>
    <t>sp500_member</t>
  </si>
  <si>
    <t>Y</t>
  </si>
  <si>
    <t>market_cap_usd_m</t>
  </si>
  <si>
    <t>fiscal_quarter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</si>
  <si>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</si>
  <si>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</si>
  <si>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</si>
  <si>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</si>
  <si>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</si>
  <si>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</si>
  <si>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</si>
  <si>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</si>
  <si>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</si>
  <si>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</si>
  <si>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</si>
  <si>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</si>
  <si>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</si>
  <si>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</si>
  <si>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</si>
  <si>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</si>
  <si>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</si>
  <si>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</si>
  <si>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</si>
  <si>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</si>
  <si>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</si>
  <si>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</si>
  <si>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</si>
  <si>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</si>
  <si>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</si>
  <si>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</si>
  <si>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</si>
  <si>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</si>
  <si>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</si>
  <si>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</si>
  <si>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</si>
  <si>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</si>
  <si>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</si>
  <si>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</si>
  <si>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</si>
  <si>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Basis unstated by CapIQ (preferred/participating deduction unknown); Cover E24:F24 variance withheld.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</si>
  <si>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</si>
  <si>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</si>
  <si>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</si>
  <si>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</si>
  <si>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</si>
  <si>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</si>
  <si>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</si>
  <si>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</si>
  <si>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</si>
  <si>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</si>
  <si>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</si>
  <si>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</si>
  <si>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</si>
  <si>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</si>
  <si>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</si>
  <si>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</si>
  <si>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</si>
  <si>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</si>
  <si>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</si>
  <si>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</si>
  <si>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</si>
  <si>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</si>
  <si>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</si>
  <si>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</si>
  <si>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</si>
  <si>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</si>
  <si>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195.93/104.64</t>
  </si>
  <si>
    <t>units</t>
  </si>
  <si>
    <t>estimates_captured_at</t>
  </si>
  <si>
    <t>notes</t>
  </si>
  <si>
    <t>A GAAP EPS "Guidance 0.92" value on the CapIQ page looks like a different line item and was excluded.</t>
  </si>
  <si>
    <t>C. CapIQ history (STT_history.csv) - six CSV rows, transposed onto the model timeline (one column per row)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</si>
  <si>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</si>
  <si>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</si>
  <si>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</si>
  <si>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</si>
  <si>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</si>
  <si>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</si>
  <si>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</si>
  <si>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D. Prior calibration (playbook v2: size and issuer history)</t>
  </si>
  <si>
    <t>Last close price ($, CapIQ last_close_price)</t>
  </si>
  <si>
    <t>Common shares outstanding, 30-Jun-2026 (m)</t>
  </si>
  <si>
    <t>Market cap ($m) = price x shares</t>
  </si>
  <si>
    <t>Size bucket (small $0.3-2bn / mid $2-10bn / large &gt;$10bn)</t>
  </si>
  <si>
    <t>S&amp;P 500 member (CapIQ sp500_member)</t>
  </si>
  <si>
    <t>Cohort prior (0.78 large OR S&amp;P 500; 0.70 mid; 0.60 small)</t>
  </si>
  <si>
    <t>b = strict beats in six CapIQ normalized EPS pairs</t>
  </si>
  <si>
    <t>n = valid pairs</t>
  </si>
  <si>
    <t>Pseudo-count (fixed experimental weight)</t>
  </si>
  <si>
    <t>Starting p = (8 x prior + b)/(8 + n)</t>
  </si>
  <si>
    <t>Final P(beat consensus EPS) after quarter-specific evidence</t>
  </si>
  <si>
    <t>Judgment: +$0.03 vs cons.; guide-implied $3.56 below. Rationale: row 120 (note on B118).</t>
  </si>
  <si>
    <t>Confidence (low / medium / high)</t>
  </si>
  <si>
    <t>medium</t>
  </si>
  <si>
    <t>Final P rationale (visible copy of B118 note)</t>
  </si>
  <si>
    <t>Shortcut judgment: starting 87.4% (cohort prior 0.78, 6/6 historical beats, 8 pseudo-counts) lowered to 70% because: (i) the model EPS ($3.71) is only ~$0.03 above the $3.68 frozen consensus, well inside a typical $0.10+ forecast error; (ii) the CFO's 14-Sep-2026 guide that 3Q26 is 'pretty stable' vs 2Q26 was public before the consensus snapshot (+0.6% 30-day revision), so it is not new upside; (iii) guidance-implied 3Q26 EPS ~$3.56 sits below consensus; (iv) a rate-driven bank sell-off (10-yr UST 5.36% on 7-Oct) lowers fixed-income asset values. Historical beats ($0.03-$0.31) argue for some residual upside skew. See artifacts/prior-calibration.json.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</si>
</sst>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_);(#,##0.0);–_)"/>
    <numFmt numFmtId="166" formatCode="$0.00_);($0.00);–_)"/>
    <numFmt numFmtId="167" formatCode="#,##0_);(#,##0);–_)"/>
    <numFmt numFmtId="168" formatCode="yyyy-mm-dd"/>
    <numFmt numFmtId="169" formatCode="0.0%_);(0.0%);–_)"/>
    <numFmt numFmtId="170" formatCode="#,##0.00_);(#,##0.00);–_)"/>
    <numFmt numFmtId="171" formatCode="0"/>
    <numFmt numFmtId="172" formatCode="$#,##0.00_);($#,##0.00);–_)"/>
    <numFmt numFmtId="173" formatCode="0.00x"/>
  </numFmts>
  <fonts count="23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4"/>
      <color rgb="FF000000"/>
      <name val="Arial"/>
    </font>
    <font>
      <b val="0"/>
      <i val="0"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 val="0"/>
      <strike val="0"/>
      <sz val="11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</fills>
  <borders count="3"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</borders>
  <cellStyleXfs count="1">
    <xf numFmtId="0" fontId="0" fillId="0" borderId="0"/>
  </cellStyleXfs>
  <cellXfs count="181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right" vertical="top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2" borderId="1" xfId="0" applyNumberFormat="1" applyFont="1" applyFill="1" applyBorder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lef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top" wrapText="1"/>
      <protection locked="1" hidden="0"/>
    </xf>
    <xf numFmtId="165" fontId="4" fillId="0" borderId="0" xfId="0" applyNumberFormat="1" applyFont="1" applyFill="1" applyAlignment="1" applyProtection="1">
      <alignment horizontal="right" vertical="top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right" vertical="top"/>
      <protection locked="1" hidden="0"/>
    </xf>
    <xf numFmtId="171" fontId="1" fillId="2" borderId="2" xfId="0" applyNumberFormat="1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top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right" vertical="top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general" vertical="center"/>
      <protection locked="1" hidden="0"/>
    </xf>
    <xf numFmtId="166" fontId="1" fillId="0" borderId="0" xfId="0" applyNumberFormat="1" applyFont="1" applyFill="1" applyAlignment="1" applyProtection="1">
      <alignment horizontal="right" vertical="top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69" fontId="7" fillId="0" borderId="0" xfId="0" applyNumberFormat="1" applyFont="1" applyFill="1" applyAlignment="1" applyProtection="1">
      <alignment horizontal="right" vertical="top"/>
      <protection locked="1" hidden="0"/>
    </xf>
    <xf numFmtId="165" fontId="2" fillId="0" borderId="1" xfId="0" applyNumberFormat="1" applyFont="1" applyFill="1" applyBorder="1" applyAlignment="1" applyProtection="1">
      <alignment horizontal="right" vertical="top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1" xfId="0" applyNumberFormat="1" applyFont="1" applyFill="1" applyBorder="1" applyAlignment="1" applyProtection="1">
      <alignment horizontal="right" vertical="top"/>
      <protection locked="1" hidden="0"/>
    </xf>
    <xf numFmtId="169" fontId="7" fillId="0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top"/>
      <protection locked="1" hidden="0"/>
    </xf>
    <xf numFmtId="165" fontId="2" fillId="0" borderId="1" xfId="0" applyNumberFormat="1" applyFont="1" applyFill="1" applyBorder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top"/>
      <protection locked="1" hidden="0"/>
    </xf>
    <xf numFmtId="169" fontId="8" fillId="0" borderId="1" xfId="0" applyNumberFormat="1" applyFont="1" applyFill="1" applyBorder="1" applyAlignment="1" applyProtection="1">
      <alignment horizontal="right" vertical="top"/>
      <protection locked="1" hidden="0"/>
    </xf>
    <xf numFmtId="164" fontId="1" fillId="0" borderId="0" xfId="0" applyNumberFormat="1" applyFont="1" applyFill="1" applyAlignment="1" applyProtection="1">
      <alignment horizontal="right" vertical="top"/>
      <protection locked="1" hidden="0"/>
    </xf>
    <xf numFmtId="0" fontId="2" fillId="2" borderId="1" xfId="0" applyFont="1" applyFill="1" applyBorder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top" wrapText="1"/>
      <protection locked="1" hidden="0"/>
    </xf>
    <xf numFmtId="165" fontId="9" fillId="0" borderId="1" xfId="0" applyNumberFormat="1" applyFont="1" applyFill="1" applyBorder="1" applyAlignment="1" applyProtection="1">
      <alignment horizontal="right" vertical="top"/>
      <protection locked="1" hidden="0"/>
    </xf>
    <xf numFmtId="0" fontId="8" fillId="0" borderId="0" xfId="0" applyFont="1" applyFill="1" applyAlignment="1" applyProtection="1">
      <alignment horizontal="general" vertical="top" wrapText="1"/>
      <protection locked="1" hidden="0"/>
    </xf>
    <xf numFmtId="165" fontId="7" fillId="0" borderId="0" xfId="0" applyNumberFormat="1" applyFont="1" applyFill="1" applyAlignment="1" applyProtection="1">
      <alignment horizontal="right" vertical="bottom"/>
      <protection locked="1" hidden="0"/>
    </xf>
    <xf numFmtId="165" fontId="10" fillId="0" borderId="0" xfId="0" applyNumberFormat="1" applyFont="1" applyFill="1" applyAlignment="1" applyProtection="1">
      <alignment horizontal="right" vertical="top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0" fontId="11" fillId="0" borderId="0" xfId="0" applyFont="1" applyFill="1" applyAlignment="1" applyProtection="1">
      <alignment horizontal="general" vertical="bottom"/>
      <protection locked="1" hidden="0"/>
    </xf>
    <xf numFmtId="165" fontId="9" fillId="0" borderId="1" xfId="0" applyNumberFormat="1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 indent="2"/>
      <protection locked="1" hidden="0"/>
    </xf>
    <xf numFmtId="166" fontId="9" fillId="0" borderId="1" xfId="0" applyNumberFormat="1" applyFont="1" applyFill="1" applyBorder="1" applyAlignment="1" applyProtection="1">
      <alignment horizontal="right" vertical="top"/>
      <protection locked="1" hidden="0"/>
    </xf>
    <xf numFmtId="169" fontId="10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 indent="1"/>
      <protection locked="1" hidden="0"/>
    </xf>
    <xf numFmtId="165" fontId="7" fillId="0" borderId="0" xfId="0" applyNumberFormat="1" applyFont="1" applyFill="1" applyAlignment="1" applyProtection="1">
      <alignment horizontal="right" vertical="top"/>
      <protection locked="1" hidden="0"/>
    </xf>
    <xf numFmtId="169" fontId="3" fillId="3" borderId="0" xfId="0" applyNumberFormat="1" applyFont="1" applyFill="1" applyAlignment="1" applyProtection="1">
      <alignment horizontal="right" vertical="bottom"/>
      <protection locked="1" hidden="0"/>
    </xf>
    <xf numFmtId="165" fontId="10" fillId="3" borderId="0" xfId="0" applyNumberFormat="1" applyFont="1" applyFill="1" applyAlignment="1" applyProtection="1">
      <alignment horizontal="right" vertical="top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165" fontId="2" fillId="3" borderId="1" xfId="0" applyNumberFormat="1" applyFont="1" applyFill="1" applyBorder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right" vertical="top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top"/>
      <protection locked="1" hidden="0"/>
    </xf>
    <xf numFmtId="170" fontId="7" fillId="0" borderId="0" xfId="0" applyNumberFormat="1" applyFont="1" applyFill="1" applyAlignment="1" applyProtection="1">
      <alignment horizontal="right" vertical="bottom"/>
      <protection locked="1" hidden="0"/>
    </xf>
    <xf numFmtId="170" fontId="2" fillId="0" borderId="1" xfId="0" applyNumberFormat="1" applyFont="1" applyFill="1" applyBorder="1" applyAlignment="1" applyProtection="1">
      <alignment horizontal="right" vertical="top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left" vertical="top" wrapText="1"/>
      <protection locked="1" hidden="0"/>
    </xf>
    <xf numFmtId="0" fontId="1" fillId="0" borderId="0" xfId="0" applyFont="1" applyFill="1" applyAlignment="1" applyProtection="1">
      <alignment horizontal="general" vertical="top"/>
      <protection locked="1" hidden="0"/>
    </xf>
    <xf numFmtId="164" fontId="1" fillId="0" borderId="0" xfId="0" applyNumberFormat="1" applyFont="1" applyFill="1" applyAlignment="1" applyProtection="1">
      <alignment horizontal="left" vertical="top"/>
      <protection locked="1" hidden="0"/>
    </xf>
    <xf numFmtId="166" fontId="7" fillId="0" borderId="0" xfId="0" applyNumberFormat="1" applyFont="1" applyFill="1" applyAlignment="1" applyProtection="1">
      <alignment horizontal="right" vertical="top"/>
      <protection locked="1" hidden="0"/>
    </xf>
    <xf numFmtId="170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0" fontId="2" fillId="0" borderId="0" xfId="0" applyFont="1" applyFill="1" applyAlignment="1" applyProtection="1">
      <alignment horizontal="general" vertical="bottom" indent="1"/>
      <protection locked="1" hidden="0"/>
    </xf>
    <xf numFmtId="169" fontId="12" fillId="0" borderId="0" xfId="0" applyNumberFormat="1" applyFont="1" applyFill="1" applyAlignment="1" applyProtection="1">
      <alignment horizontal="right" vertical="bottom"/>
      <protection locked="1" hidden="0"/>
    </xf>
    <xf numFmtId="165" fontId="13" fillId="0" borderId="1" xfId="0" applyNumberFormat="1" applyFont="1" applyFill="1" applyBorder="1" applyAlignment="1" applyProtection="1">
      <alignment horizontal="right" vertical="top"/>
      <protection locked="1" hidden="0"/>
    </xf>
    <xf numFmtId="169" fontId="3" fillId="0" borderId="0" xfId="0" applyNumberFormat="1" applyFont="1" applyFill="1" applyAlignment="1" applyProtection="1">
      <alignment horizontal="right" vertical="top"/>
      <protection locked="1" hidden="0"/>
    </xf>
    <xf numFmtId="0" fontId="3" fillId="0" borderId="0" xfId="0" applyFont="1" applyFill="1" applyAlignment="1" applyProtection="1">
      <alignment horizontal="general" vertical="top" wrapText="1" indent="2"/>
      <protection locked="1" hidden="0"/>
    </xf>
    <xf numFmtId="165" fontId="13" fillId="3" borderId="1" xfId="0" applyNumberFormat="1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top" wrapText="1" indent="1"/>
      <protection locked="1" hidden="0"/>
    </xf>
    <xf numFmtId="165" fontId="13" fillId="3" borderId="1" xfId="0" applyNumberFormat="1" applyFont="1" applyFill="1" applyBorder="1" applyAlignment="1" applyProtection="1">
      <alignment horizontal="right" vertical="top"/>
      <protection locked="1" hidden="0"/>
    </xf>
    <xf numFmtId="166" fontId="3" fillId="0" borderId="0" xfId="0" applyNumberFormat="1" applyFont="1" applyFill="1" applyAlignment="1" applyProtection="1">
      <alignment horizontal="right" vertical="top"/>
      <protection locked="1" hidden="0"/>
    </xf>
    <xf numFmtId="165" fontId="1" fillId="3" borderId="0" xfId="0" applyNumberFormat="1" applyFont="1" applyFill="1" applyAlignment="1" applyProtection="1">
      <alignment horizontal="right" vertical="top"/>
      <protection locked="1" hidden="0"/>
    </xf>
    <xf numFmtId="169" fontId="3" fillId="3" borderId="0" xfId="0" applyNumberFormat="1" applyFont="1" applyFill="1" applyAlignment="1" applyProtection="1">
      <alignment horizontal="right" vertical="top"/>
      <protection locked="1" hidden="0"/>
    </xf>
    <xf numFmtId="165" fontId="13" fillId="0" borderId="1" xfId="0" applyNumberFormat="1" applyFont="1" applyFill="1" applyBorder="1" applyAlignment="1" applyProtection="1">
      <alignment horizontal="right" vertical="bottom"/>
      <protection locked="1" hidden="0"/>
    </xf>
    <xf numFmtId="166" fontId="2" fillId="0" borderId="1" xfId="0" applyNumberFormat="1" applyFont="1" applyFill="1" applyBorder="1" applyAlignment="1" applyProtection="1">
      <alignment horizontal="right" vertical="bottom"/>
      <protection locked="1" hidden="0"/>
    </xf>
    <xf numFmtId="170" fontId="4" fillId="0" borderId="0" xfId="0" applyNumberFormat="1" applyFont="1" applyFill="1" applyAlignment="1" applyProtection="1">
      <alignment horizontal="right" vertical="top"/>
      <protection locked="1" hidden="0"/>
    </xf>
    <xf numFmtId="165" fontId="2" fillId="3" borderId="1" xfId="0" applyNumberFormat="1" applyFont="1" applyFill="1" applyBorder="1" applyAlignment="1" applyProtection="1">
      <alignment horizontal="right" vertical="top"/>
      <protection locked="1" hidden="0"/>
    </xf>
    <xf numFmtId="169" fontId="12" fillId="3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top"/>
      <protection locked="1" hidden="0"/>
    </xf>
    <xf numFmtId="0" fontId="1" fillId="0" borderId="0" xfId="0" applyFont="1" applyFill="1" applyAlignment="1" applyProtection="1">
      <alignment horizontal="general" vertical="top" wrapText="1" indent="2"/>
      <protection locked="1" hidden="0"/>
    </xf>
    <xf numFmtId="0" fontId="1" fillId="0" borderId="0" xfId="0" applyFont="1" applyFill="1" applyAlignment="1" applyProtection="1">
      <alignment horizontal="general" vertical="bottom" indent="3"/>
      <protection locked="1" hidden="0"/>
    </xf>
    <xf numFmtId="165" fontId="7" fillId="3" borderId="0" xfId="0" applyNumberFormat="1" applyFont="1" applyFill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left" vertical="bottom"/>
      <protection locked="1" hidden="0"/>
    </xf>
    <xf numFmtId="172" fontId="1" fillId="0" borderId="0" xfId="0" applyNumberFormat="1" applyFont="1" applyFill="1" applyAlignment="1" applyProtection="1">
      <alignment horizontal="right" vertical="top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65" fontId="4" fillId="3" borderId="0" xfId="0" applyNumberFormat="1" applyFont="1" applyFill="1" applyAlignment="1" applyProtection="1">
      <alignment horizontal="right" vertical="top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69" fontId="12" fillId="3" borderId="0" xfId="0" applyNumberFormat="1" applyFont="1" applyFill="1" applyAlignment="1" applyProtection="1">
      <alignment horizontal="right" vertical="top"/>
      <protection locked="1" hidden="0"/>
    </xf>
    <xf numFmtId="167" fontId="3" fillId="3" borderId="0" xfId="0" applyNumberFormat="1" applyFont="1" applyFill="1" applyAlignment="1" applyProtection="1">
      <alignment horizontal="right" vertical="top"/>
      <protection locked="1" hidden="0"/>
    </xf>
    <xf numFmtId="166" fontId="2" fillId="3" borderId="1" xfId="0" applyNumberFormat="1" applyFont="1" applyFill="1" applyBorder="1" applyAlignment="1" applyProtection="1">
      <alignment horizontal="right" vertical="top"/>
      <protection locked="1" hidden="0"/>
    </xf>
    <xf numFmtId="167" fontId="3" fillId="0" borderId="0" xfId="0" applyNumberFormat="1" applyFont="1" applyFill="1" applyAlignment="1" applyProtection="1">
      <alignment horizontal="right" vertical="top"/>
      <protection locked="1" hidden="0"/>
    </xf>
    <xf numFmtId="166" fontId="7" fillId="0" borderId="0" xfId="0" applyNumberFormat="1" applyFont="1" applyFill="1" applyAlignment="1" applyProtection="1">
      <alignment horizontal="left" vertical="bottom"/>
      <protection locked="1" hidden="0"/>
    </xf>
    <xf numFmtId="168" fontId="7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top" wrapText="1" indent="2"/>
      <protection locked="1" hidden="0"/>
    </xf>
    <xf numFmtId="165" fontId="7" fillId="0" borderId="0" xfId="0" applyNumberFormat="1" applyFont="1" applyFill="1" applyAlignment="1" applyProtection="1">
      <alignment horizontal="left" vertical="bottom"/>
      <protection locked="1" hidden="0"/>
    </xf>
    <xf numFmtId="166" fontId="7" fillId="0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top"/>
      <protection locked="1" hidden="0"/>
    </xf>
    <xf numFmtId="0" fontId="3" fillId="0" borderId="0" xfId="0" applyFont="1" applyFill="1" applyAlignment="1" applyProtection="1">
      <alignment horizontal="general" vertical="top" wrapText="1" indent="1"/>
      <protection locked="1" hidden="0"/>
    </xf>
    <xf numFmtId="168" fontId="7" fillId="0" borderId="0" xfId="0" applyNumberFormat="1" applyFont="1" applyFill="1" applyAlignment="1" applyProtection="1">
      <alignment horizontal="left" vertical="bottom"/>
      <protection locked="1" hidden="0"/>
    </xf>
    <xf numFmtId="172" fontId="7" fillId="0" borderId="0" xfId="0" applyNumberFormat="1" applyFont="1" applyFill="1" applyAlignment="1" applyProtection="1">
      <alignment horizontal="right" vertical="bottom"/>
      <protection locked="1" hidden="0"/>
    </xf>
    <xf numFmtId="170" fontId="2" fillId="3" borderId="1" xfId="0" applyNumberFormat="1" applyFont="1" applyFill="1" applyBorder="1" applyAlignment="1" applyProtection="1">
      <alignment horizontal="right" vertical="bottom"/>
      <protection locked="1" hidden="0"/>
    </xf>
    <xf numFmtId="170" fontId="13" fillId="0" borderId="1" xfId="0" applyNumberFormat="1" applyFont="1" applyFill="1" applyBorder="1" applyAlignment="1" applyProtection="1">
      <alignment horizontal="right" vertical="bottom"/>
      <protection locked="1" hidden="0"/>
    </xf>
    <xf numFmtId="169" fontId="10" fillId="0" borderId="0" xfId="0" applyNumberFormat="1" applyFont="1" applyFill="1" applyAlignment="1" applyProtection="1">
      <alignment horizontal="right" vertical="top"/>
      <protection locked="1" hidden="0"/>
    </xf>
    <xf numFmtId="172" fontId="7" fillId="3" borderId="0" xfId="0" applyNumberFormat="1" applyFont="1" applyFill="1" applyAlignment="1" applyProtection="1">
      <alignment horizontal="right" vertical="bottom"/>
      <protection locked="1" hidden="0"/>
    </xf>
    <xf numFmtId="169" fontId="12" fillId="0" borderId="0" xfId="0" applyNumberFormat="1" applyFont="1" applyFill="1" applyAlignment="1" applyProtection="1">
      <alignment horizontal="right" vertical="top"/>
      <protection locked="1" hidden="0"/>
    </xf>
    <xf numFmtId="170" fontId="7" fillId="3" borderId="0" xfId="0" applyNumberFormat="1" applyFont="1" applyFill="1" applyAlignment="1" applyProtection="1">
      <alignment horizontal="right" vertical="top"/>
      <protection locked="1" hidden="0"/>
    </xf>
    <xf numFmtId="170" fontId="2" fillId="3" borderId="1" xfId="0" applyNumberFormat="1" applyFont="1" applyFill="1" applyBorder="1" applyAlignment="1" applyProtection="1">
      <alignment horizontal="right" vertical="top"/>
      <protection locked="1" hidden="0"/>
    </xf>
    <xf numFmtId="166" fontId="7" fillId="3" borderId="0" xfId="0" applyNumberFormat="1" applyFont="1" applyFill="1" applyAlignment="1" applyProtection="1">
      <alignment horizontal="right" vertical="top"/>
      <protection locked="1" hidden="0"/>
    </xf>
    <xf numFmtId="169" fontId="10" fillId="3" borderId="0" xfId="0" applyNumberFormat="1" applyFont="1" applyFill="1" applyAlignment="1" applyProtection="1">
      <alignment horizontal="right" vertical="top"/>
      <protection locked="1" hidden="0"/>
    </xf>
    <xf numFmtId="164" fontId="9" fillId="0" borderId="0" xfId="0" applyNumberFormat="1" applyFont="1" applyFill="1" applyAlignment="1" applyProtection="1">
      <alignment horizontal="right" vertical="bottom"/>
      <protection locked="1" hidden="0"/>
    </xf>
    <xf numFmtId="170" fontId="2" fillId="0" borderId="1" xfId="0" applyNumberFormat="1" applyFont="1" applyFill="1" applyBorder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right" vertical="top"/>
      <protection locked="1" hidden="0"/>
    </xf>
    <xf numFmtId="166" fontId="3" fillId="3" borderId="0" xfId="0" applyNumberFormat="1" applyFont="1" applyFill="1" applyAlignment="1" applyProtection="1">
      <alignment horizontal="right" vertical="top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5" fontId="7" fillId="3" borderId="0" xfId="0" applyNumberFormat="1" applyFont="1" applyFill="1" applyAlignment="1" applyProtection="1">
      <alignment horizontal="right" vertical="top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69" fontId="10" fillId="0" borderId="0" xfId="0" applyNumberFormat="1" applyFont="1" applyFill="1" applyAlignment="1" applyProtection="1">
      <alignment horizontal="right" vertical="bottom"/>
      <protection locked="1" hidden="0"/>
    </xf>
    <xf numFmtId="170" fontId="4" fillId="3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left" vertical="bottom"/>
      <protection locked="1" hidden="0"/>
    </xf>
    <xf numFmtId="170" fontId="4" fillId="3" borderId="0" xfId="0" applyNumberFormat="1" applyFont="1" applyFill="1" applyAlignment="1" applyProtection="1">
      <alignment horizontal="right" vertical="top"/>
      <protection locked="1" hidden="0"/>
    </xf>
    <xf numFmtId="165" fontId="9" fillId="3" borderId="1" xfId="0" applyNumberFormat="1" applyFont="1" applyFill="1" applyBorder="1" applyAlignment="1" applyProtection="1">
      <alignment horizontal="right" vertical="bottom"/>
      <protection locked="1" hidden="0"/>
    </xf>
    <xf numFmtId="166" fontId="2" fillId="3" borderId="1" xfId="0" applyNumberFormat="1" applyFont="1" applyFill="1" applyBorder="1" applyAlignment="1" applyProtection="1">
      <alignment horizontal="right" vertical="bottom"/>
      <protection locked="1" hidden="0"/>
    </xf>
    <xf numFmtId="170" fontId="7" fillId="3" borderId="0" xfId="0" applyNumberFormat="1" applyFont="1" applyFill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166" fontId="4" fillId="3" borderId="0" xfId="0" applyNumberFormat="1" applyFont="1" applyFill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top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70" fontId="7" fillId="0" borderId="0" xfId="0" applyNumberFormat="1" applyFont="1" applyFill="1" applyAlignment="1" applyProtection="1">
      <alignment horizontal="right" vertical="top"/>
      <protection locked="1" hidden="0"/>
    </xf>
    <xf numFmtId="173" fontId="3" fillId="0" borderId="0" xfId="0" applyNumberFormat="1" applyFont="1" applyFill="1" applyAlignment="1" applyProtection="1">
      <alignment horizontal="right" vertical="top"/>
      <protection locked="1" hidden="0"/>
    </xf>
    <xf numFmtId="167" fontId="3" fillId="0" borderId="0" xfId="0" applyNumberFormat="1" applyFont="1" applyFill="1" applyAlignment="1" applyProtection="1">
      <alignment horizontal="right" vertical="bottom"/>
      <protection locked="1" hidden="0"/>
    </xf>
    <xf numFmtId="167" fontId="12" fillId="0" borderId="0" xfId="0" applyNumberFormat="1" applyFont="1" applyFill="1" applyAlignment="1" applyProtection="1">
      <alignment horizontal="right" vertical="top"/>
      <protection locked="1" hidden="0"/>
    </xf>
    <xf numFmtId="167" fontId="12" fillId="0" borderId="0" xfId="0" applyNumberFormat="1" applyFont="1" applyFill="1" applyAlignment="1" applyProtection="1">
      <alignment horizontal="right" vertical="bottom"/>
      <protection locked="1" hidden="0"/>
    </xf>
    <xf numFmtId="173" fontId="1" fillId="3" borderId="0" xfId="0" applyNumberFormat="1" applyFont="1" applyFill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67" fontId="3" fillId="3" borderId="0" xfId="0" applyNumberFormat="1" applyFont="1" applyFill="1" applyAlignment="1" applyProtection="1">
      <alignment horizontal="right" vertical="bottom"/>
      <protection locked="1" hidden="0"/>
    </xf>
    <xf numFmtId="165" fontId="9" fillId="3" borderId="1" xfId="0" applyNumberFormat="1" applyFont="1" applyFill="1" applyBorder="1" applyAlignment="1" applyProtection="1">
      <alignment horizontal="right" vertical="top"/>
      <protection locked="1" hidden="0"/>
    </xf>
    <xf numFmtId="167" fontId="12" fillId="3" borderId="0" xfId="0" applyNumberFormat="1" applyFont="1" applyFill="1" applyAlignment="1" applyProtection="1">
      <alignment horizontal="right" vertical="top"/>
      <protection locked="1" hidden="0"/>
    </xf>
    <xf numFmtId="167" fontId="12" fillId="3" borderId="0" xfId="0" applyNumberFormat="1" applyFont="1" applyFill="1" applyAlignment="1" applyProtection="1">
      <alignment horizontal="right" vertical="bottom"/>
      <protection locked="1" hidden="0"/>
    </xf>
    <xf numFmtId="173" fontId="12" fillId="3" borderId="0" xfId="0" applyNumberFormat="1" applyFont="1" applyFill="1" applyAlignment="1" applyProtection="1">
      <alignment horizontal="right" vertical="top"/>
      <protection locked="1" hidden="0"/>
    </xf>
    <xf numFmtId="164" fontId="14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4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17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4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4" fontId="17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1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9" fillId="0" borderId="0" xfId="0" applyFont="1" applyFill="1" applyAlignment="1" applyProtection="1">
      <alignment horizontal="general" vertical="bottom"/>
      <protection locked="1" hidden="0"/>
    </xf>
    <xf numFmtId="164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0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4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9" fillId="0" borderId="0" xfId="0" applyFont="1" applyFill="1" applyAlignment="1" applyProtection="1">
      <alignment horizontal="general" vertical="bottom" wrapText="1"/>
      <protection locked="1" hidden="0"/>
    </xf>
    <xf numFmtId="164" fontId="20" fillId="0" borderId="0" xfId="0" applyNumberFormat="1" applyFont="1" applyFill="1" applyAlignment="1" applyProtection="1">
      <alignment horizontal="left" vertical="top" textRotation="0" wrapText="1" indent="1" readingOrder="0"/>
      <protection locked="1" hidden="0"/>
    </xf>
    <xf numFmtId="164" fontId="20" fillId="0" borderId="0" xfId="0" applyNumberFormat="1" applyFont="1" applyFill="1" applyAlignment="1" applyProtection="1">
      <alignment horizontal="left" vertical="top" textRotation="0" indent="1" readingOrder="0"/>
      <protection locked="1" hidden="0"/>
    </xf>
    <xf numFmtId="164" fontId="21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64" fontId="19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4" fontId="22" fillId="0" borderId="0" xfId="0" applyNumberFormat="1" applyFont="1" applyFill="1" applyAlignment="1" applyProtection="1">
      <alignment horizontal="left" vertical="top" wrapText="1"/>
      <protection locked="1" hidden="0"/>
    </xf>
    <xf numFmtId="164" fontId="22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22" fillId="0" borderId="0" xfId="0" applyNumberFormat="1" applyFont="1" applyFill="1" applyAlignment="1" applyProtection="1">
      <alignment horizontal="left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44"/>
  <sheetViews>
    <sheetView showGridLines="0" tabSelected="1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1" ht="51">
      <c r="C1" s="29" t="s">
        <v>0</v>
      </c>
    </row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0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 t="s">
        <v>14</v>
      </c>
      <c r="C8" s="2"/>
      <c r="D8" s="2"/>
      <c r="E8" s="2"/>
      <c r="F8" s="2"/>
      <c r="G8" s="2"/>
      <c r="H8" s="2"/>
      <c r="I8" s="2"/>
      <c r="J8" s="2"/>
    </row>
    <row r="9">
      <c r="B9" s="19" t="s">
        <v>15</v>
      </c>
      <c r="C9" s="2"/>
      <c r="D9" s="2"/>
      <c r="E9" s="2"/>
      <c r="F9" s="2"/>
      <c r="G9" s="2"/>
      <c r="H9" s="2"/>
      <c r="I9" s="2"/>
      <c r="J9" s="2"/>
    </row>
    <row r="10">
      <c r="B10" s="2" t="s">
        <v>16</v>
      </c>
      <c r="C10" s="11" t="s">
        <v>17</v>
      </c>
      <c r="D10" s="1"/>
      <c r="E10" s="1"/>
      <c r="F10" s="1"/>
      <c r="G10" s="1"/>
      <c r="H10" s="1"/>
      <c r="I10" s="1"/>
      <c r="J10" s="1"/>
    </row>
    <row r="11">
      <c r="B11" s="2" t="s">
        <v>18</v>
      </c>
      <c r="C11" s="11" t="s">
        <v>19</v>
      </c>
      <c r="D11" s="1"/>
      <c r="E11" s="1"/>
      <c r="F11" s="1"/>
      <c r="G11" s="1"/>
      <c r="H11" s="1"/>
      <c r="I11" s="1"/>
      <c r="J11" s="1"/>
    </row>
    <row r="12">
      <c r="B12" s="2" t="s">
        <v>20</v>
      </c>
      <c r="C12" s="11" t="s">
        <v>21</v>
      </c>
      <c r="D12" s="1"/>
      <c r="E12" s="1"/>
      <c r="F12" s="1"/>
      <c r="G12" s="1"/>
      <c r="H12" s="1"/>
      <c r="I12" s="1"/>
      <c r="J12" s="1"/>
    </row>
    <row r="13">
      <c r="B13" s="2" t="s">
        <v>22</v>
      </c>
      <c r="C13" s="11" t="s">
        <v>23</v>
      </c>
      <c r="D13" s="1"/>
      <c r="E13" s="1"/>
      <c r="F13" s="1"/>
      <c r="G13" s="1"/>
      <c r="H13" s="1"/>
      <c r="I13" s="1"/>
      <c r="J13" s="1"/>
    </row>
    <row r="14">
      <c r="B14" s="2" t="s">
        <v>24</v>
      </c>
      <c r="C14" s="11" t="s">
        <v>25</v>
      </c>
      <c r="D14" s="1"/>
      <c r="E14" s="1"/>
      <c r="F14" s="1"/>
      <c r="G14" s="1"/>
      <c r="H14" s="1"/>
      <c r="I14" s="1"/>
      <c r="J14" s="1"/>
    </row>
    <row r="15">
      <c r="B15" s="2" t="s">
        <v>26</v>
      </c>
      <c r="C15" s="11" t="s">
        <v>27</v>
      </c>
      <c r="D15" s="1"/>
      <c r="E15" s="1"/>
      <c r="F15" s="1"/>
      <c r="G15" s="1"/>
      <c r="H15" s="1"/>
      <c r="I15" s="1"/>
      <c r="J15" s="1"/>
    </row>
    <row r="16">
      <c r="B16" s="2" t="s">
        <v>28</v>
      </c>
      <c r="C16" s="11" t="s">
        <v>29</v>
      </c>
      <c r="D16" s="1"/>
      <c r="E16" s="1"/>
      <c r="F16" s="1"/>
      <c r="G16" s="1"/>
      <c r="H16" s="1"/>
      <c r="I16" s="1"/>
      <c r="J16" s="1"/>
    </row>
    <row r="17">
      <c r="B17" s="2" t="s">
        <v>30</v>
      </c>
      <c r="C17" s="11" t="s">
        <v>31</v>
      </c>
      <c r="D17" s="1"/>
      <c r="E17" s="1"/>
      <c r="F17" s="1"/>
      <c r="G17" s="1"/>
      <c r="H17" s="1"/>
      <c r="I17" s="1"/>
      <c r="J17" s="1"/>
    </row>
    <row r="18">
      <c r="B18" s="2" t="s">
        <v>32</v>
      </c>
      <c r="C18" s="11" t="s">
        <v>33</v>
      </c>
      <c r="D18" s="1"/>
      <c r="E18" s="1"/>
      <c r="F18" s="1"/>
      <c r="G18" s="1"/>
      <c r="H18" s="1"/>
      <c r="I18" s="1"/>
      <c r="J18" s="1"/>
    </row>
    <row r="19">
      <c r="B19" s="2" t="s">
        <v>34</v>
      </c>
      <c r="C19" s="11" t="s">
        <v>35</v>
      </c>
      <c r="D19" s="1"/>
      <c r="E19" s="1"/>
      <c r="F19" s="1"/>
      <c r="G19" s="1"/>
      <c r="H19" s="1"/>
      <c r="I19" s="1"/>
      <c r="J19" s="1"/>
    </row>
    <row r="20">
      <c r="B20" s="2"/>
      <c r="C20" s="2"/>
      <c r="D20" s="2"/>
      <c r="E20" s="2"/>
      <c r="F20" s="2"/>
      <c r="G20" s="2"/>
      <c r="H20" s="2"/>
      <c r="I20" s="2"/>
      <c r="J20" s="2"/>
    </row>
    <row r="21">
      <c r="B21" s="19" t="s">
        <v>36</v>
      </c>
      <c r="C21" s="2"/>
      <c r="D21" s="2"/>
      <c r="E21" s="2"/>
      <c r="F21" s="2"/>
      <c r="G21" s="2"/>
      <c r="H21" s="2"/>
      <c r="I21" s="2"/>
      <c r="J21" s="2"/>
    </row>
    <row r="22">
      <c r="B22" s="19"/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42</v>
      </c>
      <c r="I22" s="4" t="s">
        <v>43</v>
      </c>
      <c r="J22" s="4"/>
    </row>
    <row r="23">
      <c r="B23" s="2" t="s">
        <v>44</v>
      </c>
      <c r="C23" s="12">
        <f>'Income Statement'!J27</f>
        <v>4071.730282739726</v>
      </c>
      <c r="D23" s="12">
        <f>Inputs!C53</f>
        <v>4041.38</v>
      </c>
      <c r="E23" s="3">
        <f>C23-D23</f>
        <v>30.350282739726026</v>
      </c>
      <c r="F23" s="15">
        <f>C23/D23-1</f>
        <v>0.007509880966334759</v>
      </c>
      <c r="G23" s="12">
        <f>Guidance!J45</f>
        <v>4019.8675000000003</v>
      </c>
      <c r="H23" s="3">
        <f>C23-G23</f>
        <v>51.862782739725844</v>
      </c>
      <c r="I23" s="130">
        <f>Inputs!C58</f>
        <v>8</v>
      </c>
      <c r="J23" s="3"/>
    </row>
    <row r="24">
      <c r="B24" s="2" t="s">
        <v>45</v>
      </c>
      <c r="C24" s="12">
        <f>'Income Statement'!J113</f>
        <v>1031.305898819726</v>
      </c>
      <c r="D24" s="12">
        <f>Inputs!C66</f>
        <v>1013.18</v>
      </c>
      <c r="E24" s="3" t="s">
        <v>46</v>
      </c>
      <c r="F24" s="15" t="s">
        <v>46</v>
      </c>
      <c r="G24" s="12">
        <f>Guidance!J52</f>
        <v>991.3090000000002</v>
      </c>
      <c r="H24" s="3">
        <f>C24-G24</f>
        <v>39.99689881972586</v>
      </c>
      <c r="I24" s="31" t="s">
        <v>47</v>
      </c>
      <c r="J24" s="3"/>
    </row>
    <row r="25" ht="24">
      <c r="B25" s="6" t="s">
        <v>48</v>
      </c>
      <c r="C25" s="27">
        <f>'Income Statement'!J115</f>
        <v>3.7065751299033636</v>
      </c>
      <c r="D25" s="27">
        <f>Inputs!C37</f>
        <v>3.68</v>
      </c>
      <c r="E25" s="30">
        <f>C25-D25</f>
        <v>0.026575129903363415</v>
      </c>
      <c r="F25" s="37">
        <f>C25/D25-1</f>
        <v>0.00722150269113131</v>
      </c>
      <c r="G25" s="27">
        <f>Guidance!J53</f>
        <v>3.5628238815025517</v>
      </c>
      <c r="H25" s="30">
        <f>C25-G25</f>
        <v>0.14375124840081188</v>
      </c>
      <c r="I25" s="23">
        <f>Inputs!C42</f>
        <v>13</v>
      </c>
      <c r="J25" s="30"/>
    </row>
    <row r="26">
      <c r="B26" s="2" t="s">
        <v>49</v>
      </c>
      <c r="C26" s="16">
        <f>'Income Statement'!J91</f>
        <v>3.7065751299033636</v>
      </c>
      <c r="D26" s="16">
        <f>Inputs!C46</f>
        <v>3.65</v>
      </c>
      <c r="E26" s="7">
        <f>C26-D26</f>
        <v>0.05657512990336366</v>
      </c>
      <c r="F26" s="15">
        <f>C26/D26-1</f>
        <v>0.015500035589962602</v>
      </c>
      <c r="G26" s="7" t="s">
        <v>46</v>
      </c>
      <c r="H26" s="7" t="s">
        <v>46</v>
      </c>
      <c r="I26" s="130">
        <f>Inputs!C51</f>
        <v>10</v>
      </c>
      <c r="J26" s="7"/>
    </row>
    <row r="27">
      <c r="B27" s="13" t="s">
        <v>50</v>
      </c>
      <c r="C27" s="131">
        <f>Inputs!C118</f>
        <v>0.7</v>
      </c>
      <c r="D27" s="26"/>
      <c r="E27" s="26"/>
      <c r="F27" s="26"/>
      <c r="G27" s="26"/>
      <c r="H27" s="26"/>
      <c r="I27" s="26"/>
      <c r="J27" s="26"/>
    </row>
    <row r="28">
      <c r="B28" s="2" t="s">
        <v>51</v>
      </c>
      <c r="C28" s="128" t="str">
        <f>Inputs!C119</f>
        <v>medium</v>
      </c>
      <c r="D28" s="1"/>
      <c r="E28" s="1"/>
      <c r="F28" s="1"/>
      <c r="G28" s="1"/>
      <c r="H28" s="1"/>
      <c r="I28" s="1"/>
      <c r="J28" s="1"/>
    </row>
    <row r="29" ht="24">
      <c r="B29" s="157" t="s">
        <v>52</v>
      </c>
      <c r="C29" s="156" t="str">
        <f>IF((SUMIF('Revenue summary'!C67:J67,"&gt;0")-SUMIF('Revenue summary'!C67:J67,"&lt;0")+IF(COUNTA('Revenue summary'!C67:J67)=COUNT('Revenue summary'!C67:J67),0,NA()))+(SUMIF('Revenue summary'!C155:J155,"&gt;0")-SUMIF('Revenue summary'!C155:J155,"&lt;0")+IF(COUNTA('Revenue summary'!C155:J155)=COUNT('Revenue summary'!C155:J155),0,NA()))+(SUMIF('Segment - Investment Servicing'!C41:J41,"&gt;0")-SUMIF('Segment - Investment Servicing'!C41:J41,"&lt;0")+IF(COUNTA('Segment - Investment Servicing'!C41:J41)=COUNT('Segment - Investment Servicing'!C41:J41),0,NA()))+(SUMIF('Segment - Investment Servicing'!C56:J56,"&gt;0")-SUMIF('Segment - Investment Servicing'!C56:J56,"&lt;0")+IF(COUNTA('Segment - Investment Servicing'!C56:J56)=COUNT('Segment - Investment Servicing'!C56:J56),0,NA()))+(SUMIF('Segment - Investment Servicing'!C267:J267,"&gt;0")-SUMIF('Segment - Investment Servicing'!C267:J267,"&lt;0")+IF(COUNTA('Segment - Investment Servicing'!C267:J267)=COUNT('Segment - Investment Servicing'!C267:J267),0,NA()))+(SUMIF('Segment - Investment Management'!C47:I47,"&gt;0")-SUMIF('Segment - Investment Management'!C47:I47,"&lt;0")+IF(COUNTA('Segment - Investment Management'!C47:I47)=COUNT('Segment - Investment Management'!C47:I47),0,NA()))+(SUMIF('Segment - Investment Management'!C68:J68,"&gt;0")-SUMIF('Segment - Investment Management'!C68:J68,"&lt;0")+IF(COUNTA('Segment - Investment Management'!C68:J68)=COUNT('Segment - Investment Management'!C68:J68),0,NA()))+(SUMIF('Segment - Investment Management'!C80:J80,"&gt;0")-SUMIF('Segment - Investment Management'!C80:J80,"&lt;0")+IF(COUNTA('Segment - Investment Management'!C80:J80)=COUNT('Segment - Investment Management'!C80:J80),0,NA()))+(SUMIF('Segment - Investment Management'!C95:J95,"&gt;0")-SUMIF('Segment - Investment Management'!C95:J95,"&lt;0")+IF(COUNTA('Segment - Investment Management'!C95:J95)=COUNT('Segment - Investment Management'!C95:J95),0,NA()))+(SUMIF('Income Statement'!C25:J25,"&gt;0")-SUMIF('Income Statement'!C25:J25,"&lt;0")+IF(COUNTA('Income Statement'!C25:J25)=COUNT('Income Statement'!C25:J25),0,NA()))+(SUMIF('Income Statement'!C63:J63,"&gt;0")-SUMIF('Income Statement'!C63:J63,"&lt;0")+IF(COUNTA('Income Statement'!C63:J63)=COUNT('Income Statement'!C63:J63),0,NA()))+(SUMIF('Income Statement'!C93:J93,"&gt;0")-SUMIF('Income Statement'!C93:J93,"&lt;0")+IF(COUNTA('Income Statement'!C93:J93)=COUNT('Income Statement'!C93:J93),0,NA()))+(SUMIF('Income Statement'!C127:I127,"&gt;0")-SUMIF('Income Statement'!C127:I127,"&lt;0")+IF(COUNTA('Income Statement'!C127:I127)=COUNT('Income Statement'!C127:I127),0,NA()))+(SUMIF('Balance Sheet'!C53:J53,"&gt;0")-SUMIF('Balance Sheet'!C53:J53,"&lt;0")+IF(COUNTA('Balance Sheet'!C53:J53)=COUNT('Balance Sheet'!C53:J53),0,NA()))+(SUMIF('Cash Flow Statement'!C55:J55,"&gt;0")-SUMIF('Cash Flow Statement'!C55:J55,"&lt;0")+IF(COUNTA('Cash Flow Statement'!C55:J55)=COUNT('Cash Flow Statement'!C55:J55),0,NA()))+(SUMIF('Cash Flow Statement'!C56:J56,"&gt;0")-SUMIF('Cash Flow Statement'!C56:J56,"&lt;0")+IF(COUNTA('Cash Flow Statement'!C56:J56)=COUNT('Cash Flow Statement'!C56:J56),0,NA()))+(SUMIF('Cash Flow Statement'!C57:J57,"&gt;0")-SUMIF('Cash Flow Statement'!C57:J57,"&lt;0")+IF(COUNTA('Cash Flow Statement'!C57:J57)=COUNT('Cash Flow Statement'!C57:J57),0,NA()))+(SUMIF('Cash Flow Statement'!C104:I104,"&gt;0")-SUMIF('Cash Flow Statement'!C104:I104,"&lt;0")+IF(COUNTA('Cash Flow Statement'!C104:I104)=COUNT('Cash Flow Statement'!C104:I104),0,NA()))+(SUMIF('Cash Flow Statement'!C105:I105,"&gt;0")-SUMIF('Cash Flow Statement'!C105:I105,"&lt;0")+IF(COUNTA('Cash Flow Statement'!C105:I105)=COUNT('Cash Flow Statement'!C105:I105),0,NA()))+(SUMIF('Cash Flow Statement'!C106:I106,"&gt;0")-SUMIF('Cash Flow Statement'!C106:I106,"&lt;0")+IF(COUNTA('Cash Flow Statement'!C106:I106)=COUNT('Cash Flow Statement'!C106:I106),0,NA()))+(SUMIF(Geo!G13:G13,"&gt;0")-SUMIF(Geo!G13:G13,"&lt;0")+IF(COUNTA(Geo!G13:G13)=COUNT(Geo!G13:G13),0,NA()))+(SUMIF(Geo!G19:G19,"&gt;0")-SUMIF(Geo!G19:G19,"&lt;0")+IF(COUNTA(Geo!G19:G19)=COUNT(Geo!G19:G19),0,NA()))+(SUMIF(Geo!C35:J35,"&gt;0")-SUMIF(Geo!C35:J35,"&lt;0")+IF(COUNTA(Geo!C35:J35)=COUNT(Geo!C35:J35),0,NA()))+(SUMIF(Geo!C51:J51,"&gt;0")-SUMIF(Geo!C51:J51,"&lt;0")+IF(COUNTA(Geo!C51:J51)=COUNT(Geo!C51:J51),0,NA()))+(SUMIF(Geo!C63:I63,"&gt;0")-SUMIF(Geo!C63:I63,"&lt;0")+IF(COUNTA(Geo!C63:I63)=COUNT(Geo!C63:I63),0,NA()))+ABS(C30)&lt;0.001,"PASS","FAIL")</f>
        <v>PASS</v>
      </c>
      <c r="D29" s="4"/>
      <c r="E29" s="4"/>
      <c r="F29" s="4"/>
      <c r="G29" s="4"/>
      <c r="H29" s="4"/>
      <c r="I29" s="4"/>
      <c r="J29" s="4"/>
    </row>
    <row r="30" ht="24">
      <c r="B30" s="17" t="s">
        <v>53</v>
      </c>
      <c r="C30" s="47">
        <f>(C23-'Income Statement'!J27)+(C24-'Income Statement'!J113)+(C25-'Income Statement'!J115)+(C26-'Income Statement'!J91)</f>
        <v>0</v>
      </c>
      <c r="D30" s="5"/>
      <c r="E30" s="5"/>
      <c r="F30" s="5"/>
      <c r="G30" s="5"/>
      <c r="H30" s="5"/>
      <c r="I30" s="5"/>
      <c r="J30" s="5"/>
    </row>
    <row r="31" ht="69">
      <c r="B31" s="155" t="s">
        <v>54</v>
      </c>
      <c r="C31" s="22"/>
      <c r="D31" s="22"/>
      <c r="E31" s="22"/>
      <c r="F31" s="22"/>
      <c r="G31" s="22"/>
      <c r="H31" s="22"/>
      <c r="I31" s="22"/>
      <c r="J31" s="22"/>
    </row>
    <row r="32">
      <c r="B32" s="2"/>
      <c r="C32" s="2"/>
      <c r="D32" s="2"/>
      <c r="E32" s="2"/>
      <c r="F32" s="2"/>
      <c r="G32" s="2"/>
      <c r="H32" s="2"/>
      <c r="I32" s="2"/>
      <c r="J32" s="2"/>
    </row>
    <row r="33">
      <c r="B33" s="19" t="s">
        <v>55</v>
      </c>
      <c r="C33" s="2"/>
      <c r="D33" s="2"/>
      <c r="E33" s="2"/>
      <c r="F33" s="2"/>
      <c r="G33" s="2"/>
      <c r="H33" s="2"/>
      <c r="I33" s="2"/>
      <c r="J33" s="2"/>
    </row>
    <row r="34">
      <c r="B34" s="2" t="s">
        <v>56</v>
      </c>
      <c r="C34" s="12">
        <f>'Segment - Investment Servicing'!J24</f>
        <v>58247.29</v>
      </c>
      <c r="D34" s="3"/>
      <c r="E34" s="3"/>
      <c r="F34" s="3"/>
      <c r="G34" s="3"/>
      <c r="H34" s="3"/>
      <c r="I34" s="3"/>
      <c r="J34" s="3"/>
    </row>
    <row r="35">
      <c r="B35" s="2" t="s">
        <v>57</v>
      </c>
      <c r="C35" s="12">
        <f>'Segment - Investment Servicing'!J79</f>
        <v>1512.195397369863</v>
      </c>
      <c r="D35" s="3"/>
      <c r="E35" s="3"/>
      <c r="F35" s="3"/>
      <c r="G35" s="3"/>
      <c r="H35" s="3"/>
      <c r="I35" s="3"/>
      <c r="J35" s="3"/>
    </row>
    <row r="36">
      <c r="B36" s="2" t="s">
        <v>58</v>
      </c>
      <c r="C36" s="12">
        <f>'Segment - Investment Management'!J48</f>
        <v>6329.973</v>
      </c>
      <c r="D36" s="3"/>
      <c r="E36" s="3"/>
      <c r="F36" s="3"/>
      <c r="G36" s="3"/>
      <c r="H36" s="3"/>
      <c r="I36" s="3"/>
      <c r="J36" s="3"/>
    </row>
    <row r="37">
      <c r="B37" s="2" t="s">
        <v>59</v>
      </c>
      <c r="C37" s="12">
        <f>'Segment - Investment Management'!J101</f>
        <v>813.7050223561644</v>
      </c>
      <c r="D37" s="3"/>
      <c r="E37" s="3"/>
      <c r="F37" s="3"/>
      <c r="G37" s="3"/>
      <c r="H37" s="3"/>
      <c r="I37" s="3"/>
      <c r="J37" s="3"/>
    </row>
    <row r="38" ht="24">
      <c r="B38" s="6" t="s">
        <v>60</v>
      </c>
      <c r="C38" s="18">
        <f>'Income Statement'!J12+'Income Statement'!J13</f>
        <v>591.7090410958904</v>
      </c>
      <c r="D38" s="25"/>
      <c r="E38" s="25"/>
      <c r="F38" s="25"/>
      <c r="G38" s="25"/>
      <c r="H38" s="25"/>
      <c r="I38" s="25"/>
      <c r="J38" s="25"/>
    </row>
    <row r="39">
      <c r="B39" s="2" t="s">
        <v>61</v>
      </c>
      <c r="C39" s="12">
        <f>'Income Statement'!J22</f>
        <v>857.7739726027398</v>
      </c>
      <c r="D39" s="3"/>
      <c r="E39" s="3"/>
      <c r="F39" s="3"/>
      <c r="G39" s="3"/>
      <c r="H39" s="3"/>
      <c r="I39" s="3"/>
      <c r="J39" s="3"/>
    </row>
    <row r="40">
      <c r="B40" s="2" t="s">
        <v>62</v>
      </c>
      <c r="C40" s="9">
        <f>'Segment - Investment Servicing'!J247</f>
        <v>110</v>
      </c>
      <c r="D40" s="20"/>
      <c r="E40" s="20"/>
      <c r="F40" s="20"/>
      <c r="G40" s="20"/>
      <c r="H40" s="20"/>
      <c r="I40" s="20"/>
      <c r="J40" s="20"/>
    </row>
    <row r="41">
      <c r="B41" s="2" t="s">
        <v>63</v>
      </c>
      <c r="C41" s="12">
        <f>'Income Statement'!J52</f>
        <v>2665.692</v>
      </c>
      <c r="D41" s="3"/>
      <c r="E41" s="3"/>
      <c r="F41" s="3"/>
      <c r="G41" s="3"/>
      <c r="H41" s="3"/>
      <c r="I41" s="3"/>
      <c r="J41" s="3"/>
    </row>
    <row r="42">
      <c r="B42" s="2" t="s">
        <v>64</v>
      </c>
      <c r="C42" s="75">
        <f>'Share Count'!J34</f>
        <v>278.2368797814207</v>
      </c>
      <c r="D42" s="21"/>
      <c r="E42" s="21"/>
      <c r="F42" s="21"/>
      <c r="G42" s="21"/>
      <c r="H42" s="21"/>
      <c r="I42" s="21"/>
      <c r="J42" s="21"/>
    </row>
    <row r="44">
      <c r="B44" s="169" t="s">
        <v>65</v>
      </c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J15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66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67</v>
      </c>
      <c r="C9" s="2"/>
      <c r="D9" s="2"/>
      <c r="E9" s="2"/>
      <c r="F9" s="2"/>
      <c r="G9" s="2"/>
      <c r="H9" s="2"/>
      <c r="I9" s="2"/>
      <c r="J9" s="2"/>
    </row>
    <row r="10">
      <c r="B10" s="19" t="s">
        <v>44</v>
      </c>
      <c r="C10" s="52">
        <f>'Income Statement'!C27</f>
        <v>3284</v>
      </c>
      <c r="D10" s="52">
        <f>'Income Statement'!D27</f>
        <v>3448</v>
      </c>
      <c r="E10" s="52">
        <f>'Income Statement'!E27</f>
        <v>3545</v>
      </c>
      <c r="F10" s="52">
        <f>'Income Statement'!F27</f>
        <v>3667</v>
      </c>
      <c r="G10" s="52">
        <f>'Income Statement'!G27</f>
        <v>13944</v>
      </c>
      <c r="H10" s="52">
        <f>'Income Statement'!H27</f>
        <v>3796</v>
      </c>
      <c r="I10" s="52">
        <f>'Income Statement'!I27</f>
        <v>4048</v>
      </c>
      <c r="J10" s="135">
        <f>'Income Statement'!J27</f>
        <v>4071.730282739726</v>
      </c>
    </row>
    <row r="11">
      <c r="B11" s="50" t="s">
        <v>68</v>
      </c>
      <c r="C11" s="46">
        <v>3138</v>
      </c>
      <c r="D11" s="46">
        <v>3191</v>
      </c>
      <c r="E11" s="46">
        <v>3259</v>
      </c>
      <c r="F11" s="46">
        <v>3412</v>
      </c>
      <c r="G11" s="3">
        <f>SUM(C11:F11)</f>
        <v>13000</v>
      </c>
      <c r="H11" s="3">
        <f>C10</f>
        <v>3284</v>
      </c>
      <c r="I11" s="3">
        <f>D10</f>
        <v>3448</v>
      </c>
      <c r="J11" s="57">
        <f>E10</f>
        <v>3545</v>
      </c>
    </row>
    <row r="12">
      <c r="B12" s="58" t="s">
        <v>69</v>
      </c>
      <c r="C12" s="26">
        <f>C10/C11-1</f>
        <v>0.0465264499681326</v>
      </c>
      <c r="D12" s="26">
        <f>D10/D11-1</f>
        <v>0.08053901598245061</v>
      </c>
      <c r="E12" s="26">
        <f>E10/E11-1</f>
        <v>0.0877569806689169</v>
      </c>
      <c r="F12" s="26">
        <f>F10/F11-1</f>
        <v>0.07473622508792488</v>
      </c>
      <c r="G12" s="26">
        <f>G10/G11-1</f>
        <v>0.07261538461538453</v>
      </c>
      <c r="H12" s="26">
        <f>H10/H11-1</f>
        <v>0.1559074299634593</v>
      </c>
      <c r="I12" s="26">
        <f>I10/I11-1</f>
        <v>0.17401392111368907</v>
      </c>
      <c r="J12" s="60">
        <f>J10/J11-1</f>
        <v>0.14858400077284228</v>
      </c>
    </row>
    <row r="13">
      <c r="B13" s="58" t="s">
        <v>70</v>
      </c>
      <c r="C13" s="26"/>
      <c r="D13" s="26">
        <f>D10/C10-1</f>
        <v>0.04993909866017043</v>
      </c>
      <c r="E13" s="26">
        <f>E10/D10-1</f>
        <v>0.028132250580046314</v>
      </c>
      <c r="F13" s="26">
        <f>F10/E10-1</f>
        <v>0.03441466854724973</v>
      </c>
      <c r="G13" s="26"/>
      <c r="H13" s="26">
        <f>H10/F10-1</f>
        <v>0.03517862012544315</v>
      </c>
      <c r="I13" s="26">
        <f>I10/H10-1</f>
        <v>0.06638566912539523</v>
      </c>
      <c r="J13" s="60">
        <f>J10/I10-1</f>
        <v>0.005862223996967897</v>
      </c>
    </row>
    <row r="14">
      <c r="B14" s="76" t="s">
        <v>71</v>
      </c>
      <c r="C14" s="46">
        <v>-26</v>
      </c>
      <c r="D14" s="46">
        <v>33</v>
      </c>
      <c r="E14" s="46">
        <v>30</v>
      </c>
      <c r="F14" s="46">
        <v>45</v>
      </c>
      <c r="G14" s="3">
        <f>SUM(C14:F14)</f>
        <v>82</v>
      </c>
      <c r="H14" s="46">
        <v>63</v>
      </c>
      <c r="I14" s="46">
        <v>14</v>
      </c>
      <c r="J14" s="57" t="s">
        <v>72</v>
      </c>
    </row>
    <row r="15">
      <c r="B15" s="53" t="s">
        <v>73</v>
      </c>
      <c r="C15" s="26">
        <f>C14/C11</f>
        <v>-0.0082855321861058</v>
      </c>
      <c r="D15" s="26">
        <f>D14/D11</f>
        <v>0.010341585709808837</v>
      </c>
      <c r="E15" s="26">
        <f>E14/E11</f>
        <v>0.009205277692543725</v>
      </c>
      <c r="F15" s="26">
        <f>F14/F11</f>
        <v>0.013188745603751465</v>
      </c>
      <c r="G15" s="26">
        <f>G14/G11</f>
        <v>0.0063076923076923076</v>
      </c>
      <c r="H15" s="26">
        <f>H14/H11</f>
        <v>0.019183922046285017</v>
      </c>
      <c r="I15" s="26">
        <f>I14/I11</f>
        <v>0.004060324825986079</v>
      </c>
      <c r="J15" s="60" t="s">
        <v>46</v>
      </c>
    </row>
    <row r="16">
      <c r="B16" s="53" t="s">
        <v>74</v>
      </c>
      <c r="C16" s="26" t="s">
        <v>47</v>
      </c>
      <c r="D16" s="26" t="s">
        <v>47</v>
      </c>
      <c r="E16" s="26" t="s">
        <v>47</v>
      </c>
      <c r="F16" s="26" t="s">
        <v>47</v>
      </c>
      <c r="G16" s="26" t="s">
        <v>47</v>
      </c>
      <c r="H16" s="26" t="s">
        <v>47</v>
      </c>
      <c r="I16" s="26" t="s">
        <v>47</v>
      </c>
      <c r="J16" s="60" t="s">
        <v>47</v>
      </c>
    </row>
    <row r="17">
      <c r="B17" s="53" t="s">
        <v>75</v>
      </c>
      <c r="C17" s="26">
        <f>(1+C12)/(1+C15)-1</f>
        <v>0.055269922879177535</v>
      </c>
      <c r="D17" s="26">
        <f>(1+D12)/(1+D15)-1</f>
        <v>0.0694789081885856</v>
      </c>
      <c r="E17" s="26">
        <f>(1+E12)/(1+E15)-1</f>
        <v>0.07783520826999091</v>
      </c>
      <c r="F17" s="26">
        <f>(1+F12)/(1+F15)-1</f>
        <v>0.06074631183106738</v>
      </c>
      <c r="G17" s="26">
        <f>(1+G12)/(1+G15)-1</f>
        <v>0.06589206543341986</v>
      </c>
      <c r="H17" s="26">
        <f>(1+H12)/(1+H15)-1</f>
        <v>0.13414998506124887</v>
      </c>
      <c r="I17" s="26">
        <f>(1+I12)/(1+I15)-1</f>
        <v>0.1692663200462161</v>
      </c>
      <c r="J17" s="60" t="s">
        <v>46</v>
      </c>
    </row>
    <row r="18" ht="24">
      <c r="B18" s="81" t="s">
        <v>76</v>
      </c>
      <c r="C18" s="80" t="s">
        <v>46</v>
      </c>
      <c r="D18" s="80" t="s">
        <v>46</v>
      </c>
      <c r="E18" s="80" t="s">
        <v>46</v>
      </c>
      <c r="F18" s="80" t="s">
        <v>46</v>
      </c>
      <c r="G18" s="80" t="s">
        <v>46</v>
      </c>
      <c r="H18" s="80" t="s">
        <v>46</v>
      </c>
      <c r="I18" s="80" t="s">
        <v>46</v>
      </c>
      <c r="J18" s="87" t="s">
        <v>46</v>
      </c>
    </row>
    <row r="19">
      <c r="B19" s="13" t="s">
        <v>77</v>
      </c>
      <c r="C19" s="22"/>
      <c r="D19" s="22"/>
      <c r="E19" s="22"/>
      <c r="F19" s="22"/>
      <c r="G19" s="22"/>
      <c r="H19" s="22"/>
      <c r="I19" s="22"/>
      <c r="J19" s="138"/>
    </row>
    <row r="20">
      <c r="B20" s="2"/>
      <c r="C20" s="2"/>
      <c r="D20" s="2"/>
      <c r="E20" s="2"/>
      <c r="F20" s="2"/>
      <c r="G20" s="2"/>
      <c r="H20" s="2"/>
      <c r="I20" s="2"/>
      <c r="J20" s="2"/>
    </row>
    <row r="21">
      <c r="B21" s="19" t="s">
        <v>78</v>
      </c>
      <c r="C21" s="2"/>
      <c r="D21" s="2"/>
      <c r="E21" s="2"/>
      <c r="F21" s="2"/>
      <c r="G21" s="2"/>
      <c r="H21" s="2"/>
      <c r="I21" s="2"/>
      <c r="J21" s="2"/>
    </row>
    <row r="22">
      <c r="B22" s="19" t="s">
        <v>79</v>
      </c>
      <c r="C22" s="52">
        <f>'Segment - Investment Servicing'!C278</f>
        <v>2688</v>
      </c>
      <c r="D22" s="52">
        <f>'Segment - Investment Servicing'!D278</f>
        <v>2844</v>
      </c>
      <c r="E22" s="52">
        <f>'Segment - Investment Servicing'!E278</f>
        <v>2861</v>
      </c>
      <c r="F22" s="52">
        <f>'Segment - Investment Servicing'!F278</f>
        <v>2938</v>
      </c>
      <c r="G22" s="52">
        <f>'Segment - Investment Servicing'!G278</f>
        <v>11331</v>
      </c>
      <c r="H22" s="52">
        <f>'Segment - Investment Servicing'!H278</f>
        <v>3055</v>
      </c>
      <c r="I22" s="52">
        <f>'Segment - Investment Servicing'!I278</f>
        <v>3242</v>
      </c>
      <c r="J22" s="135">
        <f>'Segment - Investment Servicing'!J278</f>
        <v>3232.025260383562</v>
      </c>
    </row>
    <row r="23">
      <c r="B23" s="50" t="s">
        <v>80</v>
      </c>
      <c r="C23" s="46">
        <v>2587</v>
      </c>
      <c r="D23" s="46">
        <v>2624</v>
      </c>
      <c r="E23" s="46">
        <v>2662</v>
      </c>
      <c r="F23" s="46">
        <v>2784</v>
      </c>
      <c r="G23" s="3">
        <f>SUM(C23:F23)</f>
        <v>10657</v>
      </c>
      <c r="H23" s="3">
        <f>C22</f>
        <v>2688</v>
      </c>
      <c r="I23" s="3">
        <f>D22</f>
        <v>2844</v>
      </c>
      <c r="J23" s="57">
        <f>E22</f>
        <v>2861</v>
      </c>
    </row>
    <row r="24">
      <c r="B24" s="58" t="s">
        <v>69</v>
      </c>
      <c r="C24" s="26">
        <f>C22/C23-1</f>
        <v>0.03904136064940089</v>
      </c>
      <c r="D24" s="26">
        <f>D22/D23-1</f>
        <v>0.08384146341463405</v>
      </c>
      <c r="E24" s="26">
        <f>E22/E23-1</f>
        <v>0.07475582268970693</v>
      </c>
      <c r="F24" s="26">
        <f>F22/F23-1</f>
        <v>0.05531609195402298</v>
      </c>
      <c r="G24" s="26">
        <f>G22/G23-1</f>
        <v>0.0632448156141503</v>
      </c>
      <c r="H24" s="26">
        <f>H22/H23-1</f>
        <v>0.13653273809523814</v>
      </c>
      <c r="I24" s="26">
        <f>I22/I23-1</f>
        <v>0.1399437412095641</v>
      </c>
      <c r="J24" s="60">
        <f>J22/J23-1</f>
        <v>0.1296837680473828</v>
      </c>
    </row>
    <row r="25">
      <c r="B25" s="58" t="s">
        <v>70</v>
      </c>
      <c r="C25" s="26"/>
      <c r="D25" s="26">
        <f>D22/C22-1</f>
        <v>0.05803571428571419</v>
      </c>
      <c r="E25" s="26">
        <f>E22/D22-1</f>
        <v>0.005977496483825506</v>
      </c>
      <c r="F25" s="26">
        <f>F22/E22-1</f>
        <v>0.026913666550157256</v>
      </c>
      <c r="G25" s="26"/>
      <c r="H25" s="26">
        <f>H22/F22-1</f>
        <v>0.03982300884955747</v>
      </c>
      <c r="I25" s="26">
        <f>I22/H22-1</f>
        <v>0.06121112929623562</v>
      </c>
      <c r="J25" s="60">
        <f>J22/I22-1</f>
        <v>-0.0030767241259833655</v>
      </c>
    </row>
    <row r="26">
      <c r="B26" s="58" t="s">
        <v>81</v>
      </c>
      <c r="C26" s="26">
        <f>C22/C10</f>
        <v>0.8185140073081608</v>
      </c>
      <c r="D26" s="26">
        <f>D22/D10</f>
        <v>0.8248259860788864</v>
      </c>
      <c r="E26" s="26">
        <f>E22/E10</f>
        <v>0.8070521861777151</v>
      </c>
      <c r="F26" s="26">
        <f>F22/F10</f>
        <v>0.8011998909190073</v>
      </c>
      <c r="G26" s="26">
        <f>G22/G10</f>
        <v>0.8126075731497419</v>
      </c>
      <c r="H26" s="26">
        <f>H22/H10</f>
        <v>0.8047945205479452</v>
      </c>
      <c r="I26" s="26">
        <f>I22/I10</f>
        <v>0.8008893280632411</v>
      </c>
      <c r="J26" s="60">
        <f>J22/J10</f>
        <v>0.7937719436093995</v>
      </c>
    </row>
    <row r="27">
      <c r="B27" s="53" t="s">
        <v>82</v>
      </c>
      <c r="C27" s="26" t="s">
        <v>47</v>
      </c>
      <c r="D27" s="26" t="s">
        <v>47</v>
      </c>
      <c r="E27" s="26" t="s">
        <v>47</v>
      </c>
      <c r="F27" s="26" t="s">
        <v>47</v>
      </c>
      <c r="G27" s="26" t="s">
        <v>47</v>
      </c>
      <c r="H27" s="26" t="s">
        <v>47</v>
      </c>
      <c r="I27" s="26" t="s">
        <v>47</v>
      </c>
      <c r="J27" s="60" t="s">
        <v>47</v>
      </c>
    </row>
    <row r="28">
      <c r="B28" s="53" t="s">
        <v>74</v>
      </c>
      <c r="C28" s="26" t="s">
        <v>47</v>
      </c>
      <c r="D28" s="26" t="s">
        <v>47</v>
      </c>
      <c r="E28" s="26" t="s">
        <v>47</v>
      </c>
      <c r="F28" s="26" t="s">
        <v>47</v>
      </c>
      <c r="G28" s="26" t="s">
        <v>47</v>
      </c>
      <c r="H28" s="26" t="s">
        <v>47</v>
      </c>
      <c r="I28" s="26" t="s">
        <v>47</v>
      </c>
      <c r="J28" s="60" t="s">
        <v>47</v>
      </c>
    </row>
    <row r="29">
      <c r="B29" s="53" t="s">
        <v>75</v>
      </c>
      <c r="C29" s="26" t="s">
        <v>46</v>
      </c>
      <c r="D29" s="26" t="s">
        <v>46</v>
      </c>
      <c r="E29" s="26" t="s">
        <v>46</v>
      </c>
      <c r="F29" s="26" t="s">
        <v>46</v>
      </c>
      <c r="G29" s="26" t="s">
        <v>46</v>
      </c>
      <c r="H29" s="26" t="s">
        <v>46</v>
      </c>
      <c r="I29" s="26" t="s">
        <v>46</v>
      </c>
      <c r="J29" s="60" t="s">
        <v>46</v>
      </c>
    </row>
    <row r="30" ht="24">
      <c r="B30" s="81" t="s">
        <v>76</v>
      </c>
      <c r="C30" s="80" t="s">
        <v>46</v>
      </c>
      <c r="D30" s="80" t="s">
        <v>46</v>
      </c>
      <c r="E30" s="80" t="s">
        <v>46</v>
      </c>
      <c r="F30" s="80" t="s">
        <v>46</v>
      </c>
      <c r="G30" s="80" t="s">
        <v>46</v>
      </c>
      <c r="H30" s="80" t="s">
        <v>46</v>
      </c>
      <c r="I30" s="80" t="s">
        <v>46</v>
      </c>
      <c r="J30" s="87" t="s">
        <v>46</v>
      </c>
    </row>
    <row r="31">
      <c r="B31" s="19" t="s">
        <v>83</v>
      </c>
      <c r="C31" s="52">
        <f>'Segment - Investment Management'!C152</f>
        <v>596</v>
      </c>
      <c r="D31" s="52">
        <f>'Segment - Investment Management'!D152</f>
        <v>625</v>
      </c>
      <c r="E31" s="52">
        <f>'Segment - Investment Management'!E152</f>
        <v>684</v>
      </c>
      <c r="F31" s="52">
        <f>'Segment - Investment Management'!F152</f>
        <v>729</v>
      </c>
      <c r="G31" s="52">
        <f>'Segment - Investment Management'!G152</f>
        <v>2634</v>
      </c>
      <c r="H31" s="52">
        <f>'Segment - Investment Management'!H152</f>
        <v>741</v>
      </c>
      <c r="I31" s="52">
        <f>'Segment - Investment Management'!I152</f>
        <v>806</v>
      </c>
      <c r="J31" s="135">
        <f>'Segment - Investment Management'!J152</f>
        <v>839.7050223561644</v>
      </c>
    </row>
    <row r="32">
      <c r="B32" s="50" t="s">
        <v>80</v>
      </c>
      <c r="C32" s="46">
        <v>551</v>
      </c>
      <c r="D32" s="46">
        <v>567</v>
      </c>
      <c r="E32" s="46">
        <v>597</v>
      </c>
      <c r="F32" s="46">
        <v>628</v>
      </c>
      <c r="G32" s="3">
        <f>SUM(C32:F32)</f>
        <v>2343</v>
      </c>
      <c r="H32" s="3">
        <f>C31</f>
        <v>596</v>
      </c>
      <c r="I32" s="3">
        <f>D31</f>
        <v>625</v>
      </c>
      <c r="J32" s="57">
        <f>E31</f>
        <v>684</v>
      </c>
    </row>
    <row r="33">
      <c r="B33" s="58" t="s">
        <v>69</v>
      </c>
      <c r="C33" s="26">
        <f>C31/C32-1</f>
        <v>0.08166969147005454</v>
      </c>
      <c r="D33" s="26">
        <f>D31/D32-1</f>
        <v>0.10229276895943573</v>
      </c>
      <c r="E33" s="26">
        <f>E31/E32-1</f>
        <v>0.14572864321608048</v>
      </c>
      <c r="F33" s="26">
        <f>F31/F32-1</f>
        <v>0.16082802547770703</v>
      </c>
      <c r="G33" s="26">
        <f>G31/G32-1</f>
        <v>0.12419974391805377</v>
      </c>
      <c r="H33" s="26">
        <f>H31/H32-1</f>
        <v>0.24328859060402674</v>
      </c>
      <c r="I33" s="26">
        <f>I31/I32-1</f>
        <v>0.2896000000000001</v>
      </c>
      <c r="J33" s="60">
        <f>J31/J32-1</f>
        <v>0.22763892157333965</v>
      </c>
    </row>
    <row r="34">
      <c r="B34" s="58" t="s">
        <v>70</v>
      </c>
      <c r="C34" s="26"/>
      <c r="D34" s="26">
        <f>D31/C31-1</f>
        <v>0.04865771812080544</v>
      </c>
      <c r="E34" s="26">
        <f>E31/D31-1</f>
        <v>0.09440000000000004</v>
      </c>
      <c r="F34" s="26">
        <f>F31/E31-1</f>
        <v>0.06578947368421062</v>
      </c>
      <c r="G34" s="26"/>
      <c r="H34" s="26">
        <f>H31/F31-1</f>
        <v>0.016460905349794164</v>
      </c>
      <c r="I34" s="26">
        <f>I31/H31-1</f>
        <v>0.08771929824561409</v>
      </c>
      <c r="J34" s="60">
        <f>J31/I31-1</f>
        <v>0.041817645603181575</v>
      </c>
    </row>
    <row r="35">
      <c r="B35" s="58" t="s">
        <v>81</v>
      </c>
      <c r="C35" s="26">
        <f>C31/C10</f>
        <v>0.1814859926918392</v>
      </c>
      <c r="D35" s="26">
        <f>D31/D10</f>
        <v>0.1812645011600928</v>
      </c>
      <c r="E35" s="26">
        <f>E31/E10</f>
        <v>0.1929478138222849</v>
      </c>
      <c r="F35" s="26">
        <f>F31/F10</f>
        <v>0.19880010908099263</v>
      </c>
      <c r="G35" s="26">
        <f>G31/G10</f>
        <v>0.18889845094664373</v>
      </c>
      <c r="H35" s="26">
        <f>H31/H10</f>
        <v>0.1952054794520548</v>
      </c>
      <c r="I35" s="26">
        <f>I31/I10</f>
        <v>0.19911067193675888</v>
      </c>
      <c r="J35" s="60">
        <f>J31/J10</f>
        <v>0.2062280563906006</v>
      </c>
    </row>
    <row r="36">
      <c r="B36" s="53" t="s">
        <v>82</v>
      </c>
      <c r="C36" s="26" t="s">
        <v>47</v>
      </c>
      <c r="D36" s="26" t="s">
        <v>47</v>
      </c>
      <c r="E36" s="26" t="s">
        <v>47</v>
      </c>
      <c r="F36" s="26" t="s">
        <v>47</v>
      </c>
      <c r="G36" s="26" t="s">
        <v>47</v>
      </c>
      <c r="H36" s="26" t="s">
        <v>47</v>
      </c>
      <c r="I36" s="26" t="s">
        <v>47</v>
      </c>
      <c r="J36" s="60" t="s">
        <v>47</v>
      </c>
    </row>
    <row r="37">
      <c r="B37" s="53" t="s">
        <v>74</v>
      </c>
      <c r="C37" s="26" t="s">
        <v>47</v>
      </c>
      <c r="D37" s="26" t="s">
        <v>47</v>
      </c>
      <c r="E37" s="26" t="s">
        <v>47</v>
      </c>
      <c r="F37" s="26" t="s">
        <v>47</v>
      </c>
      <c r="G37" s="26" t="s">
        <v>47</v>
      </c>
      <c r="H37" s="26" t="s">
        <v>47</v>
      </c>
      <c r="I37" s="26" t="s">
        <v>47</v>
      </c>
      <c r="J37" s="60" t="s">
        <v>47</v>
      </c>
    </row>
    <row r="38">
      <c r="B38" s="53" t="s">
        <v>75</v>
      </c>
      <c r="C38" s="26" t="s">
        <v>46</v>
      </c>
      <c r="D38" s="26" t="s">
        <v>46</v>
      </c>
      <c r="E38" s="26" t="s">
        <v>46</v>
      </c>
      <c r="F38" s="26" t="s">
        <v>46</v>
      </c>
      <c r="G38" s="26" t="s">
        <v>46</v>
      </c>
      <c r="H38" s="26" t="s">
        <v>46</v>
      </c>
      <c r="I38" s="26" t="s">
        <v>46</v>
      </c>
      <c r="J38" s="60" t="s">
        <v>46</v>
      </c>
    </row>
    <row r="39" ht="24">
      <c r="B39" s="81" t="s">
        <v>76</v>
      </c>
      <c r="C39" s="80" t="s">
        <v>46</v>
      </c>
      <c r="D39" s="80" t="s">
        <v>46</v>
      </c>
      <c r="E39" s="80" t="s">
        <v>46</v>
      </c>
      <c r="F39" s="80" t="s">
        <v>46</v>
      </c>
      <c r="G39" s="80" t="s">
        <v>46</v>
      </c>
      <c r="H39" s="80" t="s">
        <v>46</v>
      </c>
      <c r="I39" s="80" t="s">
        <v>46</v>
      </c>
      <c r="J39" s="87" t="s">
        <v>46</v>
      </c>
    </row>
    <row r="40">
      <c r="B40" s="19" t="s">
        <v>84</v>
      </c>
      <c r="C40" s="49"/>
      <c r="D40" s="49"/>
      <c r="E40" s="49"/>
      <c r="F40" s="49"/>
      <c r="G40" s="49"/>
      <c r="H40" s="49"/>
      <c r="I40" s="49"/>
      <c r="J40" s="62"/>
    </row>
    <row r="41" ht="24">
      <c r="B41" s="83" t="s">
        <v>85</v>
      </c>
      <c r="C41" s="18">
        <f>-'Income Statement'!C95</f>
        <v>0</v>
      </c>
      <c r="D41" s="18">
        <f>-'Income Statement'!D95</f>
        <v>3</v>
      </c>
      <c r="E41" s="18">
        <f>-'Income Statement'!E95</f>
        <v>0</v>
      </c>
      <c r="F41" s="18">
        <f>-'Income Statement'!F95</f>
        <v>0</v>
      </c>
      <c r="G41" s="18">
        <f>-'Income Statement'!G95</f>
        <v>3</v>
      </c>
      <c r="H41" s="18">
        <f>-'Income Statement'!H95</f>
        <v>0</v>
      </c>
      <c r="I41" s="18">
        <f>-'Income Statement'!I95</f>
        <v>0</v>
      </c>
      <c r="J41" s="100">
        <f>-'Income Statement'!J95</f>
        <v>0</v>
      </c>
    </row>
    <row r="42">
      <c r="B42" s="76" t="s">
        <v>86</v>
      </c>
      <c r="C42" s="3"/>
      <c r="D42" s="3">
        <f>D41-C41</f>
        <v>3</v>
      </c>
      <c r="E42" s="3">
        <f>E41-D41</f>
        <v>-3</v>
      </c>
      <c r="F42" s="3">
        <f>F41-E41</f>
        <v>0</v>
      </c>
      <c r="G42" s="3"/>
      <c r="H42" s="3">
        <f>H41-F41</f>
        <v>0</v>
      </c>
      <c r="I42" s="3">
        <f>I41-H41</f>
        <v>0</v>
      </c>
      <c r="J42" s="57">
        <f>J41-I41</f>
        <v>0</v>
      </c>
    </row>
    <row r="43">
      <c r="B43" s="53" t="s">
        <v>87</v>
      </c>
      <c r="C43" s="26" t="s">
        <v>88</v>
      </c>
      <c r="D43" s="26" t="s">
        <v>88</v>
      </c>
      <c r="E43" s="26" t="s">
        <v>88</v>
      </c>
      <c r="F43" s="26" t="s">
        <v>88</v>
      </c>
      <c r="G43" s="26" t="s">
        <v>88</v>
      </c>
      <c r="H43" s="26" t="s">
        <v>88</v>
      </c>
      <c r="I43" s="26" t="s">
        <v>88</v>
      </c>
      <c r="J43" s="60" t="s">
        <v>88</v>
      </c>
    </row>
    <row r="44">
      <c r="B44" s="76" t="s">
        <v>71</v>
      </c>
      <c r="C44" s="3" t="s">
        <v>47</v>
      </c>
      <c r="D44" s="3" t="s">
        <v>47</v>
      </c>
      <c r="E44" s="3" t="s">
        <v>47</v>
      </c>
      <c r="F44" s="3" t="s">
        <v>47</v>
      </c>
      <c r="G44" s="3" t="s">
        <v>47</v>
      </c>
      <c r="H44" s="3" t="s">
        <v>47</v>
      </c>
      <c r="I44" s="3" t="s">
        <v>47</v>
      </c>
      <c r="J44" s="57" t="s">
        <v>47</v>
      </c>
    </row>
    <row r="45">
      <c r="B45" s="53" t="s">
        <v>73</v>
      </c>
      <c r="C45" s="26" t="s">
        <v>47</v>
      </c>
      <c r="D45" s="26" t="s">
        <v>47</v>
      </c>
      <c r="E45" s="26" t="s">
        <v>47</v>
      </c>
      <c r="F45" s="26" t="s">
        <v>47</v>
      </c>
      <c r="G45" s="26" t="s">
        <v>47</v>
      </c>
      <c r="H45" s="26" t="s">
        <v>47</v>
      </c>
      <c r="I45" s="26" t="s">
        <v>47</v>
      </c>
      <c r="J45" s="60" t="s">
        <v>47</v>
      </c>
    </row>
    <row r="46">
      <c r="B46" s="53" t="s">
        <v>74</v>
      </c>
      <c r="C46" s="26" t="s">
        <v>47</v>
      </c>
      <c r="D46" s="26" t="s">
        <v>47</v>
      </c>
      <c r="E46" s="26" t="s">
        <v>47</v>
      </c>
      <c r="F46" s="26" t="s">
        <v>47</v>
      </c>
      <c r="G46" s="26" t="s">
        <v>47</v>
      </c>
      <c r="H46" s="26" t="s">
        <v>47</v>
      </c>
      <c r="I46" s="26" t="s">
        <v>47</v>
      </c>
      <c r="J46" s="60" t="s">
        <v>47</v>
      </c>
    </row>
    <row r="47">
      <c r="B47" s="53" t="s">
        <v>75</v>
      </c>
      <c r="C47" s="26" t="s">
        <v>88</v>
      </c>
      <c r="D47" s="26" t="s">
        <v>88</v>
      </c>
      <c r="E47" s="26" t="s">
        <v>88</v>
      </c>
      <c r="F47" s="26" t="s">
        <v>88</v>
      </c>
      <c r="G47" s="26" t="s">
        <v>88</v>
      </c>
      <c r="H47" s="26" t="s">
        <v>88</v>
      </c>
      <c r="I47" s="26" t="s">
        <v>88</v>
      </c>
      <c r="J47" s="60" t="s">
        <v>88</v>
      </c>
    </row>
    <row r="48" ht="24">
      <c r="B48" s="81" t="s">
        <v>76</v>
      </c>
      <c r="C48" s="80" t="s">
        <v>88</v>
      </c>
      <c r="D48" s="80" t="s">
        <v>88</v>
      </c>
      <c r="E48" s="80" t="s">
        <v>88</v>
      </c>
      <c r="F48" s="80" t="s">
        <v>88</v>
      </c>
      <c r="G48" s="80" t="s">
        <v>88</v>
      </c>
      <c r="H48" s="80" t="s">
        <v>88</v>
      </c>
      <c r="I48" s="80" t="s">
        <v>88</v>
      </c>
      <c r="J48" s="87" t="s">
        <v>88</v>
      </c>
    </row>
    <row r="49">
      <c r="B49" s="50" t="s">
        <v>89</v>
      </c>
      <c r="C49" s="12">
        <f>-'Income Statement'!C96</f>
        <v>0</v>
      </c>
      <c r="D49" s="12">
        <f>-'Income Statement'!D96</f>
        <v>-24</v>
      </c>
      <c r="E49" s="12">
        <f>-'Income Statement'!E96</f>
        <v>0</v>
      </c>
      <c r="F49" s="12">
        <f>-'Income Statement'!F96</f>
        <v>0</v>
      </c>
      <c r="G49" s="12">
        <f>-'Income Statement'!G96</f>
        <v>-24</v>
      </c>
      <c r="H49" s="12">
        <f>-'Income Statement'!H96</f>
        <v>0</v>
      </c>
      <c r="I49" s="12">
        <f>-'Income Statement'!I96</f>
        <v>0</v>
      </c>
      <c r="J49" s="48">
        <f>-'Income Statement'!J96</f>
        <v>0</v>
      </c>
    </row>
    <row r="50">
      <c r="B50" s="76" t="s">
        <v>86</v>
      </c>
      <c r="C50" s="3"/>
      <c r="D50" s="3">
        <f>D49-C49</f>
        <v>-24</v>
      </c>
      <c r="E50" s="3">
        <f>E49-D49</f>
        <v>24</v>
      </c>
      <c r="F50" s="3">
        <f>F49-E49</f>
        <v>0</v>
      </c>
      <c r="G50" s="3"/>
      <c r="H50" s="3">
        <f>H49-F49</f>
        <v>0</v>
      </c>
      <c r="I50" s="3">
        <f>I49-H49</f>
        <v>0</v>
      </c>
      <c r="J50" s="57">
        <f>J49-I49</f>
        <v>0</v>
      </c>
    </row>
    <row r="51">
      <c r="B51" s="53" t="s">
        <v>87</v>
      </c>
      <c r="C51" s="26" t="s">
        <v>88</v>
      </c>
      <c r="D51" s="26" t="s">
        <v>88</v>
      </c>
      <c r="E51" s="26" t="s">
        <v>88</v>
      </c>
      <c r="F51" s="26" t="s">
        <v>88</v>
      </c>
      <c r="G51" s="26" t="s">
        <v>88</v>
      </c>
      <c r="H51" s="26" t="s">
        <v>88</v>
      </c>
      <c r="I51" s="26" t="s">
        <v>88</v>
      </c>
      <c r="J51" s="60" t="s">
        <v>88</v>
      </c>
    </row>
    <row r="52">
      <c r="B52" s="76" t="s">
        <v>71</v>
      </c>
      <c r="C52" s="3" t="s">
        <v>47</v>
      </c>
      <c r="D52" s="3" t="s">
        <v>47</v>
      </c>
      <c r="E52" s="3" t="s">
        <v>47</v>
      </c>
      <c r="F52" s="3" t="s">
        <v>47</v>
      </c>
      <c r="G52" s="3" t="s">
        <v>47</v>
      </c>
      <c r="H52" s="3" t="s">
        <v>47</v>
      </c>
      <c r="I52" s="3" t="s">
        <v>47</v>
      </c>
      <c r="J52" s="57" t="s">
        <v>47</v>
      </c>
    </row>
    <row r="53">
      <c r="B53" s="53" t="s">
        <v>73</v>
      </c>
      <c r="C53" s="26" t="s">
        <v>47</v>
      </c>
      <c r="D53" s="26" t="s">
        <v>47</v>
      </c>
      <c r="E53" s="26" t="s">
        <v>47</v>
      </c>
      <c r="F53" s="26" t="s">
        <v>47</v>
      </c>
      <c r="G53" s="26" t="s">
        <v>47</v>
      </c>
      <c r="H53" s="26" t="s">
        <v>47</v>
      </c>
      <c r="I53" s="26" t="s">
        <v>47</v>
      </c>
      <c r="J53" s="60" t="s">
        <v>47</v>
      </c>
    </row>
    <row r="54">
      <c r="B54" s="53" t="s">
        <v>74</v>
      </c>
      <c r="C54" s="26" t="s">
        <v>47</v>
      </c>
      <c r="D54" s="26" t="s">
        <v>47</v>
      </c>
      <c r="E54" s="26" t="s">
        <v>47</v>
      </c>
      <c r="F54" s="26" t="s">
        <v>47</v>
      </c>
      <c r="G54" s="26" t="s">
        <v>47</v>
      </c>
      <c r="H54" s="26" t="s">
        <v>47</v>
      </c>
      <c r="I54" s="26" t="s">
        <v>47</v>
      </c>
      <c r="J54" s="60" t="s">
        <v>47</v>
      </c>
    </row>
    <row r="55">
      <c r="B55" s="53" t="s">
        <v>75</v>
      </c>
      <c r="C55" s="26" t="s">
        <v>88</v>
      </c>
      <c r="D55" s="26" t="s">
        <v>88</v>
      </c>
      <c r="E55" s="26" t="s">
        <v>88</v>
      </c>
      <c r="F55" s="26" t="s">
        <v>88</v>
      </c>
      <c r="G55" s="26" t="s">
        <v>88</v>
      </c>
      <c r="H55" s="26" t="s">
        <v>88</v>
      </c>
      <c r="I55" s="26" t="s">
        <v>88</v>
      </c>
      <c r="J55" s="60" t="s">
        <v>88</v>
      </c>
    </row>
    <row r="56" ht="24">
      <c r="B56" s="81" t="s">
        <v>76</v>
      </c>
      <c r="C56" s="80" t="s">
        <v>88</v>
      </c>
      <c r="D56" s="80" t="s">
        <v>88</v>
      </c>
      <c r="E56" s="80" t="s">
        <v>88</v>
      </c>
      <c r="F56" s="80" t="s">
        <v>88</v>
      </c>
      <c r="G56" s="80" t="s">
        <v>88</v>
      </c>
      <c r="H56" s="80" t="s">
        <v>88</v>
      </c>
      <c r="I56" s="80" t="s">
        <v>88</v>
      </c>
      <c r="J56" s="87" t="s">
        <v>88</v>
      </c>
    </row>
    <row r="57">
      <c r="B57" s="19" t="s">
        <v>90</v>
      </c>
      <c r="C57" s="38">
        <f>C41+C49</f>
        <v>0</v>
      </c>
      <c r="D57" s="38">
        <f>D41+D49</f>
        <v>-21</v>
      </c>
      <c r="E57" s="38">
        <f>E41+E49</f>
        <v>0</v>
      </c>
      <c r="F57" s="38">
        <f>F41+F49</f>
        <v>0</v>
      </c>
      <c r="G57" s="38">
        <f>G41+G49</f>
        <v>-21</v>
      </c>
      <c r="H57" s="38">
        <f>H41+H49</f>
        <v>0</v>
      </c>
      <c r="I57" s="38">
        <f>I41+I49</f>
        <v>0</v>
      </c>
      <c r="J57" s="63">
        <f>J41+J49</f>
        <v>0</v>
      </c>
    </row>
    <row r="58">
      <c r="B58" s="58" t="s">
        <v>70</v>
      </c>
      <c r="C58" s="26"/>
      <c r="D58" s="26" t="s">
        <v>88</v>
      </c>
      <c r="E58" s="26" t="s">
        <v>88</v>
      </c>
      <c r="F58" s="26" t="s">
        <v>88</v>
      </c>
      <c r="G58" s="26"/>
      <c r="H58" s="26" t="s">
        <v>88</v>
      </c>
      <c r="I58" s="26" t="s">
        <v>88</v>
      </c>
      <c r="J58" s="60" t="s">
        <v>88</v>
      </c>
    </row>
    <row r="59">
      <c r="B59" s="58" t="s">
        <v>81</v>
      </c>
      <c r="C59" s="26">
        <f>C57/C10</f>
        <v>0</v>
      </c>
      <c r="D59" s="26">
        <f>D57/D10</f>
        <v>-0.006090487238979118</v>
      </c>
      <c r="E59" s="26">
        <f>E57/E10</f>
        <v>0</v>
      </c>
      <c r="F59" s="26">
        <f>F57/F10</f>
        <v>0</v>
      </c>
      <c r="G59" s="26">
        <f>G57/G10</f>
        <v>-0.0015060240963855422</v>
      </c>
      <c r="H59" s="26">
        <f>H57/H10</f>
        <v>0</v>
      </c>
      <c r="I59" s="26">
        <f>I57/I10</f>
        <v>0</v>
      </c>
      <c r="J59" s="60">
        <f>J57/J10</f>
        <v>0</v>
      </c>
    </row>
    <row r="60">
      <c r="B60" s="53" t="s">
        <v>87</v>
      </c>
      <c r="C60" s="26" t="s">
        <v>88</v>
      </c>
      <c r="D60" s="26" t="s">
        <v>88</v>
      </c>
      <c r="E60" s="26" t="s">
        <v>88</v>
      </c>
      <c r="F60" s="26" t="s">
        <v>88</v>
      </c>
      <c r="G60" s="26" t="s">
        <v>88</v>
      </c>
      <c r="H60" s="26" t="s">
        <v>88</v>
      </c>
      <c r="I60" s="26" t="s">
        <v>88</v>
      </c>
      <c r="J60" s="60" t="s">
        <v>88</v>
      </c>
    </row>
    <row r="61">
      <c r="B61" s="76" t="s">
        <v>71</v>
      </c>
      <c r="C61" s="3" t="s">
        <v>47</v>
      </c>
      <c r="D61" s="3" t="s">
        <v>47</v>
      </c>
      <c r="E61" s="3" t="s">
        <v>47</v>
      </c>
      <c r="F61" s="3" t="s">
        <v>47</v>
      </c>
      <c r="G61" s="3" t="s">
        <v>47</v>
      </c>
      <c r="H61" s="3" t="s">
        <v>47</v>
      </c>
      <c r="I61" s="3" t="s">
        <v>47</v>
      </c>
      <c r="J61" s="57" t="s">
        <v>47</v>
      </c>
    </row>
    <row r="62">
      <c r="B62" s="53" t="s">
        <v>73</v>
      </c>
      <c r="C62" s="26" t="s">
        <v>47</v>
      </c>
      <c r="D62" s="26" t="s">
        <v>47</v>
      </c>
      <c r="E62" s="26" t="s">
        <v>47</v>
      </c>
      <c r="F62" s="26" t="s">
        <v>47</v>
      </c>
      <c r="G62" s="26" t="s">
        <v>47</v>
      </c>
      <c r="H62" s="26" t="s">
        <v>47</v>
      </c>
      <c r="I62" s="26" t="s">
        <v>47</v>
      </c>
      <c r="J62" s="60" t="s">
        <v>47</v>
      </c>
    </row>
    <row r="63">
      <c r="B63" s="53" t="s">
        <v>74</v>
      </c>
      <c r="C63" s="26" t="s">
        <v>47</v>
      </c>
      <c r="D63" s="26" t="s">
        <v>47</v>
      </c>
      <c r="E63" s="26" t="s">
        <v>47</v>
      </c>
      <c r="F63" s="26" t="s">
        <v>47</v>
      </c>
      <c r="G63" s="26" t="s">
        <v>47</v>
      </c>
      <c r="H63" s="26" t="s">
        <v>47</v>
      </c>
      <c r="I63" s="26" t="s">
        <v>47</v>
      </c>
      <c r="J63" s="60" t="s">
        <v>47</v>
      </c>
    </row>
    <row r="64">
      <c r="B64" s="53" t="s">
        <v>75</v>
      </c>
      <c r="C64" s="26" t="s">
        <v>88</v>
      </c>
      <c r="D64" s="26" t="s">
        <v>88</v>
      </c>
      <c r="E64" s="26" t="s">
        <v>88</v>
      </c>
      <c r="F64" s="26" t="s">
        <v>88</v>
      </c>
      <c r="G64" s="26" t="s">
        <v>88</v>
      </c>
      <c r="H64" s="26" t="s">
        <v>88</v>
      </c>
      <c r="I64" s="26" t="s">
        <v>88</v>
      </c>
      <c r="J64" s="60" t="s">
        <v>88</v>
      </c>
    </row>
    <row r="65" ht="24">
      <c r="B65" s="81" t="s">
        <v>76</v>
      </c>
      <c r="C65" s="80" t="s">
        <v>88</v>
      </c>
      <c r="D65" s="80" t="s">
        <v>88</v>
      </c>
      <c r="E65" s="80" t="s">
        <v>88</v>
      </c>
      <c r="F65" s="80" t="s">
        <v>88</v>
      </c>
      <c r="G65" s="80" t="s">
        <v>88</v>
      </c>
      <c r="H65" s="80" t="s">
        <v>88</v>
      </c>
      <c r="I65" s="80" t="s">
        <v>88</v>
      </c>
      <c r="J65" s="87" t="s">
        <v>88</v>
      </c>
    </row>
    <row r="66">
      <c r="B66" s="19" t="s">
        <v>91</v>
      </c>
      <c r="C66" s="38">
        <f>C22+C31+C57</f>
        <v>3284</v>
      </c>
      <c r="D66" s="38">
        <f>D22+D31+D57</f>
        <v>3448</v>
      </c>
      <c r="E66" s="38">
        <f>E22+E31+E57</f>
        <v>3545</v>
      </c>
      <c r="F66" s="38">
        <f>F22+F31+F57</f>
        <v>3667</v>
      </c>
      <c r="G66" s="38">
        <f>G22+G31+G57</f>
        <v>13944</v>
      </c>
      <c r="H66" s="38">
        <f>H22+H31+H57</f>
        <v>3796</v>
      </c>
      <c r="I66" s="38">
        <f>I22+I31+I57</f>
        <v>4048</v>
      </c>
      <c r="J66" s="63">
        <f>J22+J31+J57</f>
        <v>4071.730282739726</v>
      </c>
    </row>
    <row r="67" ht="24">
      <c r="B67" s="17" t="s">
        <v>92</v>
      </c>
      <c r="C67" s="5">
        <f>C66-C10</f>
        <v>0</v>
      </c>
      <c r="D67" s="5">
        <f>D66-D10</f>
        <v>0</v>
      </c>
      <c r="E67" s="5">
        <f>E66-E10</f>
        <v>0</v>
      </c>
      <c r="F67" s="5">
        <f>F66-F10</f>
        <v>0</v>
      </c>
      <c r="G67" s="5">
        <f>G66-G10</f>
        <v>0</v>
      </c>
      <c r="H67" s="5">
        <f>H66-H10</f>
        <v>0</v>
      </c>
      <c r="I67" s="5">
        <f>I66-I10</f>
        <v>0</v>
      </c>
      <c r="J67" s="64">
        <f>J66-J10</f>
        <v>0</v>
      </c>
    </row>
    <row r="68">
      <c r="B68" s="2"/>
      <c r="C68" s="2"/>
      <c r="D68" s="2"/>
      <c r="E68" s="2"/>
      <c r="F68" s="2"/>
      <c r="G68" s="2"/>
      <c r="H68" s="2"/>
      <c r="I68" s="2"/>
      <c r="J68" s="2"/>
    </row>
    <row r="69">
      <c r="B69" s="19" t="s">
        <v>93</v>
      </c>
      <c r="C69" s="2"/>
      <c r="D69" s="2"/>
      <c r="E69" s="2"/>
      <c r="F69" s="2"/>
      <c r="G69" s="2"/>
      <c r="H69" s="2"/>
      <c r="I69" s="2"/>
      <c r="J69" s="2"/>
    </row>
    <row r="70">
      <c r="B70" s="2" t="s">
        <v>94</v>
      </c>
      <c r="C70" s="12">
        <f>'Income Statement'!C10</f>
        <v>1275</v>
      </c>
      <c r="D70" s="12">
        <f>'Income Statement'!D10</f>
        <v>1304</v>
      </c>
      <c r="E70" s="12">
        <f>'Income Statement'!E10</f>
        <v>1357</v>
      </c>
      <c r="F70" s="12">
        <f>'Income Statement'!F10</f>
        <v>1388</v>
      </c>
      <c r="G70" s="12">
        <f>'Income Statement'!G10</f>
        <v>5324</v>
      </c>
      <c r="H70" s="12">
        <f>'Income Statement'!H10</f>
        <v>1409</v>
      </c>
      <c r="I70" s="12">
        <f>'Income Statement'!I10</f>
        <v>1468</v>
      </c>
      <c r="J70" s="48">
        <f>'Income Statement'!J10</f>
        <v>1512.195397369863</v>
      </c>
    </row>
    <row r="71">
      <c r="B71" s="50" t="s">
        <v>95</v>
      </c>
      <c r="C71" s="12">
        <f>'Segment - Investment Servicing'!C81</f>
        <v>1228</v>
      </c>
      <c r="D71" s="12">
        <f>'Segment - Investment Servicing'!D81</f>
        <v>1239</v>
      </c>
      <c r="E71" s="12">
        <f>'Segment - Investment Servicing'!E81</f>
        <v>1266</v>
      </c>
      <c r="F71" s="12">
        <f>'Segment - Investment Servicing'!F81</f>
        <v>1283</v>
      </c>
      <c r="G71" s="12">
        <f>'Segment - Investment Servicing'!G81</f>
        <v>5016</v>
      </c>
      <c r="H71" s="12">
        <f>'Segment - Investment Servicing'!H81</f>
        <v>1275</v>
      </c>
      <c r="I71" s="12">
        <f>'Segment - Investment Servicing'!I81</f>
        <v>1304</v>
      </c>
      <c r="J71" s="48">
        <f>'Segment - Investment Servicing'!J81</f>
        <v>1357</v>
      </c>
    </row>
    <row r="72">
      <c r="B72" s="58" t="s">
        <v>70</v>
      </c>
      <c r="C72" s="26"/>
      <c r="D72" s="26">
        <f>D70/C70-1</f>
        <v>0.02274509803921565</v>
      </c>
      <c r="E72" s="26">
        <f>E70/D70-1</f>
        <v>0.040644171779141036</v>
      </c>
      <c r="F72" s="26">
        <f>F70/E70-1</f>
        <v>0.02284450994841558</v>
      </c>
      <c r="G72" s="26"/>
      <c r="H72" s="26">
        <f>H70/F70-1</f>
        <v>0.015129682997118143</v>
      </c>
      <c r="I72" s="26">
        <f>I70/H70-1</f>
        <v>0.04187366926898517</v>
      </c>
      <c r="J72" s="60">
        <f>J70/I70-1</f>
        <v>0.030105856518980234</v>
      </c>
    </row>
    <row r="73">
      <c r="B73" s="58" t="s">
        <v>81</v>
      </c>
      <c r="C73" s="26">
        <f>C70/C10</f>
        <v>0.3882460414129111</v>
      </c>
      <c r="D73" s="26">
        <f>D70/D10</f>
        <v>0.37819025522041766</v>
      </c>
      <c r="E73" s="26">
        <f>E70/E10</f>
        <v>0.38279266572637516</v>
      </c>
      <c r="F73" s="26">
        <f>F70/F10</f>
        <v>0.3785110444505045</v>
      </c>
      <c r="G73" s="26">
        <f>G70/G10</f>
        <v>0.38181296615031557</v>
      </c>
      <c r="H73" s="26">
        <f>H70/H10</f>
        <v>0.3711801896733404</v>
      </c>
      <c r="I73" s="26">
        <f>I70/I10</f>
        <v>0.36264822134387353</v>
      </c>
      <c r="J73" s="60">
        <f>J70/J10</f>
        <v>0.3713888917888636</v>
      </c>
    </row>
    <row r="74">
      <c r="B74" s="53" t="s">
        <v>87</v>
      </c>
      <c r="C74" s="26">
        <f>C70/C71-1</f>
        <v>0.03827361563517906</v>
      </c>
      <c r="D74" s="26">
        <f>D70/D71-1</f>
        <v>0.05246166263115426</v>
      </c>
      <c r="E74" s="26">
        <f>E70/E71-1</f>
        <v>0.07187993680884674</v>
      </c>
      <c r="F74" s="26">
        <f>F70/F71-1</f>
        <v>0.08183943881527678</v>
      </c>
      <c r="G74" s="26">
        <f>G70/G71-1</f>
        <v>0.06140350877192979</v>
      </c>
      <c r="H74" s="26">
        <f>H70/H71-1</f>
        <v>0.10509803921568617</v>
      </c>
      <c r="I74" s="26">
        <f>I70/I71-1</f>
        <v>0.1257668711656441</v>
      </c>
      <c r="J74" s="60">
        <f>J70/J71-1</f>
        <v>0.11436654190852114</v>
      </c>
    </row>
    <row r="75">
      <c r="B75" s="76" t="s">
        <v>71</v>
      </c>
      <c r="C75" s="3" t="s">
        <v>47</v>
      </c>
      <c r="D75" s="3" t="s">
        <v>47</v>
      </c>
      <c r="E75" s="46">
        <v>15</v>
      </c>
      <c r="F75" s="46">
        <v>24</v>
      </c>
      <c r="G75" s="46">
        <v>42</v>
      </c>
      <c r="H75" s="46">
        <v>35</v>
      </c>
      <c r="I75" s="46">
        <v>9</v>
      </c>
      <c r="J75" s="57" t="s">
        <v>72</v>
      </c>
    </row>
    <row r="76">
      <c r="B76" s="53" t="s">
        <v>73</v>
      </c>
      <c r="C76" s="26" t="s">
        <v>47</v>
      </c>
      <c r="D76" s="26" t="s">
        <v>47</v>
      </c>
      <c r="E76" s="26">
        <f>E75/E71</f>
        <v>0.011848341232227487</v>
      </c>
      <c r="F76" s="26">
        <f>F75/F71</f>
        <v>0.018706157443491817</v>
      </c>
      <c r="G76" s="26">
        <f>G75/G71</f>
        <v>0.008373205741626795</v>
      </c>
      <c r="H76" s="26">
        <f>H75/H71</f>
        <v>0.027450980392156862</v>
      </c>
      <c r="I76" s="26">
        <f>I75/I71</f>
        <v>0.006901840490797546</v>
      </c>
      <c r="J76" s="60" t="s">
        <v>46</v>
      </c>
    </row>
    <row r="77">
      <c r="B77" s="53" t="s">
        <v>74</v>
      </c>
      <c r="C77" s="26" t="s">
        <v>47</v>
      </c>
      <c r="D77" s="26" t="s">
        <v>47</v>
      </c>
      <c r="E77" s="26" t="s">
        <v>47</v>
      </c>
      <c r="F77" s="26" t="s">
        <v>47</v>
      </c>
      <c r="G77" s="26" t="s">
        <v>47</v>
      </c>
      <c r="H77" s="26" t="s">
        <v>47</v>
      </c>
      <c r="I77" s="26" t="s">
        <v>47</v>
      </c>
      <c r="J77" s="60" t="s">
        <v>47</v>
      </c>
    </row>
    <row r="78">
      <c r="B78" s="53" t="s">
        <v>75</v>
      </c>
      <c r="C78" s="26" t="s">
        <v>46</v>
      </c>
      <c r="D78" s="26" t="s">
        <v>46</v>
      </c>
      <c r="E78" s="26">
        <f>(1+E74)/(1+E76)-1</f>
        <v>0.059328649492583985</v>
      </c>
      <c r="F78" s="26">
        <f>(1+F74)/(1+F76)-1</f>
        <v>0.0619739862280031</v>
      </c>
      <c r="G78" s="26">
        <f>(1+G74)/(1+G76)-1</f>
        <v>0.05258995650454712</v>
      </c>
      <c r="H78" s="26">
        <f>(1+H74)/(1+H76)-1</f>
        <v>0.07557251908396956</v>
      </c>
      <c r="I78" s="26">
        <f>(1+I74)/(1+I76)-1</f>
        <v>0.11805026656511819</v>
      </c>
      <c r="J78" s="60" t="s">
        <v>46</v>
      </c>
    </row>
    <row r="79" ht="24">
      <c r="B79" s="81" t="s">
        <v>76</v>
      </c>
      <c r="C79" s="80" t="s">
        <v>46</v>
      </c>
      <c r="D79" s="80" t="s">
        <v>46</v>
      </c>
      <c r="E79" s="80" t="s">
        <v>46</v>
      </c>
      <c r="F79" s="80" t="s">
        <v>46</v>
      </c>
      <c r="G79" s="80" t="s">
        <v>46</v>
      </c>
      <c r="H79" s="80" t="s">
        <v>46</v>
      </c>
      <c r="I79" s="80" t="s">
        <v>46</v>
      </c>
      <c r="J79" s="87" t="s">
        <v>46</v>
      </c>
    </row>
    <row r="80">
      <c r="B80" s="2" t="s">
        <v>96</v>
      </c>
      <c r="C80" s="12">
        <f>'Income Statement'!C11</f>
        <v>587</v>
      </c>
      <c r="D80" s="12">
        <f>'Income Statement'!D11</f>
        <v>600</v>
      </c>
      <c r="E80" s="12">
        <f>'Income Statement'!E11</f>
        <v>664</v>
      </c>
      <c r="F80" s="12">
        <f>'Income Statement'!F11</f>
        <v>717</v>
      </c>
      <c r="G80" s="12">
        <f>'Income Statement'!G11</f>
        <v>2568</v>
      </c>
      <c r="H80" s="12">
        <f>'Income Statement'!H11</f>
        <v>724</v>
      </c>
      <c r="I80" s="12">
        <f>'Income Statement'!I11</f>
        <v>772</v>
      </c>
      <c r="J80" s="48">
        <f>'Income Statement'!J11</f>
        <v>813.7050223561644</v>
      </c>
    </row>
    <row r="81">
      <c r="B81" s="58" t="s">
        <v>70</v>
      </c>
      <c r="C81" s="26"/>
      <c r="D81" s="26">
        <f>D80/C80-1</f>
        <v>0.022146507666098714</v>
      </c>
      <c r="E81" s="26">
        <f>E80/D80-1</f>
        <v>0.10666666666666669</v>
      </c>
      <c r="F81" s="26">
        <f>F80/E80-1</f>
        <v>0.07981927710843384</v>
      </c>
      <c r="G81" s="26"/>
      <c r="H81" s="26">
        <f>H80/F80-1</f>
        <v>0.009762900976290068</v>
      </c>
      <c r="I81" s="26">
        <f>I80/H80-1</f>
        <v>0.06629834254143652</v>
      </c>
      <c r="J81" s="60">
        <f>J80/I80-1</f>
        <v>0.05402204968415081</v>
      </c>
    </row>
    <row r="82">
      <c r="B82" s="58" t="s">
        <v>81</v>
      </c>
      <c r="C82" s="26">
        <f>C80/C10</f>
        <v>0.1787454323995128</v>
      </c>
      <c r="D82" s="26">
        <f>D80/D10</f>
        <v>0.1740139211136891</v>
      </c>
      <c r="E82" s="26">
        <f>E80/E10</f>
        <v>0.18730606488011284</v>
      </c>
      <c r="F82" s="26">
        <f>F80/F10</f>
        <v>0.19552767930188164</v>
      </c>
      <c r="G82" s="26">
        <f>G80/G10</f>
        <v>0.18416523235800344</v>
      </c>
      <c r="H82" s="26">
        <f>H80/H10</f>
        <v>0.19072708113804004</v>
      </c>
      <c r="I82" s="26">
        <f>I80/I10</f>
        <v>0.1907114624505929</v>
      </c>
      <c r="J82" s="60">
        <f>J80/J10</f>
        <v>0.19984256467219888</v>
      </c>
    </row>
    <row r="83">
      <c r="B83" s="53" t="s">
        <v>87</v>
      </c>
      <c r="C83" s="26" t="s">
        <v>46</v>
      </c>
      <c r="D83" s="26" t="s">
        <v>46</v>
      </c>
      <c r="E83" s="26" t="s">
        <v>46</v>
      </c>
      <c r="F83" s="26" t="s">
        <v>46</v>
      </c>
      <c r="G83" s="26" t="s">
        <v>46</v>
      </c>
      <c r="H83" s="26">
        <f>H80/C80-1</f>
        <v>0.23339011925042596</v>
      </c>
      <c r="I83" s="26">
        <f>I80/D80-1</f>
        <v>0.2866666666666666</v>
      </c>
      <c r="J83" s="60">
        <f>J80/E80-1</f>
        <v>0.22545937101831992</v>
      </c>
    </row>
    <row r="84">
      <c r="B84" s="76" t="s">
        <v>71</v>
      </c>
      <c r="C84" s="3" t="s">
        <v>46</v>
      </c>
      <c r="D84" s="3" t="s">
        <v>46</v>
      </c>
      <c r="E84" s="3" t="s">
        <v>46</v>
      </c>
      <c r="F84" s="3" t="s">
        <v>46</v>
      </c>
      <c r="G84" s="3" t="s">
        <v>46</v>
      </c>
      <c r="H84" s="46">
        <v>5</v>
      </c>
      <c r="I84" s="46">
        <v>1</v>
      </c>
      <c r="J84" s="57" t="s">
        <v>72</v>
      </c>
    </row>
    <row r="85">
      <c r="B85" s="53" t="s">
        <v>73</v>
      </c>
      <c r="C85" s="26" t="s">
        <v>46</v>
      </c>
      <c r="D85" s="26" t="s">
        <v>46</v>
      </c>
      <c r="E85" s="26" t="s">
        <v>46</v>
      </c>
      <c r="F85" s="26" t="s">
        <v>46</v>
      </c>
      <c r="G85" s="26" t="s">
        <v>46</v>
      </c>
      <c r="H85" s="26">
        <f>H84/C80</f>
        <v>0.008517887563884156</v>
      </c>
      <c r="I85" s="26">
        <f>I84/D80</f>
        <v>0.0016666666666666668</v>
      </c>
      <c r="J85" s="60" t="s">
        <v>46</v>
      </c>
    </row>
    <row r="86">
      <c r="B86" s="53" t="s">
        <v>74</v>
      </c>
      <c r="C86" s="26" t="s">
        <v>46</v>
      </c>
      <c r="D86" s="26" t="s">
        <v>46</v>
      </c>
      <c r="E86" s="26" t="s">
        <v>46</v>
      </c>
      <c r="F86" s="26" t="s">
        <v>46</v>
      </c>
      <c r="G86" s="26" t="s">
        <v>46</v>
      </c>
      <c r="H86" s="26" t="s">
        <v>47</v>
      </c>
      <c r="I86" s="26" t="s">
        <v>47</v>
      </c>
      <c r="J86" s="60" t="s">
        <v>47</v>
      </c>
    </row>
    <row r="87">
      <c r="B87" s="53" t="s">
        <v>75</v>
      </c>
      <c r="C87" s="26" t="s">
        <v>46</v>
      </c>
      <c r="D87" s="26" t="s">
        <v>46</v>
      </c>
      <c r="E87" s="26" t="s">
        <v>46</v>
      </c>
      <c r="F87" s="26" t="s">
        <v>46</v>
      </c>
      <c r="G87" s="26" t="s">
        <v>46</v>
      </c>
      <c r="H87" s="26">
        <f>(1+H83)/(1+H85)-1</f>
        <v>0.22297297297297325</v>
      </c>
      <c r="I87" s="26">
        <f>(1+I83)/(1+I85)-1</f>
        <v>0.2845257903494176</v>
      </c>
      <c r="J87" s="60" t="s">
        <v>46</v>
      </c>
    </row>
    <row r="88" ht="24">
      <c r="B88" s="81" t="s">
        <v>76</v>
      </c>
      <c r="C88" s="80" t="s">
        <v>46</v>
      </c>
      <c r="D88" s="80" t="s">
        <v>46</v>
      </c>
      <c r="E88" s="80" t="s">
        <v>46</v>
      </c>
      <c r="F88" s="80" t="s">
        <v>46</v>
      </c>
      <c r="G88" s="80" t="s">
        <v>46</v>
      </c>
      <c r="H88" s="80" t="s">
        <v>46</v>
      </c>
      <c r="I88" s="80" t="s">
        <v>46</v>
      </c>
      <c r="J88" s="87" t="s">
        <v>46</v>
      </c>
    </row>
    <row r="89">
      <c r="B89" s="2" t="s">
        <v>97</v>
      </c>
      <c r="C89" s="12">
        <f>'Income Statement'!C12</f>
        <v>337</v>
      </c>
      <c r="D89" s="12">
        <f>'Income Statement'!D12</f>
        <v>393</v>
      </c>
      <c r="E89" s="12">
        <f>'Income Statement'!E12</f>
        <v>364</v>
      </c>
      <c r="F89" s="12">
        <f>'Income Statement'!F12</f>
        <v>350</v>
      </c>
      <c r="G89" s="12">
        <f>'Income Statement'!G12</f>
        <v>1444</v>
      </c>
      <c r="H89" s="12">
        <f>'Income Statement'!H12</f>
        <v>435</v>
      </c>
      <c r="I89" s="12">
        <f>'Income Statement'!I12</f>
        <v>494</v>
      </c>
      <c r="J89" s="48">
        <f>'Income Statement'!J12</f>
        <v>454.72</v>
      </c>
    </row>
    <row r="90">
      <c r="B90" s="58" t="s">
        <v>70</v>
      </c>
      <c r="C90" s="26"/>
      <c r="D90" s="26">
        <f>D89/C89-1</f>
        <v>0.16617210682492578</v>
      </c>
      <c r="E90" s="26">
        <f>E89/D89-1</f>
        <v>-0.07379134860050895</v>
      </c>
      <c r="F90" s="26">
        <f>F89/E89-1</f>
        <v>-0.038461538461538436</v>
      </c>
      <c r="G90" s="26"/>
      <c r="H90" s="26">
        <f>H89/F89-1</f>
        <v>0.24285714285714288</v>
      </c>
      <c r="I90" s="26">
        <f>I89/H89-1</f>
        <v>0.13563218390804588</v>
      </c>
      <c r="J90" s="60">
        <f>J89/I89-1</f>
        <v>-0.07951417004048578</v>
      </c>
    </row>
    <row r="91">
      <c r="B91" s="58" t="s">
        <v>81</v>
      </c>
      <c r="C91" s="26">
        <f>C89/C10</f>
        <v>0.10261875761266748</v>
      </c>
      <c r="D91" s="26">
        <f>D89/D10</f>
        <v>0.11397911832946636</v>
      </c>
      <c r="E91" s="26">
        <f>E89/E10</f>
        <v>0.10267983074753173</v>
      </c>
      <c r="F91" s="26">
        <f>F89/F10</f>
        <v>0.09544586855740388</v>
      </c>
      <c r="G91" s="26">
        <f>G89/G10</f>
        <v>0.10355708548479632</v>
      </c>
      <c r="H91" s="26">
        <f>H89/H10</f>
        <v>0.11459430979978925</v>
      </c>
      <c r="I91" s="26">
        <f>I89/I10</f>
        <v>0.12203557312252965</v>
      </c>
      <c r="J91" s="60">
        <f>J89/J10</f>
        <v>0.11167733823813956</v>
      </c>
    </row>
    <row r="92">
      <c r="B92" s="53" t="s">
        <v>87</v>
      </c>
      <c r="C92" s="26" t="s">
        <v>46</v>
      </c>
      <c r="D92" s="26" t="s">
        <v>46</v>
      </c>
      <c r="E92" s="26" t="s">
        <v>46</v>
      </c>
      <c r="F92" s="26" t="s">
        <v>46</v>
      </c>
      <c r="G92" s="26" t="s">
        <v>46</v>
      </c>
      <c r="H92" s="26">
        <f>H89/C89-1</f>
        <v>0.2908011869436202</v>
      </c>
      <c r="I92" s="26">
        <f>I89/D89-1</f>
        <v>0.25699745547073793</v>
      </c>
      <c r="J92" s="60">
        <f>J89/E89-1</f>
        <v>0.24923076923076937</v>
      </c>
    </row>
    <row r="93">
      <c r="B93" s="76" t="s">
        <v>71</v>
      </c>
      <c r="C93" s="3" t="s">
        <v>46</v>
      </c>
      <c r="D93" s="3" t="s">
        <v>46</v>
      </c>
      <c r="E93" s="3" t="s">
        <v>46</v>
      </c>
      <c r="F93" s="3" t="s">
        <v>46</v>
      </c>
      <c r="G93" s="3" t="s">
        <v>46</v>
      </c>
      <c r="H93" s="46">
        <v>0</v>
      </c>
      <c r="I93" s="46">
        <v>0</v>
      </c>
      <c r="J93" s="57" t="s">
        <v>72</v>
      </c>
    </row>
    <row r="94">
      <c r="B94" s="53" t="s">
        <v>73</v>
      </c>
      <c r="C94" s="26" t="s">
        <v>46</v>
      </c>
      <c r="D94" s="26" t="s">
        <v>46</v>
      </c>
      <c r="E94" s="26" t="s">
        <v>46</v>
      </c>
      <c r="F94" s="26" t="s">
        <v>46</v>
      </c>
      <c r="G94" s="26" t="s">
        <v>46</v>
      </c>
      <c r="H94" s="26">
        <f>H93/C89</f>
        <v>0</v>
      </c>
      <c r="I94" s="26">
        <f>I93/D89</f>
        <v>0</v>
      </c>
      <c r="J94" s="60" t="s">
        <v>46</v>
      </c>
    </row>
    <row r="95">
      <c r="B95" s="53" t="s">
        <v>74</v>
      </c>
      <c r="C95" s="26" t="s">
        <v>46</v>
      </c>
      <c r="D95" s="26" t="s">
        <v>46</v>
      </c>
      <c r="E95" s="26" t="s">
        <v>46</v>
      </c>
      <c r="F95" s="26" t="s">
        <v>46</v>
      </c>
      <c r="G95" s="26" t="s">
        <v>46</v>
      </c>
      <c r="H95" s="26" t="s">
        <v>47</v>
      </c>
      <c r="I95" s="26" t="s">
        <v>47</v>
      </c>
      <c r="J95" s="60" t="s">
        <v>47</v>
      </c>
    </row>
    <row r="96">
      <c r="B96" s="53" t="s">
        <v>75</v>
      </c>
      <c r="C96" s="26" t="s">
        <v>46</v>
      </c>
      <c r="D96" s="26" t="s">
        <v>46</v>
      </c>
      <c r="E96" s="26" t="s">
        <v>46</v>
      </c>
      <c r="F96" s="26" t="s">
        <v>46</v>
      </c>
      <c r="G96" s="26" t="s">
        <v>46</v>
      </c>
      <c r="H96" s="26">
        <f>(1+H92)/(1+H94)-1</f>
        <v>0.2908011869436202</v>
      </c>
      <c r="I96" s="26">
        <f>(1+I92)/(1+I94)-1</f>
        <v>0.25699745547073793</v>
      </c>
      <c r="J96" s="60" t="s">
        <v>46</v>
      </c>
    </row>
    <row r="97" ht="24">
      <c r="B97" s="81" t="s">
        <v>76</v>
      </c>
      <c r="C97" s="80" t="s">
        <v>46</v>
      </c>
      <c r="D97" s="80" t="s">
        <v>46</v>
      </c>
      <c r="E97" s="80" t="s">
        <v>46</v>
      </c>
      <c r="F97" s="80" t="s">
        <v>46</v>
      </c>
      <c r="G97" s="80" t="s">
        <v>46</v>
      </c>
      <c r="H97" s="80" t="s">
        <v>46</v>
      </c>
      <c r="I97" s="80" t="s">
        <v>46</v>
      </c>
      <c r="J97" s="87" t="s">
        <v>46</v>
      </c>
    </row>
    <row r="98">
      <c r="B98" s="2" t="s">
        <v>98</v>
      </c>
      <c r="C98" s="12">
        <f>'Income Statement'!C13</f>
        <v>114</v>
      </c>
      <c r="D98" s="12">
        <f>'Income Statement'!D13</f>
        <v>126</v>
      </c>
      <c r="E98" s="12">
        <f>'Income Statement'!E13</f>
        <v>138</v>
      </c>
      <c r="F98" s="12">
        <f>'Income Statement'!F13</f>
        <v>127</v>
      </c>
      <c r="G98" s="12">
        <f>'Income Statement'!G13</f>
        <v>505</v>
      </c>
      <c r="H98" s="12">
        <f>'Income Statement'!H13</f>
        <v>116</v>
      </c>
      <c r="I98" s="12">
        <f>'Income Statement'!I13</f>
        <v>150</v>
      </c>
      <c r="J98" s="48">
        <f>'Income Statement'!J13</f>
        <v>136.9890410958904</v>
      </c>
    </row>
    <row r="99">
      <c r="B99" s="58" t="s">
        <v>70</v>
      </c>
      <c r="C99" s="26"/>
      <c r="D99" s="26">
        <f>D98/C98-1</f>
        <v>0.10526315789473695</v>
      </c>
      <c r="E99" s="26">
        <f>E98/D98-1</f>
        <v>0.09523809523809534</v>
      </c>
      <c r="F99" s="26">
        <f>F98/E98-1</f>
        <v>-0.07971014492753625</v>
      </c>
      <c r="G99" s="26"/>
      <c r="H99" s="26">
        <f>H98/F98-1</f>
        <v>-0.08661417322834641</v>
      </c>
      <c r="I99" s="26">
        <f>I98/H98-1</f>
        <v>0.2931034482758621</v>
      </c>
      <c r="J99" s="60">
        <f>J98/I98-1</f>
        <v>-0.08673972602739732</v>
      </c>
    </row>
    <row r="100">
      <c r="B100" s="58" t="s">
        <v>81</v>
      </c>
      <c r="C100" s="26">
        <f>C98/C10</f>
        <v>0.034713763702801465</v>
      </c>
      <c r="D100" s="26">
        <f>D98/D10</f>
        <v>0.03654292343387471</v>
      </c>
      <c r="E100" s="26">
        <f>E98/E10</f>
        <v>0.03892806770098731</v>
      </c>
      <c r="F100" s="26">
        <f>F98/F10</f>
        <v>0.03463321516225798</v>
      </c>
      <c r="G100" s="26">
        <f>G98/G10</f>
        <v>0.036216293746414226</v>
      </c>
      <c r="H100" s="26">
        <f>H98/H10</f>
        <v>0.030558482613277135</v>
      </c>
      <c r="I100" s="26">
        <f>I98/I10</f>
        <v>0.03705533596837945</v>
      </c>
      <c r="J100" s="60">
        <f>J98/J10</f>
        <v>0.03364393797806156</v>
      </c>
    </row>
    <row r="101">
      <c r="B101" s="53" t="s">
        <v>87</v>
      </c>
      <c r="C101" s="26" t="s">
        <v>46</v>
      </c>
      <c r="D101" s="26" t="s">
        <v>46</v>
      </c>
      <c r="E101" s="26" t="s">
        <v>46</v>
      </c>
      <c r="F101" s="26" t="s">
        <v>46</v>
      </c>
      <c r="G101" s="26" t="s">
        <v>46</v>
      </c>
      <c r="H101" s="26">
        <f>H98/C98-1</f>
        <v>0.01754385964912286</v>
      </c>
      <c r="I101" s="26">
        <f>I98/D98-1</f>
        <v>0.19047619047619047</v>
      </c>
      <c r="J101" s="60">
        <f>J98/E98-1</f>
        <v>-0.007325789160214535</v>
      </c>
    </row>
    <row r="102">
      <c r="B102" s="76" t="s">
        <v>71</v>
      </c>
      <c r="C102" s="3" t="s">
        <v>46</v>
      </c>
      <c r="D102" s="3" t="s">
        <v>46</v>
      </c>
      <c r="E102" s="3" t="s">
        <v>46</v>
      </c>
      <c r="F102" s="3" t="s">
        <v>46</v>
      </c>
      <c r="G102" s="3" t="s">
        <v>46</v>
      </c>
      <c r="H102" s="46">
        <v>0</v>
      </c>
      <c r="I102" s="46">
        <v>0</v>
      </c>
      <c r="J102" s="57" t="s">
        <v>72</v>
      </c>
    </row>
    <row r="103">
      <c r="B103" s="53" t="s">
        <v>73</v>
      </c>
      <c r="C103" s="26" t="s">
        <v>46</v>
      </c>
      <c r="D103" s="26" t="s">
        <v>46</v>
      </c>
      <c r="E103" s="26" t="s">
        <v>46</v>
      </c>
      <c r="F103" s="26" t="s">
        <v>46</v>
      </c>
      <c r="G103" s="26" t="s">
        <v>46</v>
      </c>
      <c r="H103" s="26">
        <f>H102/C98</f>
        <v>0</v>
      </c>
      <c r="I103" s="26">
        <f>I102/D98</f>
        <v>0</v>
      </c>
      <c r="J103" s="60" t="s">
        <v>46</v>
      </c>
    </row>
    <row r="104">
      <c r="B104" s="53" t="s">
        <v>74</v>
      </c>
      <c r="C104" s="26" t="s">
        <v>46</v>
      </c>
      <c r="D104" s="26" t="s">
        <v>46</v>
      </c>
      <c r="E104" s="26" t="s">
        <v>46</v>
      </c>
      <c r="F104" s="26" t="s">
        <v>46</v>
      </c>
      <c r="G104" s="26" t="s">
        <v>46</v>
      </c>
      <c r="H104" s="26" t="s">
        <v>47</v>
      </c>
      <c r="I104" s="26" t="s">
        <v>47</v>
      </c>
      <c r="J104" s="60" t="s">
        <v>47</v>
      </c>
    </row>
    <row r="105">
      <c r="B105" s="53" t="s">
        <v>75</v>
      </c>
      <c r="C105" s="26" t="s">
        <v>46</v>
      </c>
      <c r="D105" s="26" t="s">
        <v>46</v>
      </c>
      <c r="E105" s="26" t="s">
        <v>46</v>
      </c>
      <c r="F105" s="26" t="s">
        <v>46</v>
      </c>
      <c r="G105" s="26" t="s">
        <v>46</v>
      </c>
      <c r="H105" s="26">
        <f>(1+H101)/(1+H103)-1</f>
        <v>0.01754385964912286</v>
      </c>
      <c r="I105" s="26">
        <f>(1+I101)/(1+I103)-1</f>
        <v>0.19047619047619047</v>
      </c>
      <c r="J105" s="60" t="s">
        <v>46</v>
      </c>
    </row>
    <row r="106" ht="24">
      <c r="B106" s="81" t="s">
        <v>76</v>
      </c>
      <c r="C106" s="80" t="s">
        <v>46</v>
      </c>
      <c r="D106" s="80" t="s">
        <v>46</v>
      </c>
      <c r="E106" s="80" t="s">
        <v>46</v>
      </c>
      <c r="F106" s="80" t="s">
        <v>46</v>
      </c>
      <c r="G106" s="80" t="s">
        <v>46</v>
      </c>
      <c r="H106" s="80" t="s">
        <v>46</v>
      </c>
      <c r="I106" s="80" t="s">
        <v>46</v>
      </c>
      <c r="J106" s="87" t="s">
        <v>46</v>
      </c>
    </row>
    <row r="107">
      <c r="B107" s="2" t="s">
        <v>99</v>
      </c>
      <c r="C107" s="12">
        <f>'Income Statement'!C14</f>
        <v>158</v>
      </c>
      <c r="D107" s="12">
        <f>'Income Statement'!D14</f>
        <v>169</v>
      </c>
      <c r="E107" s="12">
        <f>'Income Statement'!E14</f>
        <v>167</v>
      </c>
      <c r="F107" s="12">
        <f>'Income Statement'!F14</f>
        <v>163</v>
      </c>
      <c r="G107" s="12">
        <f>'Income Statement'!G14</f>
        <v>657</v>
      </c>
      <c r="H107" s="12">
        <f>'Income Statement'!H14</f>
        <v>169</v>
      </c>
      <c r="I107" s="12">
        <f>'Income Statement'!I14</f>
        <v>166</v>
      </c>
      <c r="J107" s="48">
        <f>'Income Statement'!J14</f>
        <v>171.34684931506848</v>
      </c>
    </row>
    <row r="108">
      <c r="B108" s="58" t="s">
        <v>70</v>
      </c>
      <c r="C108" s="26"/>
      <c r="D108" s="26">
        <f>D107/C107-1</f>
        <v>0.06962025316455689</v>
      </c>
      <c r="E108" s="26">
        <f>E107/D107-1</f>
        <v>-0.011834319526627168</v>
      </c>
      <c r="F108" s="26">
        <f>F107/E107-1</f>
        <v>-0.0239520958083832</v>
      </c>
      <c r="G108" s="26"/>
      <c r="H108" s="26">
        <f>H107/F107-1</f>
        <v>0.036809815950920255</v>
      </c>
      <c r="I108" s="26">
        <f>I107/H107-1</f>
        <v>-0.017751479289940808</v>
      </c>
      <c r="J108" s="60">
        <f>J107/I107-1</f>
        <v>0.03220993563294261</v>
      </c>
    </row>
    <row r="109">
      <c r="B109" s="58" t="s">
        <v>81</v>
      </c>
      <c r="C109" s="26">
        <f>C107/C10</f>
        <v>0.04811205846528624</v>
      </c>
      <c r="D109" s="26">
        <f>D107/D10</f>
        <v>0.049013921113689095</v>
      </c>
      <c r="E109" s="26">
        <f>E107/E10</f>
        <v>0.04710860366713681</v>
      </c>
      <c r="F109" s="26">
        <f>F107/F10</f>
        <v>0.04445050449959095</v>
      </c>
      <c r="G109" s="26">
        <f>G107/G10</f>
        <v>0.0471170395869191</v>
      </c>
      <c r="H109" s="26">
        <f>H107/H10</f>
        <v>0.04452054794520548</v>
      </c>
      <c r="I109" s="26">
        <f>I107/I10</f>
        <v>0.04100790513833992</v>
      </c>
      <c r="J109" s="60">
        <f>J107/J10</f>
        <v>0.042082072587522945</v>
      </c>
    </row>
    <row r="110">
      <c r="B110" s="53" t="s">
        <v>87</v>
      </c>
      <c r="C110" s="26" t="s">
        <v>46</v>
      </c>
      <c r="D110" s="26" t="s">
        <v>46</v>
      </c>
      <c r="E110" s="26" t="s">
        <v>46</v>
      </c>
      <c r="F110" s="26" t="s">
        <v>46</v>
      </c>
      <c r="G110" s="26" t="s">
        <v>46</v>
      </c>
      <c r="H110" s="26">
        <f>H107/C107-1</f>
        <v>0.06962025316455689</v>
      </c>
      <c r="I110" s="26">
        <f>I107/D107-1</f>
        <v>-0.017751479289940808</v>
      </c>
      <c r="J110" s="60">
        <f>J107/E107-1</f>
        <v>0.026029037814781386</v>
      </c>
    </row>
    <row r="111">
      <c r="B111" s="76" t="s">
        <v>71</v>
      </c>
      <c r="C111" s="3" t="s">
        <v>46</v>
      </c>
      <c r="D111" s="3" t="s">
        <v>46</v>
      </c>
      <c r="E111" s="3" t="s">
        <v>46</v>
      </c>
      <c r="F111" s="3" t="s">
        <v>46</v>
      </c>
      <c r="G111" s="3" t="s">
        <v>46</v>
      </c>
      <c r="H111" s="46">
        <v>1</v>
      </c>
      <c r="I111" s="46">
        <v>0</v>
      </c>
      <c r="J111" s="57" t="s">
        <v>72</v>
      </c>
    </row>
    <row r="112">
      <c r="B112" s="53" t="s">
        <v>73</v>
      </c>
      <c r="C112" s="26" t="s">
        <v>46</v>
      </c>
      <c r="D112" s="26" t="s">
        <v>46</v>
      </c>
      <c r="E112" s="26" t="s">
        <v>46</v>
      </c>
      <c r="F112" s="26" t="s">
        <v>46</v>
      </c>
      <c r="G112" s="26" t="s">
        <v>46</v>
      </c>
      <c r="H112" s="26">
        <f>H111/C107</f>
        <v>0.006329113924050633</v>
      </c>
      <c r="I112" s="26">
        <f>I111/D107</f>
        <v>0</v>
      </c>
      <c r="J112" s="60" t="s">
        <v>46</v>
      </c>
    </row>
    <row r="113">
      <c r="B113" s="53" t="s">
        <v>74</v>
      </c>
      <c r="C113" s="26" t="s">
        <v>46</v>
      </c>
      <c r="D113" s="26" t="s">
        <v>46</v>
      </c>
      <c r="E113" s="26" t="s">
        <v>46</v>
      </c>
      <c r="F113" s="26" t="s">
        <v>46</v>
      </c>
      <c r="G113" s="26" t="s">
        <v>46</v>
      </c>
      <c r="H113" s="26" t="s">
        <v>47</v>
      </c>
      <c r="I113" s="26" t="s">
        <v>47</v>
      </c>
      <c r="J113" s="60" t="s">
        <v>47</v>
      </c>
    </row>
    <row r="114">
      <c r="B114" s="53" t="s">
        <v>75</v>
      </c>
      <c r="C114" s="26" t="s">
        <v>46</v>
      </c>
      <c r="D114" s="26" t="s">
        <v>46</v>
      </c>
      <c r="E114" s="26" t="s">
        <v>46</v>
      </c>
      <c r="F114" s="26" t="s">
        <v>46</v>
      </c>
      <c r="G114" s="26" t="s">
        <v>46</v>
      </c>
      <c r="H114" s="26">
        <f>(1+H110)/(1+H112)-1</f>
        <v>0.06289308176100628</v>
      </c>
      <c r="I114" s="26">
        <f>(1+I110)/(1+I112)-1</f>
        <v>-0.017751479289940808</v>
      </c>
      <c r="J114" s="60" t="s">
        <v>46</v>
      </c>
    </row>
    <row r="115" ht="24">
      <c r="B115" s="81" t="s">
        <v>76</v>
      </c>
      <c r="C115" s="80" t="s">
        <v>46</v>
      </c>
      <c r="D115" s="80" t="s">
        <v>46</v>
      </c>
      <c r="E115" s="80" t="s">
        <v>46</v>
      </c>
      <c r="F115" s="80" t="s">
        <v>46</v>
      </c>
      <c r="G115" s="80" t="s">
        <v>46</v>
      </c>
      <c r="H115" s="80" t="s">
        <v>46</v>
      </c>
      <c r="I115" s="80" t="s">
        <v>46</v>
      </c>
      <c r="J115" s="87" t="s">
        <v>46</v>
      </c>
    </row>
    <row r="116">
      <c r="B116" s="2" t="s">
        <v>100</v>
      </c>
      <c r="C116" s="12">
        <f>'Income Statement'!C15</f>
        <v>99</v>
      </c>
      <c r="D116" s="12">
        <f>'Income Statement'!D15</f>
        <v>127</v>
      </c>
      <c r="E116" s="12">
        <f>'Income Statement'!E15</f>
        <v>139</v>
      </c>
      <c r="F116" s="12">
        <f>'Income Statement'!F15</f>
        <v>117</v>
      </c>
      <c r="G116" s="12">
        <f>'Income Statement'!G15</f>
        <v>482</v>
      </c>
      <c r="H116" s="12">
        <f>'Income Statement'!H15</f>
        <v>107</v>
      </c>
      <c r="I116" s="12">
        <f>'Income Statement'!I15</f>
        <v>138</v>
      </c>
      <c r="J116" s="48">
        <f>'Income Statement'!J15</f>
        <v>125</v>
      </c>
    </row>
    <row r="117">
      <c r="B117" s="58" t="s">
        <v>70</v>
      </c>
      <c r="C117" s="26"/>
      <c r="D117" s="26">
        <f>D116/C116-1</f>
        <v>0.2828282828282829</v>
      </c>
      <c r="E117" s="26">
        <f>E116/D116-1</f>
        <v>0.09448818897637801</v>
      </c>
      <c r="F117" s="26">
        <f>F116/E116-1</f>
        <v>-0.15827338129496404</v>
      </c>
      <c r="G117" s="26"/>
      <c r="H117" s="26">
        <f>H116/F116-1</f>
        <v>-0.0854700854700855</v>
      </c>
      <c r="I117" s="26">
        <f>I116/H116-1</f>
        <v>0.2897196261682242</v>
      </c>
      <c r="J117" s="60">
        <f>J116/I116-1</f>
        <v>-0.09420289855072461</v>
      </c>
    </row>
    <row r="118">
      <c r="B118" s="58" t="s">
        <v>81</v>
      </c>
      <c r="C118" s="26">
        <f>C116/C10</f>
        <v>0.030146163215590743</v>
      </c>
      <c r="D118" s="26">
        <f>D116/D10</f>
        <v>0.036832946635730855</v>
      </c>
      <c r="E118" s="26">
        <f>E116/E10</f>
        <v>0.03921015514809591</v>
      </c>
      <c r="F118" s="26">
        <f>F116/F10</f>
        <v>0.03190619034633215</v>
      </c>
      <c r="G118" s="26">
        <f>G116/G10</f>
        <v>0.034566838783706255</v>
      </c>
      <c r="H118" s="26">
        <f>H116/H10</f>
        <v>0.028187565858798735</v>
      </c>
      <c r="I118" s="26">
        <f>I116/I10</f>
        <v>0.03409090909090909</v>
      </c>
      <c r="J118" s="60">
        <f>J116/J10</f>
        <v>0.030699479415392868</v>
      </c>
    </row>
    <row r="119">
      <c r="B119" s="53" t="s">
        <v>87</v>
      </c>
      <c r="C119" s="26" t="s">
        <v>46</v>
      </c>
      <c r="D119" s="26" t="s">
        <v>46</v>
      </c>
      <c r="E119" s="26" t="s">
        <v>46</v>
      </c>
      <c r="F119" s="26" t="s">
        <v>46</v>
      </c>
      <c r="G119" s="26" t="s">
        <v>46</v>
      </c>
      <c r="H119" s="26">
        <f>H116/C116-1</f>
        <v>0.08080808080808088</v>
      </c>
      <c r="I119" s="26">
        <f>I116/D116-1</f>
        <v>0.08661417322834652</v>
      </c>
      <c r="J119" s="60">
        <f>J116/E116-1</f>
        <v>-0.1007194244604317</v>
      </c>
    </row>
    <row r="120">
      <c r="B120" s="76" t="s">
        <v>71</v>
      </c>
      <c r="C120" s="3" t="s">
        <v>46</v>
      </c>
      <c r="D120" s="3" t="s">
        <v>46</v>
      </c>
      <c r="E120" s="3" t="s">
        <v>46</v>
      </c>
      <c r="F120" s="3" t="s">
        <v>46</v>
      </c>
      <c r="G120" s="3" t="s">
        <v>46</v>
      </c>
      <c r="H120" s="46">
        <v>0</v>
      </c>
      <c r="I120" s="46">
        <v>0</v>
      </c>
      <c r="J120" s="57" t="s">
        <v>72</v>
      </c>
    </row>
    <row r="121">
      <c r="B121" s="53" t="s">
        <v>73</v>
      </c>
      <c r="C121" s="26" t="s">
        <v>46</v>
      </c>
      <c r="D121" s="26" t="s">
        <v>46</v>
      </c>
      <c r="E121" s="26" t="s">
        <v>46</v>
      </c>
      <c r="F121" s="26" t="s">
        <v>46</v>
      </c>
      <c r="G121" s="26" t="s">
        <v>46</v>
      </c>
      <c r="H121" s="26">
        <f>H120/C116</f>
        <v>0</v>
      </c>
      <c r="I121" s="26">
        <f>I120/D116</f>
        <v>0</v>
      </c>
      <c r="J121" s="60" t="s">
        <v>46</v>
      </c>
    </row>
    <row r="122">
      <c r="B122" s="53" t="s">
        <v>74</v>
      </c>
      <c r="C122" s="26" t="s">
        <v>46</v>
      </c>
      <c r="D122" s="26" t="s">
        <v>46</v>
      </c>
      <c r="E122" s="26" t="s">
        <v>46</v>
      </c>
      <c r="F122" s="26" t="s">
        <v>46</v>
      </c>
      <c r="G122" s="26" t="s">
        <v>46</v>
      </c>
      <c r="H122" s="26" t="s">
        <v>47</v>
      </c>
      <c r="I122" s="26" t="s">
        <v>47</v>
      </c>
      <c r="J122" s="60" t="s">
        <v>47</v>
      </c>
    </row>
    <row r="123">
      <c r="B123" s="53" t="s">
        <v>75</v>
      </c>
      <c r="C123" s="26" t="s">
        <v>46</v>
      </c>
      <c r="D123" s="26" t="s">
        <v>46</v>
      </c>
      <c r="E123" s="26" t="s">
        <v>46</v>
      </c>
      <c r="F123" s="26" t="s">
        <v>46</v>
      </c>
      <c r="G123" s="26" t="s">
        <v>46</v>
      </c>
      <c r="H123" s="26">
        <f>(1+H119)/(1+H121)-1</f>
        <v>0.08080808080808088</v>
      </c>
      <c r="I123" s="26">
        <f>(1+I119)/(1+I121)-1</f>
        <v>0.08661417322834652</v>
      </c>
      <c r="J123" s="60" t="s">
        <v>46</v>
      </c>
    </row>
    <row r="124" ht="24">
      <c r="B124" s="81" t="s">
        <v>76</v>
      </c>
      <c r="C124" s="80" t="s">
        <v>46</v>
      </c>
      <c r="D124" s="80" t="s">
        <v>46</v>
      </c>
      <c r="E124" s="80" t="s">
        <v>46</v>
      </c>
      <c r="F124" s="80" t="s">
        <v>46</v>
      </c>
      <c r="G124" s="80" t="s">
        <v>46</v>
      </c>
      <c r="H124" s="80" t="s">
        <v>46</v>
      </c>
      <c r="I124" s="80" t="s">
        <v>46</v>
      </c>
      <c r="J124" s="87" t="s">
        <v>46</v>
      </c>
    </row>
    <row r="125">
      <c r="B125" s="19" t="s">
        <v>101</v>
      </c>
      <c r="C125" s="52">
        <f>'Income Statement'!C16</f>
        <v>2570</v>
      </c>
      <c r="D125" s="52">
        <f>'Income Statement'!D16</f>
        <v>2719</v>
      </c>
      <c r="E125" s="52">
        <f>'Income Statement'!E16</f>
        <v>2829</v>
      </c>
      <c r="F125" s="52">
        <f>'Income Statement'!F16</f>
        <v>2862</v>
      </c>
      <c r="G125" s="52">
        <f>'Income Statement'!G16</f>
        <v>10980</v>
      </c>
      <c r="H125" s="52">
        <f>'Income Statement'!H16</f>
        <v>2960</v>
      </c>
      <c r="I125" s="52">
        <f>'Income Statement'!I16</f>
        <v>3188</v>
      </c>
      <c r="J125" s="135">
        <f>'Income Statement'!J16</f>
        <v>3213.9563101369863</v>
      </c>
    </row>
    <row r="126" ht="24">
      <c r="B126" s="83" t="s">
        <v>102</v>
      </c>
      <c r="C126" s="59">
        <v>2422</v>
      </c>
      <c r="D126" s="59">
        <v>2456</v>
      </c>
      <c r="E126" s="59">
        <v>2616</v>
      </c>
      <c r="F126" s="59">
        <v>2662</v>
      </c>
      <c r="G126" s="25">
        <f>SUM(C126:F126)</f>
        <v>10156</v>
      </c>
      <c r="H126" s="25">
        <f>C125</f>
        <v>2570</v>
      </c>
      <c r="I126" s="25">
        <f>D125</f>
        <v>2719</v>
      </c>
      <c r="J126" s="86">
        <f>E125</f>
        <v>2829</v>
      </c>
    </row>
    <row r="127">
      <c r="B127" s="58" t="s">
        <v>70</v>
      </c>
      <c r="C127" s="26"/>
      <c r="D127" s="26">
        <f>D125/C125-1</f>
        <v>0.05797665369649807</v>
      </c>
      <c r="E127" s="26">
        <f>E125/D125-1</f>
        <v>0.040456050018389034</v>
      </c>
      <c r="F127" s="26">
        <f>F125/E125-1</f>
        <v>0.01166489925768821</v>
      </c>
      <c r="G127" s="26"/>
      <c r="H127" s="26">
        <f>H125/F125-1</f>
        <v>0.03424178895877006</v>
      </c>
      <c r="I127" s="26">
        <f>I125/H125-1</f>
        <v>0.07702702702702702</v>
      </c>
      <c r="J127" s="60">
        <f>J125/I125-1</f>
        <v>0.008141878963922933</v>
      </c>
    </row>
    <row r="128">
      <c r="B128" s="58" t="s">
        <v>81</v>
      </c>
      <c r="C128" s="26">
        <f>C125/C10</f>
        <v>0.7825822168087698</v>
      </c>
      <c r="D128" s="26">
        <f>D125/D10</f>
        <v>0.7885730858468677</v>
      </c>
      <c r="E128" s="26">
        <f>E125/E10</f>
        <v>0.7980253878702398</v>
      </c>
      <c r="F128" s="26">
        <f>F125/F10</f>
        <v>0.7804745023179711</v>
      </c>
      <c r="G128" s="26">
        <f>G125/G10</f>
        <v>0.7874354561101549</v>
      </c>
      <c r="H128" s="26">
        <f>H125/H10</f>
        <v>0.779768177028451</v>
      </c>
      <c r="I128" s="26">
        <f>I125/I10</f>
        <v>0.7875494071146245</v>
      </c>
      <c r="J128" s="60">
        <f>J125/J10</f>
        <v>0.7893342846801794</v>
      </c>
    </row>
    <row r="129">
      <c r="B129" s="53" t="s">
        <v>87</v>
      </c>
      <c r="C129" s="26">
        <f>C125/C126-1</f>
        <v>0.06110652353426915</v>
      </c>
      <c r="D129" s="26">
        <f>D125/D126-1</f>
        <v>0.10708469055374592</v>
      </c>
      <c r="E129" s="26">
        <f>E125/E126-1</f>
        <v>0.08142201834862384</v>
      </c>
      <c r="F129" s="26">
        <f>F125/F126-1</f>
        <v>0.07513148009015769</v>
      </c>
      <c r="G129" s="26">
        <f>G125/G126-1</f>
        <v>0.08113430484442685</v>
      </c>
      <c r="H129" s="26">
        <f>H125/H126-1</f>
        <v>0.15175097276264582</v>
      </c>
      <c r="I129" s="26">
        <f>I125/I126-1</f>
        <v>0.17248988598749548</v>
      </c>
      <c r="J129" s="60">
        <f>J125/J126-1</f>
        <v>0.13607504776846469</v>
      </c>
    </row>
    <row r="130">
      <c r="B130" s="76" t="s">
        <v>71</v>
      </c>
      <c r="C130" s="3" t="s">
        <v>47</v>
      </c>
      <c r="D130" s="3" t="s">
        <v>47</v>
      </c>
      <c r="E130" s="46">
        <v>18</v>
      </c>
      <c r="F130" s="46">
        <v>28</v>
      </c>
      <c r="G130" s="46">
        <v>50</v>
      </c>
      <c r="H130" s="46">
        <v>41</v>
      </c>
      <c r="I130" s="46">
        <v>10</v>
      </c>
      <c r="J130" s="57" t="s">
        <v>72</v>
      </c>
    </row>
    <row r="131">
      <c r="B131" s="53" t="s">
        <v>73</v>
      </c>
      <c r="C131" s="26" t="s">
        <v>47</v>
      </c>
      <c r="D131" s="26" t="s">
        <v>47</v>
      </c>
      <c r="E131" s="26">
        <f>E130/E126</f>
        <v>0.006880733944954129</v>
      </c>
      <c r="F131" s="26">
        <f>F130/F126</f>
        <v>0.010518407212622089</v>
      </c>
      <c r="G131" s="26">
        <f>G130/G126</f>
        <v>0.004923198109491926</v>
      </c>
      <c r="H131" s="26">
        <f>H130/H126</f>
        <v>0.015953307392996108</v>
      </c>
      <c r="I131" s="26">
        <f>I130/I126</f>
        <v>0.003677822728944465</v>
      </c>
      <c r="J131" s="60" t="s">
        <v>46</v>
      </c>
    </row>
    <row r="132">
      <c r="B132" s="53" t="s">
        <v>74</v>
      </c>
      <c r="C132" s="26" t="s">
        <v>47</v>
      </c>
      <c r="D132" s="26" t="s">
        <v>47</v>
      </c>
      <c r="E132" s="26" t="s">
        <v>47</v>
      </c>
      <c r="F132" s="26" t="s">
        <v>47</v>
      </c>
      <c r="G132" s="26" t="s">
        <v>47</v>
      </c>
      <c r="H132" s="26" t="s">
        <v>47</v>
      </c>
      <c r="I132" s="26" t="s">
        <v>47</v>
      </c>
      <c r="J132" s="60" t="s">
        <v>47</v>
      </c>
    </row>
    <row r="133">
      <c r="B133" s="53" t="s">
        <v>75</v>
      </c>
      <c r="C133" s="26" t="s">
        <v>46</v>
      </c>
      <c r="D133" s="26" t="s">
        <v>46</v>
      </c>
      <c r="E133" s="26">
        <f>(1+E129)/(1+E131)-1</f>
        <v>0.07403189066059213</v>
      </c>
      <c r="F133" s="26">
        <f>(1+F129)/(1+F131)-1</f>
        <v>0.06394052044609655</v>
      </c>
      <c r="G133" s="26">
        <f>(1+G129)/(1+G131)-1</f>
        <v>0.075837742504409</v>
      </c>
      <c r="H133" s="26">
        <f>(1+H129)/(1+H131)-1</f>
        <v>0.1336652623515895</v>
      </c>
      <c r="I133" s="26">
        <f>(1+I129)/(1+I131)-1</f>
        <v>0.16819347746427282</v>
      </c>
      <c r="J133" s="60" t="s">
        <v>46</v>
      </c>
    </row>
    <row r="134" ht="24">
      <c r="B134" s="81" t="s">
        <v>76</v>
      </c>
      <c r="C134" s="80" t="s">
        <v>46</v>
      </c>
      <c r="D134" s="80" t="s">
        <v>46</v>
      </c>
      <c r="E134" s="80" t="s">
        <v>46</v>
      </c>
      <c r="F134" s="80" t="s">
        <v>46</v>
      </c>
      <c r="G134" s="80" t="s">
        <v>46</v>
      </c>
      <c r="H134" s="80" t="s">
        <v>46</v>
      </c>
      <c r="I134" s="80" t="s">
        <v>46</v>
      </c>
      <c r="J134" s="87" t="s">
        <v>46</v>
      </c>
    </row>
    <row r="135">
      <c r="B135" s="19" t="s">
        <v>103</v>
      </c>
      <c r="C135" s="52">
        <f>'Income Statement'!C22</f>
        <v>714</v>
      </c>
      <c r="D135" s="52">
        <f>'Income Statement'!D22</f>
        <v>729</v>
      </c>
      <c r="E135" s="52">
        <f>'Income Statement'!E22</f>
        <v>715</v>
      </c>
      <c r="F135" s="52">
        <f>'Income Statement'!F22</f>
        <v>802</v>
      </c>
      <c r="G135" s="52">
        <f>'Income Statement'!G22</f>
        <v>2960</v>
      </c>
      <c r="H135" s="52">
        <f>'Income Statement'!H22</f>
        <v>835</v>
      </c>
      <c r="I135" s="52">
        <f>'Income Statement'!I22</f>
        <v>860</v>
      </c>
      <c r="J135" s="135">
        <f>'Income Statement'!J22</f>
        <v>857.7739726027398</v>
      </c>
    </row>
    <row r="136" ht="24">
      <c r="B136" s="83" t="s">
        <v>104</v>
      </c>
      <c r="C136" s="59">
        <v>716</v>
      </c>
      <c r="D136" s="59">
        <v>735</v>
      </c>
      <c r="E136" s="59">
        <v>723</v>
      </c>
      <c r="F136" s="59">
        <v>749</v>
      </c>
      <c r="G136" s="25">
        <f>SUM(C136:F136)</f>
        <v>2923</v>
      </c>
      <c r="H136" s="25">
        <f>C135</f>
        <v>714</v>
      </c>
      <c r="I136" s="25">
        <f>D135</f>
        <v>729</v>
      </c>
      <c r="J136" s="86">
        <f>E135</f>
        <v>715</v>
      </c>
    </row>
    <row r="137">
      <c r="B137" s="58" t="s">
        <v>70</v>
      </c>
      <c r="C137" s="26"/>
      <c r="D137" s="26">
        <f>D135/C135-1</f>
        <v>0.021008403361344463</v>
      </c>
      <c r="E137" s="26">
        <f>E135/D135-1</f>
        <v>-0.019204389574759895</v>
      </c>
      <c r="F137" s="26">
        <f>F135/E135-1</f>
        <v>0.12167832167832171</v>
      </c>
      <c r="G137" s="26"/>
      <c r="H137" s="26">
        <f>H135/F135-1</f>
        <v>0.041147132169575995</v>
      </c>
      <c r="I137" s="26">
        <f>I135/H135-1</f>
        <v>0.029940119760478945</v>
      </c>
      <c r="J137" s="60">
        <f>J135/I135-1</f>
        <v>-0.0025884039503025758</v>
      </c>
    </row>
    <row r="138">
      <c r="B138" s="58" t="s">
        <v>81</v>
      </c>
      <c r="C138" s="26">
        <f>C135/C10</f>
        <v>0.2174177831912302</v>
      </c>
      <c r="D138" s="26">
        <f>D135/D10</f>
        <v>0.21142691415313225</v>
      </c>
      <c r="E138" s="26">
        <f>E135/E10</f>
        <v>0.2016925246826516</v>
      </c>
      <c r="F138" s="26">
        <f>F135/F10</f>
        <v>0.21870739023725116</v>
      </c>
      <c r="G138" s="26">
        <f>G135/G10</f>
        <v>0.21227768215720022</v>
      </c>
      <c r="H138" s="26">
        <f>H135/H10</f>
        <v>0.21996838777660696</v>
      </c>
      <c r="I138" s="26">
        <f>I135/I10</f>
        <v>0.2124505928853755</v>
      </c>
      <c r="J138" s="60">
        <f>J135/J10</f>
        <v>0.21066571531982062</v>
      </c>
    </row>
    <row r="139">
      <c r="B139" s="53" t="s">
        <v>87</v>
      </c>
      <c r="C139" s="26">
        <f>C135/C136-1</f>
        <v>-0.0027932960893854997</v>
      </c>
      <c r="D139" s="26">
        <f>D135/D136-1</f>
        <v>-0.008163265306122436</v>
      </c>
      <c r="E139" s="26">
        <f>E135/E136-1</f>
        <v>-0.011065006915629283</v>
      </c>
      <c r="F139" s="26">
        <f>F135/F136-1</f>
        <v>0.07076101468624829</v>
      </c>
      <c r="G139" s="26">
        <f>G135/G136-1</f>
        <v>0.012658227848101333</v>
      </c>
      <c r="H139" s="26">
        <f>H135/H136-1</f>
        <v>0.169467787114846</v>
      </c>
      <c r="I139" s="26">
        <f>I135/I136-1</f>
        <v>0.17969821673525388</v>
      </c>
      <c r="J139" s="60">
        <f>J135/J136-1</f>
        <v>0.19968387776606966</v>
      </c>
    </row>
    <row r="140">
      <c r="B140" s="76" t="s">
        <v>71</v>
      </c>
      <c r="C140" s="3" t="s">
        <v>47</v>
      </c>
      <c r="D140" s="3" t="s">
        <v>47</v>
      </c>
      <c r="E140" s="46">
        <v>12</v>
      </c>
      <c r="F140" s="46">
        <v>17</v>
      </c>
      <c r="G140" s="46">
        <v>32</v>
      </c>
      <c r="H140" s="46">
        <v>22</v>
      </c>
      <c r="I140" s="46">
        <v>4</v>
      </c>
      <c r="J140" s="57" t="s">
        <v>72</v>
      </c>
    </row>
    <row r="141">
      <c r="B141" s="53" t="s">
        <v>73</v>
      </c>
      <c r="C141" s="26" t="s">
        <v>47</v>
      </c>
      <c r="D141" s="26" t="s">
        <v>47</v>
      </c>
      <c r="E141" s="26">
        <f>E140/E136</f>
        <v>0.016597510373443983</v>
      </c>
      <c r="F141" s="26">
        <f>F140/F136</f>
        <v>0.022696929238985315</v>
      </c>
      <c r="G141" s="26">
        <f>G140/G136</f>
        <v>0.01094765651727677</v>
      </c>
      <c r="H141" s="26">
        <f>H140/H136</f>
        <v>0.03081232492997199</v>
      </c>
      <c r="I141" s="26">
        <f>I140/I136</f>
        <v>0.0054869684499314125</v>
      </c>
      <c r="J141" s="60" t="s">
        <v>46</v>
      </c>
    </row>
    <row r="142">
      <c r="B142" s="53" t="s">
        <v>74</v>
      </c>
      <c r="C142" s="26" t="s">
        <v>47</v>
      </c>
      <c r="D142" s="26" t="s">
        <v>47</v>
      </c>
      <c r="E142" s="26" t="s">
        <v>47</v>
      </c>
      <c r="F142" s="26" t="s">
        <v>47</v>
      </c>
      <c r="G142" s="26" t="s">
        <v>47</v>
      </c>
      <c r="H142" s="26" t="s">
        <v>47</v>
      </c>
      <c r="I142" s="26" t="s">
        <v>47</v>
      </c>
      <c r="J142" s="60" t="s">
        <v>47</v>
      </c>
    </row>
    <row r="143">
      <c r="B143" s="53" t="s">
        <v>75</v>
      </c>
      <c r="C143" s="26" t="s">
        <v>46</v>
      </c>
      <c r="D143" s="26" t="s">
        <v>46</v>
      </c>
      <c r="E143" s="26">
        <f>(1+E139)/(1+E141)-1</f>
        <v>-0.027210884353741416</v>
      </c>
      <c r="F143" s="26">
        <f>(1+F139)/(1+F141)-1</f>
        <v>0.04699738903394257</v>
      </c>
      <c r="G143" s="26">
        <f>(1+G139)/(1+G141)-1</f>
        <v>0.0016920473773265332</v>
      </c>
      <c r="H143" s="26">
        <f>(1+H139)/(1+H141)-1</f>
        <v>0.13451086956521752</v>
      </c>
      <c r="I143" s="26">
        <f>(1+I139)/(1+I141)-1</f>
        <v>0.17326057298772168</v>
      </c>
      <c r="J143" s="60" t="s">
        <v>46</v>
      </c>
    </row>
    <row r="144" ht="24">
      <c r="B144" s="81" t="s">
        <v>76</v>
      </c>
      <c r="C144" s="80" t="s">
        <v>46</v>
      </c>
      <c r="D144" s="80" t="s">
        <v>46</v>
      </c>
      <c r="E144" s="80" t="s">
        <v>46</v>
      </c>
      <c r="F144" s="80" t="s">
        <v>46</v>
      </c>
      <c r="G144" s="80" t="s">
        <v>46</v>
      </c>
      <c r="H144" s="80" t="s">
        <v>46</v>
      </c>
      <c r="I144" s="80" t="s">
        <v>46</v>
      </c>
      <c r="J144" s="87" t="s">
        <v>46</v>
      </c>
    </row>
    <row r="145">
      <c r="B145" s="2" t="s">
        <v>105</v>
      </c>
      <c r="C145" s="12">
        <f>'Income Statement'!C26</f>
        <v>0</v>
      </c>
      <c r="D145" s="12">
        <f>'Income Statement'!D26</f>
        <v>0</v>
      </c>
      <c r="E145" s="12">
        <f>'Income Statement'!E26</f>
        <v>1</v>
      </c>
      <c r="F145" s="12">
        <f>'Income Statement'!F26</f>
        <v>3</v>
      </c>
      <c r="G145" s="12">
        <f>'Income Statement'!G26</f>
        <v>4</v>
      </c>
      <c r="H145" s="12">
        <f>'Income Statement'!H26</f>
        <v>1</v>
      </c>
      <c r="I145" s="12">
        <f>'Income Statement'!I26</f>
        <v>0</v>
      </c>
      <c r="J145" s="48">
        <f>'Income Statement'!J26</f>
        <v>0</v>
      </c>
    </row>
    <row r="146">
      <c r="B146" s="50" t="s">
        <v>86</v>
      </c>
      <c r="C146" s="3"/>
      <c r="D146" s="3">
        <f>D145-C145</f>
        <v>0</v>
      </c>
      <c r="E146" s="3">
        <f>E145-D145</f>
        <v>1</v>
      </c>
      <c r="F146" s="3">
        <f>F145-E145</f>
        <v>2</v>
      </c>
      <c r="G146" s="3"/>
      <c r="H146" s="3">
        <f>H145-F145</f>
        <v>-2</v>
      </c>
      <c r="I146" s="3">
        <f>I145-H145</f>
        <v>-1</v>
      </c>
      <c r="J146" s="57">
        <f>J145-I145</f>
        <v>0</v>
      </c>
    </row>
    <row r="147">
      <c r="B147" s="58" t="s">
        <v>81</v>
      </c>
      <c r="C147" s="26">
        <f>C145/C10</f>
        <v>0</v>
      </c>
      <c r="D147" s="26">
        <f>D145/D10</f>
        <v>0</v>
      </c>
      <c r="E147" s="26">
        <f>E145/E10</f>
        <v>0.00028208744710860365</v>
      </c>
      <c r="F147" s="26">
        <f>F145/F10</f>
        <v>0.0008181074447777475</v>
      </c>
      <c r="G147" s="26">
        <f>G145/G10</f>
        <v>0.00028686173264486515</v>
      </c>
      <c r="H147" s="26">
        <f>H145/H10</f>
        <v>0.00026343519494204424</v>
      </c>
      <c r="I147" s="26">
        <f>I145/I10</f>
        <v>0</v>
      </c>
      <c r="J147" s="60">
        <f>J145/J10</f>
        <v>0</v>
      </c>
    </row>
    <row r="148">
      <c r="B148" s="53" t="s">
        <v>87</v>
      </c>
      <c r="C148" s="26" t="s">
        <v>88</v>
      </c>
      <c r="D148" s="26" t="s">
        <v>88</v>
      </c>
      <c r="E148" s="26" t="s">
        <v>88</v>
      </c>
      <c r="F148" s="26" t="s">
        <v>88</v>
      </c>
      <c r="G148" s="26" t="s">
        <v>88</v>
      </c>
      <c r="H148" s="26" t="s">
        <v>88</v>
      </c>
      <c r="I148" s="26" t="s">
        <v>88</v>
      </c>
      <c r="J148" s="60" t="s">
        <v>88</v>
      </c>
    </row>
    <row r="149">
      <c r="B149" s="76" t="s">
        <v>71</v>
      </c>
      <c r="C149" s="3" t="s">
        <v>47</v>
      </c>
      <c r="D149" s="3" t="s">
        <v>47</v>
      </c>
      <c r="E149" s="3" t="s">
        <v>47</v>
      </c>
      <c r="F149" s="3" t="s">
        <v>47</v>
      </c>
      <c r="G149" s="3" t="s">
        <v>47</v>
      </c>
      <c r="H149" s="3" t="s">
        <v>47</v>
      </c>
      <c r="I149" s="3" t="s">
        <v>47</v>
      </c>
      <c r="J149" s="57" t="s">
        <v>47</v>
      </c>
    </row>
    <row r="150">
      <c r="B150" s="53" t="s">
        <v>73</v>
      </c>
      <c r="C150" s="26" t="s">
        <v>47</v>
      </c>
      <c r="D150" s="26" t="s">
        <v>47</v>
      </c>
      <c r="E150" s="26" t="s">
        <v>47</v>
      </c>
      <c r="F150" s="26" t="s">
        <v>47</v>
      </c>
      <c r="G150" s="26" t="s">
        <v>47</v>
      </c>
      <c r="H150" s="26" t="s">
        <v>47</v>
      </c>
      <c r="I150" s="26" t="s">
        <v>47</v>
      </c>
      <c r="J150" s="60" t="s">
        <v>47</v>
      </c>
    </row>
    <row r="151">
      <c r="B151" s="53" t="s">
        <v>74</v>
      </c>
      <c r="C151" s="26" t="s">
        <v>47</v>
      </c>
      <c r="D151" s="26" t="s">
        <v>47</v>
      </c>
      <c r="E151" s="26" t="s">
        <v>47</v>
      </c>
      <c r="F151" s="26" t="s">
        <v>47</v>
      </c>
      <c r="G151" s="26" t="s">
        <v>47</v>
      </c>
      <c r="H151" s="26" t="s">
        <v>47</v>
      </c>
      <c r="I151" s="26" t="s">
        <v>47</v>
      </c>
      <c r="J151" s="60" t="s">
        <v>47</v>
      </c>
    </row>
    <row r="152">
      <c r="B152" s="53" t="s">
        <v>75</v>
      </c>
      <c r="C152" s="26" t="s">
        <v>88</v>
      </c>
      <c r="D152" s="26" t="s">
        <v>88</v>
      </c>
      <c r="E152" s="26" t="s">
        <v>88</v>
      </c>
      <c r="F152" s="26" t="s">
        <v>88</v>
      </c>
      <c r="G152" s="26" t="s">
        <v>88</v>
      </c>
      <c r="H152" s="26" t="s">
        <v>88</v>
      </c>
      <c r="I152" s="26" t="s">
        <v>88</v>
      </c>
      <c r="J152" s="60" t="s">
        <v>88</v>
      </c>
    </row>
    <row r="153" ht="24">
      <c r="B153" s="81" t="s">
        <v>76</v>
      </c>
      <c r="C153" s="80" t="s">
        <v>88</v>
      </c>
      <c r="D153" s="80" t="s">
        <v>88</v>
      </c>
      <c r="E153" s="80" t="s">
        <v>88</v>
      </c>
      <c r="F153" s="80" t="s">
        <v>88</v>
      </c>
      <c r="G153" s="80" t="s">
        <v>88</v>
      </c>
      <c r="H153" s="80" t="s">
        <v>88</v>
      </c>
      <c r="I153" s="80" t="s">
        <v>88</v>
      </c>
      <c r="J153" s="87" t="s">
        <v>88</v>
      </c>
    </row>
    <row r="154">
      <c r="B154" s="19" t="s">
        <v>106</v>
      </c>
      <c r="C154" s="38">
        <f>C125+C135+C145</f>
        <v>3284</v>
      </c>
      <c r="D154" s="38">
        <f>D125+D135+D145</f>
        <v>3448</v>
      </c>
      <c r="E154" s="38">
        <f>E125+E135+E145</f>
        <v>3545</v>
      </c>
      <c r="F154" s="38">
        <f>F125+F135+F145</f>
        <v>3667</v>
      </c>
      <c r="G154" s="38">
        <f>G125+G135+G145</f>
        <v>13944</v>
      </c>
      <c r="H154" s="38">
        <f>H125+H135+H145</f>
        <v>3796</v>
      </c>
      <c r="I154" s="38">
        <f>I125+I135+I145</f>
        <v>4048</v>
      </c>
      <c r="J154" s="63">
        <f>J125+J135+J145</f>
        <v>4071.730282739726</v>
      </c>
    </row>
    <row r="155" ht="24">
      <c r="B155" s="17" t="s">
        <v>107</v>
      </c>
      <c r="C155" s="5">
        <f>C154-C10</f>
        <v>0</v>
      </c>
      <c r="D155" s="5">
        <f>D154-D10</f>
        <v>0</v>
      </c>
      <c r="E155" s="5">
        <f>E154-E10</f>
        <v>0</v>
      </c>
      <c r="F155" s="5">
        <f>F154-F10</f>
        <v>0</v>
      </c>
      <c r="G155" s="5">
        <f>G154-G10</f>
        <v>0</v>
      </c>
      <c r="H155" s="5">
        <f>H154-H10</f>
        <v>0</v>
      </c>
      <c r="I155" s="5">
        <f>I154-I10</f>
        <v>0</v>
      </c>
      <c r="J155" s="64">
        <f>J154-J10</f>
        <v>0</v>
      </c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J29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108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109</v>
      </c>
      <c r="C9" s="2"/>
      <c r="D9" s="2"/>
      <c r="E9" s="2"/>
      <c r="F9" s="2"/>
      <c r="G9" s="2"/>
      <c r="H9" s="2"/>
      <c r="I9" s="2"/>
      <c r="J9" s="2"/>
    </row>
    <row r="10">
      <c r="B10" s="2" t="s">
        <v>110</v>
      </c>
      <c r="C10" s="46">
        <v>46560</v>
      </c>
      <c r="D10" s="3">
        <f>C21</f>
        <v>46733</v>
      </c>
      <c r="E10" s="3">
        <f>D21</f>
        <v>49000</v>
      </c>
      <c r="F10" s="3">
        <f>E21</f>
        <v>51664</v>
      </c>
      <c r="G10" s="3">
        <f>C10</f>
        <v>46560</v>
      </c>
      <c r="H10" s="3">
        <f>F21</f>
        <v>53800</v>
      </c>
      <c r="I10" s="3">
        <f>H21</f>
        <v>54515</v>
      </c>
      <c r="J10" s="57">
        <f>I21</f>
        <v>57858</v>
      </c>
    </row>
    <row r="11">
      <c r="B11" s="50" t="s">
        <v>111</v>
      </c>
      <c r="C11" s="3">
        <f>C21-C10</f>
        <v>173</v>
      </c>
      <c r="D11" s="3">
        <f>D21-D10</f>
        <v>2267</v>
      </c>
      <c r="E11" s="3">
        <f>E21-E10</f>
        <v>2664</v>
      </c>
      <c r="F11" s="3">
        <f>F21-F10</f>
        <v>2136</v>
      </c>
      <c r="G11" s="3">
        <f>G21-G10</f>
        <v>7240</v>
      </c>
      <c r="H11" s="3">
        <f>H21-H10</f>
        <v>715</v>
      </c>
      <c r="I11" s="3">
        <f>I21-I10</f>
        <v>3343</v>
      </c>
      <c r="J11" s="57">
        <f>J21-J10</f>
        <v>778.5800000000017</v>
      </c>
    </row>
    <row r="12">
      <c r="B12" s="76" t="s">
        <v>112</v>
      </c>
      <c r="C12" s="3" t="s">
        <v>47</v>
      </c>
      <c r="D12" s="3" t="s">
        <v>47</v>
      </c>
      <c r="E12" s="3" t="s">
        <v>47</v>
      </c>
      <c r="F12" s="3" t="s">
        <v>47</v>
      </c>
      <c r="G12" s="3" t="s">
        <v>46</v>
      </c>
      <c r="H12" s="3" t="s">
        <v>47</v>
      </c>
      <c r="I12" s="46">
        <v>228</v>
      </c>
      <c r="J12" s="96">
        <v>200</v>
      </c>
    </row>
    <row r="13">
      <c r="B13" s="95" t="s">
        <v>113</v>
      </c>
      <c r="C13" s="3" t="s">
        <v>46</v>
      </c>
      <c r="D13" s="3" t="s">
        <v>46</v>
      </c>
      <c r="E13" s="3" t="s">
        <v>46</v>
      </c>
      <c r="F13" s="3" t="s">
        <v>46</v>
      </c>
      <c r="G13" s="3" t="s">
        <v>46</v>
      </c>
      <c r="H13" s="3" t="s">
        <v>46</v>
      </c>
      <c r="I13" s="3" t="s">
        <v>46</v>
      </c>
      <c r="J13" s="57" t="s">
        <v>46</v>
      </c>
    </row>
    <row r="14">
      <c r="B14" s="95" t="s">
        <v>86</v>
      </c>
      <c r="C14" s="3"/>
      <c r="D14" s="3"/>
      <c r="E14" s="3"/>
      <c r="F14" s="3"/>
      <c r="G14" s="3"/>
      <c r="H14" s="3"/>
      <c r="I14" s="3"/>
      <c r="J14" s="57">
        <f>J12-I12</f>
        <v>-28</v>
      </c>
    </row>
    <row r="15">
      <c r="B15" s="76" t="s">
        <v>114</v>
      </c>
      <c r="C15" s="3" t="s">
        <v>47</v>
      </c>
      <c r="D15" s="3" t="s">
        <v>47</v>
      </c>
      <c r="E15" s="3" t="s">
        <v>47</v>
      </c>
      <c r="F15" s="3" t="s">
        <v>47</v>
      </c>
      <c r="G15" s="3" t="s">
        <v>46</v>
      </c>
      <c r="H15" s="3" t="s">
        <v>47</v>
      </c>
      <c r="I15" s="3">
        <f>I11-I12</f>
        <v>3115</v>
      </c>
      <c r="J15" s="57">
        <f>J10*J18</f>
        <v>578.58</v>
      </c>
    </row>
    <row r="16">
      <c r="B16" s="95" t="s">
        <v>113</v>
      </c>
      <c r="C16" s="3" t="s">
        <v>46</v>
      </c>
      <c r="D16" s="3" t="s">
        <v>46</v>
      </c>
      <c r="E16" s="3" t="s">
        <v>46</v>
      </c>
      <c r="F16" s="3" t="s">
        <v>46</v>
      </c>
      <c r="G16" s="3" t="s">
        <v>46</v>
      </c>
      <c r="H16" s="3" t="s">
        <v>46</v>
      </c>
      <c r="I16" s="3" t="s">
        <v>46</v>
      </c>
      <c r="J16" s="57" t="s">
        <v>46</v>
      </c>
    </row>
    <row r="17">
      <c r="B17" s="95" t="s">
        <v>86</v>
      </c>
      <c r="C17" s="3"/>
      <c r="D17" s="3"/>
      <c r="E17" s="3"/>
      <c r="F17" s="3"/>
      <c r="G17" s="3"/>
      <c r="H17" s="3"/>
      <c r="I17" s="3"/>
      <c r="J17" s="57">
        <f>J15-I15</f>
        <v>-2536.42</v>
      </c>
    </row>
    <row r="18" ht="24">
      <c r="B18" s="81" t="s">
        <v>115</v>
      </c>
      <c r="C18" s="80" t="s">
        <v>47</v>
      </c>
      <c r="D18" s="80" t="s">
        <v>47</v>
      </c>
      <c r="E18" s="80" t="s">
        <v>47</v>
      </c>
      <c r="F18" s="80" t="s">
        <v>47</v>
      </c>
      <c r="G18" s="80" t="s">
        <v>46</v>
      </c>
      <c r="H18" s="80" t="s">
        <v>47</v>
      </c>
      <c r="I18" s="80">
        <f>I15/I10</f>
        <v>0.0571402366321196</v>
      </c>
      <c r="J18" s="102">
        <v>0.01</v>
      </c>
    </row>
    <row r="19">
      <c r="B19" s="95" t="s">
        <v>116</v>
      </c>
      <c r="C19" s="20"/>
      <c r="D19" s="20"/>
      <c r="E19" s="20"/>
      <c r="F19" s="20"/>
      <c r="G19" s="20"/>
      <c r="H19" s="20"/>
      <c r="I19" s="20"/>
      <c r="J19" s="70">
        <f>(J18-I18)*10000</f>
        <v>-471.4023663211959</v>
      </c>
    </row>
    <row r="20">
      <c r="B20" s="95" t="s">
        <v>117</v>
      </c>
      <c r="C20" s="20" t="s">
        <v>46</v>
      </c>
      <c r="D20" s="20" t="s">
        <v>46</v>
      </c>
      <c r="E20" s="20" t="s">
        <v>46</v>
      </c>
      <c r="F20" s="20" t="s">
        <v>46</v>
      </c>
      <c r="G20" s="20" t="s">
        <v>46</v>
      </c>
      <c r="H20" s="20" t="s">
        <v>46</v>
      </c>
      <c r="I20" s="20" t="s">
        <v>46</v>
      </c>
      <c r="J20" s="70" t="s">
        <v>46</v>
      </c>
    </row>
    <row r="21">
      <c r="B21" s="19" t="s">
        <v>118</v>
      </c>
      <c r="C21" s="88">
        <v>46733</v>
      </c>
      <c r="D21" s="88">
        <v>49000</v>
      </c>
      <c r="E21" s="88">
        <v>51664</v>
      </c>
      <c r="F21" s="88">
        <v>53800</v>
      </c>
      <c r="G21" s="38">
        <f>F21</f>
        <v>53800</v>
      </c>
      <c r="H21" s="88">
        <v>54515</v>
      </c>
      <c r="I21" s="88">
        <v>57858</v>
      </c>
      <c r="J21" s="63">
        <f>J10+J12+J15</f>
        <v>58636.58</v>
      </c>
    </row>
    <row r="22">
      <c r="B22" s="58" t="s">
        <v>69</v>
      </c>
      <c r="C22" s="26"/>
      <c r="D22" s="26"/>
      <c r="E22" s="26"/>
      <c r="F22" s="26"/>
      <c r="G22" s="26"/>
      <c r="H22" s="26">
        <f>H21/C21-1</f>
        <v>0.1665204459375602</v>
      </c>
      <c r="I22" s="26">
        <f>I21/D21-1</f>
        <v>0.18077551020408156</v>
      </c>
      <c r="J22" s="60">
        <f>J21/E21-1</f>
        <v>0.1349601269742955</v>
      </c>
    </row>
    <row r="23">
      <c r="B23" s="50" t="s">
        <v>119</v>
      </c>
      <c r="C23" s="3"/>
      <c r="D23" s="3">
        <f>D21-C21</f>
        <v>2267</v>
      </c>
      <c r="E23" s="3">
        <f>E21-D21</f>
        <v>2664</v>
      </c>
      <c r="F23" s="3">
        <f>F21-E21</f>
        <v>2136</v>
      </c>
      <c r="G23" s="3"/>
      <c r="H23" s="3">
        <f>H21-F21</f>
        <v>715</v>
      </c>
      <c r="I23" s="3">
        <f>I21-H21</f>
        <v>3343</v>
      </c>
      <c r="J23" s="57">
        <f>J21-I21</f>
        <v>778.5800000000017</v>
      </c>
    </row>
    <row r="24" ht="24">
      <c r="B24" s="6" t="s">
        <v>120</v>
      </c>
      <c r="C24" s="25">
        <f>AVERAGE(C10,C21)</f>
        <v>46646.5</v>
      </c>
      <c r="D24" s="25">
        <f>AVERAGE(D10,D21)</f>
        <v>47866.5</v>
      </c>
      <c r="E24" s="25">
        <f>AVERAGE(E10,E21)</f>
        <v>50332</v>
      </c>
      <c r="F24" s="25">
        <f>AVERAGE(F10,F21)</f>
        <v>52732</v>
      </c>
      <c r="G24" s="25">
        <f>AVERAGE(C24:F24)</f>
        <v>49394.25</v>
      </c>
      <c r="H24" s="25">
        <f>AVERAGE(H10,H21)</f>
        <v>54157.5</v>
      </c>
      <c r="I24" s="25">
        <f>AVERAGE(I10,I21)</f>
        <v>56186.5</v>
      </c>
      <c r="J24" s="86">
        <f>AVERAGE(J10,J21)</f>
        <v>58247.29</v>
      </c>
    </row>
    <row r="25">
      <c r="B25" s="58" t="s">
        <v>69</v>
      </c>
      <c r="C25" s="26"/>
      <c r="D25" s="26"/>
      <c r="E25" s="26"/>
      <c r="F25" s="26"/>
      <c r="G25" s="26"/>
      <c r="H25" s="26">
        <f>H24/C24-1</f>
        <v>0.1610195834628536</v>
      </c>
      <c r="I25" s="26">
        <f>I24/D24-1</f>
        <v>0.173816761200422</v>
      </c>
      <c r="J25" s="60">
        <f>J24/E24-1</f>
        <v>0.15726158308829374</v>
      </c>
    </row>
    <row r="26">
      <c r="B26" s="50" t="s">
        <v>119</v>
      </c>
      <c r="C26" s="3"/>
      <c r="D26" s="3">
        <f>D24-C24</f>
        <v>1220</v>
      </c>
      <c r="E26" s="3">
        <f>E24-D24</f>
        <v>2465.5</v>
      </c>
      <c r="F26" s="3">
        <f>F24-E24</f>
        <v>2400</v>
      </c>
      <c r="G26" s="3"/>
      <c r="H26" s="3">
        <f>H24-F24</f>
        <v>1425.5</v>
      </c>
      <c r="I26" s="3">
        <f>I24-H24</f>
        <v>2029</v>
      </c>
      <c r="J26" s="57">
        <f>J24-I24</f>
        <v>2060.790000000001</v>
      </c>
    </row>
    <row r="27">
      <c r="B27" s="19" t="s">
        <v>121</v>
      </c>
      <c r="C27" s="49"/>
      <c r="D27" s="49"/>
      <c r="E27" s="49"/>
      <c r="F27" s="49"/>
      <c r="G27" s="49"/>
      <c r="H27" s="49"/>
      <c r="I27" s="49"/>
      <c r="J27" s="62"/>
    </row>
    <row r="28">
      <c r="B28" s="50" t="s">
        <v>122</v>
      </c>
      <c r="C28" s="46">
        <v>15430</v>
      </c>
      <c r="D28" s="46">
        <v>16728</v>
      </c>
      <c r="E28" s="46">
        <v>17795</v>
      </c>
      <c r="F28" s="46">
        <v>17997</v>
      </c>
      <c r="G28" s="3">
        <f>F28</f>
        <v>17997</v>
      </c>
      <c r="H28" s="46">
        <v>18338</v>
      </c>
      <c r="I28" s="46">
        <v>20055</v>
      </c>
      <c r="J28" s="57">
        <f>J21*I28/I21</f>
        <v>20324.87489889039</v>
      </c>
    </row>
    <row r="29">
      <c r="B29" s="58" t="s">
        <v>69</v>
      </c>
      <c r="C29" s="26"/>
      <c r="D29" s="26"/>
      <c r="E29" s="26"/>
      <c r="F29" s="26"/>
      <c r="G29" s="26"/>
      <c r="H29" s="26">
        <f>H28/C28-1</f>
        <v>0.18846403110823062</v>
      </c>
      <c r="I29" s="26">
        <f>I28/D28-1</f>
        <v>0.19888809182209477</v>
      </c>
      <c r="J29" s="60">
        <f>J28/E28-1</f>
        <v>0.14216773806633265</v>
      </c>
    </row>
    <row r="30">
      <c r="B30" s="50" t="s">
        <v>119</v>
      </c>
      <c r="C30" s="3"/>
      <c r="D30" s="3">
        <f>D28-C28</f>
        <v>1298</v>
      </c>
      <c r="E30" s="3">
        <f>E28-D28</f>
        <v>1067</v>
      </c>
      <c r="F30" s="3">
        <f>F28-E28</f>
        <v>202</v>
      </c>
      <c r="G30" s="3"/>
      <c r="H30" s="3">
        <f>H28-F28</f>
        <v>341</v>
      </c>
      <c r="I30" s="3">
        <f>I28-H28</f>
        <v>1717</v>
      </c>
      <c r="J30" s="57">
        <f>J28-I28</f>
        <v>269.8748988903899</v>
      </c>
    </row>
    <row r="31">
      <c r="B31" s="50" t="s">
        <v>123</v>
      </c>
      <c r="C31" s="46">
        <v>12143</v>
      </c>
      <c r="D31" s="46">
        <v>12641</v>
      </c>
      <c r="E31" s="46">
        <v>13209</v>
      </c>
      <c r="F31" s="46">
        <v>13518</v>
      </c>
      <c r="G31" s="3">
        <f>F31</f>
        <v>13518</v>
      </c>
      <c r="H31" s="46">
        <v>13309</v>
      </c>
      <c r="I31" s="46">
        <v>14353</v>
      </c>
      <c r="J31" s="57">
        <f>J21*I31/I21</f>
        <v>14546.144573611255</v>
      </c>
    </row>
    <row r="32">
      <c r="B32" s="58" t="s">
        <v>69</v>
      </c>
      <c r="C32" s="26"/>
      <c r="D32" s="26"/>
      <c r="E32" s="26"/>
      <c r="F32" s="26"/>
      <c r="G32" s="26"/>
      <c r="H32" s="26">
        <f>H31/C31-1</f>
        <v>0.09602239973647375</v>
      </c>
      <c r="I32" s="26">
        <f>I31/D31-1</f>
        <v>0.13543232339213662</v>
      </c>
      <c r="J32" s="60">
        <f>J31/E31-1</f>
        <v>0.10122981100849837</v>
      </c>
    </row>
    <row r="33">
      <c r="B33" s="50" t="s">
        <v>119</v>
      </c>
      <c r="C33" s="3"/>
      <c r="D33" s="3">
        <f>D31-C31</f>
        <v>498</v>
      </c>
      <c r="E33" s="3">
        <f>E31-D31</f>
        <v>568</v>
      </c>
      <c r="F33" s="3">
        <f>F31-E31</f>
        <v>309</v>
      </c>
      <c r="G33" s="3"/>
      <c r="H33" s="3">
        <f>H31-F31</f>
        <v>-209</v>
      </c>
      <c r="I33" s="3">
        <f>I31-H31</f>
        <v>1044</v>
      </c>
      <c r="J33" s="57">
        <f>J31-I31</f>
        <v>193.1445736112546</v>
      </c>
    </row>
    <row r="34">
      <c r="B34" s="50" t="s">
        <v>124</v>
      </c>
      <c r="C34" s="46">
        <v>9377</v>
      </c>
      <c r="D34" s="46">
        <v>9679</v>
      </c>
      <c r="E34" s="46">
        <v>10321</v>
      </c>
      <c r="F34" s="46">
        <v>10452</v>
      </c>
      <c r="G34" s="3">
        <f>F34</f>
        <v>10452</v>
      </c>
      <c r="H34" s="46">
        <v>10912</v>
      </c>
      <c r="I34" s="46">
        <v>11219</v>
      </c>
      <c r="J34" s="57">
        <f>J21*I34/I21</f>
        <v>11369.97115385945</v>
      </c>
    </row>
    <row r="35">
      <c r="B35" s="58" t="s">
        <v>69</v>
      </c>
      <c r="C35" s="26"/>
      <c r="D35" s="26"/>
      <c r="E35" s="26"/>
      <c r="F35" s="26"/>
      <c r="G35" s="26"/>
      <c r="H35" s="26">
        <f>H34/C34-1</f>
        <v>0.16369841100565208</v>
      </c>
      <c r="I35" s="26">
        <f>I34/D34-1</f>
        <v>0.15910734580018593</v>
      </c>
      <c r="J35" s="60">
        <f>J34/E34-1</f>
        <v>0.10163464333489469</v>
      </c>
    </row>
    <row r="36">
      <c r="B36" s="50" t="s">
        <v>119</v>
      </c>
      <c r="C36" s="3"/>
      <c r="D36" s="3">
        <f>D34-C34</f>
        <v>302</v>
      </c>
      <c r="E36" s="3">
        <f>E34-D34</f>
        <v>642</v>
      </c>
      <c r="F36" s="3">
        <f>F34-E34</f>
        <v>131</v>
      </c>
      <c r="G36" s="3"/>
      <c r="H36" s="3">
        <f>H34-F34</f>
        <v>460</v>
      </c>
      <c r="I36" s="3">
        <f>I34-H34</f>
        <v>307</v>
      </c>
      <c r="J36" s="57">
        <f>J34-I34</f>
        <v>150.97115385944926</v>
      </c>
    </row>
    <row r="37">
      <c r="B37" s="50" t="s">
        <v>125</v>
      </c>
      <c r="C37" s="46">
        <v>9783</v>
      </c>
      <c r="D37" s="46">
        <v>9952</v>
      </c>
      <c r="E37" s="46">
        <v>10339</v>
      </c>
      <c r="F37" s="46">
        <v>11833</v>
      </c>
      <c r="G37" s="3">
        <f>F37</f>
        <v>11833</v>
      </c>
      <c r="H37" s="46">
        <v>11956</v>
      </c>
      <c r="I37" s="46">
        <v>12231</v>
      </c>
      <c r="J37" s="57">
        <f>J21*I37/I21</f>
        <v>12395.58937363891</v>
      </c>
    </row>
    <row r="38">
      <c r="B38" s="58" t="s">
        <v>69</v>
      </c>
      <c r="C38" s="26"/>
      <c r="D38" s="26"/>
      <c r="E38" s="26"/>
      <c r="F38" s="26"/>
      <c r="G38" s="26"/>
      <c r="H38" s="26">
        <f>H37/C37-1</f>
        <v>0.22212000408872523</v>
      </c>
      <c r="I38" s="26">
        <f>I37/D37-1</f>
        <v>0.228999196141479</v>
      </c>
      <c r="J38" s="60">
        <f>J37/E37-1</f>
        <v>0.19891569529344322</v>
      </c>
    </row>
    <row r="39">
      <c r="B39" s="50" t="s">
        <v>119</v>
      </c>
      <c r="C39" s="3"/>
      <c r="D39" s="3">
        <f>D37-C37</f>
        <v>169</v>
      </c>
      <c r="E39" s="3">
        <f>E37-D37</f>
        <v>387</v>
      </c>
      <c r="F39" s="3">
        <f>F37-E37</f>
        <v>1494</v>
      </c>
      <c r="G39" s="3"/>
      <c r="H39" s="3">
        <f>H37-F37</f>
        <v>123</v>
      </c>
      <c r="I39" s="3">
        <f>I37-H37</f>
        <v>275</v>
      </c>
      <c r="J39" s="57">
        <f>J37-I37</f>
        <v>164.58937363890982</v>
      </c>
    </row>
    <row r="40">
      <c r="B40" s="19" t="s">
        <v>126</v>
      </c>
      <c r="C40" s="38">
        <f>SUM(C28,C31,C34,C37)</f>
        <v>46733</v>
      </c>
      <c r="D40" s="38">
        <f>SUM(D28,D31,D34,D37)</f>
        <v>49000</v>
      </c>
      <c r="E40" s="38">
        <f>SUM(E28,E31,E34,E37)</f>
        <v>51664</v>
      </c>
      <c r="F40" s="38">
        <f>SUM(F28,F31,F34,F37)</f>
        <v>53800</v>
      </c>
      <c r="G40" s="38">
        <f>SUM(G28,G31,G34,G37)</f>
        <v>53800</v>
      </c>
      <c r="H40" s="38">
        <f>SUM(H28,H31,H34,H37)</f>
        <v>54515</v>
      </c>
      <c r="I40" s="38">
        <f>SUM(I28,I31,I34,I37)</f>
        <v>57858</v>
      </c>
      <c r="J40" s="63">
        <f>SUM(J28,J31,J34,J37)</f>
        <v>58636.58</v>
      </c>
    </row>
    <row r="41" ht="35.25">
      <c r="B41" s="17" t="s">
        <v>127</v>
      </c>
      <c r="C41" s="5">
        <f>C40-C21</f>
        <v>0</v>
      </c>
      <c r="D41" s="5">
        <f>D40-D21</f>
        <v>0</v>
      </c>
      <c r="E41" s="5">
        <f>E40-E21</f>
        <v>0</v>
      </c>
      <c r="F41" s="5">
        <f>F40-F21</f>
        <v>0</v>
      </c>
      <c r="G41" s="5">
        <f>G40-G21</f>
        <v>0</v>
      </c>
      <c r="H41" s="5">
        <f>H40-H21</f>
        <v>0</v>
      </c>
      <c r="I41" s="5">
        <f>I40-I21</f>
        <v>0</v>
      </c>
      <c r="J41" s="64">
        <f>J40-J21</f>
        <v>0</v>
      </c>
    </row>
    <row r="42">
      <c r="B42" s="19" t="s">
        <v>128</v>
      </c>
      <c r="C42" s="49"/>
      <c r="D42" s="49"/>
      <c r="E42" s="49"/>
      <c r="F42" s="49"/>
      <c r="G42" s="49"/>
      <c r="H42" s="49"/>
      <c r="I42" s="49"/>
      <c r="J42" s="62"/>
    </row>
    <row r="43">
      <c r="B43" s="50" t="s">
        <v>129</v>
      </c>
      <c r="C43" s="46">
        <v>27508</v>
      </c>
      <c r="D43" s="46">
        <v>29311</v>
      </c>
      <c r="E43" s="46">
        <v>31124</v>
      </c>
      <c r="F43" s="46">
        <v>31879</v>
      </c>
      <c r="G43" s="3">
        <f>F43</f>
        <v>31879</v>
      </c>
      <c r="H43" s="46">
        <v>32243</v>
      </c>
      <c r="I43" s="46">
        <v>34670</v>
      </c>
      <c r="J43" s="57">
        <f>J21*I43/I21</f>
        <v>35136.54513809672</v>
      </c>
    </row>
    <row r="44">
      <c r="B44" s="58" t="s">
        <v>69</v>
      </c>
      <c r="C44" s="26"/>
      <c r="D44" s="26"/>
      <c r="E44" s="26"/>
      <c r="F44" s="26"/>
      <c r="G44" s="26"/>
      <c r="H44" s="26">
        <f>H43/C43-1</f>
        <v>0.17213174349280203</v>
      </c>
      <c r="I44" s="26">
        <f>I43/D43-1</f>
        <v>0.1828323837467163</v>
      </c>
      <c r="J44" s="60">
        <f>J43/E43-1</f>
        <v>0.12892125491892825</v>
      </c>
    </row>
    <row r="45">
      <c r="B45" s="50" t="s">
        <v>119</v>
      </c>
      <c r="C45" s="3"/>
      <c r="D45" s="3">
        <f>D43-C43</f>
        <v>1803</v>
      </c>
      <c r="E45" s="3">
        <f>E43-D43</f>
        <v>1813</v>
      </c>
      <c r="F45" s="3">
        <f>F43-E43</f>
        <v>755</v>
      </c>
      <c r="G45" s="3"/>
      <c r="H45" s="3">
        <f>H43-F43</f>
        <v>364</v>
      </c>
      <c r="I45" s="3">
        <f>I43-H43</f>
        <v>2427</v>
      </c>
      <c r="J45" s="57">
        <f>J43-I43</f>
        <v>466.5451380967206</v>
      </c>
    </row>
    <row r="46">
      <c r="B46" s="58" t="s">
        <v>130</v>
      </c>
      <c r="C46" s="26">
        <f>C43/C21</f>
        <v>0.5886204609162691</v>
      </c>
      <c r="D46" s="26">
        <f>D43/D21</f>
        <v>0.5981836734693877</v>
      </c>
      <c r="E46" s="26">
        <f>E43/E21</f>
        <v>0.6024310932177145</v>
      </c>
      <c r="F46" s="26">
        <f>F43/F21</f>
        <v>0.592546468401487</v>
      </c>
      <c r="G46" s="26">
        <f>G43/G21</f>
        <v>0.592546468401487</v>
      </c>
      <c r="H46" s="26">
        <f>H43/H21</f>
        <v>0.5914518939741356</v>
      </c>
      <c r="I46" s="26">
        <f>I43/I21</f>
        <v>0.5992256904835978</v>
      </c>
      <c r="J46" s="60">
        <f>J43/J21</f>
        <v>0.5992256904835978</v>
      </c>
    </row>
    <row r="47">
      <c r="B47" s="50" t="s">
        <v>131</v>
      </c>
      <c r="C47" s="46">
        <v>11900</v>
      </c>
      <c r="D47" s="46">
        <v>12122</v>
      </c>
      <c r="E47" s="46">
        <v>12874</v>
      </c>
      <c r="F47" s="46">
        <v>13830</v>
      </c>
      <c r="G47" s="3">
        <f>F47</f>
        <v>13830</v>
      </c>
      <c r="H47" s="46">
        <v>14030</v>
      </c>
      <c r="I47" s="46">
        <v>14160</v>
      </c>
      <c r="J47" s="57">
        <f>J21*I47/I21</f>
        <v>14350.547423001142</v>
      </c>
    </row>
    <row r="48">
      <c r="B48" s="58" t="s">
        <v>69</v>
      </c>
      <c r="C48" s="26"/>
      <c r="D48" s="26"/>
      <c r="E48" s="26"/>
      <c r="F48" s="26"/>
      <c r="G48" s="26"/>
      <c r="H48" s="26">
        <f>H47/C47-1</f>
        <v>0.1789915966386555</v>
      </c>
      <c r="I48" s="26">
        <f>I47/D47-1</f>
        <v>0.1681240719353243</v>
      </c>
      <c r="J48" s="60">
        <f>J47/E47-1</f>
        <v>0.11469220312266137</v>
      </c>
    </row>
    <row r="49">
      <c r="B49" s="50" t="s">
        <v>119</v>
      </c>
      <c r="C49" s="3"/>
      <c r="D49" s="3">
        <f>D47-C47</f>
        <v>222</v>
      </c>
      <c r="E49" s="3">
        <f>E47-D47</f>
        <v>752</v>
      </c>
      <c r="F49" s="3">
        <f>F47-E47</f>
        <v>956</v>
      </c>
      <c r="G49" s="3"/>
      <c r="H49" s="3">
        <f>H47-F47</f>
        <v>200</v>
      </c>
      <c r="I49" s="3">
        <f>I47-H47</f>
        <v>130</v>
      </c>
      <c r="J49" s="57">
        <f>J47-I47</f>
        <v>190.5474230011423</v>
      </c>
    </row>
    <row r="50">
      <c r="B50" s="58" t="s">
        <v>130</v>
      </c>
      <c r="C50" s="26">
        <f>C47/C21</f>
        <v>0.25463805020007274</v>
      </c>
      <c r="D50" s="26">
        <f>D47/D21</f>
        <v>0.2473877551020408</v>
      </c>
      <c r="E50" s="26">
        <f>E47/E21</f>
        <v>0.24918705481573242</v>
      </c>
      <c r="F50" s="26">
        <f>F47/F21</f>
        <v>0.2570631970260223</v>
      </c>
      <c r="G50" s="26">
        <f>G47/G21</f>
        <v>0.2570631970260223</v>
      </c>
      <c r="H50" s="26">
        <f>H47/H21</f>
        <v>0.2573603595340732</v>
      </c>
      <c r="I50" s="26">
        <f>I47/I21</f>
        <v>0.2447371150057036</v>
      </c>
      <c r="J50" s="60">
        <f>J47/J21</f>
        <v>0.24473711500570364</v>
      </c>
    </row>
    <row r="51">
      <c r="B51" s="50" t="s">
        <v>132</v>
      </c>
      <c r="C51" s="46">
        <v>7325</v>
      </c>
      <c r="D51" s="46">
        <v>7567</v>
      </c>
      <c r="E51" s="46">
        <v>7666</v>
      </c>
      <c r="F51" s="46">
        <v>8091</v>
      </c>
      <c r="G51" s="3">
        <f>F51</f>
        <v>8091</v>
      </c>
      <c r="H51" s="46">
        <v>8242</v>
      </c>
      <c r="I51" s="46">
        <v>9028</v>
      </c>
      <c r="J51" s="57">
        <f>J21*I51/I21</f>
        <v>9149.48743890214</v>
      </c>
    </row>
    <row r="52">
      <c r="B52" s="58" t="s">
        <v>69</v>
      </c>
      <c r="C52" s="26"/>
      <c r="D52" s="26"/>
      <c r="E52" s="26"/>
      <c r="F52" s="26"/>
      <c r="G52" s="26"/>
      <c r="H52" s="26">
        <f>H51/C51-1</f>
        <v>0.1251877133105801</v>
      </c>
      <c r="I52" s="26">
        <f>I51/D51-1</f>
        <v>0.19307519492533376</v>
      </c>
      <c r="J52" s="60">
        <f>J51/E51-1</f>
        <v>0.19351518900367082</v>
      </c>
    </row>
    <row r="53">
      <c r="B53" s="50" t="s">
        <v>119</v>
      </c>
      <c r="C53" s="3"/>
      <c r="D53" s="3">
        <f>D51-C51</f>
        <v>242</v>
      </c>
      <c r="E53" s="3">
        <f>E51-D51</f>
        <v>99</v>
      </c>
      <c r="F53" s="3">
        <f>F51-E51</f>
        <v>425</v>
      </c>
      <c r="G53" s="3"/>
      <c r="H53" s="3">
        <f>H51-F51</f>
        <v>151</v>
      </c>
      <c r="I53" s="3">
        <f>I51-H51</f>
        <v>786</v>
      </c>
      <c r="J53" s="57">
        <f>J51-I51</f>
        <v>121.48743890214064</v>
      </c>
    </row>
    <row r="54">
      <c r="B54" s="58" t="s">
        <v>130</v>
      </c>
      <c r="C54" s="26">
        <f>C51/C21</f>
        <v>0.15674148888365824</v>
      </c>
      <c r="D54" s="26">
        <f>D51/D21</f>
        <v>0.15442857142857142</v>
      </c>
      <c r="E54" s="26">
        <f>E51/E21</f>
        <v>0.14838185196655312</v>
      </c>
      <c r="F54" s="26">
        <f>F51/F21</f>
        <v>0.1503903345724907</v>
      </c>
      <c r="G54" s="26">
        <f>G51/G21</f>
        <v>0.1503903345724907</v>
      </c>
      <c r="H54" s="26">
        <f>H51/H21</f>
        <v>0.15118774649179126</v>
      </c>
      <c r="I54" s="26">
        <f>I51/I21</f>
        <v>0.1560371945106986</v>
      </c>
      <c r="J54" s="60">
        <f>J51/J21</f>
        <v>0.1560371945106986</v>
      </c>
    </row>
    <row r="55">
      <c r="B55" s="19" t="s">
        <v>133</v>
      </c>
      <c r="C55" s="38">
        <f>SUM(C43,C47,C51)</f>
        <v>46733</v>
      </c>
      <c r="D55" s="38">
        <f>SUM(D43,D47,D51)</f>
        <v>49000</v>
      </c>
      <c r="E55" s="38">
        <f>SUM(E43,E47,E51)</f>
        <v>51664</v>
      </c>
      <c r="F55" s="38">
        <f>SUM(F43,F47,F51)</f>
        <v>53800</v>
      </c>
      <c r="G55" s="38">
        <f>SUM(G43,G47,G51)</f>
        <v>53800</v>
      </c>
      <c r="H55" s="38">
        <f>SUM(H43,H47,H51)</f>
        <v>54515</v>
      </c>
      <c r="I55" s="38">
        <f>SUM(I43,I47,I51)</f>
        <v>57858</v>
      </c>
      <c r="J55" s="63">
        <f>SUM(J43,J47,J51)</f>
        <v>58636.58</v>
      </c>
    </row>
    <row r="56" ht="35.25">
      <c r="B56" s="17" t="s">
        <v>134</v>
      </c>
      <c r="C56" s="5">
        <f>C55-C21</f>
        <v>0</v>
      </c>
      <c r="D56" s="5">
        <f>D55-D21</f>
        <v>0</v>
      </c>
      <c r="E56" s="5">
        <f>E55-E21</f>
        <v>0</v>
      </c>
      <c r="F56" s="5">
        <f>F55-F21</f>
        <v>0</v>
      </c>
      <c r="G56" s="5">
        <f>G55-G21</f>
        <v>0</v>
      </c>
      <c r="H56" s="5">
        <f>H55-H21</f>
        <v>0</v>
      </c>
      <c r="I56" s="5">
        <f>I55-I21</f>
        <v>0</v>
      </c>
      <c r="J56" s="64">
        <f>J55-J21</f>
        <v>0</v>
      </c>
    </row>
    <row r="57" ht="24">
      <c r="B57" s="6" t="s">
        <v>135</v>
      </c>
      <c r="C57" s="59">
        <v>33837</v>
      </c>
      <c r="D57" s="59">
        <v>35548</v>
      </c>
      <c r="E57" s="59">
        <v>37499</v>
      </c>
      <c r="F57" s="59">
        <v>38352</v>
      </c>
      <c r="G57" s="25">
        <f>F57</f>
        <v>38352</v>
      </c>
      <c r="H57" s="59">
        <v>38884</v>
      </c>
      <c r="I57" s="59">
        <v>41573</v>
      </c>
      <c r="J57" s="86" t="s">
        <v>72</v>
      </c>
    </row>
    <row r="58">
      <c r="B58" s="58" t="s">
        <v>69</v>
      </c>
      <c r="C58" s="26"/>
      <c r="D58" s="26"/>
      <c r="E58" s="26"/>
      <c r="F58" s="26"/>
      <c r="G58" s="26"/>
      <c r="H58" s="26">
        <f>H57/C57-1</f>
        <v>0.14915624907645486</v>
      </c>
      <c r="I58" s="26">
        <f>I57/D57-1</f>
        <v>0.16948914144255656</v>
      </c>
      <c r="J58" s="60"/>
    </row>
    <row r="59">
      <c r="B59" s="50" t="s">
        <v>119</v>
      </c>
      <c r="C59" s="3"/>
      <c r="D59" s="3">
        <f>D57-C57</f>
        <v>1711</v>
      </c>
      <c r="E59" s="3">
        <f>E57-D57</f>
        <v>1951</v>
      </c>
      <c r="F59" s="3">
        <f>F57-E57</f>
        <v>853</v>
      </c>
      <c r="G59" s="3"/>
      <c r="H59" s="3">
        <f>H57-F57</f>
        <v>532</v>
      </c>
      <c r="I59" s="3">
        <f>I57-H57</f>
        <v>2689</v>
      </c>
      <c r="J59" s="57"/>
    </row>
    <row r="60">
      <c r="B60" s="2"/>
      <c r="C60" s="2"/>
      <c r="D60" s="2"/>
      <c r="E60" s="2"/>
      <c r="F60" s="2"/>
      <c r="G60" s="2"/>
      <c r="H60" s="2"/>
      <c r="I60" s="2"/>
      <c r="J60" s="2"/>
    </row>
    <row r="61">
      <c r="B61" s="19" t="s">
        <v>136</v>
      </c>
      <c r="C61" s="2"/>
      <c r="D61" s="2"/>
      <c r="E61" s="2"/>
      <c r="F61" s="2"/>
      <c r="G61" s="2"/>
      <c r="H61" s="2"/>
      <c r="I61" s="2"/>
      <c r="J61" s="2"/>
    </row>
    <row r="62">
      <c r="B62" s="2" t="s">
        <v>137</v>
      </c>
      <c r="C62" s="46">
        <v>182</v>
      </c>
      <c r="D62" s="46">
        <v>1093</v>
      </c>
      <c r="E62" s="46">
        <v>361</v>
      </c>
      <c r="F62" s="46">
        <v>484</v>
      </c>
      <c r="G62" s="3">
        <f>SUM(C62:F62)</f>
        <v>2120</v>
      </c>
      <c r="H62" s="46">
        <v>365</v>
      </c>
      <c r="I62" s="46">
        <v>384</v>
      </c>
      <c r="J62" s="57" t="s">
        <v>72</v>
      </c>
    </row>
    <row r="63">
      <c r="B63" s="58" t="s">
        <v>69</v>
      </c>
      <c r="C63" s="26"/>
      <c r="D63" s="26"/>
      <c r="E63" s="26"/>
      <c r="F63" s="26"/>
      <c r="G63" s="26"/>
      <c r="H63" s="26">
        <f>H62/C62-1</f>
        <v>1.0054945054945055</v>
      </c>
      <c r="I63" s="26">
        <f>I62/D62-1</f>
        <v>-0.6486733760292772</v>
      </c>
      <c r="J63" s="60"/>
    </row>
    <row r="64">
      <c r="B64" s="50" t="s">
        <v>119</v>
      </c>
      <c r="C64" s="3"/>
      <c r="D64" s="3">
        <f>D62-C62</f>
        <v>911</v>
      </c>
      <c r="E64" s="3">
        <f>E62-D62</f>
        <v>-732</v>
      </c>
      <c r="F64" s="3">
        <f>F62-E62</f>
        <v>123</v>
      </c>
      <c r="G64" s="3"/>
      <c r="H64" s="3">
        <f>H62-F62</f>
        <v>-119</v>
      </c>
      <c r="I64" s="3">
        <f>I62-H62</f>
        <v>19</v>
      </c>
      <c r="J64" s="57"/>
    </row>
    <row r="65" ht="24">
      <c r="B65" s="6" t="s">
        <v>138</v>
      </c>
      <c r="C65" s="59">
        <v>3100</v>
      </c>
      <c r="D65" s="59">
        <v>3975</v>
      </c>
      <c r="E65" s="59">
        <v>3634</v>
      </c>
      <c r="F65" s="59">
        <v>2500</v>
      </c>
      <c r="G65" s="25">
        <f>F65</f>
        <v>2500</v>
      </c>
      <c r="H65" s="59">
        <v>2748</v>
      </c>
      <c r="I65" s="59">
        <v>2930</v>
      </c>
      <c r="J65" s="86" t="s">
        <v>72</v>
      </c>
    </row>
    <row r="66">
      <c r="B66" s="58" t="s">
        <v>69</v>
      </c>
      <c r="C66" s="26"/>
      <c r="D66" s="26"/>
      <c r="E66" s="26"/>
      <c r="F66" s="26"/>
      <c r="G66" s="26"/>
      <c r="H66" s="26">
        <f>H65/C65-1</f>
        <v>-0.11354838709677417</v>
      </c>
      <c r="I66" s="26">
        <f>I65/D65-1</f>
        <v>-0.26289308176100634</v>
      </c>
      <c r="J66" s="60"/>
    </row>
    <row r="67">
      <c r="B67" s="50" t="s">
        <v>119</v>
      </c>
      <c r="C67" s="3"/>
      <c r="D67" s="3">
        <f>D65-C65</f>
        <v>875</v>
      </c>
      <c r="E67" s="3">
        <f>E65-D65</f>
        <v>-341</v>
      </c>
      <c r="F67" s="3">
        <f>F65-E65</f>
        <v>-1134</v>
      </c>
      <c r="G67" s="3"/>
      <c r="H67" s="3">
        <f>H65-F65</f>
        <v>248</v>
      </c>
      <c r="I67" s="3">
        <f>I65-H65</f>
        <v>182</v>
      </c>
      <c r="J67" s="57"/>
    </row>
    <row r="68" ht="24">
      <c r="B68" s="6" t="s">
        <v>139</v>
      </c>
      <c r="C68" s="59">
        <v>55</v>
      </c>
      <c r="D68" s="59">
        <v>145</v>
      </c>
      <c r="E68" s="59">
        <v>47</v>
      </c>
      <c r="F68" s="59">
        <v>87</v>
      </c>
      <c r="G68" s="25">
        <f>SUM(C68:F68)</f>
        <v>334</v>
      </c>
      <c r="H68" s="59">
        <v>56</v>
      </c>
      <c r="I68" s="59">
        <v>87</v>
      </c>
      <c r="J68" s="86" t="s">
        <v>72</v>
      </c>
    </row>
    <row r="69">
      <c r="B69" s="58" t="s">
        <v>69</v>
      </c>
      <c r="C69" s="26"/>
      <c r="D69" s="26"/>
      <c r="E69" s="26"/>
      <c r="F69" s="26"/>
      <c r="G69" s="26"/>
      <c r="H69" s="26">
        <f>H68/C68-1</f>
        <v>0.018181818181818077</v>
      </c>
      <c r="I69" s="26">
        <f>I68/D68-1</f>
        <v>-0.4</v>
      </c>
      <c r="J69" s="60"/>
    </row>
    <row r="70">
      <c r="B70" s="50" t="s">
        <v>119</v>
      </c>
      <c r="C70" s="3"/>
      <c r="D70" s="3">
        <f>D68-C68</f>
        <v>90</v>
      </c>
      <c r="E70" s="3">
        <f>E68-D68</f>
        <v>-98</v>
      </c>
      <c r="F70" s="3">
        <f>F68-E68</f>
        <v>40</v>
      </c>
      <c r="G70" s="3"/>
      <c r="H70" s="3">
        <f>H68-F68</f>
        <v>-31</v>
      </c>
      <c r="I70" s="3">
        <f>I68-H68</f>
        <v>31</v>
      </c>
      <c r="J70" s="57"/>
    </row>
    <row r="71" ht="24">
      <c r="B71" s="6" t="s">
        <v>140</v>
      </c>
      <c r="C71" s="59">
        <v>356</v>
      </c>
      <c r="D71" s="59">
        <v>444</v>
      </c>
      <c r="E71" s="59">
        <v>401</v>
      </c>
      <c r="F71" s="59">
        <v>320</v>
      </c>
      <c r="G71" s="25">
        <f>F71</f>
        <v>320</v>
      </c>
      <c r="H71" s="59">
        <v>315</v>
      </c>
      <c r="I71" s="59">
        <v>335</v>
      </c>
      <c r="J71" s="86" t="s">
        <v>72</v>
      </c>
    </row>
    <row r="72">
      <c r="B72" s="58" t="s">
        <v>69</v>
      </c>
      <c r="C72" s="26"/>
      <c r="D72" s="26"/>
      <c r="E72" s="26"/>
      <c r="F72" s="26"/>
      <c r="G72" s="26"/>
      <c r="H72" s="26">
        <f>H71/C71-1</f>
        <v>-0.1151685393258427</v>
      </c>
      <c r="I72" s="26">
        <f>I71/D71-1</f>
        <v>-0.24549549549549554</v>
      </c>
      <c r="J72" s="60"/>
    </row>
    <row r="73">
      <c r="B73" s="50" t="s">
        <v>119</v>
      </c>
      <c r="C73" s="3"/>
      <c r="D73" s="3">
        <f>D71-C71</f>
        <v>88</v>
      </c>
      <c r="E73" s="3">
        <f>E71-D71</f>
        <v>-43</v>
      </c>
      <c r="F73" s="3">
        <f>F71-E71</f>
        <v>-81</v>
      </c>
      <c r="G73" s="3"/>
      <c r="H73" s="3">
        <f>H71-F71</f>
        <v>-5</v>
      </c>
      <c r="I73" s="3">
        <f>I71-H71</f>
        <v>20</v>
      </c>
      <c r="J73" s="57"/>
    </row>
    <row r="74">
      <c r="B74" s="2"/>
      <c r="C74" s="2"/>
      <c r="D74" s="2"/>
      <c r="E74" s="2"/>
      <c r="F74" s="2"/>
      <c r="G74" s="2"/>
      <c r="H74" s="2"/>
      <c r="I74" s="2"/>
      <c r="J74" s="2"/>
    </row>
    <row r="75">
      <c r="B75" s="19" t="s">
        <v>141</v>
      </c>
      <c r="C75" s="2"/>
      <c r="D75" s="2"/>
      <c r="E75" s="2"/>
      <c r="F75" s="2"/>
      <c r="G75" s="2"/>
      <c r="H75" s="2"/>
      <c r="I75" s="2"/>
      <c r="J75" s="2"/>
    </row>
    <row r="76" ht="24">
      <c r="B76" s="6" t="s">
        <v>142</v>
      </c>
      <c r="C76" s="66">
        <f>C79/(C24*1000)*365/C7*10000</f>
        <v>1.1085147510174038</v>
      </c>
      <c r="D76" s="66">
        <f>D79/(D24*1000)*365/D7*10000</f>
        <v>1.0926910616672767</v>
      </c>
      <c r="E76" s="66">
        <f>E79/(E24*1000)*365/E7*10000</f>
        <v>1.0696475403321941</v>
      </c>
      <c r="F76" s="66">
        <f>F79/(F24*1000)*365/F7*10000</f>
        <v>1.0442879334056707</v>
      </c>
      <c r="G76" s="66">
        <f>G79/(G24*1000)*365/G7*10000</f>
        <v>1.0778582527318463</v>
      </c>
      <c r="H76" s="66">
        <f>H79/(H24*1000)*365/H7*10000</f>
        <v>1.0551221488764766</v>
      </c>
      <c r="I76" s="66">
        <f>I79/(I24*1000)*365/I7*10000</f>
        <v>1.0479620314723055</v>
      </c>
      <c r="J76" s="120">
        <v>1.03</v>
      </c>
    </row>
    <row r="77">
      <c r="B77" s="50" t="s">
        <v>116</v>
      </c>
      <c r="C77" s="21"/>
      <c r="D77" s="21">
        <f>D76-C76</f>
        <v>-0.015823689350127124</v>
      </c>
      <c r="E77" s="21">
        <f>E76-D76</f>
        <v>-0.023043521335082584</v>
      </c>
      <c r="F77" s="21">
        <f>F76-E76</f>
        <v>-0.025359606926523393</v>
      </c>
      <c r="G77" s="21"/>
      <c r="H77" s="21">
        <f>H76-F76</f>
        <v>0.010834215470805875</v>
      </c>
      <c r="I77" s="21">
        <f>I76-H76</f>
        <v>-0.007160117404171107</v>
      </c>
      <c r="J77" s="69">
        <f>J76-I76</f>
        <v>-0.017962031472305462</v>
      </c>
    </row>
    <row r="78">
      <c r="B78" s="50" t="s">
        <v>117</v>
      </c>
      <c r="C78" s="21" t="s">
        <v>46</v>
      </c>
      <c r="D78" s="21" t="s">
        <v>46</v>
      </c>
      <c r="E78" s="21" t="s">
        <v>46</v>
      </c>
      <c r="F78" s="21" t="s">
        <v>46</v>
      </c>
      <c r="G78" s="21" t="s">
        <v>46</v>
      </c>
      <c r="H78" s="21">
        <f>H76-C76</f>
        <v>-0.053392602140927226</v>
      </c>
      <c r="I78" s="21">
        <f>I76-D76</f>
        <v>-0.04472903019497121</v>
      </c>
      <c r="J78" s="69">
        <f>J76-E76</f>
        <v>-0.03964754033219409</v>
      </c>
    </row>
    <row r="79">
      <c r="B79" s="19" t="s">
        <v>94</v>
      </c>
      <c r="C79" s="88">
        <v>1275</v>
      </c>
      <c r="D79" s="88">
        <v>1304</v>
      </c>
      <c r="E79" s="88">
        <v>1357</v>
      </c>
      <c r="F79" s="88">
        <v>1388</v>
      </c>
      <c r="G79" s="38">
        <f>SUM(C79:F79)</f>
        <v>5324</v>
      </c>
      <c r="H79" s="88">
        <v>1409</v>
      </c>
      <c r="I79" s="88">
        <v>1468</v>
      </c>
      <c r="J79" s="63">
        <f>J24*1000*J76/10000*J7/365</f>
        <v>1512.195397369863</v>
      </c>
    </row>
    <row r="80">
      <c r="B80" s="58" t="s">
        <v>70</v>
      </c>
      <c r="C80" s="26"/>
      <c r="D80" s="26">
        <f>D79/C79-1</f>
        <v>0.02274509803921565</v>
      </c>
      <c r="E80" s="26">
        <f>E79/D79-1</f>
        <v>0.040644171779141036</v>
      </c>
      <c r="F80" s="26">
        <f>F79/E79-1</f>
        <v>0.02284450994841558</v>
      </c>
      <c r="G80" s="26"/>
      <c r="H80" s="26">
        <f>H79/F79-1</f>
        <v>0.015129682997118143</v>
      </c>
      <c r="I80" s="26">
        <f>I79/H79-1</f>
        <v>0.04187366926898517</v>
      </c>
      <c r="J80" s="60">
        <f>J79/I79-1</f>
        <v>0.030105856518980234</v>
      </c>
    </row>
    <row r="81">
      <c r="B81" s="76" t="s">
        <v>143</v>
      </c>
      <c r="C81" s="46">
        <v>1228</v>
      </c>
      <c r="D81" s="46">
        <v>1239</v>
      </c>
      <c r="E81" s="46">
        <v>1266</v>
      </c>
      <c r="F81" s="46">
        <v>1283</v>
      </c>
      <c r="G81" s="3">
        <f>SUM(C81:F81)</f>
        <v>5016</v>
      </c>
      <c r="H81" s="3">
        <f>C79</f>
        <v>1275</v>
      </c>
      <c r="I81" s="3">
        <f>D79</f>
        <v>1304</v>
      </c>
      <c r="J81" s="57">
        <f>E79</f>
        <v>1357</v>
      </c>
    </row>
    <row r="82">
      <c r="B82" s="53" t="s">
        <v>87</v>
      </c>
      <c r="C82" s="26">
        <f>C79/C81-1</f>
        <v>0.03827361563517906</v>
      </c>
      <c r="D82" s="26">
        <f>D79/D81-1</f>
        <v>0.05246166263115426</v>
      </c>
      <c r="E82" s="26">
        <f>E79/E81-1</f>
        <v>0.07187993680884674</v>
      </c>
      <c r="F82" s="26">
        <f>F79/F81-1</f>
        <v>0.08183943881527678</v>
      </c>
      <c r="G82" s="26">
        <f>G79/G81-1</f>
        <v>0.06140350877192979</v>
      </c>
      <c r="H82" s="26">
        <f>H79/H81-1</f>
        <v>0.10509803921568617</v>
      </c>
      <c r="I82" s="26">
        <f>I79/I81-1</f>
        <v>0.1257668711656441</v>
      </c>
      <c r="J82" s="60">
        <f>J79/J81-1</f>
        <v>0.11436654190852114</v>
      </c>
    </row>
    <row r="83">
      <c r="B83" s="76" t="s">
        <v>71</v>
      </c>
      <c r="C83" s="3" t="s">
        <v>47</v>
      </c>
      <c r="D83" s="3" t="s">
        <v>47</v>
      </c>
      <c r="E83" s="12">
        <f>'Revenue summary'!E75</f>
        <v>15</v>
      </c>
      <c r="F83" s="12">
        <f>'Revenue summary'!F75</f>
        <v>24</v>
      </c>
      <c r="G83" s="12">
        <f>'Revenue summary'!G75</f>
        <v>42</v>
      </c>
      <c r="H83" s="12">
        <f>'Revenue summary'!H75</f>
        <v>35</v>
      </c>
      <c r="I83" s="12">
        <f>'Revenue summary'!I75</f>
        <v>9</v>
      </c>
      <c r="J83" s="57" t="s">
        <v>72</v>
      </c>
    </row>
    <row r="84">
      <c r="B84" s="53" t="s">
        <v>73</v>
      </c>
      <c r="C84" s="26" t="s">
        <v>47</v>
      </c>
      <c r="D84" s="26" t="s">
        <v>47</v>
      </c>
      <c r="E84" s="26">
        <f>E83/E81</f>
        <v>0.011848341232227487</v>
      </c>
      <c r="F84" s="26">
        <f>F83/F81</f>
        <v>0.018706157443491817</v>
      </c>
      <c r="G84" s="26">
        <f>G83/G81</f>
        <v>0.008373205741626795</v>
      </c>
      <c r="H84" s="26">
        <f>H83/H81</f>
        <v>0.027450980392156862</v>
      </c>
      <c r="I84" s="26">
        <f>I83/I81</f>
        <v>0.006901840490797546</v>
      </c>
      <c r="J84" s="60" t="s">
        <v>46</v>
      </c>
    </row>
    <row r="85">
      <c r="B85" s="53" t="s">
        <v>74</v>
      </c>
      <c r="C85" s="26" t="s">
        <v>47</v>
      </c>
      <c r="D85" s="26" t="s">
        <v>47</v>
      </c>
      <c r="E85" s="26" t="s">
        <v>47</v>
      </c>
      <c r="F85" s="26" t="s">
        <v>47</v>
      </c>
      <c r="G85" s="26" t="s">
        <v>47</v>
      </c>
      <c r="H85" s="26" t="s">
        <v>47</v>
      </c>
      <c r="I85" s="26" t="s">
        <v>47</v>
      </c>
      <c r="J85" s="60" t="s">
        <v>47</v>
      </c>
    </row>
    <row r="86">
      <c r="B86" s="53" t="s">
        <v>75</v>
      </c>
      <c r="C86" s="26" t="s">
        <v>46</v>
      </c>
      <c r="D86" s="26" t="s">
        <v>46</v>
      </c>
      <c r="E86" s="26">
        <f>(1+E82)/(1+E84)-1</f>
        <v>0.059328649492583985</v>
      </c>
      <c r="F86" s="26">
        <f>(1+F82)/(1+F84)-1</f>
        <v>0.0619739862280031</v>
      </c>
      <c r="G86" s="26">
        <f>(1+G82)/(1+G84)-1</f>
        <v>0.05258995650454712</v>
      </c>
      <c r="H86" s="26">
        <f>(1+H82)/(1+H84)-1</f>
        <v>0.07557251908396956</v>
      </c>
      <c r="I86" s="26">
        <f>(1+I82)/(1+I84)-1</f>
        <v>0.11805026656511819</v>
      </c>
      <c r="J86" s="60" t="s">
        <v>46</v>
      </c>
    </row>
    <row r="87" ht="24">
      <c r="B87" s="81" t="s">
        <v>76</v>
      </c>
      <c r="C87" s="80" t="s">
        <v>46</v>
      </c>
      <c r="D87" s="80" t="s">
        <v>46</v>
      </c>
      <c r="E87" s="80" t="s">
        <v>46</v>
      </c>
      <c r="F87" s="80" t="s">
        <v>46</v>
      </c>
      <c r="G87" s="80" t="s">
        <v>46</v>
      </c>
      <c r="H87" s="80" t="s">
        <v>46</v>
      </c>
      <c r="I87" s="80" t="s">
        <v>46</v>
      </c>
      <c r="J87" s="87" t="s">
        <v>46</v>
      </c>
    </row>
    <row r="88" ht="24">
      <c r="B88" s="17" t="s">
        <v>144</v>
      </c>
      <c r="C88" s="80"/>
      <c r="D88" s="80">
        <f>D90/C90-1</f>
        <v>0.1572700296735905</v>
      </c>
      <c r="E88" s="80">
        <f>E90/D90-1</f>
        <v>-0.06666666666666665</v>
      </c>
      <c r="F88" s="80">
        <f>F90/E90-1</f>
        <v>-0.038461538461538436</v>
      </c>
      <c r="G88" s="80"/>
      <c r="H88" s="80">
        <f>H90/F90-1</f>
        <v>0.2342857142857142</v>
      </c>
      <c r="I88" s="80">
        <f>I90/H90-1</f>
        <v>0.13657407407407418</v>
      </c>
      <c r="J88" s="102">
        <v>-0.08</v>
      </c>
    </row>
    <row r="89" ht="24">
      <c r="B89" s="17" t="s">
        <v>145</v>
      </c>
      <c r="C89" s="80" t="s">
        <v>47</v>
      </c>
      <c r="D89" s="80" t="s">
        <v>47</v>
      </c>
      <c r="E89" s="80" t="s">
        <v>47</v>
      </c>
      <c r="F89" s="80" t="s">
        <v>47</v>
      </c>
      <c r="G89" s="119">
        <v>0.14</v>
      </c>
      <c r="H89" s="80" t="s">
        <v>47</v>
      </c>
      <c r="I89" s="119">
        <v>0.25</v>
      </c>
      <c r="J89" s="87" t="s">
        <v>72</v>
      </c>
    </row>
    <row r="90" ht="24">
      <c r="B90" s="43" t="s">
        <v>146</v>
      </c>
      <c r="C90" s="79">
        <v>337</v>
      </c>
      <c r="D90" s="79">
        <v>390</v>
      </c>
      <c r="E90" s="79">
        <v>364</v>
      </c>
      <c r="F90" s="79">
        <v>350</v>
      </c>
      <c r="G90" s="33">
        <f>SUM(C90:F90)</f>
        <v>1441</v>
      </c>
      <c r="H90" s="79">
        <v>432</v>
      </c>
      <c r="I90" s="79">
        <v>491</v>
      </c>
      <c r="J90" s="91">
        <f>I90*(1+J88)</f>
        <v>451.72</v>
      </c>
    </row>
    <row r="91">
      <c r="B91" s="53" t="s">
        <v>87</v>
      </c>
      <c r="C91" s="26" t="s">
        <v>46</v>
      </c>
      <c r="D91" s="26" t="s">
        <v>46</v>
      </c>
      <c r="E91" s="26" t="s">
        <v>46</v>
      </c>
      <c r="F91" s="26" t="s">
        <v>46</v>
      </c>
      <c r="G91" s="26" t="s">
        <v>46</v>
      </c>
      <c r="H91" s="26">
        <f>H90/C90-1</f>
        <v>0.28189910979228494</v>
      </c>
      <c r="I91" s="26">
        <f>I90/D90-1</f>
        <v>0.25897435897435894</v>
      </c>
      <c r="J91" s="60">
        <f>J90/E90-1</f>
        <v>0.24098901098901115</v>
      </c>
    </row>
    <row r="92">
      <c r="B92" s="76" t="s">
        <v>71</v>
      </c>
      <c r="C92" s="3" t="s">
        <v>46</v>
      </c>
      <c r="D92" s="3" t="s">
        <v>46</v>
      </c>
      <c r="E92" s="3" t="s">
        <v>46</v>
      </c>
      <c r="F92" s="3" t="s">
        <v>46</v>
      </c>
      <c r="G92" s="3" t="s">
        <v>46</v>
      </c>
      <c r="H92" s="12">
        <f>'Revenue summary'!H93</f>
        <v>0</v>
      </c>
      <c r="I92" s="12">
        <f>'Revenue summary'!I93</f>
        <v>0</v>
      </c>
      <c r="J92" s="57" t="s">
        <v>72</v>
      </c>
    </row>
    <row r="93">
      <c r="B93" s="53" t="s">
        <v>73</v>
      </c>
      <c r="C93" s="26" t="s">
        <v>46</v>
      </c>
      <c r="D93" s="26" t="s">
        <v>46</v>
      </c>
      <c r="E93" s="26" t="s">
        <v>46</v>
      </c>
      <c r="F93" s="26" t="s">
        <v>46</v>
      </c>
      <c r="G93" s="26" t="s">
        <v>46</v>
      </c>
      <c r="H93" s="26">
        <f>H92/C90</f>
        <v>0</v>
      </c>
      <c r="I93" s="26">
        <f>I92/D90</f>
        <v>0</v>
      </c>
      <c r="J93" s="60" t="s">
        <v>46</v>
      </c>
    </row>
    <row r="94">
      <c r="B94" s="53" t="s">
        <v>74</v>
      </c>
      <c r="C94" s="26" t="s">
        <v>46</v>
      </c>
      <c r="D94" s="26" t="s">
        <v>46</v>
      </c>
      <c r="E94" s="26" t="s">
        <v>46</v>
      </c>
      <c r="F94" s="26" t="s">
        <v>46</v>
      </c>
      <c r="G94" s="26" t="s">
        <v>46</v>
      </c>
      <c r="H94" s="26" t="s">
        <v>47</v>
      </c>
      <c r="I94" s="26" t="s">
        <v>47</v>
      </c>
      <c r="J94" s="60" t="s">
        <v>47</v>
      </c>
    </row>
    <row r="95">
      <c r="B95" s="53" t="s">
        <v>75</v>
      </c>
      <c r="C95" s="26" t="s">
        <v>46</v>
      </c>
      <c r="D95" s="26" t="s">
        <v>46</v>
      </c>
      <c r="E95" s="26" t="s">
        <v>46</v>
      </c>
      <c r="F95" s="26" t="s">
        <v>46</v>
      </c>
      <c r="G95" s="26" t="s">
        <v>46</v>
      </c>
      <c r="H95" s="26">
        <f>(1+H91)/(1+H93)-1</f>
        <v>0.28189910979228494</v>
      </c>
      <c r="I95" s="26">
        <f>(1+I91)/(1+I93)-1</f>
        <v>0.25897435897435894</v>
      </c>
      <c r="J95" s="60" t="s">
        <v>46</v>
      </c>
    </row>
    <row r="96" ht="24">
      <c r="B96" s="81" t="s">
        <v>76</v>
      </c>
      <c r="C96" s="80" t="s">
        <v>46</v>
      </c>
      <c r="D96" s="80" t="s">
        <v>46</v>
      </c>
      <c r="E96" s="80" t="s">
        <v>46</v>
      </c>
      <c r="F96" s="80" t="s">
        <v>46</v>
      </c>
      <c r="G96" s="80" t="s">
        <v>46</v>
      </c>
      <c r="H96" s="80" t="s">
        <v>46</v>
      </c>
      <c r="I96" s="80" t="s">
        <v>46</v>
      </c>
      <c r="J96" s="87" t="s">
        <v>46</v>
      </c>
    </row>
    <row r="97" ht="24">
      <c r="B97" s="6" t="s">
        <v>147</v>
      </c>
      <c r="C97" s="59">
        <v>358869</v>
      </c>
      <c r="D97" s="59">
        <v>386730</v>
      </c>
      <c r="E97" s="59">
        <v>404378</v>
      </c>
      <c r="F97" s="59">
        <v>411166</v>
      </c>
      <c r="G97" s="25">
        <f>AVERAGE(C97:F97)</f>
        <v>390285.75</v>
      </c>
      <c r="H97" s="59">
        <v>431100</v>
      </c>
      <c r="I97" s="59">
        <v>478343</v>
      </c>
      <c r="J97" s="129">
        <v>445000</v>
      </c>
    </row>
    <row r="98">
      <c r="B98" s="58" t="s">
        <v>69</v>
      </c>
      <c r="C98" s="26"/>
      <c r="D98" s="26"/>
      <c r="E98" s="26"/>
      <c r="F98" s="26"/>
      <c r="G98" s="26"/>
      <c r="H98" s="26">
        <f>H97/C97-1</f>
        <v>0.20127400249115968</v>
      </c>
      <c r="I98" s="26">
        <f>I97/D97-1</f>
        <v>0.23689137124091753</v>
      </c>
      <c r="J98" s="60">
        <f>J97/E97-1</f>
        <v>0.10045551439494727</v>
      </c>
    </row>
    <row r="99">
      <c r="B99" s="50" t="s">
        <v>119</v>
      </c>
      <c r="C99" s="3"/>
      <c r="D99" s="3">
        <f>D97-C97</f>
        <v>27861</v>
      </c>
      <c r="E99" s="3">
        <f>E97-D97</f>
        <v>17648</v>
      </c>
      <c r="F99" s="3">
        <f>F97-E97</f>
        <v>6788</v>
      </c>
      <c r="G99" s="3"/>
      <c r="H99" s="3">
        <f>H97-F97</f>
        <v>19934</v>
      </c>
      <c r="I99" s="3">
        <f>I97-H97</f>
        <v>47243</v>
      </c>
      <c r="J99" s="57">
        <f>J97-I97</f>
        <v>-33343</v>
      </c>
    </row>
    <row r="100" ht="13.5">
      <c r="B100" s="6" t="s">
        <v>148</v>
      </c>
      <c r="C100" s="59">
        <v>376269</v>
      </c>
      <c r="D100" s="59">
        <v>387070</v>
      </c>
      <c r="E100" s="59">
        <v>397730</v>
      </c>
      <c r="F100" s="59">
        <v>394277</v>
      </c>
      <c r="G100" s="25">
        <f>F100</f>
        <v>394277</v>
      </c>
      <c r="H100" s="59">
        <v>431805</v>
      </c>
      <c r="I100" s="59">
        <v>426290</v>
      </c>
      <c r="J100" s="86" t="s">
        <v>72</v>
      </c>
    </row>
    <row r="101">
      <c r="B101" s="58" t="s">
        <v>69</v>
      </c>
      <c r="C101" s="26"/>
      <c r="D101" s="26"/>
      <c r="E101" s="26"/>
      <c r="F101" s="26"/>
      <c r="G101" s="26"/>
      <c r="H101" s="26">
        <f>H100/C100-1</f>
        <v>0.14759653333120726</v>
      </c>
      <c r="I101" s="26">
        <f>I100/D100-1</f>
        <v>0.1013253416694655</v>
      </c>
      <c r="J101" s="60"/>
    </row>
    <row r="102">
      <c r="B102" s="50" t="s">
        <v>119</v>
      </c>
      <c r="C102" s="3"/>
      <c r="D102" s="3">
        <f>D100-C100</f>
        <v>10801</v>
      </c>
      <c r="E102" s="3">
        <f>E100-D100</f>
        <v>10660</v>
      </c>
      <c r="F102" s="3">
        <f>F100-E100</f>
        <v>-3453</v>
      </c>
      <c r="G102" s="3"/>
      <c r="H102" s="3">
        <f>H100-F100</f>
        <v>37528</v>
      </c>
      <c r="I102" s="3">
        <f>I100-H100</f>
        <v>-5515</v>
      </c>
      <c r="J102" s="57"/>
    </row>
    <row r="103" ht="34.5">
      <c r="B103" s="6" t="s">
        <v>149</v>
      </c>
      <c r="C103" s="66">
        <f>C106/C97*365/C7*10000</f>
        <v>12.205010742081372</v>
      </c>
      <c r="D103" s="66">
        <f>D106/D97*365/D7*10000</f>
        <v>12.3421428983449</v>
      </c>
      <c r="E103" s="66">
        <f>E106/E97*365/E7*10000</f>
        <v>13.048757436810629</v>
      </c>
      <c r="F103" s="66">
        <f>F106/F97*365/F7*10000</f>
        <v>11.675438820964938</v>
      </c>
      <c r="G103" s="66">
        <f>G106/G97*365/G7*10000</f>
        <v>12.324303411026408</v>
      </c>
      <c r="H103" s="66">
        <f>H106/H97*365/H7*10000</f>
        <v>10.348204850640478</v>
      </c>
      <c r="I103" s="66">
        <f>I106/I97*365/I7*10000</f>
        <v>11.739242793109996</v>
      </c>
      <c r="J103" s="120">
        <v>11.5</v>
      </c>
    </row>
    <row r="104">
      <c r="B104" s="50" t="s">
        <v>116</v>
      </c>
      <c r="C104" s="21"/>
      <c r="D104" s="21">
        <f>D103-C103</f>
        <v>0.1371321562635277</v>
      </c>
      <c r="E104" s="21">
        <f>E103-D103</f>
        <v>0.706614538465729</v>
      </c>
      <c r="F104" s="21">
        <f>F103-E103</f>
        <v>-1.3733186158456903</v>
      </c>
      <c r="G104" s="21"/>
      <c r="H104" s="21">
        <f>H103-F103</f>
        <v>-1.3272339703244604</v>
      </c>
      <c r="I104" s="21">
        <f>I103-H103</f>
        <v>1.3910379424695183</v>
      </c>
      <c r="J104" s="69">
        <f>J103-I103</f>
        <v>-0.2392427931099963</v>
      </c>
    </row>
    <row r="105">
      <c r="B105" s="50" t="s">
        <v>117</v>
      </c>
      <c r="C105" s="21" t="s">
        <v>46</v>
      </c>
      <c r="D105" s="21" t="s">
        <v>46</v>
      </c>
      <c r="E105" s="21" t="s">
        <v>46</v>
      </c>
      <c r="F105" s="21" t="s">
        <v>46</v>
      </c>
      <c r="G105" s="21" t="s">
        <v>46</v>
      </c>
      <c r="H105" s="21">
        <f>H103-C103</f>
        <v>-1.856805891440894</v>
      </c>
      <c r="I105" s="21">
        <f>I103-D103</f>
        <v>-0.6029001052349034</v>
      </c>
      <c r="J105" s="69">
        <f>J103-E103</f>
        <v>-1.5487574368106287</v>
      </c>
    </row>
    <row r="106">
      <c r="B106" s="19" t="s">
        <v>150</v>
      </c>
      <c r="C106" s="88">
        <v>108</v>
      </c>
      <c r="D106" s="88">
        <v>119</v>
      </c>
      <c r="E106" s="88">
        <v>133</v>
      </c>
      <c r="F106" s="88">
        <v>121</v>
      </c>
      <c r="G106" s="38">
        <f>SUM(C106:F106)</f>
        <v>481</v>
      </c>
      <c r="H106" s="88">
        <v>110</v>
      </c>
      <c r="I106" s="88">
        <v>140</v>
      </c>
      <c r="J106" s="63">
        <f>J97*J103/10000*J7/365</f>
        <v>128.9890410958904</v>
      </c>
    </row>
    <row r="107">
      <c r="B107" s="58" t="s">
        <v>70</v>
      </c>
      <c r="C107" s="26"/>
      <c r="D107" s="26">
        <f>D106/C106-1</f>
        <v>0.10185185185185186</v>
      </c>
      <c r="E107" s="26">
        <f>E106/D106-1</f>
        <v>0.11764705882352944</v>
      </c>
      <c r="F107" s="26">
        <f>F106/E106-1</f>
        <v>-0.09022556390977443</v>
      </c>
      <c r="G107" s="26"/>
      <c r="H107" s="26">
        <f>H106/F106-1</f>
        <v>-0.09090909090909094</v>
      </c>
      <c r="I107" s="26">
        <f>I106/H106-1</f>
        <v>0.2727272727272727</v>
      </c>
      <c r="J107" s="60">
        <f>J106/I106-1</f>
        <v>-0.07864970645792568</v>
      </c>
    </row>
    <row r="108">
      <c r="B108" s="53" t="s">
        <v>87</v>
      </c>
      <c r="C108" s="26" t="s">
        <v>46</v>
      </c>
      <c r="D108" s="26" t="s">
        <v>46</v>
      </c>
      <c r="E108" s="26" t="s">
        <v>46</v>
      </c>
      <c r="F108" s="26" t="s">
        <v>46</v>
      </c>
      <c r="G108" s="26" t="s">
        <v>46</v>
      </c>
      <c r="H108" s="26">
        <f>H106/C106-1</f>
        <v>0.0185185185185186</v>
      </c>
      <c r="I108" s="26">
        <f>I106/D106-1</f>
        <v>0.17647058823529416</v>
      </c>
      <c r="J108" s="60">
        <f>J106/E106-1</f>
        <v>-0.03015758574518501</v>
      </c>
    </row>
    <row r="109">
      <c r="B109" s="76" t="s">
        <v>71</v>
      </c>
      <c r="C109" s="3" t="s">
        <v>46</v>
      </c>
      <c r="D109" s="3" t="s">
        <v>46</v>
      </c>
      <c r="E109" s="3" t="s">
        <v>46</v>
      </c>
      <c r="F109" s="3" t="s">
        <v>46</v>
      </c>
      <c r="G109" s="3" t="s">
        <v>46</v>
      </c>
      <c r="H109" s="12">
        <f>'Revenue summary'!H102</f>
        <v>0</v>
      </c>
      <c r="I109" s="12">
        <f>'Revenue summary'!I102</f>
        <v>0</v>
      </c>
      <c r="J109" s="57" t="s">
        <v>72</v>
      </c>
    </row>
    <row r="110">
      <c r="B110" s="53" t="s">
        <v>73</v>
      </c>
      <c r="C110" s="26" t="s">
        <v>46</v>
      </c>
      <c r="D110" s="26" t="s">
        <v>46</v>
      </c>
      <c r="E110" s="26" t="s">
        <v>46</v>
      </c>
      <c r="F110" s="26" t="s">
        <v>46</v>
      </c>
      <c r="G110" s="26" t="s">
        <v>46</v>
      </c>
      <c r="H110" s="26">
        <f>H109/C106</f>
        <v>0</v>
      </c>
      <c r="I110" s="26">
        <f>I109/D106</f>
        <v>0</v>
      </c>
      <c r="J110" s="60" t="s">
        <v>46</v>
      </c>
    </row>
    <row r="111">
      <c r="B111" s="53" t="s">
        <v>74</v>
      </c>
      <c r="C111" s="26" t="s">
        <v>46</v>
      </c>
      <c r="D111" s="26" t="s">
        <v>46</v>
      </c>
      <c r="E111" s="26" t="s">
        <v>46</v>
      </c>
      <c r="F111" s="26" t="s">
        <v>46</v>
      </c>
      <c r="G111" s="26" t="s">
        <v>46</v>
      </c>
      <c r="H111" s="26" t="s">
        <v>47</v>
      </c>
      <c r="I111" s="26" t="s">
        <v>47</v>
      </c>
      <c r="J111" s="60" t="s">
        <v>47</v>
      </c>
    </row>
    <row r="112">
      <c r="B112" s="53" t="s">
        <v>75</v>
      </c>
      <c r="C112" s="26" t="s">
        <v>46</v>
      </c>
      <c r="D112" s="26" t="s">
        <v>46</v>
      </c>
      <c r="E112" s="26" t="s">
        <v>46</v>
      </c>
      <c r="F112" s="26" t="s">
        <v>46</v>
      </c>
      <c r="G112" s="26" t="s">
        <v>46</v>
      </c>
      <c r="H112" s="26">
        <f>(1+H108)/(1+H110)-1</f>
        <v>0.0185185185185186</v>
      </c>
      <c r="I112" s="26">
        <f>(1+I108)/(1+I110)-1</f>
        <v>0.17647058823529416</v>
      </c>
      <c r="J112" s="60" t="s">
        <v>46</v>
      </c>
    </row>
    <row r="113" ht="24">
      <c r="B113" s="81" t="s">
        <v>76</v>
      </c>
      <c r="C113" s="80" t="s">
        <v>46</v>
      </c>
      <c r="D113" s="80" t="s">
        <v>46</v>
      </c>
      <c r="E113" s="80" t="s">
        <v>46</v>
      </c>
      <c r="F113" s="80" t="s">
        <v>46</v>
      </c>
      <c r="G113" s="80" t="s">
        <v>46</v>
      </c>
      <c r="H113" s="80" t="s">
        <v>46</v>
      </c>
      <c r="I113" s="80" t="s">
        <v>46</v>
      </c>
      <c r="J113" s="87" t="s">
        <v>46</v>
      </c>
    </row>
    <row r="114" ht="24">
      <c r="B114" s="6" t="s">
        <v>151</v>
      </c>
      <c r="C114" s="25" t="s">
        <v>46</v>
      </c>
      <c r="D114" s="59">
        <v>381</v>
      </c>
      <c r="E114" s="59">
        <v>410</v>
      </c>
      <c r="F114" s="59">
        <v>420</v>
      </c>
      <c r="G114" s="25">
        <f>F114</f>
        <v>420</v>
      </c>
      <c r="H114" s="59">
        <v>427</v>
      </c>
      <c r="I114" s="59">
        <v>433</v>
      </c>
      <c r="J114" s="129">
        <v>440</v>
      </c>
    </row>
    <row r="115">
      <c r="B115" s="58" t="s">
        <v>69</v>
      </c>
      <c r="C115" s="26"/>
      <c r="D115" s="26"/>
      <c r="E115" s="26"/>
      <c r="F115" s="26"/>
      <c r="G115" s="26"/>
      <c r="H115" s="26"/>
      <c r="I115" s="26">
        <f>I114/D114-1</f>
        <v>0.13648293963254599</v>
      </c>
      <c r="J115" s="60">
        <f>J114/E114-1</f>
        <v>0.07317073170731714</v>
      </c>
    </row>
    <row r="116">
      <c r="B116" s="50" t="s">
        <v>119</v>
      </c>
      <c r="C116" s="3"/>
      <c r="D116" s="3"/>
      <c r="E116" s="3">
        <f>E114-D114</f>
        <v>29</v>
      </c>
      <c r="F116" s="3">
        <f>F114-E114</f>
        <v>10</v>
      </c>
      <c r="G116" s="3"/>
      <c r="H116" s="3">
        <f>H114-F114</f>
        <v>7</v>
      </c>
      <c r="I116" s="3">
        <f>I114-H114</f>
        <v>6</v>
      </c>
      <c r="J116" s="57">
        <f>J114-I114</f>
        <v>7</v>
      </c>
    </row>
    <row r="117">
      <c r="B117" s="2" t="s">
        <v>152</v>
      </c>
      <c r="C117" s="3" t="s">
        <v>47</v>
      </c>
      <c r="D117" s="46">
        <v>6</v>
      </c>
      <c r="E117" s="46">
        <v>9</v>
      </c>
      <c r="F117" s="46">
        <v>26</v>
      </c>
      <c r="G117" s="3" t="s">
        <v>46</v>
      </c>
      <c r="H117" s="46">
        <v>1</v>
      </c>
      <c r="I117" s="46">
        <v>5</v>
      </c>
      <c r="J117" s="57" t="s">
        <v>72</v>
      </c>
    </row>
    <row r="118">
      <c r="B118" s="58" t="s">
        <v>69</v>
      </c>
      <c r="C118" s="26"/>
      <c r="D118" s="26"/>
      <c r="E118" s="26"/>
      <c r="F118" s="26"/>
      <c r="G118" s="26"/>
      <c r="H118" s="26"/>
      <c r="I118" s="26">
        <f>I117/D117-1</f>
        <v>-0.16666666666666663</v>
      </c>
      <c r="J118" s="60"/>
    </row>
    <row r="119">
      <c r="B119" s="50" t="s">
        <v>119</v>
      </c>
      <c r="C119" s="3"/>
      <c r="D119" s="3"/>
      <c r="E119" s="3">
        <f>E117-D117</f>
        <v>3</v>
      </c>
      <c r="F119" s="3">
        <f>F117-E117</f>
        <v>17</v>
      </c>
      <c r="G119" s="3"/>
      <c r="H119" s="3">
        <f>H117-F117</f>
        <v>-25</v>
      </c>
      <c r="I119" s="3">
        <f>I117-H117</f>
        <v>4</v>
      </c>
      <c r="J119" s="57"/>
    </row>
    <row r="120" ht="24">
      <c r="B120" s="6" t="s">
        <v>153</v>
      </c>
      <c r="C120" s="25" t="s">
        <v>47</v>
      </c>
      <c r="D120" s="59">
        <v>143</v>
      </c>
      <c r="E120" s="59">
        <v>145</v>
      </c>
      <c r="F120" s="59">
        <v>155</v>
      </c>
      <c r="G120" s="25">
        <f>F120</f>
        <v>155</v>
      </c>
      <c r="H120" s="59">
        <v>151</v>
      </c>
      <c r="I120" s="59">
        <v>152</v>
      </c>
      <c r="J120" s="86" t="s">
        <v>72</v>
      </c>
    </row>
    <row r="121">
      <c r="B121" s="58" t="s">
        <v>69</v>
      </c>
      <c r="C121" s="26"/>
      <c r="D121" s="26"/>
      <c r="E121" s="26"/>
      <c r="F121" s="26"/>
      <c r="G121" s="26"/>
      <c r="H121" s="26"/>
      <c r="I121" s="26">
        <f>I120/D120-1</f>
        <v>0.06293706293706292</v>
      </c>
      <c r="J121" s="60"/>
    </row>
    <row r="122">
      <c r="B122" s="50" t="s">
        <v>119</v>
      </c>
      <c r="C122" s="3"/>
      <c r="D122" s="3"/>
      <c r="E122" s="3">
        <f>E120-D120</f>
        <v>2</v>
      </c>
      <c r="F122" s="3">
        <f>F120-E120</f>
        <v>10</v>
      </c>
      <c r="G122" s="3"/>
      <c r="H122" s="3">
        <f>H120-F120</f>
        <v>-4</v>
      </c>
      <c r="I122" s="3">
        <f>I120-H120</f>
        <v>1</v>
      </c>
      <c r="J122" s="57"/>
    </row>
    <row r="123" ht="24">
      <c r="B123" s="17" t="s">
        <v>154</v>
      </c>
      <c r="C123" s="80" t="s">
        <v>46</v>
      </c>
      <c r="D123" s="80">
        <f>D126*365/D7/D114</f>
        <v>2.0318133310259294</v>
      </c>
      <c r="E123" s="80">
        <f>E126*365/E7/E114</f>
        <v>1.6159862142099684</v>
      </c>
      <c r="F123" s="80">
        <f>F126*365/F7/F114</f>
        <v>1.5397256728778468</v>
      </c>
      <c r="G123" s="80" t="s">
        <v>46</v>
      </c>
      <c r="H123" s="80">
        <f>H126*365/H7/H114</f>
        <v>1.6051262034868592</v>
      </c>
      <c r="I123" s="80">
        <f>I126*365/I7/I114</f>
        <v>1.53770017511357</v>
      </c>
      <c r="J123" s="102">
        <v>1.545</v>
      </c>
    </row>
    <row r="124">
      <c r="B124" s="50" t="s">
        <v>116</v>
      </c>
      <c r="C124" s="20"/>
      <c r="D124" s="20"/>
      <c r="E124" s="20">
        <f>(E123-D123)*10000</f>
        <v>-4158.271168159611</v>
      </c>
      <c r="F124" s="20">
        <f>(F123-E123)*10000</f>
        <v>-762.6054133212157</v>
      </c>
      <c r="G124" s="20"/>
      <c r="H124" s="20">
        <f>(H123-F123)*10000</f>
        <v>654.0053060901241</v>
      </c>
      <c r="I124" s="20">
        <f>(I123-H123)*10000</f>
        <v>-674.2602837328926</v>
      </c>
      <c r="J124" s="70">
        <f>(J123-I123)*10000</f>
        <v>72.99824886429995</v>
      </c>
    </row>
    <row r="125">
      <c r="B125" s="50" t="s">
        <v>117</v>
      </c>
      <c r="C125" s="20"/>
      <c r="D125" s="20" t="s">
        <v>46</v>
      </c>
      <c r="E125" s="20" t="s">
        <v>46</v>
      </c>
      <c r="F125" s="20" t="s">
        <v>46</v>
      </c>
      <c r="G125" s="20"/>
      <c r="H125" s="20"/>
      <c r="I125" s="20">
        <f>(I123-D123)*10000</f>
        <v>-4941.131559123595</v>
      </c>
      <c r="J125" s="70">
        <f>(J123-E123)*10000</f>
        <v>-709.8621420996842</v>
      </c>
    </row>
    <row r="126">
      <c r="B126" s="19" t="s">
        <v>99</v>
      </c>
      <c r="C126" s="88">
        <v>158</v>
      </c>
      <c r="D126" s="88">
        <v>193</v>
      </c>
      <c r="E126" s="88">
        <v>167</v>
      </c>
      <c r="F126" s="88">
        <v>163</v>
      </c>
      <c r="G126" s="38">
        <f>SUM(C126:F126)</f>
        <v>681</v>
      </c>
      <c r="H126" s="88">
        <v>169</v>
      </c>
      <c r="I126" s="88">
        <v>166</v>
      </c>
      <c r="J126" s="63">
        <f>J114*J123*J7/365</f>
        <v>171.34684931506848</v>
      </c>
    </row>
    <row r="127">
      <c r="B127" s="58" t="s">
        <v>70</v>
      </c>
      <c r="C127" s="26"/>
      <c r="D127" s="26">
        <f>D126/C126-1</f>
        <v>0.22151898734177222</v>
      </c>
      <c r="E127" s="26">
        <f>E126/D126-1</f>
        <v>-0.13471502590673579</v>
      </c>
      <c r="F127" s="26">
        <f>F126/E126-1</f>
        <v>-0.0239520958083832</v>
      </c>
      <c r="G127" s="26"/>
      <c r="H127" s="26">
        <f>H126/F126-1</f>
        <v>0.036809815950920255</v>
      </c>
      <c r="I127" s="26">
        <f>I126/H126-1</f>
        <v>-0.017751479289940808</v>
      </c>
      <c r="J127" s="60">
        <f>J126/I126-1</f>
        <v>0.03220993563294261</v>
      </c>
    </row>
    <row r="128">
      <c r="B128" s="53" t="s">
        <v>87</v>
      </c>
      <c r="C128" s="26" t="s">
        <v>46</v>
      </c>
      <c r="D128" s="26" t="s">
        <v>46</v>
      </c>
      <c r="E128" s="26" t="s">
        <v>46</v>
      </c>
      <c r="F128" s="26" t="s">
        <v>46</v>
      </c>
      <c r="G128" s="26" t="s">
        <v>46</v>
      </c>
      <c r="H128" s="26">
        <f>H126/C126-1</f>
        <v>0.06962025316455689</v>
      </c>
      <c r="I128" s="26">
        <f>I126/D126-1</f>
        <v>-0.13989637305699487</v>
      </c>
      <c r="J128" s="60">
        <f>J126/E126-1</f>
        <v>0.026029037814781386</v>
      </c>
    </row>
    <row r="129">
      <c r="B129" s="76" t="s">
        <v>71</v>
      </c>
      <c r="C129" s="3" t="s">
        <v>46</v>
      </c>
      <c r="D129" s="3" t="s">
        <v>46</v>
      </c>
      <c r="E129" s="3" t="s">
        <v>46</v>
      </c>
      <c r="F129" s="3" t="s">
        <v>46</v>
      </c>
      <c r="G129" s="3" t="s">
        <v>46</v>
      </c>
      <c r="H129" s="12">
        <f>'Revenue summary'!H111</f>
        <v>1</v>
      </c>
      <c r="I129" s="12">
        <f>'Revenue summary'!I111</f>
        <v>0</v>
      </c>
      <c r="J129" s="57" t="s">
        <v>72</v>
      </c>
    </row>
    <row r="130">
      <c r="B130" s="53" t="s">
        <v>73</v>
      </c>
      <c r="C130" s="26" t="s">
        <v>46</v>
      </c>
      <c r="D130" s="26" t="s">
        <v>46</v>
      </c>
      <c r="E130" s="26" t="s">
        <v>46</v>
      </c>
      <c r="F130" s="26" t="s">
        <v>46</v>
      </c>
      <c r="G130" s="26" t="s">
        <v>46</v>
      </c>
      <c r="H130" s="26">
        <f>H129/C126</f>
        <v>0.006329113924050633</v>
      </c>
      <c r="I130" s="26">
        <f>I129/D126</f>
        <v>0</v>
      </c>
      <c r="J130" s="60" t="s">
        <v>46</v>
      </c>
    </row>
    <row r="131">
      <c r="B131" s="53" t="s">
        <v>74</v>
      </c>
      <c r="C131" s="26" t="s">
        <v>46</v>
      </c>
      <c r="D131" s="26" t="s">
        <v>46</v>
      </c>
      <c r="E131" s="26" t="s">
        <v>46</v>
      </c>
      <c r="F131" s="26" t="s">
        <v>46</v>
      </c>
      <c r="G131" s="26" t="s">
        <v>46</v>
      </c>
      <c r="H131" s="26" t="s">
        <v>47</v>
      </c>
      <c r="I131" s="26" t="s">
        <v>47</v>
      </c>
      <c r="J131" s="60" t="s">
        <v>47</v>
      </c>
    </row>
    <row r="132">
      <c r="B132" s="53" t="s">
        <v>75</v>
      </c>
      <c r="C132" s="26" t="s">
        <v>46</v>
      </c>
      <c r="D132" s="26" t="s">
        <v>46</v>
      </c>
      <c r="E132" s="26" t="s">
        <v>46</v>
      </c>
      <c r="F132" s="26" t="s">
        <v>46</v>
      </c>
      <c r="G132" s="26" t="s">
        <v>46</v>
      </c>
      <c r="H132" s="26">
        <f>(1+H128)/(1+H130)-1</f>
        <v>0.06289308176100628</v>
      </c>
      <c r="I132" s="26">
        <f>(1+I128)/(1+I130)-1</f>
        <v>-0.13989637305699487</v>
      </c>
      <c r="J132" s="60" t="s">
        <v>46</v>
      </c>
    </row>
    <row r="133" ht="24">
      <c r="B133" s="81" t="s">
        <v>76</v>
      </c>
      <c r="C133" s="80" t="s">
        <v>46</v>
      </c>
      <c r="D133" s="80" t="s">
        <v>46</v>
      </c>
      <c r="E133" s="80" t="s">
        <v>46</v>
      </c>
      <c r="F133" s="80" t="s">
        <v>46</v>
      </c>
      <c r="G133" s="80" t="s">
        <v>46</v>
      </c>
      <c r="H133" s="80" t="s">
        <v>46</v>
      </c>
      <c r="I133" s="80" t="s">
        <v>46</v>
      </c>
      <c r="J133" s="87" t="s">
        <v>46</v>
      </c>
    </row>
    <row r="134">
      <c r="B134" s="19" t="s">
        <v>155</v>
      </c>
      <c r="C134" s="88">
        <v>101</v>
      </c>
      <c r="D134" s="88">
        <v>112</v>
      </c>
      <c r="E134" s="88">
        <v>128</v>
      </c>
      <c r="F134" s="88">
        <v>113</v>
      </c>
      <c r="G134" s="38">
        <f>SUM(C134:F134)</f>
        <v>454</v>
      </c>
      <c r="H134" s="88">
        <v>102</v>
      </c>
      <c r="I134" s="88">
        <v>117</v>
      </c>
      <c r="J134" s="82">
        <v>110</v>
      </c>
    </row>
    <row r="135">
      <c r="B135" s="58" t="s">
        <v>70</v>
      </c>
      <c r="C135" s="26"/>
      <c r="D135" s="26">
        <f>D134/C134-1</f>
        <v>0.10891089108910901</v>
      </c>
      <c r="E135" s="26">
        <f>E134/D134-1</f>
        <v>0.1428571428571428</v>
      </c>
      <c r="F135" s="26">
        <f>F134/E134-1</f>
        <v>-0.1171875</v>
      </c>
      <c r="G135" s="26"/>
      <c r="H135" s="26">
        <f>H134/F134-1</f>
        <v>-0.09734513274336287</v>
      </c>
      <c r="I135" s="26">
        <f>I134/H134-1</f>
        <v>0.1470588235294117</v>
      </c>
      <c r="J135" s="60">
        <f>J134/I134-1</f>
        <v>-0.05982905982905984</v>
      </c>
    </row>
    <row r="136">
      <c r="B136" s="53" t="s">
        <v>87</v>
      </c>
      <c r="C136" s="26" t="s">
        <v>46</v>
      </c>
      <c r="D136" s="26" t="s">
        <v>46</v>
      </c>
      <c r="E136" s="26" t="s">
        <v>46</v>
      </c>
      <c r="F136" s="26" t="s">
        <v>46</v>
      </c>
      <c r="G136" s="26" t="s">
        <v>46</v>
      </c>
      <c r="H136" s="26">
        <f>H134/C134-1</f>
        <v>0.00990099009900991</v>
      </c>
      <c r="I136" s="26">
        <f>I134/D134-1</f>
        <v>0.044642857142857206</v>
      </c>
      <c r="J136" s="60">
        <f>J134/E134-1</f>
        <v>-0.140625</v>
      </c>
    </row>
    <row r="137">
      <c r="B137" s="76" t="s">
        <v>71</v>
      </c>
      <c r="C137" s="3" t="s">
        <v>46</v>
      </c>
      <c r="D137" s="3" t="s">
        <v>46</v>
      </c>
      <c r="E137" s="3" t="s">
        <v>46</v>
      </c>
      <c r="F137" s="3" t="s">
        <v>46</v>
      </c>
      <c r="G137" s="3" t="s">
        <v>46</v>
      </c>
      <c r="H137" s="12">
        <f>'Revenue summary'!H120</f>
        <v>0</v>
      </c>
      <c r="I137" s="12">
        <f>'Revenue summary'!I120</f>
        <v>0</v>
      </c>
      <c r="J137" s="57" t="s">
        <v>72</v>
      </c>
    </row>
    <row r="138">
      <c r="B138" s="53" t="s">
        <v>73</v>
      </c>
      <c r="C138" s="26" t="s">
        <v>46</v>
      </c>
      <c r="D138" s="26" t="s">
        <v>46</v>
      </c>
      <c r="E138" s="26" t="s">
        <v>46</v>
      </c>
      <c r="F138" s="26" t="s">
        <v>46</v>
      </c>
      <c r="G138" s="26" t="s">
        <v>46</v>
      </c>
      <c r="H138" s="26">
        <f>H137/C134</f>
        <v>0</v>
      </c>
      <c r="I138" s="26">
        <f>I137/D134</f>
        <v>0</v>
      </c>
      <c r="J138" s="60" t="s">
        <v>46</v>
      </c>
    </row>
    <row r="139">
      <c r="B139" s="53" t="s">
        <v>74</v>
      </c>
      <c r="C139" s="26" t="s">
        <v>46</v>
      </c>
      <c r="D139" s="26" t="s">
        <v>46</v>
      </c>
      <c r="E139" s="26" t="s">
        <v>46</v>
      </c>
      <c r="F139" s="26" t="s">
        <v>46</v>
      </c>
      <c r="G139" s="26" t="s">
        <v>46</v>
      </c>
      <c r="H139" s="26" t="s">
        <v>47</v>
      </c>
      <c r="I139" s="26" t="s">
        <v>47</v>
      </c>
      <c r="J139" s="60" t="s">
        <v>47</v>
      </c>
    </row>
    <row r="140">
      <c r="B140" s="53" t="s">
        <v>75</v>
      </c>
      <c r="C140" s="26" t="s">
        <v>46</v>
      </c>
      <c r="D140" s="26" t="s">
        <v>46</v>
      </c>
      <c r="E140" s="26" t="s">
        <v>46</v>
      </c>
      <c r="F140" s="26" t="s">
        <v>46</v>
      </c>
      <c r="G140" s="26" t="s">
        <v>46</v>
      </c>
      <c r="H140" s="26">
        <f>(1+H136)/(1+H138)-1</f>
        <v>0.00990099009900991</v>
      </c>
      <c r="I140" s="26">
        <f>(1+I136)/(1+I138)-1</f>
        <v>0.044642857142857206</v>
      </c>
      <c r="J140" s="60" t="s">
        <v>46</v>
      </c>
    </row>
    <row r="141" ht="24">
      <c r="B141" s="81" t="s">
        <v>76</v>
      </c>
      <c r="C141" s="80" t="s">
        <v>46</v>
      </c>
      <c r="D141" s="80" t="s">
        <v>46</v>
      </c>
      <c r="E141" s="80" t="s">
        <v>46</v>
      </c>
      <c r="F141" s="80" t="s">
        <v>46</v>
      </c>
      <c r="G141" s="80" t="s">
        <v>46</v>
      </c>
      <c r="H141" s="80" t="s">
        <v>46</v>
      </c>
      <c r="I141" s="80" t="s">
        <v>46</v>
      </c>
      <c r="J141" s="87" t="s">
        <v>46</v>
      </c>
    </row>
    <row r="142" ht="24">
      <c r="B142" s="43" t="s">
        <v>156</v>
      </c>
      <c r="C142" s="33">
        <f>SUM(C79,C90,C106,C126,C134)</f>
        <v>1979</v>
      </c>
      <c r="D142" s="33">
        <f>SUM(D79,D90,D106,D126,D134)</f>
        <v>2118</v>
      </c>
      <c r="E142" s="33">
        <f>SUM(E79,E90,E106,E126,E134)</f>
        <v>2149</v>
      </c>
      <c r="F142" s="33">
        <f>SUM(F79,F90,F106,F126,F134)</f>
        <v>2135</v>
      </c>
      <c r="G142" s="33">
        <f>SUM(G79,G90,G106,G126,G134)</f>
        <v>8381</v>
      </c>
      <c r="H142" s="33">
        <f>SUM(H79,H90,H106,H126,H134)</f>
        <v>2222</v>
      </c>
      <c r="I142" s="33">
        <f>SUM(I79,I90,I106,I126,I134)</f>
        <v>2382</v>
      </c>
      <c r="J142" s="91">
        <f>SUM(J79,J90,J106,J126,J134)</f>
        <v>2374.251287780822</v>
      </c>
    </row>
    <row r="143">
      <c r="B143" s="58" t="s">
        <v>70</v>
      </c>
      <c r="C143" s="26"/>
      <c r="D143" s="26">
        <f>D142/C142-1</f>
        <v>0.07023749368367871</v>
      </c>
      <c r="E143" s="26">
        <f>E142/D142-1</f>
        <v>0.014636449480642133</v>
      </c>
      <c r="F143" s="26">
        <f>F142/E142-1</f>
        <v>-0.006514657980456029</v>
      </c>
      <c r="G143" s="26"/>
      <c r="H143" s="26">
        <f>H142/F142-1</f>
        <v>0.040749414519906324</v>
      </c>
      <c r="I143" s="26">
        <f>I142/H142-1</f>
        <v>0.07200720072007205</v>
      </c>
      <c r="J143" s="60">
        <f>J142/I142-1</f>
        <v>-0.0032530277998227275</v>
      </c>
    </row>
    <row r="144">
      <c r="B144" s="53" t="s">
        <v>87</v>
      </c>
      <c r="C144" s="26" t="s">
        <v>46</v>
      </c>
      <c r="D144" s="26" t="s">
        <v>46</v>
      </c>
      <c r="E144" s="26" t="s">
        <v>46</v>
      </c>
      <c r="F144" s="26" t="s">
        <v>46</v>
      </c>
      <c r="G144" s="26" t="s">
        <v>46</v>
      </c>
      <c r="H144" s="26">
        <f>H142/C142-1</f>
        <v>0.12278928751894891</v>
      </c>
      <c r="I144" s="26">
        <f>I142/D142-1</f>
        <v>0.12464589235127477</v>
      </c>
      <c r="J144" s="60">
        <f>J142/E142-1</f>
        <v>0.10481679282495215</v>
      </c>
    </row>
    <row r="145">
      <c r="B145" s="76" t="s">
        <v>71</v>
      </c>
      <c r="C145" s="3" t="s">
        <v>46</v>
      </c>
      <c r="D145" s="3" t="s">
        <v>46</v>
      </c>
      <c r="E145" s="3" t="s">
        <v>46</v>
      </c>
      <c r="F145" s="3" t="s">
        <v>46</v>
      </c>
      <c r="G145" s="3" t="s">
        <v>46</v>
      </c>
      <c r="H145" s="3" t="s">
        <v>47</v>
      </c>
      <c r="I145" s="3" t="s">
        <v>47</v>
      </c>
      <c r="J145" s="57" t="s">
        <v>72</v>
      </c>
    </row>
    <row r="146">
      <c r="B146" s="53" t="s">
        <v>73</v>
      </c>
      <c r="C146" s="26" t="s">
        <v>46</v>
      </c>
      <c r="D146" s="26" t="s">
        <v>46</v>
      </c>
      <c r="E146" s="26" t="s">
        <v>46</v>
      </c>
      <c r="F146" s="26" t="s">
        <v>46</v>
      </c>
      <c r="G146" s="26" t="s">
        <v>46</v>
      </c>
      <c r="H146" s="26" t="s">
        <v>47</v>
      </c>
      <c r="I146" s="26" t="s">
        <v>47</v>
      </c>
      <c r="J146" s="60" t="s">
        <v>46</v>
      </c>
    </row>
    <row r="147">
      <c r="B147" s="53" t="s">
        <v>74</v>
      </c>
      <c r="C147" s="26" t="s">
        <v>46</v>
      </c>
      <c r="D147" s="26" t="s">
        <v>46</v>
      </c>
      <c r="E147" s="26" t="s">
        <v>46</v>
      </c>
      <c r="F147" s="26" t="s">
        <v>46</v>
      </c>
      <c r="G147" s="26" t="s">
        <v>46</v>
      </c>
      <c r="H147" s="26" t="s">
        <v>47</v>
      </c>
      <c r="I147" s="26" t="s">
        <v>47</v>
      </c>
      <c r="J147" s="60" t="s">
        <v>47</v>
      </c>
    </row>
    <row r="148">
      <c r="B148" s="53" t="s">
        <v>75</v>
      </c>
      <c r="C148" s="26" t="s">
        <v>46</v>
      </c>
      <c r="D148" s="26" t="s">
        <v>46</v>
      </c>
      <c r="E148" s="26" t="s">
        <v>46</v>
      </c>
      <c r="F148" s="26" t="s">
        <v>46</v>
      </c>
      <c r="G148" s="26" t="s">
        <v>46</v>
      </c>
      <c r="H148" s="26" t="s">
        <v>46</v>
      </c>
      <c r="I148" s="26" t="s">
        <v>46</v>
      </c>
      <c r="J148" s="60" t="s">
        <v>46</v>
      </c>
    </row>
    <row r="149" ht="24">
      <c r="B149" s="81" t="s">
        <v>76</v>
      </c>
      <c r="C149" s="80" t="s">
        <v>46</v>
      </c>
      <c r="D149" s="80" t="s">
        <v>46</v>
      </c>
      <c r="E149" s="80" t="s">
        <v>46</v>
      </c>
      <c r="F149" s="80" t="s">
        <v>46</v>
      </c>
      <c r="G149" s="80" t="s">
        <v>46</v>
      </c>
      <c r="H149" s="80" t="s">
        <v>46</v>
      </c>
      <c r="I149" s="80" t="s">
        <v>46</v>
      </c>
      <c r="J149" s="87" t="s">
        <v>46</v>
      </c>
    </row>
    <row r="150">
      <c r="B150" s="2"/>
      <c r="C150" s="2"/>
      <c r="D150" s="2"/>
      <c r="E150" s="2"/>
      <c r="F150" s="2"/>
      <c r="G150" s="2"/>
      <c r="H150" s="2"/>
      <c r="I150" s="2"/>
      <c r="J150" s="2"/>
    </row>
    <row r="151">
      <c r="B151" s="19" t="s">
        <v>157</v>
      </c>
      <c r="C151" s="2"/>
      <c r="D151" s="2"/>
      <c r="E151" s="2"/>
      <c r="F151" s="2"/>
      <c r="G151" s="2"/>
      <c r="H151" s="2"/>
      <c r="I151" s="2"/>
      <c r="J151" s="2"/>
    </row>
    <row r="152" ht="24">
      <c r="B152" s="83" t="s">
        <v>158</v>
      </c>
      <c r="C152" s="59">
        <v>92780</v>
      </c>
      <c r="D152" s="59">
        <v>98321</v>
      </c>
      <c r="E152" s="59">
        <v>88130</v>
      </c>
      <c r="F152" s="59">
        <v>94987</v>
      </c>
      <c r="G152" s="25">
        <f>AVERAGE(C152:F152)</f>
        <v>93554.5</v>
      </c>
      <c r="H152" s="59">
        <v>100363</v>
      </c>
      <c r="I152" s="59">
        <v>103683</v>
      </c>
      <c r="J152" s="86">
        <f>J176*I152/I176</f>
        <v>105030.44512877939</v>
      </c>
    </row>
    <row r="153">
      <c r="B153" s="58" t="s">
        <v>69</v>
      </c>
      <c r="C153" s="26"/>
      <c r="D153" s="26"/>
      <c r="E153" s="26"/>
      <c r="F153" s="26"/>
      <c r="G153" s="26"/>
      <c r="H153" s="26">
        <f>H152/C152-1</f>
        <v>0.08173097650355676</v>
      </c>
      <c r="I153" s="26">
        <f>I152/D152-1</f>
        <v>0.054535653624352864</v>
      </c>
      <c r="J153" s="60">
        <f>J152/E152-1</f>
        <v>0.19176722034244187</v>
      </c>
    </row>
    <row r="154">
      <c r="B154" s="50" t="s">
        <v>119</v>
      </c>
      <c r="C154" s="3"/>
      <c r="D154" s="3">
        <f>D152-C152</f>
        <v>5541</v>
      </c>
      <c r="E154" s="3">
        <f>E152-D152</f>
        <v>-10191</v>
      </c>
      <c r="F154" s="3">
        <f>F152-E152</f>
        <v>6857</v>
      </c>
      <c r="G154" s="3"/>
      <c r="H154" s="3">
        <f>H152-F152</f>
        <v>5376</v>
      </c>
      <c r="I154" s="3">
        <f>I152-H152</f>
        <v>3320</v>
      </c>
      <c r="J154" s="57">
        <f>J152-I152</f>
        <v>1347.4451287793927</v>
      </c>
    </row>
    <row r="155" ht="24">
      <c r="B155" s="83" t="s">
        <v>159</v>
      </c>
      <c r="C155" s="59">
        <v>7716</v>
      </c>
      <c r="D155" s="59">
        <v>9169</v>
      </c>
      <c r="E155" s="59">
        <v>8643</v>
      </c>
      <c r="F155" s="59">
        <v>7398</v>
      </c>
      <c r="G155" s="25">
        <f>AVERAGE(C155:F155)</f>
        <v>8231.5</v>
      </c>
      <c r="H155" s="59">
        <v>8051</v>
      </c>
      <c r="I155" s="59">
        <v>8129</v>
      </c>
      <c r="J155" s="86">
        <f>J176*I155/I176</f>
        <v>8234.64298343844</v>
      </c>
    </row>
    <row r="156">
      <c r="B156" s="58" t="s">
        <v>69</v>
      </c>
      <c r="C156" s="26"/>
      <c r="D156" s="26"/>
      <c r="E156" s="26"/>
      <c r="F156" s="26"/>
      <c r="G156" s="26"/>
      <c r="H156" s="26">
        <f>H155/C155-1</f>
        <v>0.04341627786417823</v>
      </c>
      <c r="I156" s="26">
        <f>I155/D155-1</f>
        <v>-0.11342567346493615</v>
      </c>
      <c r="J156" s="60">
        <f>J155/E155-1</f>
        <v>-0.04724713832715033</v>
      </c>
    </row>
    <row r="157">
      <c r="B157" s="50" t="s">
        <v>119</v>
      </c>
      <c r="C157" s="3"/>
      <c r="D157" s="3">
        <f>D155-C155</f>
        <v>1453</v>
      </c>
      <c r="E157" s="3">
        <f>E155-D155</f>
        <v>-526</v>
      </c>
      <c r="F157" s="3">
        <f>F155-E155</f>
        <v>-1245</v>
      </c>
      <c r="G157" s="3"/>
      <c r="H157" s="3">
        <f>H155-F155</f>
        <v>653</v>
      </c>
      <c r="I157" s="3">
        <f>I155-H155</f>
        <v>78</v>
      </c>
      <c r="J157" s="57">
        <f>J155-I155</f>
        <v>105.64298343843984</v>
      </c>
    </row>
    <row r="158">
      <c r="B158" s="50" t="s">
        <v>160</v>
      </c>
      <c r="C158" s="46">
        <v>756</v>
      </c>
      <c r="D158" s="46">
        <v>791</v>
      </c>
      <c r="E158" s="46">
        <v>806</v>
      </c>
      <c r="F158" s="46">
        <v>872</v>
      </c>
      <c r="G158" s="3">
        <f>AVERAGE(C158:F158)</f>
        <v>806.25</v>
      </c>
      <c r="H158" s="46">
        <v>837</v>
      </c>
      <c r="I158" s="46">
        <v>845</v>
      </c>
      <c r="J158" s="57">
        <f>J176*I158/I176</f>
        <v>855.9814640183887</v>
      </c>
    </row>
    <row r="159">
      <c r="B159" s="58" t="s">
        <v>69</v>
      </c>
      <c r="C159" s="26"/>
      <c r="D159" s="26"/>
      <c r="E159" s="26"/>
      <c r="F159" s="26"/>
      <c r="G159" s="26"/>
      <c r="H159" s="26">
        <f>H158/C158-1</f>
        <v>0.1071428571428572</v>
      </c>
      <c r="I159" s="26">
        <f>I158/D158-1</f>
        <v>0.06826801517067005</v>
      </c>
      <c r="J159" s="60">
        <f>J158/E158-1</f>
        <v>0.062011741958298616</v>
      </c>
    </row>
    <row r="160">
      <c r="B160" s="50" t="s">
        <v>119</v>
      </c>
      <c r="C160" s="3"/>
      <c r="D160" s="3">
        <f>D158-C158</f>
        <v>35</v>
      </c>
      <c r="E160" s="3">
        <f>E158-D158</f>
        <v>15</v>
      </c>
      <c r="F160" s="3">
        <f>F158-E158</f>
        <v>66</v>
      </c>
      <c r="G160" s="3"/>
      <c r="H160" s="3">
        <f>H158-F158</f>
        <v>-35</v>
      </c>
      <c r="I160" s="3">
        <f>I158-H158</f>
        <v>8</v>
      </c>
      <c r="J160" s="57">
        <f>J158-I158</f>
        <v>10.981464018388692</v>
      </c>
    </row>
    <row r="161" ht="24">
      <c r="B161" s="94" t="s">
        <v>161</v>
      </c>
      <c r="C161" s="59">
        <v>63428</v>
      </c>
      <c r="D161" s="59">
        <v>67718</v>
      </c>
      <c r="E161" s="59">
        <v>69898</v>
      </c>
      <c r="F161" s="59">
        <v>68858</v>
      </c>
      <c r="G161" s="25">
        <f>AVERAGE(C161:F161)</f>
        <v>67475.5</v>
      </c>
      <c r="H161" s="59">
        <v>69862</v>
      </c>
      <c r="I161" s="59">
        <v>72810</v>
      </c>
      <c r="J161" s="86">
        <f>J167*I161/I167</f>
        <v>73756.22531973831</v>
      </c>
    </row>
    <row r="162">
      <c r="B162" s="58" t="s">
        <v>69</v>
      </c>
      <c r="C162" s="26"/>
      <c r="D162" s="26"/>
      <c r="E162" s="26"/>
      <c r="F162" s="26"/>
      <c r="G162" s="26"/>
      <c r="H162" s="26">
        <f>H161/C161-1</f>
        <v>0.10143785079144862</v>
      </c>
      <c r="I162" s="26">
        <f>I161/D161-1</f>
        <v>0.07519418766059238</v>
      </c>
      <c r="J162" s="60">
        <f>J161/E161-1</f>
        <v>0.0551979358456367</v>
      </c>
    </row>
    <row r="163">
      <c r="B163" s="50" t="s">
        <v>119</v>
      </c>
      <c r="C163" s="3"/>
      <c r="D163" s="3">
        <f>D161-C161</f>
        <v>4290</v>
      </c>
      <c r="E163" s="3">
        <f>E161-D161</f>
        <v>2180</v>
      </c>
      <c r="F163" s="3">
        <f>F161-E161</f>
        <v>-1040</v>
      </c>
      <c r="G163" s="3"/>
      <c r="H163" s="3">
        <f>H161-F161</f>
        <v>1004</v>
      </c>
      <c r="I163" s="3">
        <f>I161-H161</f>
        <v>2948</v>
      </c>
      <c r="J163" s="57">
        <f>J161-I161</f>
        <v>946.2253197383106</v>
      </c>
    </row>
    <row r="164" ht="24">
      <c r="B164" s="94" t="s">
        <v>162</v>
      </c>
      <c r="C164" s="59">
        <v>46642</v>
      </c>
      <c r="D164" s="59">
        <v>44365</v>
      </c>
      <c r="E164" s="59">
        <v>41923</v>
      </c>
      <c r="F164" s="59">
        <v>39518</v>
      </c>
      <c r="G164" s="25">
        <f>AVERAGE(C164:F164)</f>
        <v>43112</v>
      </c>
      <c r="H164" s="59">
        <v>37295</v>
      </c>
      <c r="I164" s="59">
        <v>35820</v>
      </c>
      <c r="J164" s="86">
        <f>J167-J161</f>
        <v>36285.51010785643</v>
      </c>
    </row>
    <row r="165">
      <c r="B165" s="58" t="s">
        <v>69</v>
      </c>
      <c r="C165" s="26"/>
      <c r="D165" s="26"/>
      <c r="E165" s="26"/>
      <c r="F165" s="26"/>
      <c r="G165" s="26"/>
      <c r="H165" s="26">
        <f>H164/C164-1</f>
        <v>-0.20039878221345564</v>
      </c>
      <c r="I165" s="26">
        <f>I164/D164-1</f>
        <v>-0.19260678462752168</v>
      </c>
      <c r="J165" s="60">
        <f>J164/E164-1</f>
        <v>-0.13447248269788825</v>
      </c>
    </row>
    <row r="166">
      <c r="B166" s="50" t="s">
        <v>119</v>
      </c>
      <c r="C166" s="3"/>
      <c r="D166" s="3">
        <f>D164-C164</f>
        <v>-2277</v>
      </c>
      <c r="E166" s="3">
        <f>E164-D164</f>
        <v>-2442</v>
      </c>
      <c r="F166" s="3">
        <f>F164-E164</f>
        <v>-2405</v>
      </c>
      <c r="G166" s="3"/>
      <c r="H166" s="3">
        <f>H164-F164</f>
        <v>-2223</v>
      </c>
      <c r="I166" s="3">
        <f>I164-H164</f>
        <v>-1475</v>
      </c>
      <c r="J166" s="57">
        <f>J164-I164</f>
        <v>465.510107856433</v>
      </c>
    </row>
    <row r="167">
      <c r="B167" s="77" t="s">
        <v>163</v>
      </c>
      <c r="C167" s="38">
        <f>C161+C164</f>
        <v>110070</v>
      </c>
      <c r="D167" s="38">
        <f>D161+D164</f>
        <v>112083</v>
      </c>
      <c r="E167" s="38">
        <f>E161+E164</f>
        <v>111821</v>
      </c>
      <c r="F167" s="38">
        <f>F161+F164</f>
        <v>108376</v>
      </c>
      <c r="G167" s="38">
        <f>G161+G164</f>
        <v>110587.5</v>
      </c>
      <c r="H167" s="38">
        <f>H161+H164</f>
        <v>107157</v>
      </c>
      <c r="I167" s="38">
        <f>I161+I164</f>
        <v>108630</v>
      </c>
      <c r="J167" s="63">
        <f>J176*I167/I176</f>
        <v>110041.73542759474</v>
      </c>
    </row>
    <row r="168">
      <c r="B168" s="58" t="s">
        <v>69</v>
      </c>
      <c r="C168" s="26"/>
      <c r="D168" s="26"/>
      <c r="E168" s="26"/>
      <c r="F168" s="26"/>
      <c r="G168" s="26"/>
      <c r="H168" s="26">
        <f>H167/C167-1</f>
        <v>-0.02646497683292448</v>
      </c>
      <c r="I168" s="26">
        <f>I167/D167-1</f>
        <v>-0.030807526565134746</v>
      </c>
      <c r="J168" s="60">
        <f>J167/E167-1</f>
        <v>-0.015911721165123294</v>
      </c>
    </row>
    <row r="169">
      <c r="B169" s="50" t="s">
        <v>119</v>
      </c>
      <c r="C169" s="3"/>
      <c r="D169" s="3">
        <f>D167-C167</f>
        <v>2013</v>
      </c>
      <c r="E169" s="3">
        <f>E167-D167</f>
        <v>-262</v>
      </c>
      <c r="F169" s="3">
        <f>F167-E167</f>
        <v>-3445</v>
      </c>
      <c r="G169" s="3"/>
      <c r="H169" s="3">
        <f>H167-F167</f>
        <v>-1219</v>
      </c>
      <c r="I169" s="3">
        <f>I167-H167</f>
        <v>1473</v>
      </c>
      <c r="J169" s="57">
        <f>J167-I167</f>
        <v>1411.7354275947437</v>
      </c>
    </row>
    <row r="170">
      <c r="B170" s="50" t="s">
        <v>164</v>
      </c>
      <c r="C170" s="46">
        <v>43730</v>
      </c>
      <c r="D170" s="46">
        <v>45277</v>
      </c>
      <c r="E170" s="46">
        <v>46500</v>
      </c>
      <c r="F170" s="46">
        <v>47599</v>
      </c>
      <c r="G170" s="3">
        <f>AVERAGE(C170:F170)</f>
        <v>45776.5</v>
      </c>
      <c r="H170" s="46">
        <v>48588</v>
      </c>
      <c r="I170" s="46">
        <v>50081</v>
      </c>
      <c r="J170" s="57">
        <f>J176*I170/I176</f>
        <v>50731.84343136677</v>
      </c>
    </row>
    <row r="171">
      <c r="B171" s="58" t="s">
        <v>69</v>
      </c>
      <c r="C171" s="26"/>
      <c r="D171" s="26"/>
      <c r="E171" s="26"/>
      <c r="F171" s="26"/>
      <c r="G171" s="26"/>
      <c r="H171" s="26">
        <f>H170/C170-1</f>
        <v>0.11109078435856401</v>
      </c>
      <c r="I171" s="26">
        <f>I170/D170-1</f>
        <v>0.10610243611546699</v>
      </c>
      <c r="J171" s="60">
        <f>J170/E170-1</f>
        <v>0.09100738562079069</v>
      </c>
    </row>
    <row r="172">
      <c r="B172" s="50" t="s">
        <v>119</v>
      </c>
      <c r="C172" s="3"/>
      <c r="D172" s="3">
        <f>D170-C170</f>
        <v>1547</v>
      </c>
      <c r="E172" s="3">
        <f>E170-D170</f>
        <v>1223</v>
      </c>
      <c r="F172" s="3">
        <f>F170-E170</f>
        <v>1099</v>
      </c>
      <c r="G172" s="3"/>
      <c r="H172" s="3">
        <f>H170-F170</f>
        <v>989</v>
      </c>
      <c r="I172" s="3">
        <f>I170-H170</f>
        <v>1493</v>
      </c>
      <c r="J172" s="57">
        <f>J170-I170</f>
        <v>650.8434313667676</v>
      </c>
    </row>
    <row r="173">
      <c r="B173" s="50" t="s">
        <v>165</v>
      </c>
      <c r="C173" s="46">
        <v>34464</v>
      </c>
      <c r="D173" s="46">
        <v>39007</v>
      </c>
      <c r="E173" s="46">
        <v>39557</v>
      </c>
      <c r="F173" s="46">
        <v>29999</v>
      </c>
      <c r="G173" s="3">
        <f>AVERAGE(C173:F173)</f>
        <v>35756.75</v>
      </c>
      <c r="H173" s="46">
        <v>28118</v>
      </c>
      <c r="I173" s="46">
        <v>34038</v>
      </c>
      <c r="J173" s="57">
        <f>J176*I173/I176</f>
        <v>34480.351564802266</v>
      </c>
    </row>
    <row r="174">
      <c r="B174" s="58" t="s">
        <v>69</v>
      </c>
      <c r="C174" s="26"/>
      <c r="D174" s="26"/>
      <c r="E174" s="26"/>
      <c r="F174" s="26"/>
      <c r="G174" s="26"/>
      <c r="H174" s="26">
        <f>H173/C173-1</f>
        <v>-0.18413416898792945</v>
      </c>
      <c r="I174" s="26">
        <f>I173/D173-1</f>
        <v>-0.1273873920065629</v>
      </c>
      <c r="J174" s="60">
        <f>J173/E173-1</f>
        <v>-0.12833754923775142</v>
      </c>
    </row>
    <row r="175">
      <c r="B175" s="50" t="s">
        <v>119</v>
      </c>
      <c r="C175" s="3"/>
      <c r="D175" s="3">
        <f>D173-C173</f>
        <v>4543</v>
      </c>
      <c r="E175" s="3">
        <f>E173-D173</f>
        <v>550</v>
      </c>
      <c r="F175" s="3">
        <f>F173-E173</f>
        <v>-9558</v>
      </c>
      <c r="G175" s="3"/>
      <c r="H175" s="3">
        <f>H173-F173</f>
        <v>-1881</v>
      </c>
      <c r="I175" s="3">
        <f>I173-H173</f>
        <v>5920</v>
      </c>
      <c r="J175" s="57">
        <f>J173-I173</f>
        <v>442.3515648022658</v>
      </c>
    </row>
    <row r="176">
      <c r="B176" s="19" t="s">
        <v>166</v>
      </c>
      <c r="C176" s="38">
        <f>SUM(C152,C155,C158,C167,C170,C173)</f>
        <v>289516</v>
      </c>
      <c r="D176" s="38">
        <f>SUM(D152,D155,D158,D167,D170,D173)</f>
        <v>304648</v>
      </c>
      <c r="E176" s="38">
        <f>SUM(E152,E155,E158,E167,E170,E173)</f>
        <v>295457</v>
      </c>
      <c r="F176" s="38">
        <f>SUM(F152,F155,F158,F167,F170,F173)</f>
        <v>289231</v>
      </c>
      <c r="G176" s="38">
        <f>SUM(G152,G155,G158,G167,G170,G173)</f>
        <v>294713</v>
      </c>
      <c r="H176" s="38">
        <f>SUM(H152,H155,H158,H167,H170,H173)</f>
        <v>293114</v>
      </c>
      <c r="I176" s="38">
        <f>SUM(I152,I155,I158,I167,I170,I173)</f>
        <v>305406</v>
      </c>
      <c r="J176" s="63">
        <f>J192*J244</f>
        <v>309375</v>
      </c>
    </row>
    <row r="177">
      <c r="B177" s="58" t="s">
        <v>69</v>
      </c>
      <c r="C177" s="26"/>
      <c r="D177" s="26"/>
      <c r="E177" s="26"/>
      <c r="F177" s="26"/>
      <c r="G177" s="26"/>
      <c r="H177" s="26">
        <f>H176/C176-1</f>
        <v>0.012427637850757733</v>
      </c>
      <c r="I177" s="26">
        <f>I176/D176-1</f>
        <v>0.0024881174338908796</v>
      </c>
      <c r="J177" s="60">
        <f>J176/E176-1</f>
        <v>0.04710668557522757</v>
      </c>
    </row>
    <row r="178">
      <c r="B178" s="50" t="s">
        <v>119</v>
      </c>
      <c r="C178" s="3"/>
      <c r="D178" s="3">
        <f>D176-C176</f>
        <v>15132</v>
      </c>
      <c r="E178" s="3">
        <f>E176-D176</f>
        <v>-9191</v>
      </c>
      <c r="F178" s="3">
        <f>F176-E176</f>
        <v>-6226</v>
      </c>
      <c r="G178" s="3"/>
      <c r="H178" s="3">
        <f>H176-F176</f>
        <v>3883</v>
      </c>
      <c r="I178" s="3">
        <f>I176-H176</f>
        <v>12292</v>
      </c>
      <c r="J178" s="57">
        <f>J176-I176</f>
        <v>3969</v>
      </c>
    </row>
    <row r="179">
      <c r="B179" s="19" t="s">
        <v>167</v>
      </c>
      <c r="C179" s="49"/>
      <c r="D179" s="49"/>
      <c r="E179" s="49"/>
      <c r="F179" s="49"/>
      <c r="G179" s="49"/>
      <c r="H179" s="49"/>
      <c r="I179" s="49"/>
      <c r="J179" s="62"/>
    </row>
    <row r="180">
      <c r="B180" s="76" t="s">
        <v>168</v>
      </c>
      <c r="C180" s="46">
        <v>154462</v>
      </c>
      <c r="D180" s="46">
        <v>159770</v>
      </c>
      <c r="E180" s="46">
        <v>157132</v>
      </c>
      <c r="F180" s="46">
        <v>153865</v>
      </c>
      <c r="G180" s="3">
        <f>AVERAGE(C180:F180)</f>
        <v>156307.25</v>
      </c>
      <c r="H180" s="46">
        <v>154634</v>
      </c>
      <c r="I180" s="46">
        <v>161741</v>
      </c>
      <c r="J180" s="57">
        <f>J186*I180/I186</f>
        <v>164525.9760676173</v>
      </c>
    </row>
    <row r="181">
      <c r="B181" s="58" t="s">
        <v>69</v>
      </c>
      <c r="C181" s="26"/>
      <c r="D181" s="26"/>
      <c r="E181" s="26"/>
      <c r="F181" s="26"/>
      <c r="G181" s="26"/>
      <c r="H181" s="26">
        <f>H180/C180-1</f>
        <v>0.0011135424894148649</v>
      </c>
      <c r="I181" s="26">
        <f>I180/D180-1</f>
        <v>0.012336483695311928</v>
      </c>
      <c r="J181" s="60">
        <f>J180/E180-1</f>
        <v>0.047055826105550036</v>
      </c>
    </row>
    <row r="182">
      <c r="B182" s="50" t="s">
        <v>119</v>
      </c>
      <c r="C182" s="3"/>
      <c r="D182" s="3">
        <f>D180-C180</f>
        <v>5308</v>
      </c>
      <c r="E182" s="3">
        <f>E180-D180</f>
        <v>-2638</v>
      </c>
      <c r="F182" s="3">
        <f>F180-E180</f>
        <v>-3267</v>
      </c>
      <c r="G182" s="3"/>
      <c r="H182" s="3">
        <f>H180-F180</f>
        <v>769</v>
      </c>
      <c r="I182" s="3">
        <f>I180-H180</f>
        <v>7107</v>
      </c>
      <c r="J182" s="57">
        <f>J180-I180</f>
        <v>2784.9760676173028</v>
      </c>
    </row>
    <row r="183" ht="24">
      <c r="B183" s="94" t="s">
        <v>169</v>
      </c>
      <c r="C183" s="59">
        <v>63677</v>
      </c>
      <c r="D183" s="59">
        <v>76807</v>
      </c>
      <c r="E183" s="59">
        <v>73428</v>
      </c>
      <c r="F183" s="59">
        <v>73577</v>
      </c>
      <c r="G183" s="25">
        <f>AVERAGE(C183:F183)</f>
        <v>71872.25</v>
      </c>
      <c r="H183" s="59">
        <v>73962</v>
      </c>
      <c r="I183" s="59">
        <v>79103</v>
      </c>
      <c r="J183" s="86">
        <f>J186-J180</f>
        <v>80465.05391259317</v>
      </c>
    </row>
    <row r="184">
      <c r="B184" s="58" t="s">
        <v>69</v>
      </c>
      <c r="C184" s="26"/>
      <c r="D184" s="26"/>
      <c r="E184" s="26"/>
      <c r="F184" s="26"/>
      <c r="G184" s="26"/>
      <c r="H184" s="26">
        <f>H183/C183-1</f>
        <v>0.16151828760777054</v>
      </c>
      <c r="I184" s="26">
        <f>I183/D183-1</f>
        <v>0.029893108701029902</v>
      </c>
      <c r="J184" s="60">
        <f>J183/E183-1</f>
        <v>0.09583611037469586</v>
      </c>
    </row>
    <row r="185">
      <c r="B185" s="50" t="s">
        <v>119</v>
      </c>
      <c r="C185" s="3"/>
      <c r="D185" s="3">
        <f>D183-C183</f>
        <v>13130</v>
      </c>
      <c r="E185" s="3">
        <f>E183-D183</f>
        <v>-3379</v>
      </c>
      <c r="F185" s="3">
        <f>F183-E183</f>
        <v>149</v>
      </c>
      <c r="G185" s="3"/>
      <c r="H185" s="3">
        <f>H183-F183</f>
        <v>385</v>
      </c>
      <c r="I185" s="3">
        <f>I183-H183</f>
        <v>5141</v>
      </c>
      <c r="J185" s="57">
        <f>J183-I183</f>
        <v>1362.0539125931682</v>
      </c>
    </row>
    <row r="186">
      <c r="B186" s="77" t="s">
        <v>170</v>
      </c>
      <c r="C186" s="38">
        <f>C180+C183</f>
        <v>218139</v>
      </c>
      <c r="D186" s="38">
        <f>D180+D183</f>
        <v>236577</v>
      </c>
      <c r="E186" s="38">
        <f>E180+E183</f>
        <v>230560</v>
      </c>
      <c r="F186" s="38">
        <f>F180+F183</f>
        <v>227442</v>
      </c>
      <c r="G186" s="38">
        <f>G180+G183</f>
        <v>228179.5</v>
      </c>
      <c r="H186" s="38">
        <f>H180+H183</f>
        <v>228596</v>
      </c>
      <c r="I186" s="38">
        <f>I180+I183</f>
        <v>240844</v>
      </c>
      <c r="J186" s="63">
        <f>J192*I186/I192</f>
        <v>244991.02998021047</v>
      </c>
    </row>
    <row r="187">
      <c r="B187" s="58" t="s">
        <v>69</v>
      </c>
      <c r="C187" s="26"/>
      <c r="D187" s="26"/>
      <c r="E187" s="26"/>
      <c r="F187" s="26"/>
      <c r="G187" s="26"/>
      <c r="H187" s="26">
        <f>H186/C186-1</f>
        <v>0.0479373243665735</v>
      </c>
      <c r="I187" s="26">
        <f>I186/D186-1</f>
        <v>0.018036410978243822</v>
      </c>
      <c r="J187" s="60">
        <f>J186/E186-1</f>
        <v>0.06259121261368183</v>
      </c>
    </row>
    <row r="188">
      <c r="B188" s="50" t="s">
        <v>119</v>
      </c>
      <c r="C188" s="3"/>
      <c r="D188" s="3">
        <f>D186-C186</f>
        <v>18438</v>
      </c>
      <c r="E188" s="3">
        <f>E186-D186</f>
        <v>-6017</v>
      </c>
      <c r="F188" s="3">
        <f>F186-E186</f>
        <v>-3118</v>
      </c>
      <c r="G188" s="3"/>
      <c r="H188" s="3">
        <f>H186-F186</f>
        <v>1154</v>
      </c>
      <c r="I188" s="3">
        <f>I186-H186</f>
        <v>12248</v>
      </c>
      <c r="J188" s="57">
        <f>J186-I186</f>
        <v>4147.029980210471</v>
      </c>
    </row>
    <row r="189">
      <c r="B189" s="50" t="s">
        <v>171</v>
      </c>
      <c r="C189" s="46">
        <v>24897</v>
      </c>
      <c r="D189" s="46">
        <v>24168</v>
      </c>
      <c r="E189" s="46">
        <v>23949</v>
      </c>
      <c r="F189" s="46">
        <v>26143</v>
      </c>
      <c r="G189" s="3">
        <f>AVERAGE(C189:F189)</f>
        <v>24789.25</v>
      </c>
      <c r="H189" s="46">
        <v>29485</v>
      </c>
      <c r="I189" s="46">
        <v>29501</v>
      </c>
      <c r="J189" s="57">
        <f>J192-J186</f>
        <v>30008.97001978953</v>
      </c>
    </row>
    <row r="190">
      <c r="B190" s="58" t="s">
        <v>69</v>
      </c>
      <c r="C190" s="26"/>
      <c r="D190" s="26"/>
      <c r="E190" s="26"/>
      <c r="F190" s="26"/>
      <c r="G190" s="26"/>
      <c r="H190" s="26">
        <f>H189/C189-1</f>
        <v>0.184279230429369</v>
      </c>
      <c r="I190" s="26">
        <f>I189/D189-1</f>
        <v>0.22066368752068843</v>
      </c>
      <c r="J190" s="60">
        <f>J189/E189-1</f>
        <v>0.2530364532878002</v>
      </c>
    </row>
    <row r="191">
      <c r="B191" s="50" t="s">
        <v>119</v>
      </c>
      <c r="C191" s="3"/>
      <c r="D191" s="3">
        <f>D189-C189</f>
        <v>-729</v>
      </c>
      <c r="E191" s="3">
        <f>E189-D189</f>
        <v>-219</v>
      </c>
      <c r="F191" s="3">
        <f>F189-E189</f>
        <v>2194</v>
      </c>
      <c r="G191" s="3"/>
      <c r="H191" s="3">
        <f>H189-F189</f>
        <v>3342</v>
      </c>
      <c r="I191" s="3">
        <f>I189-H189</f>
        <v>16</v>
      </c>
      <c r="J191" s="57">
        <f>J189-I189</f>
        <v>507.97001978952903</v>
      </c>
    </row>
    <row r="192">
      <c r="B192" s="19" t="s">
        <v>172</v>
      </c>
      <c r="C192" s="38">
        <f>C186+C189</f>
        <v>243036</v>
      </c>
      <c r="D192" s="38">
        <f>D186+D189</f>
        <v>260745</v>
      </c>
      <c r="E192" s="38">
        <f>E186+E189</f>
        <v>254509</v>
      </c>
      <c r="F192" s="38">
        <f>F186+F189</f>
        <v>253585</v>
      </c>
      <c r="G192" s="38">
        <f>G186+G189</f>
        <v>252968.75</v>
      </c>
      <c r="H192" s="38">
        <f>H186+H189</f>
        <v>258081</v>
      </c>
      <c r="I192" s="38">
        <f>I186+I189</f>
        <v>270345</v>
      </c>
      <c r="J192" s="82">
        <v>275000</v>
      </c>
    </row>
    <row r="193">
      <c r="B193" s="58" t="s">
        <v>69</v>
      </c>
      <c r="C193" s="26"/>
      <c r="D193" s="26"/>
      <c r="E193" s="26"/>
      <c r="F193" s="26"/>
      <c r="G193" s="26"/>
      <c r="H193" s="26">
        <f>H192/C192-1</f>
        <v>0.06190440922332496</v>
      </c>
      <c r="I193" s="26">
        <f>I192/D192-1</f>
        <v>0.03681758039463845</v>
      </c>
      <c r="J193" s="60">
        <f>J192/E192-1</f>
        <v>0.08051188759533057</v>
      </c>
    </row>
    <row r="194">
      <c r="B194" s="50" t="s">
        <v>119</v>
      </c>
      <c r="C194" s="3"/>
      <c r="D194" s="3">
        <f>D192-C192</f>
        <v>17709</v>
      </c>
      <c r="E194" s="3">
        <f>E192-D192</f>
        <v>-6236</v>
      </c>
      <c r="F194" s="3">
        <f>F192-E192</f>
        <v>-924</v>
      </c>
      <c r="G194" s="3"/>
      <c r="H194" s="3">
        <f>H192-F192</f>
        <v>4496</v>
      </c>
      <c r="I194" s="3">
        <f>I192-H192</f>
        <v>12264</v>
      </c>
      <c r="J194" s="57">
        <f>J192-I192</f>
        <v>4655</v>
      </c>
    </row>
    <row r="195" ht="24">
      <c r="B195" s="112" t="s">
        <v>173</v>
      </c>
      <c r="C195" s="80">
        <f>C189/C192</f>
        <v>0.10244161358811041</v>
      </c>
      <c r="D195" s="80">
        <f>D189/D192</f>
        <v>0.09268825864350227</v>
      </c>
      <c r="E195" s="80">
        <f>E189/E192</f>
        <v>0.09409883344007482</v>
      </c>
      <c r="F195" s="80">
        <f>F189/F192</f>
        <v>0.10309363724195043</v>
      </c>
      <c r="G195" s="80">
        <f>G189/G192</f>
        <v>0.09799332921556517</v>
      </c>
      <c r="H195" s="80">
        <f>H189/H192</f>
        <v>0.11424707746792674</v>
      </c>
      <c r="I195" s="80">
        <f>I189/I192</f>
        <v>0.10912352734468919</v>
      </c>
      <c r="J195" s="87">
        <f>J189/J192</f>
        <v>0.10912352734468919</v>
      </c>
    </row>
    <row r="196">
      <c r="B196" s="76" t="s">
        <v>116</v>
      </c>
      <c r="C196" s="20"/>
      <c r="D196" s="20">
        <f>(D195-C195)*10000</f>
        <v>-97.53354944608134</v>
      </c>
      <c r="E196" s="20">
        <f>(E195-D195)*10000</f>
        <v>14.105747965725419</v>
      </c>
      <c r="F196" s="20">
        <f>(F195-E195)*10000</f>
        <v>89.94803801875617</v>
      </c>
      <c r="G196" s="20"/>
      <c r="H196" s="20">
        <f>(H195-F195)*10000</f>
        <v>111.53440225976308</v>
      </c>
      <c r="I196" s="20">
        <f>(I195-H195)*10000</f>
        <v>-51.2355012323755</v>
      </c>
      <c r="J196" s="70">
        <f>(J195-I195)*10000</f>
        <v>0</v>
      </c>
    </row>
    <row r="197">
      <c r="B197" s="76" t="s">
        <v>117</v>
      </c>
      <c r="C197" s="20" t="s">
        <v>46</v>
      </c>
      <c r="D197" s="20" t="s">
        <v>46</v>
      </c>
      <c r="E197" s="20" t="s">
        <v>46</v>
      </c>
      <c r="F197" s="20" t="s">
        <v>46</v>
      </c>
      <c r="G197" s="20" t="s">
        <v>46</v>
      </c>
      <c r="H197" s="20">
        <f>(H195-C195)*10000</f>
        <v>118.05463879816332</v>
      </c>
      <c r="I197" s="20">
        <f>(I195-D195)*10000</f>
        <v>164.35268701186916</v>
      </c>
      <c r="J197" s="70">
        <f>(J195-E195)*10000</f>
        <v>150.24693904614375</v>
      </c>
    </row>
    <row r="198" ht="24">
      <c r="B198" s="83" t="s">
        <v>174</v>
      </c>
      <c r="C198" s="59">
        <v>4530</v>
      </c>
      <c r="D198" s="59">
        <v>3160</v>
      </c>
      <c r="E198" s="59">
        <v>1002</v>
      </c>
      <c r="F198" s="59">
        <v>161</v>
      </c>
      <c r="G198" s="25">
        <f>AVERAGE(C198:F198)</f>
        <v>2213.25</v>
      </c>
      <c r="H198" s="59">
        <v>272</v>
      </c>
      <c r="I198" s="59">
        <v>256</v>
      </c>
      <c r="J198" s="86">
        <f>I198</f>
        <v>256</v>
      </c>
    </row>
    <row r="199">
      <c r="B199" s="58" t="s">
        <v>69</v>
      </c>
      <c r="C199" s="26"/>
      <c r="D199" s="26"/>
      <c r="E199" s="26"/>
      <c r="F199" s="26"/>
      <c r="G199" s="26"/>
      <c r="H199" s="26">
        <f>H198/C198-1</f>
        <v>-0.9399558498896248</v>
      </c>
      <c r="I199" s="26">
        <f>I198/D198-1</f>
        <v>-0.9189873417721519</v>
      </c>
      <c r="J199" s="60">
        <f>J198/E198-1</f>
        <v>-0.7445109780439122</v>
      </c>
    </row>
    <row r="200">
      <c r="B200" s="50" t="s">
        <v>119</v>
      </c>
      <c r="C200" s="3"/>
      <c r="D200" s="3">
        <f>D198-C198</f>
        <v>-1370</v>
      </c>
      <c r="E200" s="3">
        <f>E198-D198</f>
        <v>-2158</v>
      </c>
      <c r="F200" s="3">
        <f>F198-E198</f>
        <v>-841</v>
      </c>
      <c r="G200" s="3"/>
      <c r="H200" s="3">
        <f>H198-F198</f>
        <v>111</v>
      </c>
      <c r="I200" s="3">
        <f>I198-H198</f>
        <v>-16</v>
      </c>
      <c r="J200" s="57">
        <f>J198-I198</f>
        <v>0</v>
      </c>
    </row>
    <row r="201">
      <c r="B201" s="50" t="s">
        <v>175</v>
      </c>
      <c r="C201" s="46">
        <v>11848</v>
      </c>
      <c r="D201" s="46">
        <v>10179</v>
      </c>
      <c r="E201" s="46">
        <v>10069</v>
      </c>
      <c r="F201" s="46">
        <v>6320</v>
      </c>
      <c r="G201" s="3">
        <f>AVERAGE(C201:F201)</f>
        <v>9604</v>
      </c>
      <c r="H201" s="46">
        <v>3857</v>
      </c>
      <c r="I201" s="46">
        <v>4179</v>
      </c>
      <c r="J201" s="57">
        <f>I201</f>
        <v>4179</v>
      </c>
    </row>
    <row r="202">
      <c r="B202" s="58" t="s">
        <v>69</v>
      </c>
      <c r="C202" s="26"/>
      <c r="D202" s="26"/>
      <c r="E202" s="26"/>
      <c r="F202" s="26"/>
      <c r="G202" s="26"/>
      <c r="H202" s="26">
        <f>H201/C201-1</f>
        <v>-0.674459824442944</v>
      </c>
      <c r="I202" s="26">
        <f>I201/D201-1</f>
        <v>-0.5894488653109342</v>
      </c>
      <c r="J202" s="60">
        <f>J201/E201-1</f>
        <v>-0.5849637501241434</v>
      </c>
    </row>
    <row r="203">
      <c r="B203" s="50" t="s">
        <v>119</v>
      </c>
      <c r="C203" s="3"/>
      <c r="D203" s="3">
        <f>D201-C201</f>
        <v>-1669</v>
      </c>
      <c r="E203" s="3">
        <f>E201-D201</f>
        <v>-110</v>
      </c>
      <c r="F203" s="3">
        <f>F201-E201</f>
        <v>-3749</v>
      </c>
      <c r="G203" s="3"/>
      <c r="H203" s="3">
        <f>H201-F201</f>
        <v>-2463</v>
      </c>
      <c r="I203" s="3">
        <f>I201-H201</f>
        <v>322</v>
      </c>
      <c r="J203" s="57">
        <f>J201-I201</f>
        <v>0</v>
      </c>
    </row>
    <row r="204">
      <c r="B204" s="50" t="s">
        <v>176</v>
      </c>
      <c r="C204" s="46">
        <v>23742</v>
      </c>
      <c r="D204" s="46">
        <v>25864</v>
      </c>
      <c r="E204" s="46">
        <v>25273</v>
      </c>
      <c r="F204" s="46">
        <v>25126</v>
      </c>
      <c r="G204" s="3">
        <f>AVERAGE(C204:F204)</f>
        <v>25001.25</v>
      </c>
      <c r="H204" s="46">
        <v>25256</v>
      </c>
      <c r="I204" s="46">
        <v>25912</v>
      </c>
      <c r="J204" s="57">
        <f>I204</f>
        <v>25912</v>
      </c>
    </row>
    <row r="205">
      <c r="B205" s="58" t="s">
        <v>69</v>
      </c>
      <c r="C205" s="26"/>
      <c r="D205" s="26"/>
      <c r="E205" s="26"/>
      <c r="F205" s="26"/>
      <c r="G205" s="26"/>
      <c r="H205" s="26">
        <f>H204/C204-1</f>
        <v>0.06376884845421626</v>
      </c>
      <c r="I205" s="26">
        <f>I204/D204-1</f>
        <v>0.0018558614290133946</v>
      </c>
      <c r="J205" s="60">
        <f>J204/E204-1</f>
        <v>0.025283899814030786</v>
      </c>
    </row>
    <row r="206">
      <c r="B206" s="50" t="s">
        <v>119</v>
      </c>
      <c r="C206" s="3"/>
      <c r="D206" s="3">
        <f>D204-C204</f>
        <v>2122</v>
      </c>
      <c r="E206" s="3">
        <f>E204-D204</f>
        <v>-591</v>
      </c>
      <c r="F206" s="3">
        <f>F204-E204</f>
        <v>-147</v>
      </c>
      <c r="G206" s="3"/>
      <c r="H206" s="3">
        <f>H204-F204</f>
        <v>130</v>
      </c>
      <c r="I206" s="3">
        <f>I204-H204</f>
        <v>656</v>
      </c>
      <c r="J206" s="57">
        <f>J204-I204</f>
        <v>0</v>
      </c>
    </row>
    <row r="207" ht="13.5">
      <c r="B207" s="83" t="s">
        <v>177</v>
      </c>
      <c r="C207" s="59">
        <v>5471</v>
      </c>
      <c r="D207" s="59">
        <v>3543</v>
      </c>
      <c r="E207" s="59">
        <v>3445</v>
      </c>
      <c r="F207" s="59">
        <v>3678</v>
      </c>
      <c r="G207" s="25">
        <f>AVERAGE(C207:F207)</f>
        <v>4034.25</v>
      </c>
      <c r="H207" s="59">
        <v>4310</v>
      </c>
      <c r="I207" s="59">
        <v>5383</v>
      </c>
      <c r="J207" s="86">
        <f>I207</f>
        <v>5383</v>
      </c>
    </row>
    <row r="208">
      <c r="B208" s="58" t="s">
        <v>69</v>
      </c>
      <c r="C208" s="26"/>
      <c r="D208" s="26"/>
      <c r="E208" s="26"/>
      <c r="F208" s="26"/>
      <c r="G208" s="26"/>
      <c r="H208" s="26">
        <f>H207/C207-1</f>
        <v>-0.2122098336684336</v>
      </c>
      <c r="I208" s="26">
        <f>I207/D207-1</f>
        <v>0.5193338978267006</v>
      </c>
      <c r="J208" s="60">
        <f>J207/E207-1</f>
        <v>0.5625544267053701</v>
      </c>
    </row>
    <row r="209">
      <c r="B209" s="50" t="s">
        <v>119</v>
      </c>
      <c r="C209" s="3"/>
      <c r="D209" s="3">
        <f>D207-C207</f>
        <v>-1928</v>
      </c>
      <c r="E209" s="3">
        <f>E207-D207</f>
        <v>-98</v>
      </c>
      <c r="F209" s="3">
        <f>F207-E207</f>
        <v>233</v>
      </c>
      <c r="G209" s="3"/>
      <c r="H209" s="3">
        <f>H207-F207</f>
        <v>632</v>
      </c>
      <c r="I209" s="3">
        <f>I207-H207</f>
        <v>1073</v>
      </c>
      <c r="J209" s="57">
        <f>J207-I207</f>
        <v>0</v>
      </c>
    </row>
    <row r="210" ht="13.5">
      <c r="B210" s="43" t="s">
        <v>178</v>
      </c>
      <c r="C210" s="33">
        <f>SUM(C186,C198,C201,C204,C207)</f>
        <v>263730</v>
      </c>
      <c r="D210" s="33">
        <f>SUM(D186,D198,D201,D204,D207)</f>
        <v>279323</v>
      </c>
      <c r="E210" s="33">
        <f>SUM(E186,E198,E201,E204,E207)</f>
        <v>270349</v>
      </c>
      <c r="F210" s="33">
        <f>SUM(F186,F198,F201,F204,F207)</f>
        <v>262727</v>
      </c>
      <c r="G210" s="33">
        <f>SUM(G186,G198,G201,G204,G207)</f>
        <v>269032.25</v>
      </c>
      <c r="H210" s="33">
        <f>SUM(H186,H198,H201,H204,H207)</f>
        <v>262291</v>
      </c>
      <c r="I210" s="33">
        <f>SUM(I186,I198,I201,I204,I207)</f>
        <v>276574</v>
      </c>
      <c r="J210" s="91">
        <f>SUM(J186,J198,J201,J204,J207)</f>
        <v>280721.0299802105</v>
      </c>
    </row>
    <row r="211">
      <c r="B211" s="58" t="s">
        <v>69</v>
      </c>
      <c r="C211" s="26"/>
      <c r="D211" s="26"/>
      <c r="E211" s="26"/>
      <c r="F211" s="26"/>
      <c r="G211" s="26"/>
      <c r="H211" s="26">
        <f>H210/C210-1</f>
        <v>-0.005456337921358911</v>
      </c>
      <c r="I211" s="26">
        <f>I210/D210-1</f>
        <v>-0.009841652853506466</v>
      </c>
      <c r="J211" s="60">
        <f>J210/E210-1</f>
        <v>0.03836533510466267</v>
      </c>
    </row>
    <row r="212">
      <c r="B212" s="50" t="s">
        <v>119</v>
      </c>
      <c r="C212" s="3"/>
      <c r="D212" s="3">
        <f>D210-C210</f>
        <v>15593</v>
      </c>
      <c r="E212" s="3">
        <f>E210-D210</f>
        <v>-8974</v>
      </c>
      <c r="F212" s="3">
        <f>F210-E210</f>
        <v>-7622</v>
      </c>
      <c r="G212" s="3"/>
      <c r="H212" s="3">
        <f>H210-F210</f>
        <v>-436</v>
      </c>
      <c r="I212" s="3">
        <f>I210-H210</f>
        <v>14283</v>
      </c>
      <c r="J212" s="57">
        <f>J210-I210</f>
        <v>4147.029980210471</v>
      </c>
    </row>
    <row r="213">
      <c r="B213" s="19" t="s">
        <v>179</v>
      </c>
      <c r="C213" s="49"/>
      <c r="D213" s="49"/>
      <c r="E213" s="49"/>
      <c r="F213" s="49"/>
      <c r="G213" s="49"/>
      <c r="H213" s="49"/>
      <c r="I213" s="49"/>
      <c r="J213" s="62"/>
    </row>
    <row r="214" ht="24">
      <c r="B214" s="112" t="s">
        <v>180</v>
      </c>
      <c r="C214" s="146">
        <v>336</v>
      </c>
      <c r="D214" s="146">
        <v>323</v>
      </c>
      <c r="E214" s="146">
        <v>303</v>
      </c>
      <c r="F214" s="146">
        <v>283</v>
      </c>
      <c r="G214" s="105" t="s">
        <v>46</v>
      </c>
      <c r="H214" s="146">
        <v>281</v>
      </c>
      <c r="I214" s="146">
        <v>289</v>
      </c>
      <c r="J214" s="103" t="s">
        <v>72</v>
      </c>
    </row>
    <row r="215">
      <c r="B215" s="76" t="s">
        <v>116</v>
      </c>
      <c r="C215" s="20"/>
      <c r="D215" s="20">
        <f>D214-C214</f>
        <v>-13</v>
      </c>
      <c r="E215" s="20">
        <f>E214-D214</f>
        <v>-20</v>
      </c>
      <c r="F215" s="20">
        <f>F214-E214</f>
        <v>-20</v>
      </c>
      <c r="G215" s="20"/>
      <c r="H215" s="20">
        <f>H214-F214</f>
        <v>-2</v>
      </c>
      <c r="I215" s="20">
        <f>I214-H214</f>
        <v>8</v>
      </c>
      <c r="J215" s="70"/>
    </row>
    <row r="216">
      <c r="B216" s="76" t="s">
        <v>117</v>
      </c>
      <c r="C216" s="20" t="s">
        <v>46</v>
      </c>
      <c r="D216" s="20" t="s">
        <v>46</v>
      </c>
      <c r="E216" s="20" t="s">
        <v>46</v>
      </c>
      <c r="F216" s="20" t="s">
        <v>46</v>
      </c>
      <c r="G216" s="20"/>
      <c r="H216" s="20">
        <f>H214-C214</f>
        <v>-55</v>
      </c>
      <c r="I216" s="20">
        <f>I214-D214</f>
        <v>-34</v>
      </c>
      <c r="J216" s="70"/>
    </row>
    <row r="217">
      <c r="B217" s="58" t="s">
        <v>181</v>
      </c>
      <c r="C217" s="147">
        <v>457</v>
      </c>
      <c r="D217" s="147">
        <v>445</v>
      </c>
      <c r="E217" s="147">
        <v>443</v>
      </c>
      <c r="F217" s="147">
        <v>432</v>
      </c>
      <c r="G217" s="145" t="s">
        <v>46</v>
      </c>
      <c r="H217" s="147">
        <v>404</v>
      </c>
      <c r="I217" s="147">
        <v>406</v>
      </c>
      <c r="J217" s="150" t="s">
        <v>72</v>
      </c>
    </row>
    <row r="218">
      <c r="B218" s="76" t="s">
        <v>116</v>
      </c>
      <c r="C218" s="20"/>
      <c r="D218" s="20">
        <f>D217-C217</f>
        <v>-12</v>
      </c>
      <c r="E218" s="20">
        <f>E217-D217</f>
        <v>-2</v>
      </c>
      <c r="F218" s="20">
        <f>F217-E217</f>
        <v>-11</v>
      </c>
      <c r="G218" s="20"/>
      <c r="H218" s="20">
        <f>H217-F217</f>
        <v>-28</v>
      </c>
      <c r="I218" s="20">
        <f>I217-H217</f>
        <v>2</v>
      </c>
      <c r="J218" s="70"/>
    </row>
    <row r="219">
      <c r="B219" s="76" t="s">
        <v>117</v>
      </c>
      <c r="C219" s="20" t="s">
        <v>46</v>
      </c>
      <c r="D219" s="20" t="s">
        <v>46</v>
      </c>
      <c r="E219" s="20" t="s">
        <v>46</v>
      </c>
      <c r="F219" s="20" t="s">
        <v>46</v>
      </c>
      <c r="G219" s="20"/>
      <c r="H219" s="20">
        <f>H217-C217</f>
        <v>-53</v>
      </c>
      <c r="I219" s="20">
        <f>I217-D217</f>
        <v>-39</v>
      </c>
      <c r="J219" s="70"/>
    </row>
    <row r="220">
      <c r="B220" s="58" t="s">
        <v>182</v>
      </c>
      <c r="C220" s="147">
        <v>207</v>
      </c>
      <c r="D220" s="147">
        <v>211</v>
      </c>
      <c r="E220" s="147">
        <v>215</v>
      </c>
      <c r="F220" s="147">
        <v>219</v>
      </c>
      <c r="G220" s="145" t="s">
        <v>46</v>
      </c>
      <c r="H220" s="147">
        <v>222</v>
      </c>
      <c r="I220" s="147">
        <v>224</v>
      </c>
      <c r="J220" s="150" t="s">
        <v>72</v>
      </c>
    </row>
    <row r="221">
      <c r="B221" s="76" t="s">
        <v>116</v>
      </c>
      <c r="C221" s="20"/>
      <c r="D221" s="20">
        <f>D220-C220</f>
        <v>4</v>
      </c>
      <c r="E221" s="20">
        <f>E220-D220</f>
        <v>4</v>
      </c>
      <c r="F221" s="20">
        <f>F220-E220</f>
        <v>4</v>
      </c>
      <c r="G221" s="20"/>
      <c r="H221" s="20">
        <f>H220-F220</f>
        <v>3</v>
      </c>
      <c r="I221" s="20">
        <f>I220-H220</f>
        <v>2</v>
      </c>
      <c r="J221" s="70"/>
    </row>
    <row r="222">
      <c r="B222" s="76" t="s">
        <v>117</v>
      </c>
      <c r="C222" s="20" t="s">
        <v>46</v>
      </c>
      <c r="D222" s="20" t="s">
        <v>46</v>
      </c>
      <c r="E222" s="20" t="s">
        <v>46</v>
      </c>
      <c r="F222" s="20" t="s">
        <v>46</v>
      </c>
      <c r="G222" s="20"/>
      <c r="H222" s="20">
        <f>H220-C220</f>
        <v>15</v>
      </c>
      <c r="I222" s="20">
        <f>I220-D220</f>
        <v>13</v>
      </c>
      <c r="J222" s="70"/>
    </row>
    <row r="223" ht="24">
      <c r="B223" s="112" t="s">
        <v>183</v>
      </c>
      <c r="C223" s="146">
        <v>351</v>
      </c>
      <c r="D223" s="146">
        <v>352</v>
      </c>
      <c r="E223" s="146">
        <v>358</v>
      </c>
      <c r="F223" s="146">
        <v>355</v>
      </c>
      <c r="G223" s="105" t="s">
        <v>46</v>
      </c>
      <c r="H223" s="146">
        <v>341</v>
      </c>
      <c r="I223" s="146">
        <v>346</v>
      </c>
      <c r="J223" s="103" t="s">
        <v>72</v>
      </c>
    </row>
    <row r="224">
      <c r="B224" s="76" t="s">
        <v>116</v>
      </c>
      <c r="C224" s="20"/>
      <c r="D224" s="20">
        <f>D223-C223</f>
        <v>1</v>
      </c>
      <c r="E224" s="20">
        <f>E223-D223</f>
        <v>6</v>
      </c>
      <c r="F224" s="20">
        <f>F223-E223</f>
        <v>-3</v>
      </c>
      <c r="G224" s="20"/>
      <c r="H224" s="20">
        <f>H223-F223</f>
        <v>-14</v>
      </c>
      <c r="I224" s="20">
        <f>I223-H223</f>
        <v>5</v>
      </c>
      <c r="J224" s="70"/>
    </row>
    <row r="225">
      <c r="B225" s="76" t="s">
        <v>117</v>
      </c>
      <c r="C225" s="20" t="s">
        <v>46</v>
      </c>
      <c r="D225" s="20" t="s">
        <v>46</v>
      </c>
      <c r="E225" s="20" t="s">
        <v>46</v>
      </c>
      <c r="F225" s="20" t="s">
        <v>46</v>
      </c>
      <c r="G225" s="20"/>
      <c r="H225" s="20">
        <f>H223-C223</f>
        <v>-10</v>
      </c>
      <c r="I225" s="20">
        <f>I223-D223</f>
        <v>-6</v>
      </c>
      <c r="J225" s="70"/>
    </row>
    <row r="226">
      <c r="B226" s="58" t="s">
        <v>184</v>
      </c>
      <c r="C226" s="147">
        <v>517</v>
      </c>
      <c r="D226" s="147">
        <v>508</v>
      </c>
      <c r="E226" s="147">
        <v>498</v>
      </c>
      <c r="F226" s="147">
        <v>477</v>
      </c>
      <c r="G226" s="145" t="s">
        <v>46</v>
      </c>
      <c r="H226" s="147">
        <v>453</v>
      </c>
      <c r="I226" s="147">
        <v>464</v>
      </c>
      <c r="J226" s="150" t="s">
        <v>72</v>
      </c>
    </row>
    <row r="227">
      <c r="B227" s="76" t="s">
        <v>116</v>
      </c>
      <c r="C227" s="20"/>
      <c r="D227" s="20">
        <f>D226-C226</f>
        <v>-9</v>
      </c>
      <c r="E227" s="20">
        <f>E226-D226</f>
        <v>-10</v>
      </c>
      <c r="F227" s="20">
        <f>F226-E226</f>
        <v>-21</v>
      </c>
      <c r="G227" s="20"/>
      <c r="H227" s="20">
        <f>H226-F226</f>
        <v>-24</v>
      </c>
      <c r="I227" s="20">
        <f>I226-H226</f>
        <v>11</v>
      </c>
      <c r="J227" s="70"/>
    </row>
    <row r="228">
      <c r="B228" s="76" t="s">
        <v>117</v>
      </c>
      <c r="C228" s="20" t="s">
        <v>46</v>
      </c>
      <c r="D228" s="20" t="s">
        <v>46</v>
      </c>
      <c r="E228" s="20" t="s">
        <v>46</v>
      </c>
      <c r="F228" s="20" t="s">
        <v>46</v>
      </c>
      <c r="G228" s="20"/>
      <c r="H228" s="20">
        <f>H226-C226</f>
        <v>-64</v>
      </c>
      <c r="I228" s="20">
        <f>I226-D226</f>
        <v>-44</v>
      </c>
      <c r="J228" s="70"/>
    </row>
    <row r="229" ht="24">
      <c r="B229" s="112" t="s">
        <v>185</v>
      </c>
      <c r="C229" s="146">
        <v>354</v>
      </c>
      <c r="D229" s="146">
        <v>350</v>
      </c>
      <c r="E229" s="146">
        <v>349</v>
      </c>
      <c r="F229" s="146">
        <v>313</v>
      </c>
      <c r="G229" s="105" t="s">
        <v>46</v>
      </c>
      <c r="H229" s="146">
        <v>291</v>
      </c>
      <c r="I229" s="146">
        <v>291</v>
      </c>
      <c r="J229" s="103" t="s">
        <v>72</v>
      </c>
    </row>
    <row r="230">
      <c r="B230" s="76" t="s">
        <v>116</v>
      </c>
      <c r="C230" s="20"/>
      <c r="D230" s="20">
        <f>D229-C229</f>
        <v>-4</v>
      </c>
      <c r="E230" s="20">
        <f>E229-D229</f>
        <v>-1</v>
      </c>
      <c r="F230" s="20">
        <f>F229-E229</f>
        <v>-36</v>
      </c>
      <c r="G230" s="20"/>
      <c r="H230" s="20">
        <f>H229-F229</f>
        <v>-22</v>
      </c>
      <c r="I230" s="20">
        <f>I229-H229</f>
        <v>0</v>
      </c>
      <c r="J230" s="70"/>
    </row>
    <row r="231">
      <c r="B231" s="76" t="s">
        <v>117</v>
      </c>
      <c r="C231" s="20" t="s">
        <v>46</v>
      </c>
      <c r="D231" s="20" t="s">
        <v>46</v>
      </c>
      <c r="E231" s="20" t="s">
        <v>46</v>
      </c>
      <c r="F231" s="20" t="s">
        <v>46</v>
      </c>
      <c r="G231" s="20"/>
      <c r="H231" s="20">
        <f>H229-C229</f>
        <v>-63</v>
      </c>
      <c r="I231" s="20">
        <f>I229-D229</f>
        <v>-59</v>
      </c>
      <c r="J231" s="70"/>
    </row>
    <row r="232" ht="24">
      <c r="B232" s="112" t="s">
        <v>186</v>
      </c>
      <c r="C232" s="146">
        <v>138</v>
      </c>
      <c r="D232" s="146">
        <v>155</v>
      </c>
      <c r="E232" s="146">
        <v>149</v>
      </c>
      <c r="F232" s="146">
        <v>134</v>
      </c>
      <c r="G232" s="105" t="s">
        <v>46</v>
      </c>
      <c r="H232" s="146">
        <v>134</v>
      </c>
      <c r="I232" s="146">
        <v>152</v>
      </c>
      <c r="J232" s="103" t="s">
        <v>72</v>
      </c>
    </row>
    <row r="233">
      <c r="B233" s="76" t="s">
        <v>116</v>
      </c>
      <c r="C233" s="20"/>
      <c r="D233" s="20">
        <f>D232-C232</f>
        <v>17</v>
      </c>
      <c r="E233" s="20">
        <f>E232-D232</f>
        <v>-6</v>
      </c>
      <c r="F233" s="20">
        <f>F232-E232</f>
        <v>-15</v>
      </c>
      <c r="G233" s="20"/>
      <c r="H233" s="20">
        <f>H232-F232</f>
        <v>0</v>
      </c>
      <c r="I233" s="20">
        <f>I232-H232</f>
        <v>18</v>
      </c>
      <c r="J233" s="70"/>
    </row>
    <row r="234">
      <c r="B234" s="76" t="s">
        <v>117</v>
      </c>
      <c r="C234" s="20" t="s">
        <v>46</v>
      </c>
      <c r="D234" s="20" t="s">
        <v>46</v>
      </c>
      <c r="E234" s="20" t="s">
        <v>46</v>
      </c>
      <c r="F234" s="20" t="s">
        <v>46</v>
      </c>
      <c r="G234" s="20"/>
      <c r="H234" s="20">
        <f>H232-C232</f>
        <v>-4</v>
      </c>
      <c r="I234" s="20">
        <f>I232-D232</f>
        <v>-3</v>
      </c>
      <c r="J234" s="70"/>
    </row>
    <row r="235" ht="24">
      <c r="B235" s="112" t="s">
        <v>187</v>
      </c>
      <c r="C235" s="146">
        <v>291</v>
      </c>
      <c r="D235" s="146">
        <v>287</v>
      </c>
      <c r="E235" s="146">
        <v>286</v>
      </c>
      <c r="F235" s="146">
        <v>255</v>
      </c>
      <c r="G235" s="105" t="s">
        <v>46</v>
      </c>
      <c r="H235" s="146">
        <v>240</v>
      </c>
      <c r="I235" s="146">
        <v>245</v>
      </c>
      <c r="J235" s="103" t="s">
        <v>72</v>
      </c>
    </row>
    <row r="236">
      <c r="B236" s="76" t="s">
        <v>116</v>
      </c>
      <c r="C236" s="20"/>
      <c r="D236" s="20">
        <f>D235-C235</f>
        <v>-4</v>
      </c>
      <c r="E236" s="20">
        <f>E235-D235</f>
        <v>-1</v>
      </c>
      <c r="F236" s="20">
        <f>F235-E235</f>
        <v>-31</v>
      </c>
      <c r="G236" s="20"/>
      <c r="H236" s="20">
        <f>H235-F235</f>
        <v>-15</v>
      </c>
      <c r="I236" s="20">
        <f>I235-H235</f>
        <v>5</v>
      </c>
      <c r="J236" s="70"/>
    </row>
    <row r="237">
      <c r="B237" s="76" t="s">
        <v>117</v>
      </c>
      <c r="C237" s="20" t="s">
        <v>46</v>
      </c>
      <c r="D237" s="20" t="s">
        <v>46</v>
      </c>
      <c r="E237" s="20" t="s">
        <v>46</v>
      </c>
      <c r="F237" s="20" t="s">
        <v>46</v>
      </c>
      <c r="G237" s="20"/>
      <c r="H237" s="20">
        <f>H235-C235</f>
        <v>-51</v>
      </c>
      <c r="I237" s="20">
        <f>I235-D235</f>
        <v>-42</v>
      </c>
      <c r="J237" s="70"/>
    </row>
    <row r="238" ht="24">
      <c r="B238" s="112" t="s">
        <v>188</v>
      </c>
      <c r="C238" s="146">
        <v>340</v>
      </c>
      <c r="D238" s="146">
        <v>334</v>
      </c>
      <c r="E238" s="146">
        <v>323</v>
      </c>
      <c r="F238" s="146">
        <v>294</v>
      </c>
      <c r="G238" s="105" t="s">
        <v>46</v>
      </c>
      <c r="H238" s="146">
        <v>281</v>
      </c>
      <c r="I238" s="146">
        <v>288</v>
      </c>
      <c r="J238" s="103" t="s">
        <v>72</v>
      </c>
    </row>
    <row r="239">
      <c r="B239" s="76" t="s">
        <v>116</v>
      </c>
      <c r="C239" s="20"/>
      <c r="D239" s="20">
        <f>D238-C238</f>
        <v>-6</v>
      </c>
      <c r="E239" s="20">
        <f>E238-D238</f>
        <v>-11</v>
      </c>
      <c r="F239" s="20">
        <f>F238-E238</f>
        <v>-29</v>
      </c>
      <c r="G239" s="20"/>
      <c r="H239" s="20">
        <f>H238-F238</f>
        <v>-13</v>
      </c>
      <c r="I239" s="20">
        <f>I238-H238</f>
        <v>7</v>
      </c>
      <c r="J239" s="70"/>
    </row>
    <row r="240">
      <c r="B240" s="76" t="s">
        <v>117</v>
      </c>
      <c r="C240" s="20" t="s">
        <v>46</v>
      </c>
      <c r="D240" s="20" t="s">
        <v>46</v>
      </c>
      <c r="E240" s="20" t="s">
        <v>46</v>
      </c>
      <c r="F240" s="20" t="s">
        <v>46</v>
      </c>
      <c r="G240" s="20"/>
      <c r="H240" s="20">
        <f>H238-C238</f>
        <v>-59</v>
      </c>
      <c r="I240" s="20">
        <f>I238-D238</f>
        <v>-46</v>
      </c>
      <c r="J240" s="70"/>
    </row>
    <row r="241" ht="24">
      <c r="B241" s="112" t="s">
        <v>189</v>
      </c>
      <c r="C241" s="146">
        <v>409</v>
      </c>
      <c r="D241" s="146">
        <v>402</v>
      </c>
      <c r="E241" s="146">
        <v>392</v>
      </c>
      <c r="F241" s="146">
        <v>377</v>
      </c>
      <c r="G241" s="105" t="s">
        <v>46</v>
      </c>
      <c r="H241" s="146">
        <v>367</v>
      </c>
      <c r="I241" s="146">
        <v>373</v>
      </c>
      <c r="J241" s="152">
        <v>372</v>
      </c>
    </row>
    <row r="242">
      <c r="B242" s="76" t="s">
        <v>116</v>
      </c>
      <c r="C242" s="20"/>
      <c r="D242" s="20">
        <f>D241-C241</f>
        <v>-7</v>
      </c>
      <c r="E242" s="20">
        <f>E241-D241</f>
        <v>-10</v>
      </c>
      <c r="F242" s="20">
        <f>F241-E241</f>
        <v>-15</v>
      </c>
      <c r="G242" s="20"/>
      <c r="H242" s="20">
        <f>H241-F241</f>
        <v>-10</v>
      </c>
      <c r="I242" s="20">
        <f>I241-H241</f>
        <v>6</v>
      </c>
      <c r="J242" s="70">
        <f>J241-I241</f>
        <v>-1</v>
      </c>
    </row>
    <row r="243">
      <c r="B243" s="76" t="s">
        <v>117</v>
      </c>
      <c r="C243" s="20" t="s">
        <v>46</v>
      </c>
      <c r="D243" s="20" t="s">
        <v>46</v>
      </c>
      <c r="E243" s="20" t="s">
        <v>46</v>
      </c>
      <c r="F243" s="20" t="s">
        <v>46</v>
      </c>
      <c r="G243" s="20"/>
      <c r="H243" s="20">
        <f>H241-C241</f>
        <v>-42</v>
      </c>
      <c r="I243" s="20">
        <f>I241-D241</f>
        <v>-29</v>
      </c>
      <c r="J243" s="70">
        <f>J241-E241</f>
        <v>-20</v>
      </c>
    </row>
    <row r="244" ht="24">
      <c r="B244" s="17" t="s">
        <v>190</v>
      </c>
      <c r="C244" s="144">
        <f>C176/C192</f>
        <v>1.1912473872183544</v>
      </c>
      <c r="D244" s="144">
        <f>D176/D192</f>
        <v>1.1683752325068553</v>
      </c>
      <c r="E244" s="144">
        <f>E176/E192</f>
        <v>1.160890184630013</v>
      </c>
      <c r="F244" s="144">
        <f>F176/F192</f>
        <v>1.1405682512766921</v>
      </c>
      <c r="G244" s="144">
        <f>G176/G192</f>
        <v>1.1650174181593576</v>
      </c>
      <c r="H244" s="144">
        <f>H176/H192</f>
        <v>1.1357442043389478</v>
      </c>
      <c r="I244" s="144">
        <f>I176/I192</f>
        <v>1.1296898407590301</v>
      </c>
      <c r="J244" s="154">
        <v>1.125</v>
      </c>
    </row>
    <row r="245">
      <c r="B245" s="50" t="s">
        <v>191</v>
      </c>
      <c r="C245" s="149"/>
      <c r="D245" s="149">
        <f>D244-C244</f>
        <v>-0.02287215471149917</v>
      </c>
      <c r="E245" s="149">
        <f>E244-D244</f>
        <v>-0.007485047876842232</v>
      </c>
      <c r="F245" s="149">
        <f>F244-E244</f>
        <v>-0.020321933353320887</v>
      </c>
      <c r="G245" s="149"/>
      <c r="H245" s="149">
        <f>H244-F244</f>
        <v>-0.004824046937744297</v>
      </c>
      <c r="I245" s="149">
        <f>I244-H244</f>
        <v>-0.006054363579917732</v>
      </c>
      <c r="J245" s="148">
        <f>J244-I244</f>
        <v>-0.004689840759030117</v>
      </c>
    </row>
    <row r="246">
      <c r="B246" s="50" t="s">
        <v>192</v>
      </c>
      <c r="C246" s="149"/>
      <c r="D246" s="149"/>
      <c r="E246" s="149"/>
      <c r="F246" s="149"/>
      <c r="G246" s="149"/>
      <c r="H246" s="149">
        <f>H244-C244</f>
        <v>-0.05550318287940659</v>
      </c>
      <c r="I246" s="149">
        <f>I244-D244</f>
        <v>-0.03868539174782515</v>
      </c>
      <c r="J246" s="148">
        <f>J244-E244</f>
        <v>-0.03589018463001303</v>
      </c>
    </row>
    <row r="247">
      <c r="B247" s="13" t="s">
        <v>62</v>
      </c>
      <c r="C247" s="147">
        <v>100</v>
      </c>
      <c r="D247" s="147">
        <v>96</v>
      </c>
      <c r="E247" s="147">
        <v>96</v>
      </c>
      <c r="F247" s="147">
        <v>110</v>
      </c>
      <c r="G247" s="147">
        <v>100</v>
      </c>
      <c r="H247" s="147">
        <v>116</v>
      </c>
      <c r="I247" s="147">
        <v>113</v>
      </c>
      <c r="J247" s="153">
        <v>110</v>
      </c>
    </row>
    <row r="248">
      <c r="B248" s="50" t="s">
        <v>116</v>
      </c>
      <c r="C248" s="20"/>
      <c r="D248" s="20">
        <f>D247-C247</f>
        <v>-4</v>
      </c>
      <c r="E248" s="20">
        <f>E247-D247</f>
        <v>0</v>
      </c>
      <c r="F248" s="20">
        <f>F247-E247</f>
        <v>14</v>
      </c>
      <c r="G248" s="20"/>
      <c r="H248" s="20">
        <f>H247-F247</f>
        <v>6</v>
      </c>
      <c r="I248" s="20">
        <f>I247-H247</f>
        <v>-3</v>
      </c>
      <c r="J248" s="70">
        <f>J247-I247</f>
        <v>-3</v>
      </c>
    </row>
    <row r="249">
      <c r="B249" s="50" t="s">
        <v>117</v>
      </c>
      <c r="C249" s="20" t="s">
        <v>46</v>
      </c>
      <c r="D249" s="20" t="s">
        <v>46</v>
      </c>
      <c r="E249" s="20" t="s">
        <v>46</v>
      </c>
      <c r="F249" s="20" t="s">
        <v>46</v>
      </c>
      <c r="G249" s="20" t="s">
        <v>46</v>
      </c>
      <c r="H249" s="20">
        <f>H247-C247</f>
        <v>16</v>
      </c>
      <c r="I249" s="20">
        <f>I247-D247</f>
        <v>17</v>
      </c>
      <c r="J249" s="70">
        <f>J247-E247</f>
        <v>14</v>
      </c>
    </row>
    <row r="250">
      <c r="B250" s="19" t="s">
        <v>193</v>
      </c>
      <c r="C250" s="88">
        <v>714</v>
      </c>
      <c r="D250" s="88">
        <v>729</v>
      </c>
      <c r="E250" s="88">
        <v>716</v>
      </c>
      <c r="F250" s="88">
        <v>802</v>
      </c>
      <c r="G250" s="38">
        <f>SUM(C250:F250)</f>
        <v>2961</v>
      </c>
      <c r="H250" s="88">
        <v>835</v>
      </c>
      <c r="I250" s="88">
        <v>860</v>
      </c>
      <c r="J250" s="63">
        <f>J176*J247/10000*J7/365</f>
        <v>857.7739726027397</v>
      </c>
    </row>
    <row r="251">
      <c r="B251" s="58" t="s">
        <v>69</v>
      </c>
      <c r="C251" s="26"/>
      <c r="D251" s="26"/>
      <c r="E251" s="26"/>
      <c r="F251" s="26"/>
      <c r="G251" s="26"/>
      <c r="H251" s="26">
        <f>H250/C250-1</f>
        <v>0.169467787114846</v>
      </c>
      <c r="I251" s="26">
        <f>I250/D250-1</f>
        <v>0.17969821673525388</v>
      </c>
      <c r="J251" s="60">
        <f>J250/E250-1</f>
        <v>0.1980083416239382</v>
      </c>
    </row>
    <row r="252">
      <c r="B252" s="58" t="s">
        <v>70</v>
      </c>
      <c r="C252" s="26"/>
      <c r="D252" s="26">
        <f>D250/C250-1</f>
        <v>0.021008403361344463</v>
      </c>
      <c r="E252" s="26">
        <f>E250/D250-1</f>
        <v>-0.017832647462277085</v>
      </c>
      <c r="F252" s="26">
        <f>F250/E250-1</f>
        <v>0.12011173184357538</v>
      </c>
      <c r="G252" s="26"/>
      <c r="H252" s="26">
        <f>H250/F250-1</f>
        <v>0.041147132169575995</v>
      </c>
      <c r="I252" s="26">
        <f>I250/H250-1</f>
        <v>0.029940119760478945</v>
      </c>
      <c r="J252" s="60">
        <f>J250/I250-1</f>
        <v>-0.0025884039503026868</v>
      </c>
    </row>
    <row r="253">
      <c r="B253" s="50" t="s">
        <v>194</v>
      </c>
      <c r="C253" s="46">
        <v>0</v>
      </c>
      <c r="D253" s="46">
        <v>0</v>
      </c>
      <c r="E253" s="46">
        <v>-1</v>
      </c>
      <c r="F253" s="46">
        <v>0</v>
      </c>
      <c r="G253" s="3">
        <f>SUM(C253:F253)</f>
        <v>-1</v>
      </c>
      <c r="H253" s="46">
        <v>0</v>
      </c>
      <c r="I253" s="46">
        <v>0</v>
      </c>
      <c r="J253" s="96">
        <v>0</v>
      </c>
    </row>
    <row r="254">
      <c r="B254" s="50" t="s">
        <v>113</v>
      </c>
      <c r="C254" s="3"/>
      <c r="D254" s="3"/>
      <c r="E254" s="3"/>
      <c r="F254" s="3"/>
      <c r="G254" s="3"/>
      <c r="H254" s="3">
        <f>H253-C253</f>
        <v>0</v>
      </c>
      <c r="I254" s="3">
        <f>I253-D253</f>
        <v>0</v>
      </c>
      <c r="J254" s="57">
        <f>J253-E253</f>
        <v>1</v>
      </c>
    </row>
    <row r="255">
      <c r="B255" s="50" t="s">
        <v>119</v>
      </c>
      <c r="C255" s="3"/>
      <c r="D255" s="3">
        <f>D253-C253</f>
        <v>0</v>
      </c>
      <c r="E255" s="3">
        <f>E253-D253</f>
        <v>-1</v>
      </c>
      <c r="F255" s="3">
        <f>F253-E253</f>
        <v>1</v>
      </c>
      <c r="G255" s="3"/>
      <c r="H255" s="3">
        <f>H253-F253</f>
        <v>0</v>
      </c>
      <c r="I255" s="3">
        <f>I253-H253</f>
        <v>0</v>
      </c>
      <c r="J255" s="57">
        <f>J253-I253</f>
        <v>0</v>
      </c>
    </row>
    <row r="256" ht="24">
      <c r="B256" s="43" t="s">
        <v>195</v>
      </c>
      <c r="C256" s="33">
        <f>C250+C253</f>
        <v>714</v>
      </c>
      <c r="D256" s="33">
        <f>D250+D253</f>
        <v>729</v>
      </c>
      <c r="E256" s="33">
        <f>E250+E253</f>
        <v>715</v>
      </c>
      <c r="F256" s="33">
        <f>F250+F253</f>
        <v>802</v>
      </c>
      <c r="G256" s="33">
        <f>G250+G253</f>
        <v>2960</v>
      </c>
      <c r="H256" s="33">
        <f>H250+H253</f>
        <v>835</v>
      </c>
      <c r="I256" s="33">
        <f>I250+I253</f>
        <v>860</v>
      </c>
      <c r="J256" s="91">
        <f>J250+J253</f>
        <v>857.7739726027397</v>
      </c>
    </row>
    <row r="257" ht="24">
      <c r="B257" s="83" t="s">
        <v>196</v>
      </c>
      <c r="C257" s="25"/>
      <c r="D257" s="25"/>
      <c r="E257" s="25"/>
      <c r="F257" s="25"/>
      <c r="G257" s="25"/>
      <c r="H257" s="25"/>
      <c r="I257" s="25"/>
      <c r="J257" s="86">
        <f>J176*J241/10000*J7/365</f>
        <v>2900.8356164383563</v>
      </c>
    </row>
    <row r="258">
      <c r="B258" s="50" t="s">
        <v>197</v>
      </c>
      <c r="C258" s="12">
        <f>'Segment - Investment Management'!C143</f>
        <v>5</v>
      </c>
      <c r="D258" s="12">
        <f>'Segment - Investment Management'!D143</f>
        <v>3</v>
      </c>
      <c r="E258" s="12">
        <f>'Segment - Investment Management'!E143</f>
        <v>4</v>
      </c>
      <c r="F258" s="12">
        <f>'Segment - Investment Management'!F143</f>
        <v>2</v>
      </c>
      <c r="G258" s="12">
        <f>'Segment - Investment Management'!G143</f>
        <v>14</v>
      </c>
      <c r="H258" s="12">
        <f>'Segment - Investment Management'!H143</f>
        <v>3</v>
      </c>
      <c r="I258" s="12">
        <f>'Segment - Investment Management'!I143</f>
        <v>0</v>
      </c>
      <c r="J258" s="48">
        <f>'Segment - Investment Management'!J143</f>
        <v>0</v>
      </c>
    </row>
    <row r="259" ht="24">
      <c r="B259" s="43" t="s">
        <v>198</v>
      </c>
      <c r="C259" s="79">
        <v>709</v>
      </c>
      <c r="D259" s="79">
        <v>726</v>
      </c>
      <c r="E259" s="79">
        <v>711</v>
      </c>
      <c r="F259" s="79">
        <v>800</v>
      </c>
      <c r="G259" s="33">
        <f>SUM(C259:F259)</f>
        <v>2946</v>
      </c>
      <c r="H259" s="79">
        <v>832</v>
      </c>
      <c r="I259" s="79">
        <v>860</v>
      </c>
      <c r="J259" s="91">
        <f>J256-J258</f>
        <v>857.7739726027397</v>
      </c>
    </row>
    <row r="260">
      <c r="B260" s="58" t="s">
        <v>70</v>
      </c>
      <c r="C260" s="26"/>
      <c r="D260" s="26">
        <f>D259/C259-1</f>
        <v>0.023977433004231274</v>
      </c>
      <c r="E260" s="26">
        <f>E259/D259-1</f>
        <v>-0.02066115702479343</v>
      </c>
      <c r="F260" s="26">
        <f>F259/E259-1</f>
        <v>0.12517580872011247</v>
      </c>
      <c r="G260" s="26"/>
      <c r="H260" s="26">
        <f>H259/F259-1</f>
        <v>0.040000000000000036</v>
      </c>
      <c r="I260" s="26">
        <f>I259/H259-1</f>
        <v>0.033653846153846256</v>
      </c>
      <c r="J260" s="60">
        <f>J259/I259-1</f>
        <v>-0.0025884039503026868</v>
      </c>
    </row>
    <row r="261">
      <c r="B261" s="53" t="s">
        <v>87</v>
      </c>
      <c r="C261" s="26" t="s">
        <v>46</v>
      </c>
      <c r="D261" s="26" t="s">
        <v>46</v>
      </c>
      <c r="E261" s="26" t="s">
        <v>46</v>
      </c>
      <c r="F261" s="26" t="s">
        <v>46</v>
      </c>
      <c r="G261" s="26" t="s">
        <v>46</v>
      </c>
      <c r="H261" s="26">
        <f>H259/C259-1</f>
        <v>0.1734837799717912</v>
      </c>
      <c r="I261" s="26">
        <f>I259/D259-1</f>
        <v>0.18457300275482091</v>
      </c>
      <c r="J261" s="60">
        <f>J259/E259-1</f>
        <v>0.20643315415293917</v>
      </c>
    </row>
    <row r="262">
      <c r="B262" s="76" t="s">
        <v>71</v>
      </c>
      <c r="C262" s="3" t="s">
        <v>46</v>
      </c>
      <c r="D262" s="3" t="s">
        <v>46</v>
      </c>
      <c r="E262" s="3" t="s">
        <v>46</v>
      </c>
      <c r="F262" s="3" t="s">
        <v>46</v>
      </c>
      <c r="G262" s="3" t="s">
        <v>46</v>
      </c>
      <c r="H262" s="12">
        <f>'Revenue summary'!H140</f>
        <v>22</v>
      </c>
      <c r="I262" s="12">
        <f>'Revenue summary'!I140</f>
        <v>4</v>
      </c>
      <c r="J262" s="57" t="s">
        <v>72</v>
      </c>
    </row>
    <row r="263">
      <c r="B263" s="53" t="s">
        <v>73</v>
      </c>
      <c r="C263" s="26" t="s">
        <v>46</v>
      </c>
      <c r="D263" s="26" t="s">
        <v>46</v>
      </c>
      <c r="E263" s="26" t="s">
        <v>46</v>
      </c>
      <c r="F263" s="26" t="s">
        <v>46</v>
      </c>
      <c r="G263" s="26" t="s">
        <v>46</v>
      </c>
      <c r="H263" s="26">
        <f>H262/C259</f>
        <v>0.031029619181946404</v>
      </c>
      <c r="I263" s="26">
        <f>I262/D259</f>
        <v>0.005509641873278237</v>
      </c>
      <c r="J263" s="60" t="s">
        <v>46</v>
      </c>
    </row>
    <row r="264">
      <c r="B264" s="53" t="s">
        <v>74</v>
      </c>
      <c r="C264" s="26" t="s">
        <v>46</v>
      </c>
      <c r="D264" s="26" t="s">
        <v>46</v>
      </c>
      <c r="E264" s="26" t="s">
        <v>46</v>
      </c>
      <c r="F264" s="26" t="s">
        <v>46</v>
      </c>
      <c r="G264" s="26" t="s">
        <v>46</v>
      </c>
      <c r="H264" s="26" t="s">
        <v>47</v>
      </c>
      <c r="I264" s="26" t="s">
        <v>47</v>
      </c>
      <c r="J264" s="60" t="s">
        <v>47</v>
      </c>
    </row>
    <row r="265">
      <c r="B265" s="53" t="s">
        <v>75</v>
      </c>
      <c r="C265" s="26" t="s">
        <v>46</v>
      </c>
      <c r="D265" s="26" t="s">
        <v>46</v>
      </c>
      <c r="E265" s="26" t="s">
        <v>46</v>
      </c>
      <c r="F265" s="26" t="s">
        <v>46</v>
      </c>
      <c r="G265" s="26" t="s">
        <v>46</v>
      </c>
      <c r="H265" s="26">
        <f>(1+H261)/(1+H263)-1</f>
        <v>0.13816689466484267</v>
      </c>
      <c r="I265" s="26">
        <f>(1+I261)/(1+I263)-1</f>
        <v>0.17808219178082174</v>
      </c>
      <c r="J265" s="60" t="s">
        <v>46</v>
      </c>
    </row>
    <row r="266" ht="24">
      <c r="B266" s="81" t="s">
        <v>76</v>
      </c>
      <c r="C266" s="80" t="s">
        <v>46</v>
      </c>
      <c r="D266" s="80" t="s">
        <v>46</v>
      </c>
      <c r="E266" s="80" t="s">
        <v>46</v>
      </c>
      <c r="F266" s="80" t="s">
        <v>46</v>
      </c>
      <c r="G266" s="80" t="s">
        <v>46</v>
      </c>
      <c r="H266" s="80" t="s">
        <v>46</v>
      </c>
      <c r="I266" s="80" t="s">
        <v>46</v>
      </c>
      <c r="J266" s="87" t="s">
        <v>46</v>
      </c>
    </row>
    <row r="267" ht="24">
      <c r="B267" s="17" t="s">
        <v>199</v>
      </c>
      <c r="C267" s="5">
        <f>C256-C259-C258</f>
        <v>0</v>
      </c>
      <c r="D267" s="5">
        <f>D256-D259-D258</f>
        <v>0</v>
      </c>
      <c r="E267" s="5">
        <f>E256-E259-E258</f>
        <v>0</v>
      </c>
      <c r="F267" s="5">
        <f>F256-F259-F258</f>
        <v>0</v>
      </c>
      <c r="G267" s="5">
        <f>G256-G259-G258</f>
        <v>0</v>
      </c>
      <c r="H267" s="5">
        <f>H256-H259-H258</f>
        <v>0</v>
      </c>
      <c r="I267" s="5">
        <f>I256-I259-I258</f>
        <v>0</v>
      </c>
      <c r="J267" s="64">
        <f>J256-J259-J258</f>
        <v>0</v>
      </c>
    </row>
    <row r="268">
      <c r="B268" s="2"/>
      <c r="C268" s="2"/>
      <c r="D268" s="2"/>
      <c r="E268" s="2"/>
      <c r="F268" s="2"/>
      <c r="G268" s="2"/>
      <c r="H268" s="2"/>
      <c r="I268" s="2"/>
      <c r="J268" s="2"/>
    </row>
    <row r="269">
      <c r="B269" s="19" t="s">
        <v>200</v>
      </c>
      <c r="C269" s="2"/>
      <c r="D269" s="2"/>
      <c r="E269" s="2"/>
      <c r="F269" s="2"/>
      <c r="G269" s="2"/>
      <c r="H269" s="2"/>
      <c r="I269" s="2"/>
      <c r="J269" s="2"/>
    </row>
    <row r="270" ht="24">
      <c r="B270" s="6" t="s">
        <v>201</v>
      </c>
      <c r="C270" s="59">
        <v>0</v>
      </c>
      <c r="D270" s="59">
        <v>0</v>
      </c>
      <c r="E270" s="59">
        <v>1</v>
      </c>
      <c r="F270" s="59">
        <v>3</v>
      </c>
      <c r="G270" s="25">
        <f>SUM(C270:F270)</f>
        <v>4</v>
      </c>
      <c r="H270" s="59">
        <v>1</v>
      </c>
      <c r="I270" s="59">
        <v>0</v>
      </c>
      <c r="J270" s="129">
        <v>0</v>
      </c>
    </row>
    <row r="271">
      <c r="B271" s="50" t="s">
        <v>86</v>
      </c>
      <c r="C271" s="3"/>
      <c r="D271" s="3">
        <f>D270-C270</f>
        <v>0</v>
      </c>
      <c r="E271" s="3">
        <f>E270-D270</f>
        <v>1</v>
      </c>
      <c r="F271" s="3">
        <f>F270-E270</f>
        <v>2</v>
      </c>
      <c r="G271" s="3"/>
      <c r="H271" s="3">
        <f>H270-F270</f>
        <v>-2</v>
      </c>
      <c r="I271" s="3">
        <f>I270-H270</f>
        <v>-1</v>
      </c>
      <c r="J271" s="57">
        <f>J270-I270</f>
        <v>0</v>
      </c>
    </row>
    <row r="272">
      <c r="B272" s="53" t="s">
        <v>87</v>
      </c>
      <c r="C272" s="26"/>
      <c r="D272" s="26"/>
      <c r="E272" s="26"/>
      <c r="F272" s="26"/>
      <c r="G272" s="26"/>
      <c r="H272" s="26" t="s">
        <v>88</v>
      </c>
      <c r="I272" s="26" t="s">
        <v>88</v>
      </c>
      <c r="J272" s="60" t="s">
        <v>88</v>
      </c>
    </row>
    <row r="273">
      <c r="B273" s="76" t="s">
        <v>71</v>
      </c>
      <c r="C273" s="3"/>
      <c r="D273" s="3"/>
      <c r="E273" s="3"/>
      <c r="F273" s="3"/>
      <c r="G273" s="3"/>
      <c r="H273" s="3" t="s">
        <v>47</v>
      </c>
      <c r="I273" s="3" t="s">
        <v>47</v>
      </c>
      <c r="J273" s="57" t="s">
        <v>47</v>
      </c>
    </row>
    <row r="274">
      <c r="B274" s="53" t="s">
        <v>73</v>
      </c>
      <c r="C274" s="26"/>
      <c r="D274" s="26"/>
      <c r="E274" s="26"/>
      <c r="F274" s="26"/>
      <c r="G274" s="26"/>
      <c r="H274" s="26" t="s">
        <v>47</v>
      </c>
      <c r="I274" s="26" t="s">
        <v>47</v>
      </c>
      <c r="J274" s="60" t="s">
        <v>47</v>
      </c>
    </row>
    <row r="275">
      <c r="B275" s="53" t="s">
        <v>74</v>
      </c>
      <c r="C275" s="26"/>
      <c r="D275" s="26"/>
      <c r="E275" s="26"/>
      <c r="F275" s="26"/>
      <c r="G275" s="26"/>
      <c r="H275" s="26" t="s">
        <v>47</v>
      </c>
      <c r="I275" s="26" t="s">
        <v>47</v>
      </c>
      <c r="J275" s="60" t="s">
        <v>47</v>
      </c>
    </row>
    <row r="276">
      <c r="B276" s="53" t="s">
        <v>75</v>
      </c>
      <c r="C276" s="26"/>
      <c r="D276" s="26"/>
      <c r="E276" s="26"/>
      <c r="F276" s="26"/>
      <c r="G276" s="26"/>
      <c r="H276" s="26" t="s">
        <v>88</v>
      </c>
      <c r="I276" s="26" t="s">
        <v>88</v>
      </c>
      <c r="J276" s="60" t="s">
        <v>88</v>
      </c>
    </row>
    <row r="277" ht="24">
      <c r="B277" s="81" t="s">
        <v>76</v>
      </c>
      <c r="C277" s="80"/>
      <c r="D277" s="80"/>
      <c r="E277" s="80"/>
      <c r="F277" s="80"/>
      <c r="G277" s="80"/>
      <c r="H277" s="80" t="s">
        <v>88</v>
      </c>
      <c r="I277" s="80" t="s">
        <v>88</v>
      </c>
      <c r="J277" s="87" t="s">
        <v>88</v>
      </c>
    </row>
    <row r="278" ht="24">
      <c r="B278" s="43" t="s">
        <v>202</v>
      </c>
      <c r="C278" s="33">
        <f>C142+C259+C270</f>
        <v>2688</v>
      </c>
      <c r="D278" s="33">
        <f>D142+D259+D270</f>
        <v>2844</v>
      </c>
      <c r="E278" s="33">
        <f>E142+E259+E270</f>
        <v>2861</v>
      </c>
      <c r="F278" s="33">
        <f>F142+F259+F270</f>
        <v>2938</v>
      </c>
      <c r="G278" s="33">
        <f>G142+G259+G270</f>
        <v>11331</v>
      </c>
      <c r="H278" s="33">
        <f>H142+H259+H270</f>
        <v>3055</v>
      </c>
      <c r="I278" s="33">
        <f>I142+I259+I270</f>
        <v>3242</v>
      </c>
      <c r="J278" s="91">
        <f>J142+J259+J270</f>
        <v>3232.025260383562</v>
      </c>
    </row>
    <row r="279">
      <c r="B279" s="58" t="s">
        <v>70</v>
      </c>
      <c r="C279" s="26"/>
      <c r="D279" s="26">
        <f>D278/C278-1</f>
        <v>0.05803571428571419</v>
      </c>
      <c r="E279" s="26">
        <f>E278/D278-1</f>
        <v>0.005977496483825506</v>
      </c>
      <c r="F279" s="26">
        <f>F278/E278-1</f>
        <v>0.026913666550157256</v>
      </c>
      <c r="G279" s="26"/>
      <c r="H279" s="26">
        <f>H278/F278-1</f>
        <v>0.03982300884955747</v>
      </c>
      <c r="I279" s="26">
        <f>I278/H278-1</f>
        <v>0.06121112929623562</v>
      </c>
      <c r="J279" s="60">
        <f>J278/I278-1</f>
        <v>-0.0030767241259833655</v>
      </c>
    </row>
    <row r="280">
      <c r="B280" s="53" t="s">
        <v>87</v>
      </c>
      <c r="C280" s="26" t="s">
        <v>46</v>
      </c>
      <c r="D280" s="26" t="s">
        <v>46</v>
      </c>
      <c r="E280" s="26" t="s">
        <v>46</v>
      </c>
      <c r="F280" s="26" t="s">
        <v>46</v>
      </c>
      <c r="G280" s="26" t="s">
        <v>46</v>
      </c>
      <c r="H280" s="26">
        <f>H278/C278-1</f>
        <v>0.13653273809523814</v>
      </c>
      <c r="I280" s="26">
        <f>I278/D278-1</f>
        <v>0.1399437412095641</v>
      </c>
      <c r="J280" s="60">
        <f>J278/E278-1</f>
        <v>0.1296837680473828</v>
      </c>
    </row>
    <row r="281">
      <c r="B281" s="76" t="s">
        <v>71</v>
      </c>
      <c r="C281" s="3" t="s">
        <v>46</v>
      </c>
      <c r="D281" s="3" t="s">
        <v>46</v>
      </c>
      <c r="E281" s="3" t="s">
        <v>46</v>
      </c>
      <c r="F281" s="3" t="s">
        <v>46</v>
      </c>
      <c r="G281" s="3" t="s">
        <v>46</v>
      </c>
      <c r="H281" s="3" t="s">
        <v>47</v>
      </c>
      <c r="I281" s="3" t="s">
        <v>47</v>
      </c>
      <c r="J281" s="57" t="s">
        <v>72</v>
      </c>
    </row>
    <row r="282">
      <c r="B282" s="53" t="s">
        <v>73</v>
      </c>
      <c r="C282" s="26" t="s">
        <v>46</v>
      </c>
      <c r="D282" s="26" t="s">
        <v>46</v>
      </c>
      <c r="E282" s="26" t="s">
        <v>46</v>
      </c>
      <c r="F282" s="26" t="s">
        <v>46</v>
      </c>
      <c r="G282" s="26" t="s">
        <v>46</v>
      </c>
      <c r="H282" s="26" t="s">
        <v>47</v>
      </c>
      <c r="I282" s="26" t="s">
        <v>47</v>
      </c>
      <c r="J282" s="60" t="s">
        <v>46</v>
      </c>
    </row>
    <row r="283">
      <c r="B283" s="53" t="s">
        <v>74</v>
      </c>
      <c r="C283" s="26" t="s">
        <v>46</v>
      </c>
      <c r="D283" s="26" t="s">
        <v>46</v>
      </c>
      <c r="E283" s="26" t="s">
        <v>46</v>
      </c>
      <c r="F283" s="26" t="s">
        <v>46</v>
      </c>
      <c r="G283" s="26" t="s">
        <v>46</v>
      </c>
      <c r="H283" s="26" t="s">
        <v>47</v>
      </c>
      <c r="I283" s="26" t="s">
        <v>47</v>
      </c>
      <c r="J283" s="60" t="s">
        <v>47</v>
      </c>
    </row>
    <row r="284">
      <c r="B284" s="53" t="s">
        <v>75</v>
      </c>
      <c r="C284" s="26" t="s">
        <v>46</v>
      </c>
      <c r="D284" s="26" t="s">
        <v>46</v>
      </c>
      <c r="E284" s="26" t="s">
        <v>46</v>
      </c>
      <c r="F284" s="26" t="s">
        <v>46</v>
      </c>
      <c r="G284" s="26" t="s">
        <v>46</v>
      </c>
      <c r="H284" s="26" t="s">
        <v>46</v>
      </c>
      <c r="I284" s="26" t="s">
        <v>46</v>
      </c>
      <c r="J284" s="60" t="s">
        <v>46</v>
      </c>
    </row>
    <row r="285" ht="24">
      <c r="B285" s="81" t="s">
        <v>76</v>
      </c>
      <c r="C285" s="80" t="s">
        <v>46</v>
      </c>
      <c r="D285" s="80" t="s">
        <v>46</v>
      </c>
      <c r="E285" s="80" t="s">
        <v>46</v>
      </c>
      <c r="F285" s="80" t="s">
        <v>46</v>
      </c>
      <c r="G285" s="80" t="s">
        <v>46</v>
      </c>
      <c r="H285" s="80" t="s">
        <v>46</v>
      </c>
      <c r="I285" s="80" t="s">
        <v>46</v>
      </c>
      <c r="J285" s="87" t="s">
        <v>46</v>
      </c>
    </row>
    <row r="286">
      <c r="B286" s="2" t="s">
        <v>203</v>
      </c>
      <c r="C286" s="46">
        <v>12</v>
      </c>
      <c r="D286" s="46">
        <v>30</v>
      </c>
      <c r="E286" s="46">
        <v>9</v>
      </c>
      <c r="F286" s="46">
        <v>8</v>
      </c>
      <c r="G286" s="3">
        <f>SUM(C286:F286)</f>
        <v>59</v>
      </c>
      <c r="H286" s="46">
        <v>16</v>
      </c>
      <c r="I286" s="46">
        <v>0</v>
      </c>
      <c r="J286" s="96">
        <v>10</v>
      </c>
    </row>
    <row r="287">
      <c r="B287" s="50" t="s">
        <v>113</v>
      </c>
      <c r="C287" s="3"/>
      <c r="D287" s="3"/>
      <c r="E287" s="3"/>
      <c r="F287" s="3"/>
      <c r="G287" s="3"/>
      <c r="H287" s="3">
        <f>H286-C286</f>
        <v>4</v>
      </c>
      <c r="I287" s="3">
        <f>I286-D286</f>
        <v>-30</v>
      </c>
      <c r="J287" s="57">
        <f>J286-E286</f>
        <v>1</v>
      </c>
    </row>
    <row r="288">
      <c r="B288" s="50" t="s">
        <v>86</v>
      </c>
      <c r="C288" s="3"/>
      <c r="D288" s="3">
        <f>D286-C286</f>
        <v>18</v>
      </c>
      <c r="E288" s="3">
        <f>E286-D286</f>
        <v>-21</v>
      </c>
      <c r="F288" s="3">
        <f>F286-E286</f>
        <v>-1</v>
      </c>
      <c r="G288" s="3"/>
      <c r="H288" s="3">
        <f>H286-F286</f>
        <v>8</v>
      </c>
      <c r="I288" s="3">
        <f>I286-H286</f>
        <v>-16</v>
      </c>
      <c r="J288" s="57">
        <f>J286-I286</f>
        <v>10</v>
      </c>
    </row>
    <row r="289" ht="24">
      <c r="B289" s="43" t="s">
        <v>204</v>
      </c>
      <c r="C289" s="79">
        <v>2019</v>
      </c>
      <c r="D289" s="79">
        <v>1995</v>
      </c>
      <c r="E289" s="79">
        <v>1994</v>
      </c>
      <c r="F289" s="79">
        <v>2048</v>
      </c>
      <c r="G289" s="33">
        <f>SUM(C289:F289)</f>
        <v>8056</v>
      </c>
      <c r="H289" s="79">
        <v>2189</v>
      </c>
      <c r="I289" s="79">
        <v>2162</v>
      </c>
      <c r="J289" s="151">
        <f>'Income Statement'!J52-'Segment - Investment Management'!J160-'Income Statement'!J61</f>
        <v>2160.692</v>
      </c>
    </row>
    <row r="290">
      <c r="B290" s="58" t="s">
        <v>69</v>
      </c>
      <c r="C290" s="26"/>
      <c r="D290" s="26"/>
      <c r="E290" s="26"/>
      <c r="F290" s="26"/>
      <c r="G290" s="26"/>
      <c r="H290" s="26">
        <f>H289/C289-1</f>
        <v>0.08420009905893999</v>
      </c>
      <c r="I290" s="26">
        <f>I289/D289-1</f>
        <v>0.0837092731829574</v>
      </c>
      <c r="J290" s="60">
        <f>J289/E289-1</f>
        <v>0.08359679037111345</v>
      </c>
    </row>
    <row r="291">
      <c r="B291" s="58" t="s">
        <v>70</v>
      </c>
      <c r="C291" s="26"/>
      <c r="D291" s="26">
        <f>D289/C289-1</f>
        <v>-0.011887072808320909</v>
      </c>
      <c r="E291" s="26">
        <f>E289/D289-1</f>
        <v>-0.0005012531328321135</v>
      </c>
      <c r="F291" s="26">
        <f>F289/E289-1</f>
        <v>0.027081243731193583</v>
      </c>
      <c r="G291" s="26"/>
      <c r="H291" s="26">
        <f>H289/F289-1</f>
        <v>0.06884765625</v>
      </c>
      <c r="I291" s="26">
        <f>I289/H289-1</f>
        <v>-0.012334399269072649</v>
      </c>
      <c r="J291" s="60">
        <f>J289/I289-1</f>
        <v>-0.0006049953746530834</v>
      </c>
    </row>
    <row r="292" ht="24">
      <c r="B292" s="43" t="s">
        <v>205</v>
      </c>
      <c r="C292" s="33">
        <f>C278-C286-C289</f>
        <v>657</v>
      </c>
      <c r="D292" s="33">
        <f>D278-D286-D289</f>
        <v>819</v>
      </c>
      <c r="E292" s="33">
        <f>E278-E286-E289</f>
        <v>858</v>
      </c>
      <c r="F292" s="33">
        <f>F278-F286-F289</f>
        <v>882</v>
      </c>
      <c r="G292" s="33">
        <f>G278-G286-G289</f>
        <v>3216</v>
      </c>
      <c r="H292" s="33">
        <f>H278-H286-H289</f>
        <v>850</v>
      </c>
      <c r="I292" s="33">
        <f>I278-I286-I289</f>
        <v>1080</v>
      </c>
      <c r="J292" s="91">
        <f>J278-J286-J289</f>
        <v>1061.333260383562</v>
      </c>
    </row>
    <row r="293">
      <c r="B293" s="58" t="s">
        <v>69</v>
      </c>
      <c r="C293" s="26"/>
      <c r="D293" s="26"/>
      <c r="E293" s="26"/>
      <c r="F293" s="26"/>
      <c r="G293" s="26"/>
      <c r="H293" s="26">
        <f>H292/C292-1</f>
        <v>0.29375951293759517</v>
      </c>
      <c r="I293" s="26">
        <f>I292/D292-1</f>
        <v>0.31868131868131866</v>
      </c>
      <c r="J293" s="60">
        <f>J292/E292-1</f>
        <v>0.2369851519621935</v>
      </c>
    </row>
    <row r="294">
      <c r="B294" s="13" t="s">
        <v>206</v>
      </c>
      <c r="C294" s="26">
        <f>C292/C278</f>
        <v>0.24441964285714285</v>
      </c>
      <c r="D294" s="26">
        <f>D292/D278</f>
        <v>0.2879746835443038</v>
      </c>
      <c r="E294" s="26">
        <f>E292/E278</f>
        <v>0.2998951415588955</v>
      </c>
      <c r="F294" s="26">
        <f>F292/F278</f>
        <v>0.30020422055820284</v>
      </c>
      <c r="G294" s="26">
        <f>G292/G278</f>
        <v>0.28382314005824727</v>
      </c>
      <c r="H294" s="26">
        <f>H292/H278</f>
        <v>0.27823240589198034</v>
      </c>
      <c r="I294" s="26">
        <f>I292/I278</f>
        <v>0.33312769895126465</v>
      </c>
      <c r="J294" s="60">
        <f>J292/J278</f>
        <v>0.32838024918704</v>
      </c>
    </row>
    <row r="295">
      <c r="B295" s="50" t="s">
        <v>116</v>
      </c>
      <c r="C295" s="20"/>
      <c r="D295" s="20">
        <f>(D294-C294)*10000</f>
        <v>435.5504068716093</v>
      </c>
      <c r="E295" s="20">
        <f>(E294-D294)*10000</f>
        <v>119.20458014591739</v>
      </c>
      <c r="F295" s="20">
        <f>(F294-E294)*10000</f>
        <v>3.0907899930732174</v>
      </c>
      <c r="G295" s="20"/>
      <c r="H295" s="20">
        <f>(H294-F294)*10000</f>
        <v>-219.718146662225</v>
      </c>
      <c r="I295" s="20">
        <f>(I294-H294)*10000</f>
        <v>548.9529305928431</v>
      </c>
      <c r="J295" s="70">
        <f>(J294-I294)*10000</f>
        <v>-47.474497642246426</v>
      </c>
    </row>
    <row r="296">
      <c r="B296" s="50" t="s">
        <v>117</v>
      </c>
      <c r="C296" s="20" t="s">
        <v>46</v>
      </c>
      <c r="D296" s="20" t="s">
        <v>46</v>
      </c>
      <c r="E296" s="20" t="s">
        <v>46</v>
      </c>
      <c r="F296" s="20" t="s">
        <v>46</v>
      </c>
      <c r="G296" s="20" t="s">
        <v>46</v>
      </c>
      <c r="H296" s="20">
        <f>(H294-C294)*10000</f>
        <v>338.1276303483749</v>
      </c>
      <c r="I296" s="20">
        <f>(I294-D294)*10000</f>
        <v>451.5301540696087</v>
      </c>
      <c r="J296" s="70">
        <f>(J294-E294)*10000</f>
        <v>284.8510762814449</v>
      </c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J16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207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208</v>
      </c>
      <c r="C9" s="2"/>
      <c r="D9" s="2"/>
      <c r="E9" s="2"/>
      <c r="F9" s="2"/>
      <c r="G9" s="2"/>
      <c r="H9" s="2"/>
      <c r="I9" s="2"/>
      <c r="J9" s="2"/>
    </row>
    <row r="10">
      <c r="B10" s="2" t="s">
        <v>209</v>
      </c>
      <c r="C10" s="46">
        <v>4715</v>
      </c>
      <c r="D10" s="3">
        <f>C43</f>
        <v>4665</v>
      </c>
      <c r="E10" s="3">
        <f>D43</f>
        <v>5117</v>
      </c>
      <c r="F10" s="3">
        <f>E43</f>
        <v>5446</v>
      </c>
      <c r="G10" s="3">
        <f>C10</f>
        <v>4715</v>
      </c>
      <c r="H10" s="3">
        <f>F43</f>
        <v>5665</v>
      </c>
      <c r="I10" s="3">
        <f>H43</f>
        <v>5620</v>
      </c>
      <c r="J10" s="57">
        <f>I43</f>
        <v>6278</v>
      </c>
    </row>
    <row r="11">
      <c r="B11" s="77" t="s">
        <v>210</v>
      </c>
      <c r="C11" s="49"/>
      <c r="D11" s="49"/>
      <c r="E11" s="49"/>
      <c r="F11" s="49"/>
      <c r="G11" s="49"/>
      <c r="H11" s="49"/>
      <c r="I11" s="49"/>
      <c r="J11" s="62"/>
    </row>
    <row r="12">
      <c r="B12" s="76" t="s">
        <v>211</v>
      </c>
      <c r="C12" s="46">
        <v>0</v>
      </c>
      <c r="D12" s="46">
        <v>15</v>
      </c>
      <c r="E12" s="46">
        <v>38</v>
      </c>
      <c r="F12" s="46">
        <v>51</v>
      </c>
      <c r="G12" s="3">
        <f>SUM(C12:F12)</f>
        <v>104</v>
      </c>
      <c r="H12" s="46">
        <v>25</v>
      </c>
      <c r="I12" s="46">
        <v>66</v>
      </c>
      <c r="J12" s="57" t="s">
        <v>72</v>
      </c>
    </row>
    <row r="13">
      <c r="B13" s="50" t="s">
        <v>113</v>
      </c>
      <c r="C13" s="3"/>
      <c r="D13" s="3"/>
      <c r="E13" s="3"/>
      <c r="F13" s="3"/>
      <c r="G13" s="3"/>
      <c r="H13" s="3">
        <f>H12-C12</f>
        <v>25</v>
      </c>
      <c r="I13" s="3">
        <f>I12-D12</f>
        <v>51</v>
      </c>
      <c r="J13" s="57"/>
    </row>
    <row r="14">
      <c r="B14" s="50" t="s">
        <v>119</v>
      </c>
      <c r="C14" s="3"/>
      <c r="D14" s="3">
        <f>D12-C12</f>
        <v>15</v>
      </c>
      <c r="E14" s="3">
        <f>E12-D12</f>
        <v>23</v>
      </c>
      <c r="F14" s="3">
        <f>F12-E12</f>
        <v>13</v>
      </c>
      <c r="G14" s="3"/>
      <c r="H14" s="3">
        <f>H12-F12</f>
        <v>-26</v>
      </c>
      <c r="I14" s="3">
        <f>I12-H12</f>
        <v>41</v>
      </c>
      <c r="J14" s="57"/>
    </row>
    <row r="15">
      <c r="B15" s="76" t="s">
        <v>212</v>
      </c>
      <c r="C15" s="46">
        <v>-12</v>
      </c>
      <c r="D15" s="46">
        <v>81</v>
      </c>
      <c r="E15" s="46">
        <v>-7</v>
      </c>
      <c r="F15" s="46">
        <v>14</v>
      </c>
      <c r="G15" s="3">
        <f>SUM(C15:F15)</f>
        <v>76</v>
      </c>
      <c r="H15" s="46">
        <v>13</v>
      </c>
      <c r="I15" s="46">
        <v>15</v>
      </c>
      <c r="J15" s="57" t="s">
        <v>72</v>
      </c>
    </row>
    <row r="16">
      <c r="B16" s="50" t="s">
        <v>113</v>
      </c>
      <c r="C16" s="3"/>
      <c r="D16" s="3"/>
      <c r="E16" s="3"/>
      <c r="F16" s="3"/>
      <c r="G16" s="3"/>
      <c r="H16" s="3">
        <f>H15-C15</f>
        <v>25</v>
      </c>
      <c r="I16" s="3">
        <f>I15-D15</f>
        <v>-66</v>
      </c>
      <c r="J16" s="57"/>
    </row>
    <row r="17">
      <c r="B17" s="50" t="s">
        <v>119</v>
      </c>
      <c r="C17" s="3"/>
      <c r="D17" s="3">
        <f>D15-C15</f>
        <v>93</v>
      </c>
      <c r="E17" s="3">
        <f>E15-D15</f>
        <v>-88</v>
      </c>
      <c r="F17" s="3">
        <f>F15-E15</f>
        <v>21</v>
      </c>
      <c r="G17" s="3"/>
      <c r="H17" s="3">
        <f>H15-F15</f>
        <v>-1</v>
      </c>
      <c r="I17" s="3">
        <f>I15-H15</f>
        <v>2</v>
      </c>
      <c r="J17" s="57"/>
    </row>
    <row r="18" ht="24">
      <c r="B18" s="108" t="s">
        <v>213</v>
      </c>
      <c r="C18" s="33">
        <f>C12+C15</f>
        <v>-12</v>
      </c>
      <c r="D18" s="33">
        <f>D12+D15</f>
        <v>96</v>
      </c>
      <c r="E18" s="33">
        <f>E12+E15</f>
        <v>31</v>
      </c>
      <c r="F18" s="33">
        <f>F12+F15</f>
        <v>65</v>
      </c>
      <c r="G18" s="33">
        <f>G12+G15</f>
        <v>180</v>
      </c>
      <c r="H18" s="33">
        <f>H12+H15</f>
        <v>38</v>
      </c>
      <c r="I18" s="33">
        <f>I12+I15</f>
        <v>81</v>
      </c>
      <c r="J18" s="91" t="s">
        <v>72</v>
      </c>
    </row>
    <row r="19">
      <c r="B19" s="50" t="s">
        <v>113</v>
      </c>
      <c r="C19" s="3"/>
      <c r="D19" s="3"/>
      <c r="E19" s="3"/>
      <c r="F19" s="3"/>
      <c r="G19" s="3"/>
      <c r="H19" s="3">
        <f>H18-C18</f>
        <v>50</v>
      </c>
      <c r="I19" s="3">
        <f>I18-D18</f>
        <v>-15</v>
      </c>
      <c r="J19" s="57"/>
    </row>
    <row r="20">
      <c r="B20" s="50" t="s">
        <v>119</v>
      </c>
      <c r="C20" s="3"/>
      <c r="D20" s="3">
        <f>D18-C18</f>
        <v>108</v>
      </c>
      <c r="E20" s="3">
        <f>E18-D18</f>
        <v>-65</v>
      </c>
      <c r="F20" s="3">
        <f>F18-E18</f>
        <v>34</v>
      </c>
      <c r="G20" s="3"/>
      <c r="H20" s="3">
        <f>H18-F18</f>
        <v>-27</v>
      </c>
      <c r="I20" s="3">
        <f>I18-H18</f>
        <v>43</v>
      </c>
      <c r="J20" s="57"/>
    </row>
    <row r="21">
      <c r="B21" s="76" t="s">
        <v>214</v>
      </c>
      <c r="C21" s="46">
        <v>-2</v>
      </c>
      <c r="D21" s="46">
        <v>-13</v>
      </c>
      <c r="E21" s="46">
        <v>-15</v>
      </c>
      <c r="F21" s="46">
        <v>-4</v>
      </c>
      <c r="G21" s="3">
        <f>SUM(C21:F21)</f>
        <v>-34</v>
      </c>
      <c r="H21" s="46">
        <v>3</v>
      </c>
      <c r="I21" s="46">
        <v>-2</v>
      </c>
      <c r="J21" s="57" t="s">
        <v>72</v>
      </c>
    </row>
    <row r="22">
      <c r="B22" s="50" t="s">
        <v>113</v>
      </c>
      <c r="C22" s="3"/>
      <c r="D22" s="3"/>
      <c r="E22" s="3"/>
      <c r="F22" s="3"/>
      <c r="G22" s="3"/>
      <c r="H22" s="3">
        <f>H21-C21</f>
        <v>5</v>
      </c>
      <c r="I22" s="3">
        <f>I21-D21</f>
        <v>11</v>
      </c>
      <c r="J22" s="57"/>
    </row>
    <row r="23">
      <c r="B23" s="50" t="s">
        <v>119</v>
      </c>
      <c r="C23" s="3"/>
      <c r="D23" s="3">
        <f>D21-C21</f>
        <v>-11</v>
      </c>
      <c r="E23" s="3">
        <f>E21-D21</f>
        <v>-2</v>
      </c>
      <c r="F23" s="3">
        <f>F21-E21</f>
        <v>11</v>
      </c>
      <c r="G23" s="3"/>
      <c r="H23" s="3">
        <f>H21-F21</f>
        <v>7</v>
      </c>
      <c r="I23" s="3">
        <f>I21-H21</f>
        <v>-5</v>
      </c>
      <c r="J23" s="57"/>
    </row>
    <row r="24">
      <c r="B24" s="76" t="s">
        <v>215</v>
      </c>
      <c r="C24" s="46">
        <v>1</v>
      </c>
      <c r="D24" s="46">
        <v>-1</v>
      </c>
      <c r="E24" s="46">
        <v>10</v>
      </c>
      <c r="F24" s="46">
        <v>24</v>
      </c>
      <c r="G24" s="3">
        <f>SUM(C24:F24)</f>
        <v>34</v>
      </c>
      <c r="H24" s="46">
        <v>8</v>
      </c>
      <c r="I24" s="46">
        <v>35</v>
      </c>
      <c r="J24" s="57" t="s">
        <v>72</v>
      </c>
    </row>
    <row r="25">
      <c r="B25" s="50" t="s">
        <v>113</v>
      </c>
      <c r="C25" s="3"/>
      <c r="D25" s="3"/>
      <c r="E25" s="3"/>
      <c r="F25" s="3"/>
      <c r="G25" s="3"/>
      <c r="H25" s="3">
        <f>H24-C24</f>
        <v>7</v>
      </c>
      <c r="I25" s="3">
        <f>I24-D24</f>
        <v>36</v>
      </c>
      <c r="J25" s="57"/>
    </row>
    <row r="26">
      <c r="B26" s="50" t="s">
        <v>119</v>
      </c>
      <c r="C26" s="3"/>
      <c r="D26" s="3">
        <f>D24-C24</f>
        <v>-2</v>
      </c>
      <c r="E26" s="3">
        <f>E24-D24</f>
        <v>11</v>
      </c>
      <c r="F26" s="3">
        <f>F24-E24</f>
        <v>14</v>
      </c>
      <c r="G26" s="3"/>
      <c r="H26" s="3">
        <f>H24-F24</f>
        <v>-16</v>
      </c>
      <c r="I26" s="3">
        <f>I24-H24</f>
        <v>27</v>
      </c>
      <c r="J26" s="57"/>
    </row>
    <row r="27">
      <c r="B27" s="77" t="s">
        <v>216</v>
      </c>
      <c r="C27" s="38">
        <f>C18+C21+C24</f>
        <v>-13</v>
      </c>
      <c r="D27" s="38">
        <f>D18+D21+D24</f>
        <v>82</v>
      </c>
      <c r="E27" s="38">
        <f>E18+E21+E24</f>
        <v>26</v>
      </c>
      <c r="F27" s="38">
        <f>F18+F21+F24</f>
        <v>85</v>
      </c>
      <c r="G27" s="38">
        <f>G18+G21+G24</f>
        <v>180</v>
      </c>
      <c r="H27" s="38">
        <f>H18+H21+H24</f>
        <v>49</v>
      </c>
      <c r="I27" s="38">
        <f>I18+I21+I24</f>
        <v>114</v>
      </c>
      <c r="J27" s="82">
        <v>60</v>
      </c>
    </row>
    <row r="28">
      <c r="B28" s="50" t="s">
        <v>113</v>
      </c>
      <c r="C28" s="3"/>
      <c r="D28" s="3"/>
      <c r="E28" s="3"/>
      <c r="F28" s="3"/>
      <c r="G28" s="3"/>
      <c r="H28" s="3">
        <f>H27-C27</f>
        <v>62</v>
      </c>
      <c r="I28" s="3">
        <f>I27-D27</f>
        <v>32</v>
      </c>
      <c r="J28" s="57">
        <f>J27-E27</f>
        <v>34</v>
      </c>
    </row>
    <row r="29">
      <c r="B29" s="50" t="s">
        <v>119</v>
      </c>
      <c r="C29" s="3"/>
      <c r="D29" s="3">
        <f>D27-C27</f>
        <v>95</v>
      </c>
      <c r="E29" s="3">
        <f>E27-D27</f>
        <v>-56</v>
      </c>
      <c r="F29" s="3">
        <f>F27-E27</f>
        <v>59</v>
      </c>
      <c r="G29" s="3"/>
      <c r="H29" s="3">
        <f>H27-F27</f>
        <v>-36</v>
      </c>
      <c r="I29" s="3">
        <f>I27-H27</f>
        <v>65</v>
      </c>
      <c r="J29" s="57">
        <f>J27-I27</f>
        <v>-54</v>
      </c>
    </row>
    <row r="30" ht="24">
      <c r="B30" s="112" t="s">
        <v>217</v>
      </c>
      <c r="C30" s="80">
        <f>C27/C10*365/C7</f>
        <v>-0.011181807470248615</v>
      </c>
      <c r="D30" s="80">
        <f>D27/D10*365/D7</f>
        <v>0.07050398690270072</v>
      </c>
      <c r="E30" s="80">
        <f>E27/E10*365/E7</f>
        <v>0.020158720717811898</v>
      </c>
      <c r="F30" s="80">
        <f>F27/F10*365/F7</f>
        <v>0.06192219259448498</v>
      </c>
      <c r="G30" s="80">
        <f>G27/G10*365/G7</f>
        <v>0.03817603393425239</v>
      </c>
      <c r="H30" s="80">
        <f>H27/H10*365/H7</f>
        <v>0.03507894478768265</v>
      </c>
      <c r="I30" s="80">
        <f>I27/I10*365/I7</f>
        <v>0.08136169879942122</v>
      </c>
      <c r="J30" s="87">
        <f>J27/J10*365/J7</f>
        <v>0.037917087967644085</v>
      </c>
    </row>
    <row r="31">
      <c r="B31" s="76" t="s">
        <v>116</v>
      </c>
      <c r="C31" s="20"/>
      <c r="D31" s="20">
        <f>(D30-C30)*10000</f>
        <v>816.8579437294934</v>
      </c>
      <c r="E31" s="20">
        <f>(E30-D30)*10000</f>
        <v>-503.4526618488883</v>
      </c>
      <c r="F31" s="20">
        <f>(F30-E30)*10000</f>
        <v>417.6347187667308</v>
      </c>
      <c r="G31" s="20"/>
      <c r="H31" s="20">
        <f>(H30-F30)*10000</f>
        <v>-268.43247806802333</v>
      </c>
      <c r="I31" s="20">
        <f>(I30-H30)*10000</f>
        <v>462.8275401173857</v>
      </c>
      <c r="J31" s="70">
        <f>(J30-I30)*10000</f>
        <v>-434.44610831777135</v>
      </c>
    </row>
    <row r="32">
      <c r="B32" s="76" t="s">
        <v>117</v>
      </c>
      <c r="C32" s="20" t="s">
        <v>46</v>
      </c>
      <c r="D32" s="20" t="s">
        <v>46</v>
      </c>
      <c r="E32" s="20" t="s">
        <v>46</v>
      </c>
      <c r="F32" s="20" t="s">
        <v>46</v>
      </c>
      <c r="G32" s="20" t="s">
        <v>46</v>
      </c>
      <c r="H32" s="20">
        <f>(H30-C30)*10000</f>
        <v>462.6075225793126</v>
      </c>
      <c r="I32" s="20">
        <f>(I30-D30)*10000</f>
        <v>108.57711896720495</v>
      </c>
      <c r="J32" s="70">
        <f>(J30-E30)*10000</f>
        <v>177.58367249832187</v>
      </c>
    </row>
    <row r="33" ht="24">
      <c r="B33" s="83" t="s">
        <v>218</v>
      </c>
      <c r="C33" s="59">
        <v>-65</v>
      </c>
      <c r="D33" s="59">
        <v>318</v>
      </c>
      <c r="E33" s="59">
        <v>310</v>
      </c>
      <c r="F33" s="59">
        <v>148</v>
      </c>
      <c r="G33" s="25">
        <f>SUM(C33:F33)</f>
        <v>711</v>
      </c>
      <c r="H33" s="59">
        <v>-86</v>
      </c>
      <c r="I33" s="59">
        <v>551</v>
      </c>
      <c r="J33" s="86">
        <f>J10*J36</f>
        <v>43.946</v>
      </c>
    </row>
    <row r="34">
      <c r="B34" s="50" t="s">
        <v>113</v>
      </c>
      <c r="C34" s="3"/>
      <c r="D34" s="3"/>
      <c r="E34" s="3"/>
      <c r="F34" s="3"/>
      <c r="G34" s="3"/>
      <c r="H34" s="3">
        <f>H33-C33</f>
        <v>-21</v>
      </c>
      <c r="I34" s="3">
        <f>I33-D33</f>
        <v>233</v>
      </c>
      <c r="J34" s="57">
        <f>J33-E33</f>
        <v>-266.054</v>
      </c>
    </row>
    <row r="35">
      <c r="B35" s="50" t="s">
        <v>119</v>
      </c>
      <c r="C35" s="3"/>
      <c r="D35" s="3">
        <f>D33-C33</f>
        <v>383</v>
      </c>
      <c r="E35" s="3">
        <f>E33-D33</f>
        <v>-8</v>
      </c>
      <c r="F35" s="3">
        <f>F33-E33</f>
        <v>-162</v>
      </c>
      <c r="G35" s="3"/>
      <c r="H35" s="3">
        <f>H33-F33</f>
        <v>-234</v>
      </c>
      <c r="I35" s="3">
        <f>I33-H33</f>
        <v>637</v>
      </c>
      <c r="J35" s="57">
        <f>J33-I33</f>
        <v>-507.054</v>
      </c>
    </row>
    <row r="36" ht="13.5">
      <c r="B36" s="81" t="s">
        <v>219</v>
      </c>
      <c r="C36" s="80">
        <f>C33/C10</f>
        <v>-0.013785790031813362</v>
      </c>
      <c r="D36" s="80">
        <f>D33/D10</f>
        <v>0.06816720257234726</v>
      </c>
      <c r="E36" s="80">
        <f>E33/E10</f>
        <v>0.060582372483877274</v>
      </c>
      <c r="F36" s="80">
        <f>F33/F10</f>
        <v>0.027175908923980904</v>
      </c>
      <c r="G36" s="80">
        <f>G33/G10</f>
        <v>0.15079533404029694</v>
      </c>
      <c r="H36" s="80">
        <f>H33/H10</f>
        <v>-0.015180935569285084</v>
      </c>
      <c r="I36" s="80">
        <f>I33/I10</f>
        <v>0.09804270462633452</v>
      </c>
      <c r="J36" s="102">
        <v>0.007</v>
      </c>
    </row>
    <row r="37">
      <c r="B37" s="95" t="s">
        <v>116</v>
      </c>
      <c r="C37" s="20"/>
      <c r="D37" s="20">
        <f>(D36-C36)*10000</f>
        <v>819.5299260416062</v>
      </c>
      <c r="E37" s="20">
        <f>(E36-D36)*10000</f>
        <v>-75.8483008846999</v>
      </c>
      <c r="F37" s="20">
        <f>(F36-E36)*10000</f>
        <v>-334.0646355989637</v>
      </c>
      <c r="G37" s="20"/>
      <c r="H37" s="20">
        <f>(H36-F36)*10000</f>
        <v>-423.5684449326599</v>
      </c>
      <c r="I37" s="20">
        <f>(I36-H36)*10000</f>
        <v>1132.236401956196</v>
      </c>
      <c r="J37" s="70">
        <f>(J36-I36)*10000</f>
        <v>-910.4270462633451</v>
      </c>
    </row>
    <row r="38">
      <c r="B38" s="95" t="s">
        <v>117</v>
      </c>
      <c r="C38" s="20" t="s">
        <v>46</v>
      </c>
      <c r="D38" s="20" t="s">
        <v>46</v>
      </c>
      <c r="E38" s="20" t="s">
        <v>46</v>
      </c>
      <c r="F38" s="20" t="s">
        <v>46</v>
      </c>
      <c r="G38" s="20" t="s">
        <v>46</v>
      </c>
      <c r="H38" s="20">
        <f>(H36-C36)*10000</f>
        <v>-13.95145537471722</v>
      </c>
      <c r="I38" s="20">
        <f>(I36-D36)*10000</f>
        <v>298.7550205398726</v>
      </c>
      <c r="J38" s="70">
        <f>(J36-E36)*10000</f>
        <v>-535.8237248387727</v>
      </c>
    </row>
    <row r="39">
      <c r="B39" s="50" t="s">
        <v>220</v>
      </c>
      <c r="C39" s="46">
        <v>28</v>
      </c>
      <c r="D39" s="46">
        <v>52</v>
      </c>
      <c r="E39" s="46">
        <v>-7</v>
      </c>
      <c r="F39" s="46">
        <v>-14</v>
      </c>
      <c r="G39" s="3">
        <f>SUM(C39:F39)</f>
        <v>59</v>
      </c>
      <c r="H39" s="46">
        <v>-8</v>
      </c>
      <c r="I39" s="46">
        <v>-7</v>
      </c>
      <c r="J39" s="96">
        <v>0</v>
      </c>
    </row>
    <row r="40">
      <c r="B40" s="50" t="s">
        <v>113</v>
      </c>
      <c r="C40" s="3"/>
      <c r="D40" s="3"/>
      <c r="E40" s="3"/>
      <c r="F40" s="3"/>
      <c r="G40" s="3"/>
      <c r="H40" s="3">
        <f>H39-C39</f>
        <v>-36</v>
      </c>
      <c r="I40" s="3">
        <f>I39-D39</f>
        <v>-59</v>
      </c>
      <c r="J40" s="57">
        <f>J39-E39</f>
        <v>7</v>
      </c>
    </row>
    <row r="41">
      <c r="B41" s="50" t="s">
        <v>119</v>
      </c>
      <c r="C41" s="3"/>
      <c r="D41" s="3">
        <f>D39-C39</f>
        <v>24</v>
      </c>
      <c r="E41" s="3">
        <f>E39-D39</f>
        <v>-59</v>
      </c>
      <c r="F41" s="3">
        <f>F39-E39</f>
        <v>-7</v>
      </c>
      <c r="G41" s="3"/>
      <c r="H41" s="3">
        <f>H39-F39</f>
        <v>6</v>
      </c>
      <c r="I41" s="3">
        <f>I39-H39</f>
        <v>1</v>
      </c>
      <c r="J41" s="57">
        <f>J39-I39</f>
        <v>7</v>
      </c>
    </row>
    <row r="42">
      <c r="B42" s="77" t="s">
        <v>221</v>
      </c>
      <c r="C42" s="38">
        <f>C33+C39</f>
        <v>-37</v>
      </c>
      <c r="D42" s="38">
        <f>D33+D39</f>
        <v>370</v>
      </c>
      <c r="E42" s="38">
        <f>E33+E39</f>
        <v>303</v>
      </c>
      <c r="F42" s="38">
        <f>F33+F39</f>
        <v>134</v>
      </c>
      <c r="G42" s="38">
        <f>G33+G39</f>
        <v>770</v>
      </c>
      <c r="H42" s="38">
        <f>H33+H39</f>
        <v>-94</v>
      </c>
      <c r="I42" s="38">
        <f>I33+I39</f>
        <v>544</v>
      </c>
      <c r="J42" s="63">
        <f>J33+J39</f>
        <v>43.946</v>
      </c>
    </row>
    <row r="43">
      <c r="B43" s="19" t="s">
        <v>222</v>
      </c>
      <c r="C43" s="38">
        <f>C10+C27+C42</f>
        <v>4665</v>
      </c>
      <c r="D43" s="38">
        <f>D10+D27+D42</f>
        <v>5117</v>
      </c>
      <c r="E43" s="38">
        <f>E10+E27+E42</f>
        <v>5446</v>
      </c>
      <c r="F43" s="38">
        <f>F10+F27+F42</f>
        <v>5665</v>
      </c>
      <c r="G43" s="38">
        <f>F43</f>
        <v>5665</v>
      </c>
      <c r="H43" s="38">
        <f>H10+H27+H42</f>
        <v>5620</v>
      </c>
      <c r="I43" s="38">
        <f>I10+I27+I42</f>
        <v>6278</v>
      </c>
      <c r="J43" s="63">
        <f>J10+J27+J42</f>
        <v>6381.946</v>
      </c>
    </row>
    <row r="44">
      <c r="B44" s="58" t="s">
        <v>69</v>
      </c>
      <c r="C44" s="26"/>
      <c r="D44" s="26"/>
      <c r="E44" s="26"/>
      <c r="F44" s="26"/>
      <c r="G44" s="26"/>
      <c r="H44" s="26">
        <f>H43/C43-1</f>
        <v>0.204715969989282</v>
      </c>
      <c r="I44" s="26">
        <f>I43/D43-1</f>
        <v>0.2268907563025211</v>
      </c>
      <c r="J44" s="60">
        <f>J43/E43-1</f>
        <v>0.17185934630921773</v>
      </c>
    </row>
    <row r="45">
      <c r="B45" s="50" t="s">
        <v>119</v>
      </c>
      <c r="C45" s="3"/>
      <c r="D45" s="3">
        <f>D43-C43</f>
        <v>452</v>
      </c>
      <c r="E45" s="3">
        <f>E43-D43</f>
        <v>329</v>
      </c>
      <c r="F45" s="3">
        <f>F43-E43</f>
        <v>219</v>
      </c>
      <c r="G45" s="3"/>
      <c r="H45" s="3">
        <f>H43-F43</f>
        <v>-45</v>
      </c>
      <c r="I45" s="3">
        <f>I43-H43</f>
        <v>658</v>
      </c>
      <c r="J45" s="57">
        <f>J43-I43</f>
        <v>103.94599999999991</v>
      </c>
    </row>
    <row r="46">
      <c r="B46" s="50" t="s">
        <v>223</v>
      </c>
      <c r="C46" s="46">
        <v>4665</v>
      </c>
      <c r="D46" s="46">
        <v>5117</v>
      </c>
      <c r="E46" s="46">
        <v>5446</v>
      </c>
      <c r="F46" s="46">
        <v>5665</v>
      </c>
      <c r="G46" s="3">
        <f>F46</f>
        <v>5665</v>
      </c>
      <c r="H46" s="46">
        <v>5620</v>
      </c>
      <c r="I46" s="46">
        <v>6278</v>
      </c>
      <c r="J46" s="57" t="s">
        <v>72</v>
      </c>
    </row>
    <row r="47" ht="24">
      <c r="B47" s="17" t="s">
        <v>224</v>
      </c>
      <c r="C47" s="5">
        <f>C43-C46</f>
        <v>0</v>
      </c>
      <c r="D47" s="5">
        <f>D43-D46</f>
        <v>0</v>
      </c>
      <c r="E47" s="5">
        <f>E43-E46</f>
        <v>0</v>
      </c>
      <c r="F47" s="5">
        <f>F43-F46</f>
        <v>0</v>
      </c>
      <c r="G47" s="5">
        <f>G43-G46</f>
        <v>0</v>
      </c>
      <c r="H47" s="5">
        <f>H43-H46</f>
        <v>0</v>
      </c>
      <c r="I47" s="5">
        <f>I43-I46</f>
        <v>0</v>
      </c>
      <c r="J47" s="64"/>
    </row>
    <row r="48" ht="24">
      <c r="B48" s="6" t="s">
        <v>225</v>
      </c>
      <c r="C48" s="25">
        <f>AVERAGE(C10,C43)</f>
        <v>4690</v>
      </c>
      <c r="D48" s="25">
        <f>AVERAGE(D10,D43)</f>
        <v>4891</v>
      </c>
      <c r="E48" s="25">
        <f>AVERAGE(E10,E43)</f>
        <v>5281.5</v>
      </c>
      <c r="F48" s="25">
        <f>AVERAGE(F10,F43)</f>
        <v>5555.5</v>
      </c>
      <c r="G48" s="25">
        <f>AVERAGE(C48:F48)</f>
        <v>5104.5</v>
      </c>
      <c r="H48" s="25">
        <f>AVERAGE(H10,H43)</f>
        <v>5642.5</v>
      </c>
      <c r="I48" s="25">
        <f>AVERAGE(I10,I43)</f>
        <v>5949</v>
      </c>
      <c r="J48" s="86">
        <f>AVERAGE(J10,J43)</f>
        <v>6329.973</v>
      </c>
    </row>
    <row r="49">
      <c r="B49" s="58" t="s">
        <v>69</v>
      </c>
      <c r="C49" s="26"/>
      <c r="D49" s="26"/>
      <c r="E49" s="26"/>
      <c r="F49" s="26"/>
      <c r="G49" s="26"/>
      <c r="H49" s="26">
        <f>H48/C48-1</f>
        <v>0.20309168443496795</v>
      </c>
      <c r="I49" s="26">
        <f>I48/D48-1</f>
        <v>0.21631568186464945</v>
      </c>
      <c r="J49" s="60">
        <f>J48/E48-1</f>
        <v>0.19851803464924744</v>
      </c>
    </row>
    <row r="50">
      <c r="B50" s="50" t="s">
        <v>119</v>
      </c>
      <c r="C50" s="3"/>
      <c r="D50" s="3">
        <f>D48-C48</f>
        <v>201</v>
      </c>
      <c r="E50" s="3">
        <f>E48-D48</f>
        <v>390.5</v>
      </c>
      <c r="F50" s="3">
        <f>F48-E48</f>
        <v>274</v>
      </c>
      <c r="G50" s="3"/>
      <c r="H50" s="3">
        <f>H48-F48</f>
        <v>87</v>
      </c>
      <c r="I50" s="3">
        <f>I48-H48</f>
        <v>306.5</v>
      </c>
      <c r="J50" s="57">
        <f>J48-I48</f>
        <v>380.97299999999996</v>
      </c>
    </row>
    <row r="51">
      <c r="B51" s="19" t="s">
        <v>226</v>
      </c>
      <c r="C51" s="49"/>
      <c r="D51" s="49"/>
      <c r="E51" s="49"/>
      <c r="F51" s="49"/>
      <c r="G51" s="49"/>
      <c r="H51" s="49"/>
      <c r="I51" s="49"/>
      <c r="J51" s="62"/>
    </row>
    <row r="52">
      <c r="B52" s="50" t="s">
        <v>227</v>
      </c>
      <c r="C52" s="46">
        <v>2901</v>
      </c>
      <c r="D52" s="46">
        <v>3218</v>
      </c>
      <c r="E52" s="46">
        <v>3465</v>
      </c>
      <c r="F52" s="46">
        <v>3589</v>
      </c>
      <c r="G52" s="3">
        <f>F52</f>
        <v>3589</v>
      </c>
      <c r="H52" s="46">
        <v>3496</v>
      </c>
      <c r="I52" s="46">
        <v>4051</v>
      </c>
      <c r="J52" s="57">
        <f>J43*I52/I43</f>
        <v>4118.0731516406495</v>
      </c>
    </row>
    <row r="53">
      <c r="B53" s="58" t="s">
        <v>69</v>
      </c>
      <c r="C53" s="26"/>
      <c r="D53" s="26"/>
      <c r="E53" s="26"/>
      <c r="F53" s="26"/>
      <c r="G53" s="26"/>
      <c r="H53" s="26">
        <f>H52/C52-1</f>
        <v>0.20510168907273352</v>
      </c>
      <c r="I53" s="26">
        <f>I52/D52-1</f>
        <v>0.2588564325668117</v>
      </c>
      <c r="J53" s="60">
        <f>J52/E52-1</f>
        <v>0.18847710004059137</v>
      </c>
    </row>
    <row r="54">
      <c r="B54" s="50" t="s">
        <v>119</v>
      </c>
      <c r="C54" s="3"/>
      <c r="D54" s="3">
        <f>D52-C52</f>
        <v>317</v>
      </c>
      <c r="E54" s="3">
        <f>E52-D52</f>
        <v>247</v>
      </c>
      <c r="F54" s="3">
        <f>F52-E52</f>
        <v>124</v>
      </c>
      <c r="G54" s="3"/>
      <c r="H54" s="3">
        <f>H52-F52</f>
        <v>-93</v>
      </c>
      <c r="I54" s="3">
        <f>I52-H52</f>
        <v>555</v>
      </c>
      <c r="J54" s="57">
        <f>J52-I52</f>
        <v>67.07315164064948</v>
      </c>
    </row>
    <row r="55">
      <c r="B55" s="50" t="s">
        <v>131</v>
      </c>
      <c r="C55" s="46">
        <v>633</v>
      </c>
      <c r="D55" s="46">
        <v>700</v>
      </c>
      <c r="E55" s="46">
        <v>720</v>
      </c>
      <c r="F55" s="46">
        <v>734</v>
      </c>
      <c r="G55" s="3">
        <f>F55</f>
        <v>734</v>
      </c>
      <c r="H55" s="46">
        <v>756</v>
      </c>
      <c r="I55" s="46">
        <v>776</v>
      </c>
      <c r="J55" s="57">
        <f>J43*I55/I43</f>
        <v>788.8483746416056</v>
      </c>
    </row>
    <row r="56">
      <c r="B56" s="58" t="s">
        <v>69</v>
      </c>
      <c r="C56" s="26"/>
      <c r="D56" s="26"/>
      <c r="E56" s="26"/>
      <c r="F56" s="26"/>
      <c r="G56" s="26"/>
      <c r="H56" s="26">
        <f>H55/C55-1</f>
        <v>0.1943127962085307</v>
      </c>
      <c r="I56" s="26">
        <f>I55/D55-1</f>
        <v>0.10857142857142854</v>
      </c>
      <c r="J56" s="60">
        <f>J55/E55-1</f>
        <v>0.09562274255778558</v>
      </c>
    </row>
    <row r="57">
      <c r="B57" s="50" t="s">
        <v>119</v>
      </c>
      <c r="C57" s="3"/>
      <c r="D57" s="3">
        <f>D55-C55</f>
        <v>67</v>
      </c>
      <c r="E57" s="3">
        <f>E55-D55</f>
        <v>20</v>
      </c>
      <c r="F57" s="3">
        <f>F55-E55</f>
        <v>14</v>
      </c>
      <c r="G57" s="3"/>
      <c r="H57" s="3">
        <f>H55-F55</f>
        <v>22</v>
      </c>
      <c r="I57" s="3">
        <f>I55-H55</f>
        <v>20</v>
      </c>
      <c r="J57" s="57">
        <f>J55-I55</f>
        <v>12.848374641605574</v>
      </c>
    </row>
    <row r="58">
      <c r="B58" s="50" t="s">
        <v>215</v>
      </c>
      <c r="C58" s="46">
        <v>518</v>
      </c>
      <c r="D58" s="46">
        <v>525</v>
      </c>
      <c r="E58" s="46">
        <v>540</v>
      </c>
      <c r="F58" s="46">
        <v>570</v>
      </c>
      <c r="G58" s="3">
        <f>F58</f>
        <v>570</v>
      </c>
      <c r="H58" s="46">
        <v>581</v>
      </c>
      <c r="I58" s="46">
        <v>621</v>
      </c>
      <c r="J58" s="57">
        <f>J43*I58/I43</f>
        <v>631.2820111500478</v>
      </c>
    </row>
    <row r="59">
      <c r="B59" s="58" t="s">
        <v>69</v>
      </c>
      <c r="C59" s="26"/>
      <c r="D59" s="26"/>
      <c r="E59" s="26"/>
      <c r="F59" s="26"/>
      <c r="G59" s="26"/>
      <c r="H59" s="26">
        <f>H58/C58-1</f>
        <v>0.12162162162162171</v>
      </c>
      <c r="I59" s="26">
        <f>I58/D58-1</f>
        <v>0.18285714285714283</v>
      </c>
      <c r="J59" s="60">
        <f>J58/E58-1</f>
        <v>0.16904076138897728</v>
      </c>
    </row>
    <row r="60">
      <c r="B60" s="50" t="s">
        <v>119</v>
      </c>
      <c r="C60" s="3"/>
      <c r="D60" s="3">
        <f>D58-C58</f>
        <v>7</v>
      </c>
      <c r="E60" s="3">
        <f>E58-D58</f>
        <v>15</v>
      </c>
      <c r="F60" s="3">
        <f>F58-E58</f>
        <v>30</v>
      </c>
      <c r="G60" s="3"/>
      <c r="H60" s="3">
        <f>H58-F58</f>
        <v>11</v>
      </c>
      <c r="I60" s="3">
        <f>I58-H58</f>
        <v>40</v>
      </c>
      <c r="J60" s="57">
        <f>J58-I58</f>
        <v>10.282011150047765</v>
      </c>
    </row>
    <row r="61">
      <c r="B61" s="50" t="s">
        <v>228</v>
      </c>
      <c r="C61" s="46">
        <v>390</v>
      </c>
      <c r="D61" s="46">
        <v>449</v>
      </c>
      <c r="E61" s="46">
        <v>477</v>
      </c>
      <c r="F61" s="46">
        <v>501</v>
      </c>
      <c r="G61" s="3">
        <f>F61</f>
        <v>501</v>
      </c>
      <c r="H61" s="46">
        <v>503</v>
      </c>
      <c r="I61" s="46">
        <v>567</v>
      </c>
      <c r="J61" s="57">
        <f>J43*I61/I43</f>
        <v>576.3879232239566</v>
      </c>
    </row>
    <row r="62">
      <c r="B62" s="58" t="s">
        <v>69</v>
      </c>
      <c r="C62" s="26"/>
      <c r="D62" s="26"/>
      <c r="E62" s="26"/>
      <c r="F62" s="26"/>
      <c r="G62" s="26"/>
      <c r="H62" s="26">
        <f>H61/C61-1</f>
        <v>0.2897435897435898</v>
      </c>
      <c r="I62" s="26">
        <f>I61/D61-1</f>
        <v>0.26280623608017817</v>
      </c>
      <c r="J62" s="60">
        <f>J61/E61-1</f>
        <v>0.20836042604603056</v>
      </c>
    </row>
    <row r="63">
      <c r="B63" s="50" t="s">
        <v>119</v>
      </c>
      <c r="C63" s="3"/>
      <c r="D63" s="3">
        <f>D61-C61</f>
        <v>59</v>
      </c>
      <c r="E63" s="3">
        <f>E61-D61</f>
        <v>28</v>
      </c>
      <c r="F63" s="3">
        <f>F61-E61</f>
        <v>24</v>
      </c>
      <c r="G63" s="3"/>
      <c r="H63" s="3">
        <f>H61-F61</f>
        <v>2</v>
      </c>
      <c r="I63" s="3">
        <f>I61-H61</f>
        <v>64</v>
      </c>
      <c r="J63" s="57">
        <f>J61-I61</f>
        <v>9.38792322395659</v>
      </c>
    </row>
    <row r="64">
      <c r="B64" s="50" t="s">
        <v>229</v>
      </c>
      <c r="C64" s="46">
        <v>223</v>
      </c>
      <c r="D64" s="46">
        <v>225</v>
      </c>
      <c r="E64" s="46">
        <v>244</v>
      </c>
      <c r="F64" s="46">
        <v>271</v>
      </c>
      <c r="G64" s="3">
        <f>F64</f>
        <v>271</v>
      </c>
      <c r="H64" s="46">
        <v>284</v>
      </c>
      <c r="I64" s="46">
        <v>263</v>
      </c>
      <c r="J64" s="57">
        <f>J43*I64/I43</f>
        <v>267.35453934374004</v>
      </c>
    </row>
    <row r="65">
      <c r="B65" s="58" t="s">
        <v>69</v>
      </c>
      <c r="C65" s="26"/>
      <c r="D65" s="26"/>
      <c r="E65" s="26"/>
      <c r="F65" s="26"/>
      <c r="G65" s="26"/>
      <c r="H65" s="26">
        <f>H64/C64-1</f>
        <v>0.2735426008968609</v>
      </c>
      <c r="I65" s="26">
        <f>I64/D64-1</f>
        <v>0.16888888888888887</v>
      </c>
      <c r="J65" s="60">
        <f>J64/E64-1</f>
        <v>0.0957153251792624</v>
      </c>
    </row>
    <row r="66">
      <c r="B66" s="50" t="s">
        <v>119</v>
      </c>
      <c r="C66" s="3"/>
      <c r="D66" s="3">
        <f>D64-C64</f>
        <v>2</v>
      </c>
      <c r="E66" s="3">
        <f>E64-D64</f>
        <v>19</v>
      </c>
      <c r="F66" s="3">
        <f>F64-E64</f>
        <v>27</v>
      </c>
      <c r="G66" s="3"/>
      <c r="H66" s="3">
        <f>H64-F64</f>
        <v>13</v>
      </c>
      <c r="I66" s="3">
        <f>I64-H64</f>
        <v>-21</v>
      </c>
      <c r="J66" s="57">
        <f>J64-I64</f>
        <v>4.3545393437400435</v>
      </c>
    </row>
    <row r="67">
      <c r="B67" s="19" t="s">
        <v>230</v>
      </c>
      <c r="C67" s="38">
        <f>SUM(C52,C55,C58,C61,C64)</f>
        <v>4665</v>
      </c>
      <c r="D67" s="38">
        <f>SUM(D52,D55,D58,D61,D64)</f>
        <v>5117</v>
      </c>
      <c r="E67" s="38">
        <f>SUM(E52,E55,E58,E61,E64)</f>
        <v>5446</v>
      </c>
      <c r="F67" s="38">
        <f>SUM(F52,F55,F58,F61,F64)</f>
        <v>5665</v>
      </c>
      <c r="G67" s="38">
        <f>SUM(G52,G55,G58,G61,G64)</f>
        <v>5665</v>
      </c>
      <c r="H67" s="38">
        <f>SUM(H52,H55,H58,H61,H64)</f>
        <v>5620</v>
      </c>
      <c r="I67" s="38">
        <f>SUM(I52,I55,I58,I61,I64)</f>
        <v>6278</v>
      </c>
      <c r="J67" s="63">
        <f>SUM(J52,J55,J58,J61,J64)</f>
        <v>6381.946</v>
      </c>
    </row>
    <row r="68" ht="35.25">
      <c r="B68" s="17" t="s">
        <v>231</v>
      </c>
      <c r="C68" s="5">
        <f>C67-C43</f>
        <v>0</v>
      </c>
      <c r="D68" s="5">
        <f>D67-D43</f>
        <v>0</v>
      </c>
      <c r="E68" s="5">
        <f>E67-E43</f>
        <v>0</v>
      </c>
      <c r="F68" s="5">
        <f>F67-F43</f>
        <v>0</v>
      </c>
      <c r="G68" s="5">
        <f>G67-G43</f>
        <v>0</v>
      </c>
      <c r="H68" s="5">
        <f>H67-H43</f>
        <v>0</v>
      </c>
      <c r="I68" s="5">
        <f>I67-I43</f>
        <v>0</v>
      </c>
      <c r="J68" s="64">
        <f>J67-J43</f>
        <v>0</v>
      </c>
    </row>
    <row r="69">
      <c r="B69" s="19" t="s">
        <v>232</v>
      </c>
      <c r="C69" s="49"/>
      <c r="D69" s="49"/>
      <c r="E69" s="49"/>
      <c r="F69" s="49"/>
      <c r="G69" s="49"/>
      <c r="H69" s="49"/>
      <c r="I69" s="49"/>
      <c r="J69" s="62"/>
    </row>
    <row r="70">
      <c r="B70" s="50" t="s">
        <v>233</v>
      </c>
      <c r="C70" s="46">
        <v>1554</v>
      </c>
      <c r="D70" s="46">
        <v>1690</v>
      </c>
      <c r="E70" s="46">
        <v>1848</v>
      </c>
      <c r="F70" s="46">
        <v>1951</v>
      </c>
      <c r="G70" s="3">
        <f>F70</f>
        <v>1951</v>
      </c>
      <c r="H70" s="46">
        <v>1940</v>
      </c>
      <c r="I70" s="46">
        <v>2204</v>
      </c>
      <c r="J70" s="57">
        <f>J43*I70/I43</f>
        <v>2240.49203313157</v>
      </c>
    </row>
    <row r="71">
      <c r="B71" s="58" t="s">
        <v>69</v>
      </c>
      <c r="C71" s="26"/>
      <c r="D71" s="26"/>
      <c r="E71" s="26"/>
      <c r="F71" s="26"/>
      <c r="G71" s="26"/>
      <c r="H71" s="26">
        <f>H70/C70-1</f>
        <v>0.2483912483912485</v>
      </c>
      <c r="I71" s="26">
        <f>I70/D70-1</f>
        <v>0.30414201183431944</v>
      </c>
      <c r="J71" s="60">
        <f>J70/E70-1</f>
        <v>0.21238746381578477</v>
      </c>
    </row>
    <row r="72">
      <c r="B72" s="50" t="s">
        <v>119</v>
      </c>
      <c r="C72" s="3"/>
      <c r="D72" s="3">
        <f>D70-C70</f>
        <v>136</v>
      </c>
      <c r="E72" s="3">
        <f>E70-D70</f>
        <v>158</v>
      </c>
      <c r="F72" s="3">
        <f>F70-E70</f>
        <v>103</v>
      </c>
      <c r="G72" s="3"/>
      <c r="H72" s="3">
        <f>H70-F70</f>
        <v>-11</v>
      </c>
      <c r="I72" s="3">
        <f>I70-H70</f>
        <v>264</v>
      </c>
      <c r="J72" s="57">
        <f>J70-I70</f>
        <v>36.492033131570224</v>
      </c>
    </row>
    <row r="73">
      <c r="B73" s="50" t="s">
        <v>234</v>
      </c>
      <c r="C73" s="46">
        <v>1776</v>
      </c>
      <c r="D73" s="46">
        <v>1985</v>
      </c>
      <c r="E73" s="46">
        <v>2074</v>
      </c>
      <c r="F73" s="46">
        <v>2127</v>
      </c>
      <c r="G73" s="3">
        <f>F73</f>
        <v>2127</v>
      </c>
      <c r="H73" s="46">
        <v>2120</v>
      </c>
      <c r="I73" s="46">
        <v>2340</v>
      </c>
      <c r="J73" s="57">
        <f>J43*I73/I43</f>
        <v>2378.7438101306147</v>
      </c>
    </row>
    <row r="74">
      <c r="B74" s="58" t="s">
        <v>69</v>
      </c>
      <c r="C74" s="26"/>
      <c r="D74" s="26"/>
      <c r="E74" s="26"/>
      <c r="F74" s="26"/>
      <c r="G74" s="26"/>
      <c r="H74" s="26">
        <f>H73/C73-1</f>
        <v>0.1936936936936937</v>
      </c>
      <c r="I74" s="26">
        <f>I73/D73-1</f>
        <v>0.17884130982367763</v>
      </c>
      <c r="J74" s="60">
        <f>J73/E73-1</f>
        <v>0.14693529900222502</v>
      </c>
    </row>
    <row r="75">
      <c r="B75" s="50" t="s">
        <v>119</v>
      </c>
      <c r="C75" s="3"/>
      <c r="D75" s="3">
        <f>D73-C73</f>
        <v>209</v>
      </c>
      <c r="E75" s="3">
        <f>E73-D73</f>
        <v>89</v>
      </c>
      <c r="F75" s="3">
        <f>F73-E73</f>
        <v>53</v>
      </c>
      <c r="G75" s="3"/>
      <c r="H75" s="3">
        <f>H73-F73</f>
        <v>-7</v>
      </c>
      <c r="I75" s="3">
        <f>I73-H73</f>
        <v>220</v>
      </c>
      <c r="J75" s="57">
        <f>J73-I73</f>
        <v>38.74381013061475</v>
      </c>
    </row>
    <row r="76">
      <c r="B76" s="50" t="s">
        <v>235</v>
      </c>
      <c r="C76" s="46">
        <v>1335</v>
      </c>
      <c r="D76" s="46">
        <v>1442</v>
      </c>
      <c r="E76" s="46">
        <v>1524</v>
      </c>
      <c r="F76" s="46">
        <v>1587</v>
      </c>
      <c r="G76" s="3">
        <f>F76</f>
        <v>1587</v>
      </c>
      <c r="H76" s="46">
        <v>1560</v>
      </c>
      <c r="I76" s="46">
        <v>1734</v>
      </c>
      <c r="J76" s="57">
        <f>J43*I76/I43</f>
        <v>1762.7101567378147</v>
      </c>
    </row>
    <row r="77">
      <c r="B77" s="58" t="s">
        <v>69</v>
      </c>
      <c r="C77" s="26"/>
      <c r="D77" s="26"/>
      <c r="E77" s="26"/>
      <c r="F77" s="26"/>
      <c r="G77" s="26"/>
      <c r="H77" s="26">
        <f>H76/C76-1</f>
        <v>0.1685393258426966</v>
      </c>
      <c r="I77" s="26">
        <f>I76/D76-1</f>
        <v>0.20249653259361988</v>
      </c>
      <c r="J77" s="60">
        <f>J76/E76-1</f>
        <v>0.1566339611140517</v>
      </c>
    </row>
    <row r="78">
      <c r="B78" s="50" t="s">
        <v>119</v>
      </c>
      <c r="C78" s="3"/>
      <c r="D78" s="3">
        <f>D76-C76</f>
        <v>107</v>
      </c>
      <c r="E78" s="3">
        <f>E76-D76</f>
        <v>82</v>
      </c>
      <c r="F78" s="3">
        <f>F76-E76</f>
        <v>63</v>
      </c>
      <c r="G78" s="3"/>
      <c r="H78" s="3">
        <f>H76-F76</f>
        <v>-27</v>
      </c>
      <c r="I78" s="3">
        <f>I76-H76</f>
        <v>174</v>
      </c>
      <c r="J78" s="57">
        <f>J76-I76</f>
        <v>28.710156737814714</v>
      </c>
    </row>
    <row r="79">
      <c r="B79" s="19" t="s">
        <v>236</v>
      </c>
      <c r="C79" s="38">
        <f>SUM(C70,C73,C76)</f>
        <v>4665</v>
      </c>
      <c r="D79" s="38">
        <f>SUM(D70,D73,D76)</f>
        <v>5117</v>
      </c>
      <c r="E79" s="38">
        <f>SUM(E70,E73,E76)</f>
        <v>5446</v>
      </c>
      <c r="F79" s="38">
        <f>SUM(F70,F73,F76)</f>
        <v>5665</v>
      </c>
      <c r="G79" s="38">
        <f>SUM(G70,G73,G76)</f>
        <v>5665</v>
      </c>
      <c r="H79" s="38">
        <f>SUM(H70,H73,H76)</f>
        <v>5620</v>
      </c>
      <c r="I79" s="38">
        <f>SUM(I70,I73,I76)</f>
        <v>6278</v>
      </c>
      <c r="J79" s="63">
        <f>SUM(J70,J73,J76)</f>
        <v>6381.946</v>
      </c>
    </row>
    <row r="80" ht="35.25">
      <c r="B80" s="17" t="s">
        <v>237</v>
      </c>
      <c r="C80" s="5">
        <f>C79-C43</f>
        <v>0</v>
      </c>
      <c r="D80" s="5">
        <f>D79-D43</f>
        <v>0</v>
      </c>
      <c r="E80" s="5">
        <f>E79-E43</f>
        <v>0</v>
      </c>
      <c r="F80" s="5">
        <f>F79-F43</f>
        <v>0</v>
      </c>
      <c r="G80" s="5">
        <f>G79-G43</f>
        <v>0</v>
      </c>
      <c r="H80" s="5">
        <f>H79-H43</f>
        <v>0</v>
      </c>
      <c r="I80" s="5">
        <f>I79-I43</f>
        <v>0</v>
      </c>
      <c r="J80" s="64">
        <f>J79-J43</f>
        <v>0</v>
      </c>
    </row>
    <row r="81">
      <c r="B81" s="19" t="s">
        <v>238</v>
      </c>
      <c r="C81" s="49"/>
      <c r="D81" s="49"/>
      <c r="E81" s="49"/>
      <c r="F81" s="49"/>
      <c r="G81" s="49"/>
      <c r="H81" s="49"/>
      <c r="I81" s="49"/>
      <c r="J81" s="62"/>
    </row>
    <row r="82">
      <c r="B82" s="50" t="s">
        <v>211</v>
      </c>
      <c r="C82" s="46">
        <v>1541</v>
      </c>
      <c r="D82" s="46">
        <v>1677</v>
      </c>
      <c r="E82" s="46">
        <v>1834</v>
      </c>
      <c r="F82" s="46">
        <v>1936</v>
      </c>
      <c r="G82" s="3">
        <f>F82</f>
        <v>1936</v>
      </c>
      <c r="H82" s="46">
        <v>1926</v>
      </c>
      <c r="I82" s="46">
        <v>2188</v>
      </c>
      <c r="J82" s="57">
        <f>J43*I82/I43</f>
        <v>2224.2271181905066</v>
      </c>
    </row>
    <row r="83">
      <c r="B83" s="58" t="s">
        <v>69</v>
      </c>
      <c r="C83" s="26"/>
      <c r="D83" s="26"/>
      <c r="E83" s="26"/>
      <c r="F83" s="26"/>
      <c r="G83" s="26"/>
      <c r="H83" s="26">
        <f>H82/C82-1</f>
        <v>0.24983776768332255</v>
      </c>
      <c r="I83" s="26">
        <f>I82/D82-1</f>
        <v>0.30471079308288607</v>
      </c>
      <c r="J83" s="60">
        <f>J82/E82-1</f>
        <v>0.21277378309187922</v>
      </c>
    </row>
    <row r="84">
      <c r="B84" s="50" t="s">
        <v>119</v>
      </c>
      <c r="C84" s="3"/>
      <c r="D84" s="3">
        <f>D82-C82</f>
        <v>136</v>
      </c>
      <c r="E84" s="3">
        <f>E82-D82</f>
        <v>157</v>
      </c>
      <c r="F84" s="3">
        <f>F82-E82</f>
        <v>102</v>
      </c>
      <c r="G84" s="3"/>
      <c r="H84" s="3">
        <f>H82-F82</f>
        <v>-10</v>
      </c>
      <c r="I84" s="3">
        <f>I82-H82</f>
        <v>262</v>
      </c>
      <c r="J84" s="57">
        <f>J82-I82</f>
        <v>36.227118190506644</v>
      </c>
    </row>
    <row r="85">
      <c r="B85" s="50" t="s">
        <v>212</v>
      </c>
      <c r="C85" s="46">
        <v>2424</v>
      </c>
      <c r="D85" s="46">
        <v>2737</v>
      </c>
      <c r="E85" s="46">
        <v>2896</v>
      </c>
      <c r="F85" s="46">
        <v>2986</v>
      </c>
      <c r="G85" s="3">
        <f>F85</f>
        <v>2986</v>
      </c>
      <c r="H85" s="46">
        <v>2938</v>
      </c>
      <c r="I85" s="46">
        <v>3279</v>
      </c>
      <c r="J85" s="57">
        <f>J43*I85/I43</f>
        <v>3333.29100573431</v>
      </c>
    </row>
    <row r="86">
      <c r="B86" s="58" t="s">
        <v>69</v>
      </c>
      <c r="C86" s="26"/>
      <c r="D86" s="26"/>
      <c r="E86" s="26"/>
      <c r="F86" s="26"/>
      <c r="G86" s="26"/>
      <c r="H86" s="26">
        <f>H85/C85-1</f>
        <v>0.2120462046204621</v>
      </c>
      <c r="I86" s="26">
        <f>I85/D85-1</f>
        <v>0.1980270369017172</v>
      </c>
      <c r="J86" s="60">
        <f>J85/E85-1</f>
        <v>0.1509982754607424</v>
      </c>
    </row>
    <row r="87">
      <c r="B87" s="50" t="s">
        <v>119</v>
      </c>
      <c r="C87" s="3"/>
      <c r="D87" s="3">
        <f>D85-C85</f>
        <v>313</v>
      </c>
      <c r="E87" s="3">
        <f>E85-D85</f>
        <v>159</v>
      </c>
      <c r="F87" s="3">
        <f>F85-E85</f>
        <v>90</v>
      </c>
      <c r="G87" s="3"/>
      <c r="H87" s="3">
        <f>H85-F85</f>
        <v>-48</v>
      </c>
      <c r="I87" s="3">
        <f>I85-H85</f>
        <v>341</v>
      </c>
      <c r="J87" s="57">
        <f>J85-I85</f>
        <v>54.29100573431015</v>
      </c>
    </row>
    <row r="88">
      <c r="B88" s="50" t="s">
        <v>214</v>
      </c>
      <c r="C88" s="46">
        <v>182</v>
      </c>
      <c r="D88" s="46">
        <v>178</v>
      </c>
      <c r="E88" s="46">
        <v>176</v>
      </c>
      <c r="F88" s="46">
        <v>173</v>
      </c>
      <c r="G88" s="3">
        <f>F88</f>
        <v>173</v>
      </c>
      <c r="H88" s="46">
        <v>175</v>
      </c>
      <c r="I88" s="46">
        <v>190</v>
      </c>
      <c r="J88" s="57">
        <f>J43*I88/I43</f>
        <v>193.14586492513538</v>
      </c>
    </row>
    <row r="89">
      <c r="B89" s="58" t="s">
        <v>69</v>
      </c>
      <c r="C89" s="26"/>
      <c r="D89" s="26"/>
      <c r="E89" s="26"/>
      <c r="F89" s="26"/>
      <c r="G89" s="26"/>
      <c r="H89" s="26">
        <f>H88/C88-1</f>
        <v>-0.038461538461538436</v>
      </c>
      <c r="I89" s="26">
        <f>I88/D88-1</f>
        <v>0.0674157303370786</v>
      </c>
      <c r="J89" s="60">
        <f>J88/E88-1</f>
        <v>0.09741968707463289</v>
      </c>
    </row>
    <row r="90">
      <c r="B90" s="50" t="s">
        <v>119</v>
      </c>
      <c r="C90" s="3"/>
      <c r="D90" s="3">
        <f>D88-C88</f>
        <v>-4</v>
      </c>
      <c r="E90" s="3">
        <f>E88-D88</f>
        <v>-2</v>
      </c>
      <c r="F90" s="3">
        <f>F88-E88</f>
        <v>-3</v>
      </c>
      <c r="G90" s="3"/>
      <c r="H90" s="3">
        <f>H88-F88</f>
        <v>2</v>
      </c>
      <c r="I90" s="3">
        <f>I88-H88</f>
        <v>15</v>
      </c>
      <c r="J90" s="57">
        <f>J88-I88</f>
        <v>3.1458649251353847</v>
      </c>
    </row>
    <row r="91">
      <c r="B91" s="50" t="s">
        <v>215</v>
      </c>
      <c r="C91" s="3">
        <f>C58</f>
        <v>518</v>
      </c>
      <c r="D91" s="3">
        <f>D58</f>
        <v>525</v>
      </c>
      <c r="E91" s="3">
        <f>E58</f>
        <v>540</v>
      </c>
      <c r="F91" s="3">
        <f>F58</f>
        <v>570</v>
      </c>
      <c r="G91" s="3">
        <f>G58</f>
        <v>570</v>
      </c>
      <c r="H91" s="3">
        <f>H58</f>
        <v>581</v>
      </c>
      <c r="I91" s="3">
        <f>I58</f>
        <v>621</v>
      </c>
      <c r="J91" s="57">
        <f>J58</f>
        <v>631.2820111500478</v>
      </c>
    </row>
    <row r="92">
      <c r="B92" s="58" t="s">
        <v>69</v>
      </c>
      <c r="C92" s="26"/>
      <c r="D92" s="26"/>
      <c r="E92" s="26"/>
      <c r="F92" s="26"/>
      <c r="G92" s="26"/>
      <c r="H92" s="26">
        <f>H91/C91-1</f>
        <v>0.12162162162162171</v>
      </c>
      <c r="I92" s="26">
        <f>I91/D91-1</f>
        <v>0.18285714285714283</v>
      </c>
      <c r="J92" s="60">
        <f>J91/E91-1</f>
        <v>0.16904076138897728</v>
      </c>
    </row>
    <row r="93">
      <c r="B93" s="50" t="s">
        <v>119</v>
      </c>
      <c r="C93" s="3"/>
      <c r="D93" s="3">
        <f>D91-C91</f>
        <v>7</v>
      </c>
      <c r="E93" s="3">
        <f>E91-D91</f>
        <v>15</v>
      </c>
      <c r="F93" s="3">
        <f>F91-E91</f>
        <v>30</v>
      </c>
      <c r="G93" s="3"/>
      <c r="H93" s="3">
        <f>H91-F91</f>
        <v>11</v>
      </c>
      <c r="I93" s="3">
        <f>I91-H91</f>
        <v>40</v>
      </c>
      <c r="J93" s="57">
        <f>J91-I91</f>
        <v>10.282011150047765</v>
      </c>
    </row>
    <row r="94">
      <c r="B94" s="19" t="s">
        <v>239</v>
      </c>
      <c r="C94" s="38">
        <f>SUM(C82,C85,C88,C91)</f>
        <v>4665</v>
      </c>
      <c r="D94" s="38">
        <f>SUM(D82,D85,D88,D91)</f>
        <v>5117</v>
      </c>
      <c r="E94" s="38">
        <f>SUM(E82,E85,E88,E91)</f>
        <v>5446</v>
      </c>
      <c r="F94" s="38">
        <f>SUM(F82,F85,F88,F91)</f>
        <v>5665</v>
      </c>
      <c r="G94" s="38">
        <f>SUM(G82,G85,G88,G91)</f>
        <v>5665</v>
      </c>
      <c r="H94" s="38">
        <f>SUM(H82,H85,H88,H91)</f>
        <v>5620</v>
      </c>
      <c r="I94" s="38">
        <f>SUM(I82,I85,I88,I91)</f>
        <v>6278</v>
      </c>
      <c r="J94" s="63">
        <f>SUM(J82,J85,J88,J91)</f>
        <v>6381.946</v>
      </c>
    </row>
    <row r="95" ht="35.25">
      <c r="B95" s="17" t="s">
        <v>240</v>
      </c>
      <c r="C95" s="5">
        <f>C94-C43</f>
        <v>0</v>
      </c>
      <c r="D95" s="5">
        <f>D94-D43</f>
        <v>0</v>
      </c>
      <c r="E95" s="5">
        <f>E94-E43</f>
        <v>0</v>
      </c>
      <c r="F95" s="5">
        <f>F94-F43</f>
        <v>0</v>
      </c>
      <c r="G95" s="5">
        <f>G94-G43</f>
        <v>0</v>
      </c>
      <c r="H95" s="5">
        <f>H94-H43</f>
        <v>0</v>
      </c>
      <c r="I95" s="5">
        <f>I94-I43</f>
        <v>0</v>
      </c>
      <c r="J95" s="64">
        <f>J94-J43</f>
        <v>0</v>
      </c>
    </row>
    <row r="96">
      <c r="B96" s="2"/>
      <c r="C96" s="2"/>
      <c r="D96" s="2"/>
      <c r="E96" s="2"/>
      <c r="F96" s="2"/>
      <c r="G96" s="2"/>
      <c r="H96" s="2"/>
      <c r="I96" s="2"/>
      <c r="J96" s="2"/>
    </row>
    <row r="97">
      <c r="B97" s="19" t="s">
        <v>241</v>
      </c>
      <c r="C97" s="2"/>
      <c r="D97" s="2"/>
      <c r="E97" s="2"/>
      <c r="F97" s="2"/>
      <c r="G97" s="2"/>
      <c r="H97" s="2"/>
      <c r="I97" s="2"/>
      <c r="J97" s="2"/>
    </row>
    <row r="98" ht="24">
      <c r="B98" s="6" t="s">
        <v>242</v>
      </c>
      <c r="C98" s="66">
        <f>C101/(C48*1000)*365/C7*10000</f>
        <v>5.075929874437337</v>
      </c>
      <c r="D98" s="66">
        <f>D101/(D48*1000)*365/D7*10000</f>
        <v>4.9204526816467125</v>
      </c>
      <c r="E98" s="66">
        <f>E101/(E48*1000)*365/E7*10000</f>
        <v>4.987878114336754</v>
      </c>
      <c r="F98" s="66">
        <f>F101/(F48*1000)*365/F7*10000</f>
        <v>5.1203664210555155</v>
      </c>
      <c r="G98" s="66">
        <f>G101/(G48*1000)*365/G7*10000</f>
        <v>5.030855127828387</v>
      </c>
      <c r="H98" s="66">
        <f>H101/(H48*1000)*365/H7*10000</f>
        <v>5.2037611381873665</v>
      </c>
      <c r="I98" s="66">
        <f>I101/(I48*1000)*365/I7*10000</f>
        <v>5.205048775396734</v>
      </c>
      <c r="J98" s="120">
        <v>5.1</v>
      </c>
    </row>
    <row r="99">
      <c r="B99" s="50" t="s">
        <v>116</v>
      </c>
      <c r="C99" s="21"/>
      <c r="D99" s="21">
        <f>D98-C98</f>
        <v>-0.15547719279062466</v>
      </c>
      <c r="E99" s="21">
        <f>E98-D98</f>
        <v>0.0674254326900412</v>
      </c>
      <c r="F99" s="21">
        <f>F98-E98</f>
        <v>0.13248830671876188</v>
      </c>
      <c r="G99" s="21"/>
      <c r="H99" s="21">
        <f>H98-F98</f>
        <v>0.08339471713185098</v>
      </c>
      <c r="I99" s="21">
        <f>I98-H98</f>
        <v>0.0012876372093675315</v>
      </c>
      <c r="J99" s="69">
        <f>J98-I98</f>
        <v>-0.1050487753967344</v>
      </c>
    </row>
    <row r="100">
      <c r="B100" s="50" t="s">
        <v>117</v>
      </c>
      <c r="C100" s="21" t="s">
        <v>46</v>
      </c>
      <c r="D100" s="21" t="s">
        <v>46</v>
      </c>
      <c r="E100" s="21" t="s">
        <v>46</v>
      </c>
      <c r="F100" s="21" t="s">
        <v>46</v>
      </c>
      <c r="G100" s="21" t="s">
        <v>46</v>
      </c>
      <c r="H100" s="21">
        <f>H98-C98</f>
        <v>0.1278312637500294</v>
      </c>
      <c r="I100" s="21">
        <f>I98-D98</f>
        <v>0.2845960937500216</v>
      </c>
      <c r="J100" s="69">
        <f>J98-E98</f>
        <v>0.11212188566324599</v>
      </c>
    </row>
    <row r="101">
      <c r="B101" s="19" t="s">
        <v>96</v>
      </c>
      <c r="C101" s="88">
        <v>587</v>
      </c>
      <c r="D101" s="88">
        <v>600</v>
      </c>
      <c r="E101" s="88">
        <v>664</v>
      </c>
      <c r="F101" s="88">
        <v>717</v>
      </c>
      <c r="G101" s="38">
        <f>SUM(C101:F101)</f>
        <v>2568</v>
      </c>
      <c r="H101" s="88">
        <v>724</v>
      </c>
      <c r="I101" s="88">
        <v>772</v>
      </c>
      <c r="J101" s="63">
        <f>J48*1000*J98/10000*J7/365</f>
        <v>813.7050223561644</v>
      </c>
    </row>
    <row r="102">
      <c r="B102" s="58" t="s">
        <v>70</v>
      </c>
      <c r="C102" s="26"/>
      <c r="D102" s="26">
        <f>D101/C101-1</f>
        <v>0.022146507666098714</v>
      </c>
      <c r="E102" s="26">
        <f>E101/D101-1</f>
        <v>0.10666666666666669</v>
      </c>
      <c r="F102" s="26">
        <f>F101/E101-1</f>
        <v>0.07981927710843384</v>
      </c>
      <c r="G102" s="26"/>
      <c r="H102" s="26">
        <f>H101/F101-1</f>
        <v>0.009762900976290068</v>
      </c>
      <c r="I102" s="26">
        <f>I101/H101-1</f>
        <v>0.06629834254143652</v>
      </c>
      <c r="J102" s="60">
        <f>J101/I101-1</f>
        <v>0.05402204968415081</v>
      </c>
    </row>
    <row r="103">
      <c r="B103" s="53" t="s">
        <v>87</v>
      </c>
      <c r="C103" s="26" t="s">
        <v>46</v>
      </c>
      <c r="D103" s="26" t="s">
        <v>46</v>
      </c>
      <c r="E103" s="26" t="s">
        <v>46</v>
      </c>
      <c r="F103" s="26" t="s">
        <v>46</v>
      </c>
      <c r="G103" s="26" t="s">
        <v>46</v>
      </c>
      <c r="H103" s="26">
        <f>H101/C101-1</f>
        <v>0.23339011925042596</v>
      </c>
      <c r="I103" s="26">
        <f>I101/D101-1</f>
        <v>0.2866666666666666</v>
      </c>
      <c r="J103" s="60">
        <f>J101/E101-1</f>
        <v>0.22545937101831992</v>
      </c>
    </row>
    <row r="104">
      <c r="B104" s="76" t="s">
        <v>71</v>
      </c>
      <c r="C104" s="3" t="s">
        <v>46</v>
      </c>
      <c r="D104" s="3" t="s">
        <v>46</v>
      </c>
      <c r="E104" s="3" t="s">
        <v>46</v>
      </c>
      <c r="F104" s="3" t="s">
        <v>46</v>
      </c>
      <c r="G104" s="3" t="s">
        <v>46</v>
      </c>
      <c r="H104" s="12">
        <f>'Revenue summary'!H84</f>
        <v>5</v>
      </c>
      <c r="I104" s="12">
        <f>'Revenue summary'!I84</f>
        <v>1</v>
      </c>
      <c r="J104" s="57" t="s">
        <v>72</v>
      </c>
    </row>
    <row r="105">
      <c r="B105" s="53" t="s">
        <v>73</v>
      </c>
      <c r="C105" s="26" t="s">
        <v>46</v>
      </c>
      <c r="D105" s="26" t="s">
        <v>46</v>
      </c>
      <c r="E105" s="26" t="s">
        <v>46</v>
      </c>
      <c r="F105" s="26" t="s">
        <v>46</v>
      </c>
      <c r="G105" s="26" t="s">
        <v>46</v>
      </c>
      <c r="H105" s="26">
        <f>H104/C101</f>
        <v>0.008517887563884156</v>
      </c>
      <c r="I105" s="26">
        <f>I104/D101</f>
        <v>0.0016666666666666668</v>
      </c>
      <c r="J105" s="60" t="s">
        <v>46</v>
      </c>
    </row>
    <row r="106">
      <c r="B106" s="53" t="s">
        <v>74</v>
      </c>
      <c r="C106" s="26" t="s">
        <v>46</v>
      </c>
      <c r="D106" s="26" t="s">
        <v>46</v>
      </c>
      <c r="E106" s="26" t="s">
        <v>46</v>
      </c>
      <c r="F106" s="26" t="s">
        <v>46</v>
      </c>
      <c r="G106" s="26" t="s">
        <v>46</v>
      </c>
      <c r="H106" s="26" t="s">
        <v>47</v>
      </c>
      <c r="I106" s="26" t="s">
        <v>47</v>
      </c>
      <c r="J106" s="60" t="s">
        <v>47</v>
      </c>
    </row>
    <row r="107">
      <c r="B107" s="53" t="s">
        <v>75</v>
      </c>
      <c r="C107" s="26" t="s">
        <v>46</v>
      </c>
      <c r="D107" s="26" t="s">
        <v>46</v>
      </c>
      <c r="E107" s="26" t="s">
        <v>46</v>
      </c>
      <c r="F107" s="26" t="s">
        <v>46</v>
      </c>
      <c r="G107" s="26" t="s">
        <v>46</v>
      </c>
      <c r="H107" s="26">
        <f>(1+H103)/(1+H105)-1</f>
        <v>0.22297297297297325</v>
      </c>
      <c r="I107" s="26">
        <f>(1+I103)/(1+I105)-1</f>
        <v>0.2845257903494176</v>
      </c>
      <c r="J107" s="60" t="s">
        <v>46</v>
      </c>
    </row>
    <row r="108" ht="24">
      <c r="B108" s="81" t="s">
        <v>76</v>
      </c>
      <c r="C108" s="80" t="s">
        <v>46</v>
      </c>
      <c r="D108" s="80" t="s">
        <v>46</v>
      </c>
      <c r="E108" s="80" t="s">
        <v>46</v>
      </c>
      <c r="F108" s="80" t="s">
        <v>46</v>
      </c>
      <c r="G108" s="80" t="s">
        <v>46</v>
      </c>
      <c r="H108" s="80" t="s">
        <v>46</v>
      </c>
      <c r="I108" s="80" t="s">
        <v>46</v>
      </c>
      <c r="J108" s="87" t="s">
        <v>46</v>
      </c>
    </row>
    <row r="109" ht="24">
      <c r="B109" s="6" t="s">
        <v>243</v>
      </c>
      <c r="C109" s="59">
        <v>0</v>
      </c>
      <c r="D109" s="59">
        <v>0</v>
      </c>
      <c r="E109" s="59">
        <v>0</v>
      </c>
      <c r="F109" s="59">
        <v>0</v>
      </c>
      <c r="G109" s="25">
        <f>SUM(C109:F109)</f>
        <v>0</v>
      </c>
      <c r="H109" s="59">
        <v>3</v>
      </c>
      <c r="I109" s="59">
        <v>3</v>
      </c>
      <c r="J109" s="129">
        <v>3</v>
      </c>
    </row>
    <row r="110">
      <c r="B110" s="50" t="s">
        <v>113</v>
      </c>
      <c r="C110" s="3"/>
      <c r="D110" s="3"/>
      <c r="E110" s="3"/>
      <c r="F110" s="3"/>
      <c r="G110" s="3"/>
      <c r="H110" s="3">
        <f>H109-C109</f>
        <v>3</v>
      </c>
      <c r="I110" s="3">
        <f>I109-D109</f>
        <v>3</v>
      </c>
      <c r="J110" s="57">
        <f>J109-E109</f>
        <v>3</v>
      </c>
    </row>
    <row r="111">
      <c r="B111" s="50" t="s">
        <v>86</v>
      </c>
      <c r="C111" s="3"/>
      <c r="D111" s="3">
        <f>D109-C109</f>
        <v>0</v>
      </c>
      <c r="E111" s="3">
        <f>E109-D109</f>
        <v>0</v>
      </c>
      <c r="F111" s="3">
        <f>F109-E109</f>
        <v>0</v>
      </c>
      <c r="G111" s="3"/>
      <c r="H111" s="3">
        <f>H109-F109</f>
        <v>3</v>
      </c>
      <c r="I111" s="3">
        <f>I109-H109</f>
        <v>0</v>
      </c>
      <c r="J111" s="57">
        <f>J109-I109</f>
        <v>0</v>
      </c>
    </row>
    <row r="112">
      <c r="B112" s="53" t="s">
        <v>87</v>
      </c>
      <c r="C112" s="26"/>
      <c r="D112" s="26"/>
      <c r="E112" s="26"/>
      <c r="F112" s="26"/>
      <c r="G112" s="26"/>
      <c r="H112" s="26" t="s">
        <v>88</v>
      </c>
      <c r="I112" s="26" t="s">
        <v>88</v>
      </c>
      <c r="J112" s="60" t="s">
        <v>88</v>
      </c>
    </row>
    <row r="113">
      <c r="B113" s="76" t="s">
        <v>71</v>
      </c>
      <c r="C113" s="3"/>
      <c r="D113" s="3"/>
      <c r="E113" s="3"/>
      <c r="F113" s="3"/>
      <c r="G113" s="3"/>
      <c r="H113" s="3" t="s">
        <v>47</v>
      </c>
      <c r="I113" s="3" t="s">
        <v>47</v>
      </c>
      <c r="J113" s="57" t="s">
        <v>47</v>
      </c>
    </row>
    <row r="114">
      <c r="B114" s="53" t="s">
        <v>73</v>
      </c>
      <c r="C114" s="26"/>
      <c r="D114" s="26"/>
      <c r="E114" s="26"/>
      <c r="F114" s="26"/>
      <c r="G114" s="26"/>
      <c r="H114" s="26" t="s">
        <v>47</v>
      </c>
      <c r="I114" s="26" t="s">
        <v>47</v>
      </c>
      <c r="J114" s="60" t="s">
        <v>47</v>
      </c>
    </row>
    <row r="115">
      <c r="B115" s="53" t="s">
        <v>74</v>
      </c>
      <c r="C115" s="26"/>
      <c r="D115" s="26"/>
      <c r="E115" s="26"/>
      <c r="F115" s="26"/>
      <c r="G115" s="26"/>
      <c r="H115" s="26" t="s">
        <v>47</v>
      </c>
      <c r="I115" s="26" t="s">
        <v>47</v>
      </c>
      <c r="J115" s="60" t="s">
        <v>47</v>
      </c>
    </row>
    <row r="116">
      <c r="B116" s="53" t="s">
        <v>75</v>
      </c>
      <c r="C116" s="26"/>
      <c r="D116" s="26"/>
      <c r="E116" s="26"/>
      <c r="F116" s="26"/>
      <c r="G116" s="26"/>
      <c r="H116" s="26" t="s">
        <v>88</v>
      </c>
      <c r="I116" s="26" t="s">
        <v>88</v>
      </c>
      <c r="J116" s="60" t="s">
        <v>88</v>
      </c>
    </row>
    <row r="117" ht="24">
      <c r="B117" s="81" t="s">
        <v>76</v>
      </c>
      <c r="C117" s="80"/>
      <c r="D117" s="80"/>
      <c r="E117" s="80"/>
      <c r="F117" s="80"/>
      <c r="G117" s="80"/>
      <c r="H117" s="80" t="s">
        <v>88</v>
      </c>
      <c r="I117" s="80" t="s">
        <v>88</v>
      </c>
      <c r="J117" s="87" t="s">
        <v>88</v>
      </c>
    </row>
    <row r="118">
      <c r="B118" s="2" t="s">
        <v>244</v>
      </c>
      <c r="C118" s="46">
        <v>6</v>
      </c>
      <c r="D118" s="46">
        <v>7</v>
      </c>
      <c r="E118" s="46">
        <v>5</v>
      </c>
      <c r="F118" s="46">
        <v>6</v>
      </c>
      <c r="G118" s="3">
        <f>SUM(C118:F118)</f>
        <v>24</v>
      </c>
      <c r="H118" s="46">
        <v>6</v>
      </c>
      <c r="I118" s="46">
        <v>10</v>
      </c>
      <c r="J118" s="96">
        <v>8</v>
      </c>
    </row>
    <row r="119">
      <c r="B119" s="50" t="s">
        <v>86</v>
      </c>
      <c r="C119" s="3"/>
      <c r="D119" s="3">
        <f>D118-C118</f>
        <v>1</v>
      </c>
      <c r="E119" s="3">
        <f>E118-D118</f>
        <v>-2</v>
      </c>
      <c r="F119" s="3">
        <f>F118-E118</f>
        <v>1</v>
      </c>
      <c r="G119" s="3"/>
      <c r="H119" s="3">
        <f>H118-F118</f>
        <v>0</v>
      </c>
      <c r="I119" s="3">
        <f>I118-H118</f>
        <v>4</v>
      </c>
      <c r="J119" s="57">
        <f>J118-I118</f>
        <v>-2</v>
      </c>
    </row>
    <row r="120">
      <c r="B120" s="53" t="s">
        <v>87</v>
      </c>
      <c r="C120" s="26" t="s">
        <v>46</v>
      </c>
      <c r="D120" s="26" t="s">
        <v>46</v>
      </c>
      <c r="E120" s="26" t="s">
        <v>46</v>
      </c>
      <c r="F120" s="26" t="s">
        <v>46</v>
      </c>
      <c r="G120" s="26" t="s">
        <v>46</v>
      </c>
      <c r="H120" s="26">
        <f>H118/C118-1</f>
        <v>0</v>
      </c>
      <c r="I120" s="26">
        <f>I118/D118-1</f>
        <v>0.4285714285714286</v>
      </c>
      <c r="J120" s="60">
        <f>J118/E118-1</f>
        <v>0.6000000000000001</v>
      </c>
    </row>
    <row r="121">
      <c r="B121" s="76" t="s">
        <v>71</v>
      </c>
      <c r="C121" s="3" t="s">
        <v>46</v>
      </c>
      <c r="D121" s="3" t="s">
        <v>46</v>
      </c>
      <c r="E121" s="3" t="s">
        <v>46</v>
      </c>
      <c r="F121" s="3" t="s">
        <v>46</v>
      </c>
      <c r="G121" s="3" t="s">
        <v>46</v>
      </c>
      <c r="H121" s="3" t="s">
        <v>47</v>
      </c>
      <c r="I121" s="3" t="s">
        <v>47</v>
      </c>
      <c r="J121" s="57" t="s">
        <v>72</v>
      </c>
    </row>
    <row r="122">
      <c r="B122" s="53" t="s">
        <v>73</v>
      </c>
      <c r="C122" s="26" t="s">
        <v>46</v>
      </c>
      <c r="D122" s="26" t="s">
        <v>46</v>
      </c>
      <c r="E122" s="26" t="s">
        <v>46</v>
      </c>
      <c r="F122" s="26" t="s">
        <v>46</v>
      </c>
      <c r="G122" s="26" t="s">
        <v>46</v>
      </c>
      <c r="H122" s="26" t="s">
        <v>47</v>
      </c>
      <c r="I122" s="26" t="s">
        <v>47</v>
      </c>
      <c r="J122" s="60" t="s">
        <v>46</v>
      </c>
    </row>
    <row r="123">
      <c r="B123" s="53" t="s">
        <v>74</v>
      </c>
      <c r="C123" s="26" t="s">
        <v>46</v>
      </c>
      <c r="D123" s="26" t="s">
        <v>46</v>
      </c>
      <c r="E123" s="26" t="s">
        <v>46</v>
      </c>
      <c r="F123" s="26" t="s">
        <v>46</v>
      </c>
      <c r="G123" s="26" t="s">
        <v>46</v>
      </c>
      <c r="H123" s="26" t="s">
        <v>47</v>
      </c>
      <c r="I123" s="26" t="s">
        <v>47</v>
      </c>
      <c r="J123" s="60" t="s">
        <v>47</v>
      </c>
    </row>
    <row r="124">
      <c r="B124" s="53" t="s">
        <v>75</v>
      </c>
      <c r="C124" s="26" t="s">
        <v>46</v>
      </c>
      <c r="D124" s="26" t="s">
        <v>46</v>
      </c>
      <c r="E124" s="26" t="s">
        <v>46</v>
      </c>
      <c r="F124" s="26" t="s">
        <v>46</v>
      </c>
      <c r="G124" s="26" t="s">
        <v>46</v>
      </c>
      <c r="H124" s="26" t="s">
        <v>46</v>
      </c>
      <c r="I124" s="26" t="s">
        <v>46</v>
      </c>
      <c r="J124" s="60" t="s">
        <v>46</v>
      </c>
    </row>
    <row r="125" ht="24">
      <c r="B125" s="81" t="s">
        <v>76</v>
      </c>
      <c r="C125" s="80" t="s">
        <v>46</v>
      </c>
      <c r="D125" s="80" t="s">
        <v>46</v>
      </c>
      <c r="E125" s="80" t="s">
        <v>46</v>
      </c>
      <c r="F125" s="80" t="s">
        <v>46</v>
      </c>
      <c r="G125" s="80" t="s">
        <v>46</v>
      </c>
      <c r="H125" s="80" t="s">
        <v>46</v>
      </c>
      <c r="I125" s="80" t="s">
        <v>46</v>
      </c>
      <c r="J125" s="87" t="s">
        <v>46</v>
      </c>
    </row>
    <row r="126">
      <c r="B126" s="2" t="s">
        <v>245</v>
      </c>
      <c r="C126" s="46">
        <v>-2</v>
      </c>
      <c r="D126" s="46">
        <v>15</v>
      </c>
      <c r="E126" s="46">
        <v>11</v>
      </c>
      <c r="F126" s="46">
        <v>4</v>
      </c>
      <c r="G126" s="3">
        <f>SUM(C126:F126)</f>
        <v>28</v>
      </c>
      <c r="H126" s="46">
        <v>5</v>
      </c>
      <c r="I126" s="46">
        <v>21</v>
      </c>
      <c r="J126" s="96">
        <v>15</v>
      </c>
    </row>
    <row r="127">
      <c r="B127" s="50" t="s">
        <v>113</v>
      </c>
      <c r="C127" s="3"/>
      <c r="D127" s="3"/>
      <c r="E127" s="3"/>
      <c r="F127" s="3"/>
      <c r="G127" s="3"/>
      <c r="H127" s="3">
        <f>H126-C126</f>
        <v>7</v>
      </c>
      <c r="I127" s="3">
        <f>I126-D126</f>
        <v>6</v>
      </c>
      <c r="J127" s="57">
        <f>J126-E126</f>
        <v>4</v>
      </c>
    </row>
    <row r="128">
      <c r="B128" s="50" t="s">
        <v>86</v>
      </c>
      <c r="C128" s="3"/>
      <c r="D128" s="3">
        <f>D126-C126</f>
        <v>17</v>
      </c>
      <c r="E128" s="3">
        <f>E126-D126</f>
        <v>-4</v>
      </c>
      <c r="F128" s="3">
        <f>F126-E126</f>
        <v>-7</v>
      </c>
      <c r="G128" s="3"/>
      <c r="H128" s="3">
        <f>H126-F126</f>
        <v>1</v>
      </c>
      <c r="I128" s="3">
        <f>I126-H126</f>
        <v>16</v>
      </c>
      <c r="J128" s="57">
        <f>J126-I126</f>
        <v>-6</v>
      </c>
    </row>
    <row r="129">
      <c r="B129" s="53" t="s">
        <v>87</v>
      </c>
      <c r="C129" s="26"/>
      <c r="D129" s="26"/>
      <c r="E129" s="26"/>
      <c r="F129" s="26"/>
      <c r="G129" s="26"/>
      <c r="H129" s="26" t="s">
        <v>88</v>
      </c>
      <c r="I129" s="26" t="s">
        <v>88</v>
      </c>
      <c r="J129" s="60" t="s">
        <v>88</v>
      </c>
    </row>
    <row r="130">
      <c r="B130" s="76" t="s">
        <v>71</v>
      </c>
      <c r="C130" s="3"/>
      <c r="D130" s="3"/>
      <c r="E130" s="3"/>
      <c r="F130" s="3"/>
      <c r="G130" s="3"/>
      <c r="H130" s="3" t="s">
        <v>47</v>
      </c>
      <c r="I130" s="3" t="s">
        <v>47</v>
      </c>
      <c r="J130" s="57" t="s">
        <v>47</v>
      </c>
    </row>
    <row r="131">
      <c r="B131" s="53" t="s">
        <v>73</v>
      </c>
      <c r="C131" s="26"/>
      <c r="D131" s="26"/>
      <c r="E131" s="26"/>
      <c r="F131" s="26"/>
      <c r="G131" s="26"/>
      <c r="H131" s="26" t="s">
        <v>47</v>
      </c>
      <c r="I131" s="26" t="s">
        <v>47</v>
      </c>
      <c r="J131" s="60" t="s">
        <v>47</v>
      </c>
    </row>
    <row r="132">
      <c r="B132" s="53" t="s">
        <v>74</v>
      </c>
      <c r="C132" s="26"/>
      <c r="D132" s="26"/>
      <c r="E132" s="26"/>
      <c r="F132" s="26"/>
      <c r="G132" s="26"/>
      <c r="H132" s="26" t="s">
        <v>47</v>
      </c>
      <c r="I132" s="26" t="s">
        <v>47</v>
      </c>
      <c r="J132" s="60" t="s">
        <v>47</v>
      </c>
    </row>
    <row r="133">
      <c r="B133" s="53" t="s">
        <v>75</v>
      </c>
      <c r="C133" s="26"/>
      <c r="D133" s="26"/>
      <c r="E133" s="26"/>
      <c r="F133" s="26"/>
      <c r="G133" s="26"/>
      <c r="H133" s="26" t="s">
        <v>88</v>
      </c>
      <c r="I133" s="26" t="s">
        <v>88</v>
      </c>
      <c r="J133" s="60" t="s">
        <v>88</v>
      </c>
    </row>
    <row r="134" ht="24">
      <c r="B134" s="81" t="s">
        <v>76</v>
      </c>
      <c r="C134" s="80"/>
      <c r="D134" s="80"/>
      <c r="E134" s="80"/>
      <c r="F134" s="80"/>
      <c r="G134" s="80"/>
      <c r="H134" s="80" t="s">
        <v>88</v>
      </c>
      <c r="I134" s="80" t="s">
        <v>88</v>
      </c>
      <c r="J134" s="87" t="s">
        <v>88</v>
      </c>
    </row>
    <row r="135" ht="24">
      <c r="B135" s="43" t="s">
        <v>246</v>
      </c>
      <c r="C135" s="33">
        <f>C101+C109+C118+C126</f>
        <v>591</v>
      </c>
      <c r="D135" s="33">
        <f>D101+D109+D118+D126</f>
        <v>622</v>
      </c>
      <c r="E135" s="33">
        <f>E101+E109+E118+E126</f>
        <v>680</v>
      </c>
      <c r="F135" s="33">
        <f>F101+F109+F118+F126</f>
        <v>727</v>
      </c>
      <c r="G135" s="33">
        <f>G101+G109+G118+G126</f>
        <v>2620</v>
      </c>
      <c r="H135" s="33">
        <f>H101+H109+H118+H126</f>
        <v>738</v>
      </c>
      <c r="I135" s="33">
        <f>I101+I109+I118+I126</f>
        <v>806</v>
      </c>
      <c r="J135" s="91">
        <f>J101+J109+J118+J126</f>
        <v>839.7050223561644</v>
      </c>
    </row>
    <row r="136">
      <c r="B136" s="58" t="s">
        <v>70</v>
      </c>
      <c r="C136" s="26"/>
      <c r="D136" s="26">
        <f>D135/C135-1</f>
        <v>0.05245346869712342</v>
      </c>
      <c r="E136" s="26">
        <f>E135/D135-1</f>
        <v>0.09324758842443726</v>
      </c>
      <c r="F136" s="26">
        <f>F135/E135-1</f>
        <v>0.0691176470588235</v>
      </c>
      <c r="G136" s="26"/>
      <c r="H136" s="26">
        <f>H135/F135-1</f>
        <v>0.015130674002751032</v>
      </c>
      <c r="I136" s="26">
        <f>I135/H135-1</f>
        <v>0.09214092140921415</v>
      </c>
      <c r="J136" s="60">
        <f>J135/I135-1</f>
        <v>0.041817645603181575</v>
      </c>
    </row>
    <row r="137">
      <c r="B137" s="53" t="s">
        <v>87</v>
      </c>
      <c r="C137" s="26" t="s">
        <v>46</v>
      </c>
      <c r="D137" s="26" t="s">
        <v>46</v>
      </c>
      <c r="E137" s="26" t="s">
        <v>46</v>
      </c>
      <c r="F137" s="26" t="s">
        <v>46</v>
      </c>
      <c r="G137" s="26" t="s">
        <v>46</v>
      </c>
      <c r="H137" s="26">
        <f>H135/C135-1</f>
        <v>0.24873096446700504</v>
      </c>
      <c r="I137" s="26">
        <f>I135/D135-1</f>
        <v>0.29581993569131826</v>
      </c>
      <c r="J137" s="60">
        <f>J135/E135-1</f>
        <v>0.23486032699435944</v>
      </c>
    </row>
    <row r="138">
      <c r="B138" s="76" t="s">
        <v>71</v>
      </c>
      <c r="C138" s="3" t="s">
        <v>46</v>
      </c>
      <c r="D138" s="3" t="s">
        <v>46</v>
      </c>
      <c r="E138" s="3" t="s">
        <v>46</v>
      </c>
      <c r="F138" s="3" t="s">
        <v>46</v>
      </c>
      <c r="G138" s="3" t="s">
        <v>46</v>
      </c>
      <c r="H138" s="3" t="s">
        <v>47</v>
      </c>
      <c r="I138" s="3" t="s">
        <v>47</v>
      </c>
      <c r="J138" s="57" t="s">
        <v>72</v>
      </c>
    </row>
    <row r="139">
      <c r="B139" s="53" t="s">
        <v>73</v>
      </c>
      <c r="C139" s="26" t="s">
        <v>46</v>
      </c>
      <c r="D139" s="26" t="s">
        <v>46</v>
      </c>
      <c r="E139" s="26" t="s">
        <v>46</v>
      </c>
      <c r="F139" s="26" t="s">
        <v>46</v>
      </c>
      <c r="G139" s="26" t="s">
        <v>46</v>
      </c>
      <c r="H139" s="26" t="s">
        <v>47</v>
      </c>
      <c r="I139" s="26" t="s">
        <v>47</v>
      </c>
      <c r="J139" s="60" t="s">
        <v>46</v>
      </c>
    </row>
    <row r="140">
      <c r="B140" s="53" t="s">
        <v>74</v>
      </c>
      <c r="C140" s="26" t="s">
        <v>46</v>
      </c>
      <c r="D140" s="26" t="s">
        <v>46</v>
      </c>
      <c r="E140" s="26" t="s">
        <v>46</v>
      </c>
      <c r="F140" s="26" t="s">
        <v>46</v>
      </c>
      <c r="G140" s="26" t="s">
        <v>46</v>
      </c>
      <c r="H140" s="26" t="s">
        <v>47</v>
      </c>
      <c r="I140" s="26" t="s">
        <v>47</v>
      </c>
      <c r="J140" s="60" t="s">
        <v>47</v>
      </c>
    </row>
    <row r="141">
      <c r="B141" s="53" t="s">
        <v>75</v>
      </c>
      <c r="C141" s="26" t="s">
        <v>46</v>
      </c>
      <c r="D141" s="26" t="s">
        <v>46</v>
      </c>
      <c r="E141" s="26" t="s">
        <v>46</v>
      </c>
      <c r="F141" s="26" t="s">
        <v>46</v>
      </c>
      <c r="G141" s="26" t="s">
        <v>46</v>
      </c>
      <c r="H141" s="26" t="s">
        <v>46</v>
      </c>
      <c r="I141" s="26" t="s">
        <v>46</v>
      </c>
      <c r="J141" s="60" t="s">
        <v>46</v>
      </c>
    </row>
    <row r="142" ht="24">
      <c r="B142" s="81" t="s">
        <v>76</v>
      </c>
      <c r="C142" s="80" t="s">
        <v>46</v>
      </c>
      <c r="D142" s="80" t="s">
        <v>46</v>
      </c>
      <c r="E142" s="80" t="s">
        <v>46</v>
      </c>
      <c r="F142" s="80" t="s">
        <v>46</v>
      </c>
      <c r="G142" s="80" t="s">
        <v>46</v>
      </c>
      <c r="H142" s="80" t="s">
        <v>46</v>
      </c>
      <c r="I142" s="80" t="s">
        <v>46</v>
      </c>
      <c r="J142" s="87" t="s">
        <v>46</v>
      </c>
    </row>
    <row r="143">
      <c r="B143" s="2" t="s">
        <v>247</v>
      </c>
      <c r="C143" s="46">
        <v>5</v>
      </c>
      <c r="D143" s="46">
        <v>3</v>
      </c>
      <c r="E143" s="46">
        <v>4</v>
      </c>
      <c r="F143" s="46">
        <v>2</v>
      </c>
      <c r="G143" s="3">
        <f>SUM(C143:F143)</f>
        <v>14</v>
      </c>
      <c r="H143" s="46">
        <v>3</v>
      </c>
      <c r="I143" s="46">
        <v>0</v>
      </c>
      <c r="J143" s="96">
        <v>0</v>
      </c>
    </row>
    <row r="144">
      <c r="B144" s="50" t="s">
        <v>113</v>
      </c>
      <c r="C144" s="3"/>
      <c r="D144" s="3"/>
      <c r="E144" s="3"/>
      <c r="F144" s="3"/>
      <c r="G144" s="3"/>
      <c r="H144" s="3">
        <f>H143-C143</f>
        <v>-2</v>
      </c>
      <c r="I144" s="3">
        <f>I143-D143</f>
        <v>-3</v>
      </c>
      <c r="J144" s="57">
        <f>J143-E143</f>
        <v>-4</v>
      </c>
    </row>
    <row r="145">
      <c r="B145" s="50" t="s">
        <v>86</v>
      </c>
      <c r="C145" s="3"/>
      <c r="D145" s="3">
        <f>D143-C143</f>
        <v>-2</v>
      </c>
      <c r="E145" s="3">
        <f>E143-D143</f>
        <v>1</v>
      </c>
      <c r="F145" s="3">
        <f>F143-E143</f>
        <v>-2</v>
      </c>
      <c r="G145" s="3"/>
      <c r="H145" s="3">
        <f>H143-F143</f>
        <v>1</v>
      </c>
      <c r="I145" s="3">
        <f>I143-H143</f>
        <v>-3</v>
      </c>
      <c r="J145" s="57">
        <f>J143-I143</f>
        <v>0</v>
      </c>
    </row>
    <row r="146">
      <c r="B146" s="53" t="s">
        <v>87</v>
      </c>
      <c r="C146" s="26"/>
      <c r="D146" s="26"/>
      <c r="E146" s="26"/>
      <c r="F146" s="26"/>
      <c r="G146" s="26"/>
      <c r="H146" s="26" t="s">
        <v>88</v>
      </c>
      <c r="I146" s="26" t="s">
        <v>88</v>
      </c>
      <c r="J146" s="60" t="s">
        <v>88</v>
      </c>
    </row>
    <row r="147">
      <c r="B147" s="76" t="s">
        <v>71</v>
      </c>
      <c r="C147" s="3"/>
      <c r="D147" s="3"/>
      <c r="E147" s="3"/>
      <c r="F147" s="3"/>
      <c r="G147" s="3"/>
      <c r="H147" s="3" t="s">
        <v>47</v>
      </c>
      <c r="I147" s="3" t="s">
        <v>47</v>
      </c>
      <c r="J147" s="57" t="s">
        <v>47</v>
      </c>
    </row>
    <row r="148">
      <c r="B148" s="53" t="s">
        <v>73</v>
      </c>
      <c r="C148" s="26"/>
      <c r="D148" s="26"/>
      <c r="E148" s="26"/>
      <c r="F148" s="26"/>
      <c r="G148" s="26"/>
      <c r="H148" s="26" t="s">
        <v>47</v>
      </c>
      <c r="I148" s="26" t="s">
        <v>47</v>
      </c>
      <c r="J148" s="60" t="s">
        <v>47</v>
      </c>
    </row>
    <row r="149">
      <c r="B149" s="53" t="s">
        <v>74</v>
      </c>
      <c r="C149" s="26"/>
      <c r="D149" s="26"/>
      <c r="E149" s="26"/>
      <c r="F149" s="26"/>
      <c r="G149" s="26"/>
      <c r="H149" s="26" t="s">
        <v>47</v>
      </c>
      <c r="I149" s="26" t="s">
        <v>47</v>
      </c>
      <c r="J149" s="60" t="s">
        <v>47</v>
      </c>
    </row>
    <row r="150">
      <c r="B150" s="53" t="s">
        <v>75</v>
      </c>
      <c r="C150" s="26"/>
      <c r="D150" s="26"/>
      <c r="E150" s="26"/>
      <c r="F150" s="26"/>
      <c r="G150" s="26"/>
      <c r="H150" s="26" t="s">
        <v>88</v>
      </c>
      <c r="I150" s="26" t="s">
        <v>88</v>
      </c>
      <c r="J150" s="60" t="s">
        <v>88</v>
      </c>
    </row>
    <row r="151" ht="24">
      <c r="B151" s="81" t="s">
        <v>76</v>
      </c>
      <c r="C151" s="80"/>
      <c r="D151" s="80"/>
      <c r="E151" s="80"/>
      <c r="F151" s="80"/>
      <c r="G151" s="80"/>
      <c r="H151" s="80" t="s">
        <v>88</v>
      </c>
      <c r="I151" s="80" t="s">
        <v>88</v>
      </c>
      <c r="J151" s="87" t="s">
        <v>88</v>
      </c>
    </row>
    <row r="152" ht="24">
      <c r="B152" s="43" t="s">
        <v>248</v>
      </c>
      <c r="C152" s="33">
        <f>C135+C143</f>
        <v>596</v>
      </c>
      <c r="D152" s="33">
        <f>D135+D143</f>
        <v>625</v>
      </c>
      <c r="E152" s="33">
        <f>E135+E143</f>
        <v>684</v>
      </c>
      <c r="F152" s="33">
        <f>F135+F143</f>
        <v>729</v>
      </c>
      <c r="G152" s="33">
        <f>G135+G143</f>
        <v>2634</v>
      </c>
      <c r="H152" s="33">
        <f>H135+H143</f>
        <v>741</v>
      </c>
      <c r="I152" s="33">
        <f>I135+I143</f>
        <v>806</v>
      </c>
      <c r="J152" s="91">
        <f>J135+J143</f>
        <v>839.7050223561644</v>
      </c>
    </row>
    <row r="153">
      <c r="B153" s="58" t="s">
        <v>70</v>
      </c>
      <c r="C153" s="26"/>
      <c r="D153" s="26">
        <f>D152/C152-1</f>
        <v>0.04865771812080544</v>
      </c>
      <c r="E153" s="26">
        <f>E152/D152-1</f>
        <v>0.09440000000000004</v>
      </c>
      <c r="F153" s="26">
        <f>F152/E152-1</f>
        <v>0.06578947368421062</v>
      </c>
      <c r="G153" s="26"/>
      <c r="H153" s="26">
        <f>H152/F152-1</f>
        <v>0.016460905349794164</v>
      </c>
      <c r="I153" s="26">
        <f>I152/H152-1</f>
        <v>0.08771929824561409</v>
      </c>
      <c r="J153" s="60">
        <f>J152/I152-1</f>
        <v>0.041817645603181575</v>
      </c>
    </row>
    <row r="154">
      <c r="B154" s="53" t="s">
        <v>87</v>
      </c>
      <c r="C154" s="26" t="s">
        <v>46</v>
      </c>
      <c r="D154" s="26" t="s">
        <v>46</v>
      </c>
      <c r="E154" s="26" t="s">
        <v>46</v>
      </c>
      <c r="F154" s="26" t="s">
        <v>46</v>
      </c>
      <c r="G154" s="26" t="s">
        <v>46</v>
      </c>
      <c r="H154" s="26">
        <f>H152/C152-1</f>
        <v>0.24328859060402674</v>
      </c>
      <c r="I154" s="26">
        <f>I152/D152-1</f>
        <v>0.2896000000000001</v>
      </c>
      <c r="J154" s="60">
        <f>J152/E152-1</f>
        <v>0.22763892157333965</v>
      </c>
    </row>
    <row r="155">
      <c r="B155" s="76" t="s">
        <v>71</v>
      </c>
      <c r="C155" s="3" t="s">
        <v>46</v>
      </c>
      <c r="D155" s="3" t="s">
        <v>46</v>
      </c>
      <c r="E155" s="3" t="s">
        <v>46</v>
      </c>
      <c r="F155" s="3" t="s">
        <v>46</v>
      </c>
      <c r="G155" s="3" t="s">
        <v>46</v>
      </c>
      <c r="H155" s="3" t="s">
        <v>47</v>
      </c>
      <c r="I155" s="3" t="s">
        <v>47</v>
      </c>
      <c r="J155" s="57" t="s">
        <v>72</v>
      </c>
    </row>
    <row r="156">
      <c r="B156" s="53" t="s">
        <v>73</v>
      </c>
      <c r="C156" s="26" t="s">
        <v>46</v>
      </c>
      <c r="D156" s="26" t="s">
        <v>46</v>
      </c>
      <c r="E156" s="26" t="s">
        <v>46</v>
      </c>
      <c r="F156" s="26" t="s">
        <v>46</v>
      </c>
      <c r="G156" s="26" t="s">
        <v>46</v>
      </c>
      <c r="H156" s="26" t="s">
        <v>47</v>
      </c>
      <c r="I156" s="26" t="s">
        <v>47</v>
      </c>
      <c r="J156" s="60" t="s">
        <v>46</v>
      </c>
    </row>
    <row r="157">
      <c r="B157" s="53" t="s">
        <v>74</v>
      </c>
      <c r="C157" s="26" t="s">
        <v>46</v>
      </c>
      <c r="D157" s="26" t="s">
        <v>46</v>
      </c>
      <c r="E157" s="26" t="s">
        <v>46</v>
      </c>
      <c r="F157" s="26" t="s">
        <v>46</v>
      </c>
      <c r="G157" s="26" t="s">
        <v>46</v>
      </c>
      <c r="H157" s="26" t="s">
        <v>47</v>
      </c>
      <c r="I157" s="26" t="s">
        <v>47</v>
      </c>
      <c r="J157" s="60" t="s">
        <v>47</v>
      </c>
    </row>
    <row r="158">
      <c r="B158" s="53" t="s">
        <v>75</v>
      </c>
      <c r="C158" s="26" t="s">
        <v>46</v>
      </c>
      <c r="D158" s="26" t="s">
        <v>46</v>
      </c>
      <c r="E158" s="26" t="s">
        <v>46</v>
      </c>
      <c r="F158" s="26" t="s">
        <v>46</v>
      </c>
      <c r="G158" s="26" t="s">
        <v>46</v>
      </c>
      <c r="H158" s="26" t="s">
        <v>46</v>
      </c>
      <c r="I158" s="26" t="s">
        <v>46</v>
      </c>
      <c r="J158" s="60" t="s">
        <v>46</v>
      </c>
    </row>
    <row r="159" ht="24">
      <c r="B159" s="81" t="s">
        <v>76</v>
      </c>
      <c r="C159" s="80" t="s">
        <v>46</v>
      </c>
      <c r="D159" s="80" t="s">
        <v>46</v>
      </c>
      <c r="E159" s="80" t="s">
        <v>46</v>
      </c>
      <c r="F159" s="80" t="s">
        <v>46</v>
      </c>
      <c r="G159" s="80" t="s">
        <v>46</v>
      </c>
      <c r="H159" s="80" t="s">
        <v>46</v>
      </c>
      <c r="I159" s="80" t="s">
        <v>46</v>
      </c>
      <c r="J159" s="87" t="s">
        <v>46</v>
      </c>
    </row>
    <row r="160" ht="24">
      <c r="B160" s="43" t="s">
        <v>249</v>
      </c>
      <c r="C160" s="79">
        <v>431</v>
      </c>
      <c r="D160" s="79">
        <v>417</v>
      </c>
      <c r="E160" s="79">
        <v>440</v>
      </c>
      <c r="F160" s="79">
        <v>487</v>
      </c>
      <c r="G160" s="33">
        <f>SUM(C160:F160)</f>
        <v>1775</v>
      </c>
      <c r="H160" s="79">
        <v>492</v>
      </c>
      <c r="I160" s="79">
        <v>497</v>
      </c>
      <c r="J160" s="84">
        <v>505</v>
      </c>
    </row>
    <row r="161">
      <c r="B161" s="58" t="s">
        <v>69</v>
      </c>
      <c r="C161" s="26"/>
      <c r="D161" s="26"/>
      <c r="E161" s="26"/>
      <c r="F161" s="26"/>
      <c r="G161" s="26"/>
      <c r="H161" s="26">
        <f>H160/C160-1</f>
        <v>0.14153132250580036</v>
      </c>
      <c r="I161" s="26">
        <f>I160/D160-1</f>
        <v>0.1918465227817745</v>
      </c>
      <c r="J161" s="60">
        <f>J160/E160-1</f>
        <v>0.1477272727272727</v>
      </c>
    </row>
    <row r="162">
      <c r="B162" s="58" t="s">
        <v>70</v>
      </c>
      <c r="C162" s="26"/>
      <c r="D162" s="26">
        <f>D160/C160-1</f>
        <v>-0.0324825986078886</v>
      </c>
      <c r="E162" s="26">
        <f>E160/D160-1</f>
        <v>0.05515587529976029</v>
      </c>
      <c r="F162" s="26">
        <f>F160/E160-1</f>
        <v>0.10681818181818192</v>
      </c>
      <c r="G162" s="26"/>
      <c r="H162" s="26">
        <f>H160/F160-1</f>
        <v>0.010266940451745477</v>
      </c>
      <c r="I162" s="26">
        <f>I160/H160-1</f>
        <v>0.010162601626016343</v>
      </c>
      <c r="J162" s="60">
        <f>J160/I160-1</f>
        <v>0.016096579476861272</v>
      </c>
    </row>
    <row r="163" ht="24">
      <c r="B163" s="43" t="s">
        <v>250</v>
      </c>
      <c r="C163" s="33">
        <f>C152-C160</f>
        <v>165</v>
      </c>
      <c r="D163" s="33">
        <f>D152-D160</f>
        <v>208</v>
      </c>
      <c r="E163" s="33">
        <f>E152-E160</f>
        <v>244</v>
      </c>
      <c r="F163" s="33">
        <f>F152-F160</f>
        <v>242</v>
      </c>
      <c r="G163" s="33">
        <f>G152-G160</f>
        <v>859</v>
      </c>
      <c r="H163" s="33">
        <f>H152-H160</f>
        <v>249</v>
      </c>
      <c r="I163" s="33">
        <f>I152-I160</f>
        <v>309</v>
      </c>
      <c r="J163" s="91">
        <f>J152-J160</f>
        <v>334.70502235616436</v>
      </c>
    </row>
    <row r="164">
      <c r="B164" s="58" t="s">
        <v>69</v>
      </c>
      <c r="C164" s="26"/>
      <c r="D164" s="26"/>
      <c r="E164" s="26"/>
      <c r="F164" s="26"/>
      <c r="G164" s="26"/>
      <c r="H164" s="26">
        <f>H163/C163-1</f>
        <v>0.509090909090909</v>
      </c>
      <c r="I164" s="26">
        <f>I163/D163-1</f>
        <v>0.48557692307692313</v>
      </c>
      <c r="J164" s="60">
        <f>J163/E163-1</f>
        <v>0.371741894902313</v>
      </c>
    </row>
    <row r="165">
      <c r="B165" s="13" t="s">
        <v>206</v>
      </c>
      <c r="C165" s="26">
        <f>C163/C152</f>
        <v>0.27684563758389263</v>
      </c>
      <c r="D165" s="26">
        <f>D163/D152</f>
        <v>0.3328</v>
      </c>
      <c r="E165" s="26">
        <f>E163/E152</f>
        <v>0.3567251461988304</v>
      </c>
      <c r="F165" s="26">
        <f>F163/F152</f>
        <v>0.3319615912208505</v>
      </c>
      <c r="G165" s="26">
        <f>G163/G152</f>
        <v>0.3261199696279423</v>
      </c>
      <c r="H165" s="26">
        <f>H163/H152</f>
        <v>0.3360323886639676</v>
      </c>
      <c r="I165" s="26">
        <f>I163/I152</f>
        <v>0.38337468982630274</v>
      </c>
      <c r="J165" s="60">
        <f>J163/J152</f>
        <v>0.39859833327779937</v>
      </c>
    </row>
    <row r="166">
      <c r="B166" s="50" t="s">
        <v>116</v>
      </c>
      <c r="C166" s="20"/>
      <c r="D166" s="20">
        <f>(D165-C165)*10000</f>
        <v>559.5436241610735</v>
      </c>
      <c r="E166" s="20">
        <f>(E165-D165)*10000</f>
        <v>239.25146198830404</v>
      </c>
      <c r="F166" s="20">
        <f>(F165-E165)*10000</f>
        <v>-247.63554977979885</v>
      </c>
      <c r="G166" s="20"/>
      <c r="H166" s="20">
        <f>(H165-F165)*10000</f>
        <v>40.70797443117114</v>
      </c>
      <c r="I166" s="20">
        <f>(I165-H165)*10000</f>
        <v>473.4230116233512</v>
      </c>
      <c r="J166" s="70">
        <f>(J165-I165)*10000</f>
        <v>152.23643451496628</v>
      </c>
    </row>
    <row r="167">
      <c r="B167" s="50" t="s">
        <v>117</v>
      </c>
      <c r="C167" s="20" t="s">
        <v>46</v>
      </c>
      <c r="D167" s="20" t="s">
        <v>46</v>
      </c>
      <c r="E167" s="20" t="s">
        <v>46</v>
      </c>
      <c r="F167" s="20" t="s">
        <v>46</v>
      </c>
      <c r="G167" s="20" t="s">
        <v>46</v>
      </c>
      <c r="H167" s="20">
        <f>(H165-C165)*10000</f>
        <v>591.8675108007499</v>
      </c>
      <c r="I167" s="20">
        <f>(I165-D165)*10000</f>
        <v>505.74689826302756</v>
      </c>
      <c r="J167" s="70">
        <f>(J165-E165)*10000</f>
        <v>418.73187078968976</v>
      </c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2:J12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251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252</v>
      </c>
      <c r="C9" s="2"/>
      <c r="D9" s="2"/>
      <c r="E9" s="2"/>
      <c r="F9" s="2"/>
      <c r="G9" s="2"/>
      <c r="H9" s="2"/>
      <c r="I9" s="2"/>
      <c r="J9" s="2"/>
    </row>
    <row r="10">
      <c r="B10" s="50" t="s">
        <v>94</v>
      </c>
      <c r="C10" s="12">
        <f>'Segment - Investment Servicing'!C79</f>
        <v>1275</v>
      </c>
      <c r="D10" s="12">
        <f>'Segment - Investment Servicing'!D79</f>
        <v>1304</v>
      </c>
      <c r="E10" s="12">
        <f>'Segment - Investment Servicing'!E79</f>
        <v>1357</v>
      </c>
      <c r="F10" s="12">
        <f>'Segment - Investment Servicing'!F79</f>
        <v>1388</v>
      </c>
      <c r="G10" s="12">
        <f>'Segment - Investment Servicing'!G79</f>
        <v>5324</v>
      </c>
      <c r="H10" s="12">
        <f>'Segment - Investment Servicing'!H79</f>
        <v>1409</v>
      </c>
      <c r="I10" s="12">
        <f>'Segment - Investment Servicing'!I79</f>
        <v>1468</v>
      </c>
      <c r="J10" s="48">
        <f>'Segment - Investment Servicing'!J79</f>
        <v>1512.195397369863</v>
      </c>
    </row>
    <row r="11">
      <c r="B11" s="50" t="s">
        <v>96</v>
      </c>
      <c r="C11" s="12">
        <f>'Segment - Investment Management'!C101</f>
        <v>587</v>
      </c>
      <c r="D11" s="12">
        <f>'Segment - Investment Management'!D101</f>
        <v>600</v>
      </c>
      <c r="E11" s="12">
        <f>'Segment - Investment Management'!E101</f>
        <v>664</v>
      </c>
      <c r="F11" s="12">
        <f>'Segment - Investment Management'!F101</f>
        <v>717</v>
      </c>
      <c r="G11" s="12">
        <f>'Segment - Investment Management'!G101</f>
        <v>2568</v>
      </c>
      <c r="H11" s="12">
        <f>'Segment - Investment Management'!H101</f>
        <v>724</v>
      </c>
      <c r="I11" s="12">
        <f>'Segment - Investment Management'!I101</f>
        <v>772</v>
      </c>
      <c r="J11" s="48">
        <f>'Segment - Investment Management'!J101</f>
        <v>813.7050223561644</v>
      </c>
    </row>
    <row r="12">
      <c r="B12" s="50" t="s">
        <v>97</v>
      </c>
      <c r="C12" s="12">
        <f>'Segment - Investment Servicing'!C90+'Segment - Investment Management'!C109+'Revenue summary'!C41</f>
        <v>337</v>
      </c>
      <c r="D12" s="12">
        <f>'Segment - Investment Servicing'!D90+'Segment - Investment Management'!D109+'Revenue summary'!D41</f>
        <v>393</v>
      </c>
      <c r="E12" s="12">
        <f>'Segment - Investment Servicing'!E90+'Segment - Investment Management'!E109+'Revenue summary'!E41</f>
        <v>364</v>
      </c>
      <c r="F12" s="12">
        <f>'Segment - Investment Servicing'!F90+'Segment - Investment Management'!F109+'Revenue summary'!F41</f>
        <v>350</v>
      </c>
      <c r="G12" s="12">
        <f>'Segment - Investment Servicing'!G90+'Segment - Investment Management'!G109+'Revenue summary'!G41</f>
        <v>1444</v>
      </c>
      <c r="H12" s="12">
        <f>'Segment - Investment Servicing'!H90+'Segment - Investment Management'!H109+'Revenue summary'!H41</f>
        <v>435</v>
      </c>
      <c r="I12" s="12">
        <f>'Segment - Investment Servicing'!I90+'Segment - Investment Management'!I109+'Revenue summary'!I41</f>
        <v>494</v>
      </c>
      <c r="J12" s="48">
        <f>'Segment - Investment Servicing'!J90+'Segment - Investment Management'!J109+'Revenue summary'!J41</f>
        <v>454.72</v>
      </c>
    </row>
    <row r="13">
      <c r="B13" s="50" t="s">
        <v>98</v>
      </c>
      <c r="C13" s="12">
        <f>'Segment - Investment Servicing'!C106+'Segment - Investment Management'!C118</f>
        <v>114</v>
      </c>
      <c r="D13" s="12">
        <f>'Segment - Investment Servicing'!D106+'Segment - Investment Management'!D118</f>
        <v>126</v>
      </c>
      <c r="E13" s="12">
        <f>'Segment - Investment Servicing'!E106+'Segment - Investment Management'!E118</f>
        <v>138</v>
      </c>
      <c r="F13" s="12">
        <f>'Segment - Investment Servicing'!F106+'Segment - Investment Management'!F118</f>
        <v>127</v>
      </c>
      <c r="G13" s="12">
        <f>'Segment - Investment Servicing'!G106+'Segment - Investment Management'!G118</f>
        <v>505</v>
      </c>
      <c r="H13" s="12">
        <f>'Segment - Investment Servicing'!H106+'Segment - Investment Management'!H118</f>
        <v>116</v>
      </c>
      <c r="I13" s="12">
        <f>'Segment - Investment Servicing'!I106+'Segment - Investment Management'!I118</f>
        <v>150</v>
      </c>
      <c r="J13" s="48">
        <f>'Segment - Investment Servicing'!J106+'Segment - Investment Management'!J118</f>
        <v>136.9890410958904</v>
      </c>
    </row>
    <row r="14">
      <c r="B14" s="50" t="s">
        <v>99</v>
      </c>
      <c r="C14" s="12">
        <f>'Segment - Investment Servicing'!C126+'Revenue summary'!C49</f>
        <v>158</v>
      </c>
      <c r="D14" s="12">
        <f>'Segment - Investment Servicing'!D126+'Revenue summary'!D49</f>
        <v>169</v>
      </c>
      <c r="E14" s="12">
        <f>'Segment - Investment Servicing'!E126+'Revenue summary'!E49</f>
        <v>167</v>
      </c>
      <c r="F14" s="12">
        <f>'Segment - Investment Servicing'!F126+'Revenue summary'!F49</f>
        <v>163</v>
      </c>
      <c r="G14" s="12">
        <f>'Segment - Investment Servicing'!G126+'Revenue summary'!G49</f>
        <v>657</v>
      </c>
      <c r="H14" s="12">
        <f>'Segment - Investment Servicing'!H126+'Revenue summary'!H49</f>
        <v>169</v>
      </c>
      <c r="I14" s="12">
        <f>'Segment - Investment Servicing'!I126+'Revenue summary'!I49</f>
        <v>166</v>
      </c>
      <c r="J14" s="48">
        <f>'Segment - Investment Servicing'!J126+'Revenue summary'!J49</f>
        <v>171.34684931506848</v>
      </c>
    </row>
    <row r="15">
      <c r="B15" s="50" t="s">
        <v>100</v>
      </c>
      <c r="C15" s="12">
        <f>'Segment - Investment Servicing'!C134+'Segment - Investment Management'!C126</f>
        <v>99</v>
      </c>
      <c r="D15" s="12">
        <f>'Segment - Investment Servicing'!D134+'Segment - Investment Management'!D126</f>
        <v>127</v>
      </c>
      <c r="E15" s="12">
        <f>'Segment - Investment Servicing'!E134+'Segment - Investment Management'!E126</f>
        <v>139</v>
      </c>
      <c r="F15" s="12">
        <f>'Segment - Investment Servicing'!F134+'Segment - Investment Management'!F126</f>
        <v>117</v>
      </c>
      <c r="G15" s="12">
        <f>'Segment - Investment Servicing'!G134+'Segment - Investment Management'!G126</f>
        <v>482</v>
      </c>
      <c r="H15" s="12">
        <f>'Segment - Investment Servicing'!H134+'Segment - Investment Management'!H126</f>
        <v>107</v>
      </c>
      <c r="I15" s="12">
        <f>'Segment - Investment Servicing'!I134+'Segment - Investment Management'!I126</f>
        <v>138</v>
      </c>
      <c r="J15" s="48">
        <f>'Segment - Investment Servicing'!J134+'Segment - Investment Management'!J126</f>
        <v>125</v>
      </c>
    </row>
    <row r="16">
      <c r="B16" s="19" t="s">
        <v>101</v>
      </c>
      <c r="C16" s="38">
        <f>SUM(C10,C11,C12,C13,C14,C15)</f>
        <v>2570</v>
      </c>
      <c r="D16" s="38">
        <f>SUM(D10,D11,D12,D13,D14,D15)</f>
        <v>2719</v>
      </c>
      <c r="E16" s="38">
        <f>SUM(E10,E11,E12,E13,E14,E15)</f>
        <v>2829</v>
      </c>
      <c r="F16" s="38">
        <f>SUM(F10,F11,F12,F13,F14,F15)</f>
        <v>2862</v>
      </c>
      <c r="G16" s="38">
        <f>SUM(G10,G11,G12,G13,G14,G15)</f>
        <v>10980</v>
      </c>
      <c r="H16" s="38">
        <f>SUM(H10,H11,H12,H13,H14,H15)</f>
        <v>2960</v>
      </c>
      <c r="I16" s="38">
        <f>SUM(I10,I11,I12,I13,I14,I15)</f>
        <v>3188</v>
      </c>
      <c r="J16" s="63">
        <f>SUM(J10,J11,J12,J13,J14,J15)</f>
        <v>3213.9563101369863</v>
      </c>
    </row>
    <row r="17">
      <c r="B17" s="58" t="s">
        <v>69</v>
      </c>
      <c r="C17" s="26"/>
      <c r="D17" s="26"/>
      <c r="E17" s="26"/>
      <c r="F17" s="26"/>
      <c r="G17" s="26"/>
      <c r="H17" s="26">
        <f>H16/C16-1</f>
        <v>0.15175097276264582</v>
      </c>
      <c r="I17" s="26">
        <f>I16/D16-1</f>
        <v>0.17248988598749548</v>
      </c>
      <c r="J17" s="60">
        <f>J16/E16-1</f>
        <v>0.13607504776846469</v>
      </c>
    </row>
    <row r="18">
      <c r="B18" s="58" t="s">
        <v>70</v>
      </c>
      <c r="C18" s="26"/>
      <c r="D18" s="26">
        <f>D16/C16-1</f>
        <v>0.05797665369649807</v>
      </c>
      <c r="E18" s="26">
        <f>E16/D16-1</f>
        <v>0.040456050018389034</v>
      </c>
      <c r="F18" s="26">
        <f>F16/E16-1</f>
        <v>0.01166489925768821</v>
      </c>
      <c r="G18" s="26"/>
      <c r="H18" s="26">
        <f>H16/F16-1</f>
        <v>0.03424178895877006</v>
      </c>
      <c r="I18" s="26">
        <f>I16/H16-1</f>
        <v>0.07702702702702702</v>
      </c>
      <c r="J18" s="60">
        <f>J16/I16-1</f>
        <v>0.008141878963922933</v>
      </c>
    </row>
    <row r="19">
      <c r="B19" s="19" t="s">
        <v>103</v>
      </c>
      <c r="C19" s="2"/>
      <c r="D19" s="2"/>
      <c r="E19" s="2"/>
      <c r="F19" s="2"/>
      <c r="G19" s="2"/>
      <c r="H19" s="2"/>
      <c r="I19" s="2"/>
      <c r="J19" s="2"/>
    </row>
    <row r="20">
      <c r="B20" s="50" t="s">
        <v>253</v>
      </c>
      <c r="C20" s="46">
        <v>2922</v>
      </c>
      <c r="D20" s="46">
        <v>3055</v>
      </c>
      <c r="E20" s="46">
        <v>2918</v>
      </c>
      <c r="F20" s="46">
        <v>2749</v>
      </c>
      <c r="G20" s="3">
        <f>SUM(C20:F20)</f>
        <v>11644</v>
      </c>
      <c r="H20" s="46">
        <v>2651</v>
      </c>
      <c r="I20" s="46">
        <v>2843</v>
      </c>
      <c r="J20" s="48">
        <f>'Segment - Investment Servicing'!J257</f>
        <v>2900.8356164383563</v>
      </c>
    </row>
    <row r="21">
      <c r="B21" s="50" t="s">
        <v>254</v>
      </c>
      <c r="C21" s="46">
        <v>2208</v>
      </c>
      <c r="D21" s="46">
        <v>2326</v>
      </c>
      <c r="E21" s="46">
        <v>2203</v>
      </c>
      <c r="F21" s="46">
        <v>1947</v>
      </c>
      <c r="G21" s="3">
        <f>SUM(C21:F21)</f>
        <v>8684</v>
      </c>
      <c r="H21" s="46">
        <v>1816</v>
      </c>
      <c r="I21" s="46">
        <v>1983</v>
      </c>
      <c r="J21" s="48">
        <f>J20-'Segment - Investment Servicing'!J256</f>
        <v>2043.0616438356165</v>
      </c>
    </row>
    <row r="22">
      <c r="B22" s="19" t="s">
        <v>103</v>
      </c>
      <c r="C22" s="38">
        <f>C20-C21</f>
        <v>714</v>
      </c>
      <c r="D22" s="38">
        <f>D20-D21</f>
        <v>729</v>
      </c>
      <c r="E22" s="38">
        <f>E20-E21</f>
        <v>715</v>
      </c>
      <c r="F22" s="38">
        <f>F20-F21</f>
        <v>802</v>
      </c>
      <c r="G22" s="38">
        <f>G20-G21</f>
        <v>2960</v>
      </c>
      <c r="H22" s="38">
        <f>H20-H21</f>
        <v>835</v>
      </c>
      <c r="I22" s="38">
        <f>I20-I21</f>
        <v>860</v>
      </c>
      <c r="J22" s="63">
        <f>J20-J21</f>
        <v>857.7739726027398</v>
      </c>
    </row>
    <row r="23">
      <c r="B23" s="58" t="s">
        <v>69</v>
      </c>
      <c r="C23" s="26"/>
      <c r="D23" s="26"/>
      <c r="E23" s="26"/>
      <c r="F23" s="26"/>
      <c r="G23" s="26"/>
      <c r="H23" s="26">
        <f>H22/C22-1</f>
        <v>0.169467787114846</v>
      </c>
      <c r="I23" s="26">
        <f>I22/D22-1</f>
        <v>0.17969821673525388</v>
      </c>
      <c r="J23" s="60">
        <f>J22/E22-1</f>
        <v>0.19968387776606966</v>
      </c>
    </row>
    <row r="24">
      <c r="B24" s="58" t="s">
        <v>70</v>
      </c>
      <c r="C24" s="26"/>
      <c r="D24" s="26">
        <f>D22/C22-1</f>
        <v>0.021008403361344463</v>
      </c>
      <c r="E24" s="26">
        <f>E22/D22-1</f>
        <v>-0.019204389574759895</v>
      </c>
      <c r="F24" s="26">
        <f>F22/E22-1</f>
        <v>0.12167832167832171</v>
      </c>
      <c r="G24" s="26"/>
      <c r="H24" s="26">
        <f>H22/F22-1</f>
        <v>0.041147132169575995</v>
      </c>
      <c r="I24" s="26">
        <f>I22/H22-1</f>
        <v>0.029940119760478945</v>
      </c>
      <c r="J24" s="60">
        <f>J22/I22-1</f>
        <v>-0.0025884039503025758</v>
      </c>
    </row>
    <row r="25" ht="24">
      <c r="B25" s="17" t="s">
        <v>255</v>
      </c>
      <c r="C25" s="47">
        <f>C22-'Segment - Investment Servicing'!C259-'Segment - Investment Management'!C143</f>
        <v>0</v>
      </c>
      <c r="D25" s="47">
        <f>D22-'Segment - Investment Servicing'!D259-'Segment - Investment Management'!D143</f>
        <v>0</v>
      </c>
      <c r="E25" s="47">
        <f>E22-'Segment - Investment Servicing'!E259-'Segment - Investment Management'!E143</f>
        <v>0</v>
      </c>
      <c r="F25" s="47">
        <f>F22-'Segment - Investment Servicing'!F259-'Segment - Investment Management'!F143</f>
        <v>0</v>
      </c>
      <c r="G25" s="47">
        <f>G22-'Segment - Investment Servicing'!G259-'Segment - Investment Management'!G143</f>
        <v>0</v>
      </c>
      <c r="H25" s="47">
        <f>H22-'Segment - Investment Servicing'!H259-'Segment - Investment Management'!H143</f>
        <v>0</v>
      </c>
      <c r="I25" s="47">
        <f>I22-'Segment - Investment Servicing'!I259-'Segment - Investment Management'!I143</f>
        <v>0</v>
      </c>
      <c r="J25" s="61">
        <f>J22-'Segment - Investment Servicing'!J259-'Segment - Investment Management'!J143</f>
        <v>0</v>
      </c>
    </row>
    <row r="26" ht="24">
      <c r="B26" s="6" t="s">
        <v>256</v>
      </c>
      <c r="C26" s="18">
        <f>'Segment - Investment Servicing'!C270</f>
        <v>0</v>
      </c>
      <c r="D26" s="18">
        <f>'Segment - Investment Servicing'!D270</f>
        <v>0</v>
      </c>
      <c r="E26" s="18">
        <f>'Segment - Investment Servicing'!E270</f>
        <v>1</v>
      </c>
      <c r="F26" s="18">
        <f>'Segment - Investment Servicing'!F270</f>
        <v>3</v>
      </c>
      <c r="G26" s="18">
        <f>'Segment - Investment Servicing'!G270</f>
        <v>4</v>
      </c>
      <c r="H26" s="18">
        <f>'Segment - Investment Servicing'!H270</f>
        <v>1</v>
      </c>
      <c r="I26" s="18">
        <f>'Segment - Investment Servicing'!I270</f>
        <v>0</v>
      </c>
      <c r="J26" s="100">
        <f>'Segment - Investment Servicing'!J270</f>
        <v>0</v>
      </c>
    </row>
    <row r="27">
      <c r="B27" s="19" t="s">
        <v>44</v>
      </c>
      <c r="C27" s="38">
        <f>C16+C22+C26</f>
        <v>3284</v>
      </c>
      <c r="D27" s="38">
        <f>D16+D22+D26</f>
        <v>3448</v>
      </c>
      <c r="E27" s="38">
        <f>E16+E22+E26</f>
        <v>3545</v>
      </c>
      <c r="F27" s="38">
        <f>F16+F22+F26</f>
        <v>3667</v>
      </c>
      <c r="G27" s="38">
        <f>G16+G22+G26</f>
        <v>13944</v>
      </c>
      <c r="H27" s="38">
        <f>H16+H22+H26</f>
        <v>3796</v>
      </c>
      <c r="I27" s="38">
        <f>I16+I22+I26</f>
        <v>4048</v>
      </c>
      <c r="J27" s="63">
        <f>J16+J22+J26</f>
        <v>4071.730282739726</v>
      </c>
    </row>
    <row r="28">
      <c r="B28" s="58" t="s">
        <v>69</v>
      </c>
      <c r="C28" s="26"/>
      <c r="D28" s="26"/>
      <c r="E28" s="26"/>
      <c r="F28" s="26"/>
      <c r="G28" s="26"/>
      <c r="H28" s="26">
        <f>H27/C27-1</f>
        <v>0.1559074299634593</v>
      </c>
      <c r="I28" s="26">
        <f>I27/D27-1</f>
        <v>0.17401392111368907</v>
      </c>
      <c r="J28" s="60">
        <f>J27/E27-1</f>
        <v>0.14858400077284228</v>
      </c>
    </row>
    <row r="29">
      <c r="B29" s="58" t="s">
        <v>70</v>
      </c>
      <c r="C29" s="26"/>
      <c r="D29" s="26">
        <f>D27/C27-1</f>
        <v>0.04993909866017043</v>
      </c>
      <c r="E29" s="26">
        <f>E27/D27-1</f>
        <v>0.028132250580046314</v>
      </c>
      <c r="F29" s="26">
        <f>F27/E27-1</f>
        <v>0.03441466854724973</v>
      </c>
      <c r="G29" s="26"/>
      <c r="H29" s="26">
        <f>H27/F27-1</f>
        <v>0.03517862012544315</v>
      </c>
      <c r="I29" s="26">
        <f>I27/H27-1</f>
        <v>0.06638566912539523</v>
      </c>
      <c r="J29" s="60">
        <f>J27/I27-1</f>
        <v>0.005862223996967897</v>
      </c>
    </row>
    <row r="30">
      <c r="B30" s="2" t="s">
        <v>203</v>
      </c>
      <c r="C30" s="12">
        <f>'Segment - Investment Servicing'!C286</f>
        <v>12</v>
      </c>
      <c r="D30" s="12">
        <f>'Segment - Investment Servicing'!D286</f>
        <v>30</v>
      </c>
      <c r="E30" s="12">
        <f>'Segment - Investment Servicing'!E286</f>
        <v>9</v>
      </c>
      <c r="F30" s="12">
        <f>'Segment - Investment Servicing'!F286</f>
        <v>8</v>
      </c>
      <c r="G30" s="12">
        <f>'Segment - Investment Servicing'!G286</f>
        <v>59</v>
      </c>
      <c r="H30" s="12">
        <f>'Segment - Investment Servicing'!H286</f>
        <v>16</v>
      </c>
      <c r="I30" s="12">
        <f>'Segment - Investment Servicing'!I286</f>
        <v>0</v>
      </c>
      <c r="J30" s="48">
        <f>'Segment - Investment Servicing'!J286</f>
        <v>10</v>
      </c>
    </row>
    <row r="31">
      <c r="B31" s="19" t="s">
        <v>257</v>
      </c>
      <c r="C31" s="2"/>
      <c r="D31" s="2"/>
      <c r="E31" s="2"/>
      <c r="F31" s="2"/>
      <c r="G31" s="2"/>
      <c r="H31" s="2"/>
      <c r="I31" s="2"/>
      <c r="J31" s="2"/>
    </row>
    <row r="32" ht="13.5">
      <c r="B32" s="83" t="s">
        <v>258</v>
      </c>
      <c r="C32" s="59">
        <v>1262</v>
      </c>
      <c r="D32" s="59">
        <v>1280</v>
      </c>
      <c r="E32" s="59">
        <v>1162</v>
      </c>
      <c r="F32" s="59">
        <v>1331</v>
      </c>
      <c r="G32" s="25">
        <f>SUM(C32:F32)</f>
        <v>5035</v>
      </c>
      <c r="H32" s="59">
        <v>1441</v>
      </c>
      <c r="I32" s="59">
        <v>1292</v>
      </c>
      <c r="J32" s="86">
        <f>I32*(1+J35)</f>
        <v>1295.8759999999997</v>
      </c>
    </row>
    <row r="33">
      <c r="B33" s="53" t="s">
        <v>69</v>
      </c>
      <c r="C33" s="26"/>
      <c r="D33" s="26"/>
      <c r="E33" s="26"/>
      <c r="F33" s="26"/>
      <c r="G33" s="26"/>
      <c r="H33" s="26">
        <f>H32/C32-1</f>
        <v>0.14183835182250393</v>
      </c>
      <c r="I33" s="26">
        <f>I32/D32-1</f>
        <v>0.009374999999999911</v>
      </c>
      <c r="J33" s="60">
        <f>J32/E32-1</f>
        <v>0.11521170395869174</v>
      </c>
    </row>
    <row r="34">
      <c r="B34" s="76" t="s">
        <v>86</v>
      </c>
      <c r="C34" s="3"/>
      <c r="D34" s="3">
        <f>D32-C32</f>
        <v>18</v>
      </c>
      <c r="E34" s="3">
        <f>E32-D32</f>
        <v>-118</v>
      </c>
      <c r="F34" s="3">
        <f>F32-E32</f>
        <v>169</v>
      </c>
      <c r="G34" s="3"/>
      <c r="H34" s="3">
        <f>H32-F32</f>
        <v>110</v>
      </c>
      <c r="I34" s="3">
        <f>I32-H32</f>
        <v>-149</v>
      </c>
      <c r="J34" s="57">
        <f>J32-I32</f>
        <v>3.875999999999749</v>
      </c>
    </row>
    <row r="35">
      <c r="B35" s="53" t="s">
        <v>259</v>
      </c>
      <c r="C35" s="26"/>
      <c r="D35" s="26">
        <f>D32/C32-1</f>
        <v>0.014263074484944571</v>
      </c>
      <c r="E35" s="26">
        <f>E32/D32-1</f>
        <v>-0.09218749999999998</v>
      </c>
      <c r="F35" s="26">
        <f>F32/E32-1</f>
        <v>0.1454388984509467</v>
      </c>
      <c r="G35" s="26"/>
      <c r="H35" s="26">
        <f>H32/F32-1</f>
        <v>0.0826446280991735</v>
      </c>
      <c r="I35" s="26">
        <f>I32/H32-1</f>
        <v>-0.10340041637751562</v>
      </c>
      <c r="J35" s="92">
        <v>0.003</v>
      </c>
    </row>
    <row r="36" ht="24">
      <c r="B36" s="83" t="s">
        <v>260</v>
      </c>
      <c r="C36" s="59">
        <v>497</v>
      </c>
      <c r="D36" s="59">
        <v>523</v>
      </c>
      <c r="E36" s="59">
        <v>517</v>
      </c>
      <c r="F36" s="59">
        <v>557</v>
      </c>
      <c r="G36" s="25">
        <f>SUM(C36:F36)</f>
        <v>2094</v>
      </c>
      <c r="H36" s="59">
        <v>637</v>
      </c>
      <c r="I36" s="59">
        <v>589</v>
      </c>
      <c r="J36" s="86">
        <f>I36*(1+J39)</f>
        <v>594.89</v>
      </c>
    </row>
    <row r="37">
      <c r="B37" s="53" t="s">
        <v>69</v>
      </c>
      <c r="C37" s="26"/>
      <c r="D37" s="26"/>
      <c r="E37" s="26"/>
      <c r="F37" s="26"/>
      <c r="G37" s="26"/>
      <c r="H37" s="26">
        <f>H36/C36-1</f>
        <v>0.2816901408450705</v>
      </c>
      <c r="I37" s="26">
        <f>I36/D36-1</f>
        <v>0.12619502868068833</v>
      </c>
      <c r="J37" s="60">
        <f>J36/E36-1</f>
        <v>0.15065764023210826</v>
      </c>
    </row>
    <row r="38">
      <c r="B38" s="76" t="s">
        <v>86</v>
      </c>
      <c r="C38" s="3"/>
      <c r="D38" s="3">
        <f>D36-C36</f>
        <v>26</v>
      </c>
      <c r="E38" s="3">
        <f>E36-D36</f>
        <v>-6</v>
      </c>
      <c r="F38" s="3">
        <f>F36-E36</f>
        <v>40</v>
      </c>
      <c r="G38" s="3"/>
      <c r="H38" s="3">
        <f>H36-F36</f>
        <v>80</v>
      </c>
      <c r="I38" s="3">
        <f>I36-H36</f>
        <v>-48</v>
      </c>
      <c r="J38" s="57">
        <f>J36-I36</f>
        <v>5.889999999999986</v>
      </c>
    </row>
    <row r="39">
      <c r="B39" s="53" t="s">
        <v>259</v>
      </c>
      <c r="C39" s="26"/>
      <c r="D39" s="26">
        <f>D36/C36-1</f>
        <v>0.05231388329979869</v>
      </c>
      <c r="E39" s="26">
        <f>E36/D36-1</f>
        <v>-0.01147227533460804</v>
      </c>
      <c r="F39" s="26">
        <f>F36/E36-1</f>
        <v>0.07736943907156668</v>
      </c>
      <c r="G39" s="26"/>
      <c r="H39" s="26">
        <f>H36/F36-1</f>
        <v>0.14362657091561948</v>
      </c>
      <c r="I39" s="26">
        <f>I36/H36-1</f>
        <v>-0.07535321821036112</v>
      </c>
      <c r="J39" s="92">
        <v>0.01</v>
      </c>
    </row>
    <row r="40">
      <c r="B40" s="50" t="s">
        <v>261</v>
      </c>
      <c r="C40" s="46">
        <v>258</v>
      </c>
      <c r="D40" s="46">
        <v>260</v>
      </c>
      <c r="E40" s="46">
        <v>276</v>
      </c>
      <c r="F40" s="46">
        <v>256</v>
      </c>
      <c r="G40" s="3">
        <f>SUM(C40:F40)</f>
        <v>1050</v>
      </c>
      <c r="H40" s="46">
        <v>283</v>
      </c>
      <c r="I40" s="46">
        <v>280</v>
      </c>
      <c r="J40" s="57">
        <f>I40*(1+J43)</f>
        <v>282.8</v>
      </c>
    </row>
    <row r="41">
      <c r="B41" s="53" t="s">
        <v>69</v>
      </c>
      <c r="C41" s="26"/>
      <c r="D41" s="26"/>
      <c r="E41" s="26"/>
      <c r="F41" s="26"/>
      <c r="G41" s="26"/>
      <c r="H41" s="26">
        <f>H40/C40-1</f>
        <v>0.0968992248062015</v>
      </c>
      <c r="I41" s="26">
        <f>I40/D40-1</f>
        <v>0.07692307692307687</v>
      </c>
      <c r="J41" s="60">
        <f>J40/E40-1</f>
        <v>0.02463768115942022</v>
      </c>
    </row>
    <row r="42">
      <c r="B42" s="76" t="s">
        <v>86</v>
      </c>
      <c r="C42" s="3"/>
      <c r="D42" s="3">
        <f>D40-C40</f>
        <v>2</v>
      </c>
      <c r="E42" s="3">
        <f>E40-D40</f>
        <v>16</v>
      </c>
      <c r="F42" s="3">
        <f>F40-E40</f>
        <v>-20</v>
      </c>
      <c r="G42" s="3"/>
      <c r="H42" s="3">
        <f>H40-F40</f>
        <v>27</v>
      </c>
      <c r="I42" s="3">
        <f>I40-H40</f>
        <v>-3</v>
      </c>
      <c r="J42" s="57">
        <f>J40-I40</f>
        <v>2.8000000000000114</v>
      </c>
    </row>
    <row r="43">
      <c r="B43" s="53" t="s">
        <v>259</v>
      </c>
      <c r="C43" s="26"/>
      <c r="D43" s="26">
        <f>D40/C40-1</f>
        <v>0.007751937984496138</v>
      </c>
      <c r="E43" s="26">
        <f>E40/D40-1</f>
        <v>0.06153846153846154</v>
      </c>
      <c r="F43" s="26">
        <f>F40/E40-1</f>
        <v>-0.07246376811594202</v>
      </c>
      <c r="G43" s="26"/>
      <c r="H43" s="26">
        <f>H40/F40-1</f>
        <v>0.10546875</v>
      </c>
      <c r="I43" s="26">
        <f>I40/H40-1</f>
        <v>-0.010600706713780883</v>
      </c>
      <c r="J43" s="92">
        <v>0.01</v>
      </c>
    </row>
    <row r="44">
      <c r="B44" s="50" t="s">
        <v>262</v>
      </c>
      <c r="C44" s="46">
        <v>103</v>
      </c>
      <c r="D44" s="46">
        <v>105</v>
      </c>
      <c r="E44" s="46">
        <v>106</v>
      </c>
      <c r="F44" s="46">
        <v>173</v>
      </c>
      <c r="G44" s="3">
        <f>SUM(C44:F44)</f>
        <v>487</v>
      </c>
      <c r="H44" s="46">
        <v>101</v>
      </c>
      <c r="I44" s="46">
        <v>96</v>
      </c>
      <c r="J44" s="57">
        <f>I44*(1+J47)</f>
        <v>96.96000000000001</v>
      </c>
    </row>
    <row r="45">
      <c r="B45" s="53" t="s">
        <v>69</v>
      </c>
      <c r="C45" s="26"/>
      <c r="D45" s="26"/>
      <c r="E45" s="26"/>
      <c r="F45" s="26"/>
      <c r="G45" s="26"/>
      <c r="H45" s="26">
        <f>H44/C44-1</f>
        <v>-0.01941747572815533</v>
      </c>
      <c r="I45" s="26">
        <f>I44/D44-1</f>
        <v>-0.08571428571428574</v>
      </c>
      <c r="J45" s="60">
        <f>J44/E44-1</f>
        <v>-0.08528301886792444</v>
      </c>
    </row>
    <row r="46">
      <c r="B46" s="76" t="s">
        <v>86</v>
      </c>
      <c r="C46" s="3"/>
      <c r="D46" s="3">
        <f>D44-C44</f>
        <v>2</v>
      </c>
      <c r="E46" s="3">
        <f>E44-D44</f>
        <v>1</v>
      </c>
      <c r="F46" s="3">
        <f>F44-E44</f>
        <v>67</v>
      </c>
      <c r="G46" s="3"/>
      <c r="H46" s="3">
        <f>H44-F44</f>
        <v>-72</v>
      </c>
      <c r="I46" s="3">
        <f>I44-H44</f>
        <v>-5</v>
      </c>
      <c r="J46" s="57">
        <f>J44-I44</f>
        <v>0.960000000000008</v>
      </c>
    </row>
    <row r="47">
      <c r="B47" s="53" t="s">
        <v>259</v>
      </c>
      <c r="C47" s="26"/>
      <c r="D47" s="26">
        <f>D44/C44-1</f>
        <v>0.01941747572815533</v>
      </c>
      <c r="E47" s="26">
        <f>E44/D44-1</f>
        <v>0.00952380952380949</v>
      </c>
      <c r="F47" s="26">
        <f>F44/E44-1</f>
        <v>0.6320754716981132</v>
      </c>
      <c r="G47" s="26"/>
      <c r="H47" s="26">
        <f>H44/F44-1</f>
        <v>-0.4161849710982659</v>
      </c>
      <c r="I47" s="26">
        <f>I44/H44-1</f>
        <v>-0.04950495049504955</v>
      </c>
      <c r="J47" s="92">
        <v>0.01</v>
      </c>
    </row>
    <row r="48">
      <c r="B48" s="50" t="s">
        <v>263</v>
      </c>
      <c r="C48" s="46">
        <v>330</v>
      </c>
      <c r="D48" s="46">
        <v>361</v>
      </c>
      <c r="E48" s="46">
        <v>373</v>
      </c>
      <c r="F48" s="46">
        <v>424</v>
      </c>
      <c r="G48" s="3">
        <f>SUM(C48:F48)</f>
        <v>1488</v>
      </c>
      <c r="H48" s="46">
        <v>349</v>
      </c>
      <c r="I48" s="46">
        <v>402</v>
      </c>
      <c r="J48" s="57">
        <f>I48*(1+J51)</f>
        <v>395.166</v>
      </c>
    </row>
    <row r="49">
      <c r="B49" s="53" t="s">
        <v>69</v>
      </c>
      <c r="C49" s="26"/>
      <c r="D49" s="26"/>
      <c r="E49" s="26"/>
      <c r="F49" s="26"/>
      <c r="G49" s="26"/>
      <c r="H49" s="26">
        <f>H48/C48-1</f>
        <v>0.05757575757575761</v>
      </c>
      <c r="I49" s="26">
        <f>I48/D48-1</f>
        <v>0.11357340720221609</v>
      </c>
      <c r="J49" s="60">
        <f>J48/E48-1</f>
        <v>0.05942627345844498</v>
      </c>
    </row>
    <row r="50">
      <c r="B50" s="76" t="s">
        <v>86</v>
      </c>
      <c r="C50" s="3"/>
      <c r="D50" s="3">
        <f>D48-C48</f>
        <v>31</v>
      </c>
      <c r="E50" s="3">
        <f>E48-D48</f>
        <v>12</v>
      </c>
      <c r="F50" s="3">
        <f>F48-E48</f>
        <v>51</v>
      </c>
      <c r="G50" s="3"/>
      <c r="H50" s="3">
        <f>H48-F48</f>
        <v>-75</v>
      </c>
      <c r="I50" s="3">
        <f>I48-H48</f>
        <v>53</v>
      </c>
      <c r="J50" s="57">
        <f>J48-I48</f>
        <v>-6.834000000000003</v>
      </c>
    </row>
    <row r="51">
      <c r="B51" s="53" t="s">
        <v>259</v>
      </c>
      <c r="C51" s="26"/>
      <c r="D51" s="26">
        <f>D48/C48-1</f>
        <v>0.09393939393939399</v>
      </c>
      <c r="E51" s="26">
        <f>E48/D48-1</f>
        <v>0.0332409972299168</v>
      </c>
      <c r="F51" s="26">
        <f>F48/E48-1</f>
        <v>0.13672922252010733</v>
      </c>
      <c r="G51" s="26"/>
      <c r="H51" s="26">
        <f>H48/F48-1</f>
        <v>-0.17688679245283023</v>
      </c>
      <c r="I51" s="26">
        <f>I48/H48-1</f>
        <v>0.151862464183381</v>
      </c>
      <c r="J51" s="92">
        <v>-0.017</v>
      </c>
    </row>
    <row r="52">
      <c r="B52" s="19" t="s">
        <v>264</v>
      </c>
      <c r="C52" s="38">
        <f>SUM(C32,C36,C40,C44,C48)</f>
        <v>2450</v>
      </c>
      <c r="D52" s="38">
        <f>SUM(D32,D36,D40,D44,D48)</f>
        <v>2529</v>
      </c>
      <c r="E52" s="38">
        <f>SUM(E32,E36,E40,E44,E48)</f>
        <v>2434</v>
      </c>
      <c r="F52" s="38">
        <f>SUM(F32,F36,F40,F44,F48)</f>
        <v>2741</v>
      </c>
      <c r="G52" s="38">
        <f>SUM(G32,G36,G40,G44,G48)</f>
        <v>10154</v>
      </c>
      <c r="H52" s="38">
        <f>SUM(H32,H36,H40,H44,H48)</f>
        <v>2811</v>
      </c>
      <c r="I52" s="38">
        <f>SUM(I32,I36,I40,I44,I48)</f>
        <v>2659</v>
      </c>
      <c r="J52" s="63">
        <f>SUM(J32,J36,J40,J44,J48)</f>
        <v>2665.692</v>
      </c>
    </row>
    <row r="53">
      <c r="B53" s="58" t="s">
        <v>69</v>
      </c>
      <c r="C53" s="26"/>
      <c r="D53" s="26"/>
      <c r="E53" s="26"/>
      <c r="F53" s="26"/>
      <c r="G53" s="26"/>
      <c r="H53" s="26">
        <f>H52/C52-1</f>
        <v>0.1473469387755102</v>
      </c>
      <c r="I53" s="26">
        <f>I52/D52-1</f>
        <v>0.05140371688414391</v>
      </c>
      <c r="J53" s="60">
        <f>J52/E52-1</f>
        <v>0.09518981101068191</v>
      </c>
    </row>
    <row r="54">
      <c r="B54" s="58" t="s">
        <v>70</v>
      </c>
      <c r="C54" s="26"/>
      <c r="D54" s="26">
        <f>D52/C52-1</f>
        <v>0.032244897959183616</v>
      </c>
      <c r="E54" s="26">
        <f>E52/D52-1</f>
        <v>-0.03756425464610513</v>
      </c>
      <c r="F54" s="26">
        <f>F52/E52-1</f>
        <v>0.1261298274445357</v>
      </c>
      <c r="G54" s="26"/>
      <c r="H54" s="26">
        <f>H52/F52-1</f>
        <v>0.02553812477198103</v>
      </c>
      <c r="I54" s="26">
        <f>I52/H52-1</f>
        <v>-0.05407328352899321</v>
      </c>
      <c r="J54" s="60">
        <f>J52/I52-1</f>
        <v>0.00251673561489274</v>
      </c>
    </row>
    <row r="55">
      <c r="B55" s="13" t="s">
        <v>265</v>
      </c>
      <c r="C55" s="26">
        <f>C52/C27</f>
        <v>0.7460414129110841</v>
      </c>
      <c r="D55" s="26">
        <f>D52/D27</f>
        <v>0.7334686774941995</v>
      </c>
      <c r="E55" s="26">
        <f>E52/E27</f>
        <v>0.6866008462623413</v>
      </c>
      <c r="F55" s="26">
        <f>F52/F27</f>
        <v>0.7474775020452686</v>
      </c>
      <c r="G55" s="26">
        <f>G52/G27</f>
        <v>0.7281985083189902</v>
      </c>
      <c r="H55" s="26">
        <f>H52/H27</f>
        <v>0.7405163329820864</v>
      </c>
      <c r="I55" s="26">
        <f>I52/I27</f>
        <v>0.6568675889328063</v>
      </c>
      <c r="J55" s="60">
        <f>J52/J27</f>
        <v>0.6546828534542195</v>
      </c>
    </row>
    <row r="56">
      <c r="B56" s="50" t="s">
        <v>116</v>
      </c>
      <c r="C56" s="20"/>
      <c r="D56" s="20">
        <f>(D55-C55)*10000</f>
        <v>-125.72735416884528</v>
      </c>
      <c r="E56" s="20">
        <f>(E55-D55)*10000</f>
        <v>-468.67831231858224</v>
      </c>
      <c r="F56" s="20">
        <f>(F55-E55)*10000</f>
        <v>608.7665578292733</v>
      </c>
      <c r="G56" s="20"/>
      <c r="H56" s="20">
        <f>(H55-F55)*10000</f>
        <v>-69.61169063182227</v>
      </c>
      <c r="I56" s="20">
        <f>(I55-H55)*10000</f>
        <v>-836.4874404928013</v>
      </c>
      <c r="J56" s="70">
        <f>(J55-I55)*10000</f>
        <v>-21.847354785867743</v>
      </c>
    </row>
    <row r="57">
      <c r="B57" s="50" t="s">
        <v>117</v>
      </c>
      <c r="C57" s="20" t="s">
        <v>46</v>
      </c>
      <c r="D57" s="20" t="s">
        <v>46</v>
      </c>
      <c r="E57" s="20" t="s">
        <v>46</v>
      </c>
      <c r="F57" s="20" t="s">
        <v>46</v>
      </c>
      <c r="G57" s="20" t="s">
        <v>46</v>
      </c>
      <c r="H57" s="20">
        <f>(H55-C55)*10000</f>
        <v>-55.25079928997645</v>
      </c>
      <c r="I57" s="20">
        <f>(I55-D55)*10000</f>
        <v>-766.0108856139325</v>
      </c>
      <c r="J57" s="70">
        <f>(J55-E55)*10000</f>
        <v>-319.17992808121795</v>
      </c>
    </row>
    <row r="58">
      <c r="B58" s="19" t="s">
        <v>266</v>
      </c>
      <c r="C58" s="49"/>
      <c r="D58" s="49"/>
      <c r="E58" s="49"/>
      <c r="F58" s="49"/>
      <c r="G58" s="49"/>
      <c r="H58" s="49"/>
      <c r="I58" s="49"/>
      <c r="J58" s="62"/>
    </row>
    <row r="59">
      <c r="B59" s="50" t="s">
        <v>79</v>
      </c>
      <c r="C59" s="12">
        <f>'Segment - Investment Servicing'!C289</f>
        <v>2019</v>
      </c>
      <c r="D59" s="12">
        <f>'Segment - Investment Servicing'!D289</f>
        <v>1995</v>
      </c>
      <c r="E59" s="12">
        <f>'Segment - Investment Servicing'!E289</f>
        <v>1994</v>
      </c>
      <c r="F59" s="12">
        <f>'Segment - Investment Servicing'!F289</f>
        <v>2048</v>
      </c>
      <c r="G59" s="12">
        <f>'Segment - Investment Servicing'!G289</f>
        <v>8056</v>
      </c>
      <c r="H59" s="12">
        <f>'Segment - Investment Servicing'!H289</f>
        <v>2189</v>
      </c>
      <c r="I59" s="12">
        <f>'Segment - Investment Servicing'!I289</f>
        <v>2162</v>
      </c>
      <c r="J59" s="48">
        <f>'Segment - Investment Servicing'!J289</f>
        <v>2160.692</v>
      </c>
    </row>
    <row r="60">
      <c r="B60" s="50" t="s">
        <v>83</v>
      </c>
      <c r="C60" s="12">
        <f>'Segment - Investment Management'!C160</f>
        <v>431</v>
      </c>
      <c r="D60" s="12">
        <f>'Segment - Investment Management'!D160</f>
        <v>417</v>
      </c>
      <c r="E60" s="12">
        <f>'Segment - Investment Management'!E160</f>
        <v>440</v>
      </c>
      <c r="F60" s="12">
        <f>'Segment - Investment Management'!F160</f>
        <v>487</v>
      </c>
      <c r="G60" s="12">
        <f>'Segment - Investment Management'!G160</f>
        <v>1775</v>
      </c>
      <c r="H60" s="12">
        <f>'Segment - Investment Management'!H160</f>
        <v>492</v>
      </c>
      <c r="I60" s="12">
        <f>'Segment - Investment Management'!I160</f>
        <v>497</v>
      </c>
      <c r="J60" s="48">
        <f>'Segment - Investment Management'!J160</f>
        <v>505</v>
      </c>
    </row>
    <row r="61" ht="24">
      <c r="B61" s="83" t="s">
        <v>267</v>
      </c>
      <c r="C61" s="25">
        <f>C97+C98+C99</f>
        <v>0</v>
      </c>
      <c r="D61" s="25">
        <f>D97+D98+D99</f>
        <v>117</v>
      </c>
      <c r="E61" s="25">
        <f>E97+E98+E99</f>
        <v>0</v>
      </c>
      <c r="F61" s="25">
        <f>F97+F98+F99</f>
        <v>206</v>
      </c>
      <c r="G61" s="25">
        <f>G97+G98+G99</f>
        <v>323</v>
      </c>
      <c r="H61" s="25">
        <f>H97+H98+H99</f>
        <v>130</v>
      </c>
      <c r="I61" s="25">
        <f>I97+I98+I99</f>
        <v>0</v>
      </c>
      <c r="J61" s="86">
        <f>J97+J98+J99</f>
        <v>0</v>
      </c>
    </row>
    <row r="62" ht="13.5">
      <c r="B62" s="43" t="s">
        <v>268</v>
      </c>
      <c r="C62" s="33">
        <f>C59+C60+C61</f>
        <v>2450</v>
      </c>
      <c r="D62" s="33">
        <f>D59+D60+D61</f>
        <v>2529</v>
      </c>
      <c r="E62" s="33">
        <f>E59+E60+E61</f>
        <v>2434</v>
      </c>
      <c r="F62" s="33">
        <f>F59+F60+F61</f>
        <v>2741</v>
      </c>
      <c r="G62" s="33">
        <f>G59+G60+G61</f>
        <v>10154</v>
      </c>
      <c r="H62" s="33">
        <f>H59+H60+H61</f>
        <v>2811</v>
      </c>
      <c r="I62" s="33">
        <f>I59+I60+I61</f>
        <v>2659</v>
      </c>
      <c r="J62" s="91">
        <f>J59+J60+J61</f>
        <v>2665.692</v>
      </c>
    </row>
    <row r="63" ht="24">
      <c r="B63" s="17" t="s">
        <v>269</v>
      </c>
      <c r="C63" s="5">
        <f>C62-C52</f>
        <v>0</v>
      </c>
      <c r="D63" s="5">
        <f>D62-D52</f>
        <v>0</v>
      </c>
      <c r="E63" s="5">
        <f>E62-E52</f>
        <v>0</v>
      </c>
      <c r="F63" s="5">
        <f>F62-F52</f>
        <v>0</v>
      </c>
      <c r="G63" s="5">
        <f>G62-G52</f>
        <v>0</v>
      </c>
      <c r="H63" s="5">
        <f>H62-H52</f>
        <v>0</v>
      </c>
      <c r="I63" s="5">
        <f>I62-I52</f>
        <v>0</v>
      </c>
      <c r="J63" s="64">
        <f>J62-J52</f>
        <v>0</v>
      </c>
    </row>
    <row r="64">
      <c r="B64" s="19" t="s">
        <v>270</v>
      </c>
      <c r="C64" s="2"/>
      <c r="D64" s="2"/>
      <c r="E64" s="2"/>
      <c r="F64" s="2"/>
      <c r="G64" s="2"/>
      <c r="H64" s="2"/>
      <c r="I64" s="2"/>
      <c r="J64" s="2"/>
    </row>
    <row r="65">
      <c r="B65" s="19" t="s">
        <v>271</v>
      </c>
      <c r="C65" s="38">
        <f>C27-C30-C52</f>
        <v>822</v>
      </c>
      <c r="D65" s="38">
        <f>D27-D30-D52</f>
        <v>889</v>
      </c>
      <c r="E65" s="38">
        <f>E27-E30-E52</f>
        <v>1102</v>
      </c>
      <c r="F65" s="38">
        <f>F27-F30-F52</f>
        <v>918</v>
      </c>
      <c r="G65" s="38">
        <f>G27-G30-G52</f>
        <v>3731</v>
      </c>
      <c r="H65" s="38">
        <f>H27-H30-H52</f>
        <v>969</v>
      </c>
      <c r="I65" s="38">
        <f>I27-I30-I52</f>
        <v>1389</v>
      </c>
      <c r="J65" s="63">
        <f>J27-J30-J52</f>
        <v>1396.0382827397261</v>
      </c>
    </row>
    <row r="66">
      <c r="B66" s="58" t="s">
        <v>69</v>
      </c>
      <c r="C66" s="26"/>
      <c r="D66" s="26"/>
      <c r="E66" s="26"/>
      <c r="F66" s="26"/>
      <c r="G66" s="26"/>
      <c r="H66" s="26">
        <f>H65/C65-1</f>
        <v>0.17883211678832112</v>
      </c>
      <c r="I66" s="26">
        <f>I65/D65-1</f>
        <v>0.562429696287964</v>
      </c>
      <c r="J66" s="60">
        <f>J65/E65-1</f>
        <v>0.26682239813042297</v>
      </c>
    </row>
    <row r="67">
      <c r="B67" s="13" t="s">
        <v>206</v>
      </c>
      <c r="C67" s="26">
        <f>C65/C27</f>
        <v>0.2503045066991474</v>
      </c>
      <c r="D67" s="26">
        <f>D65/D27</f>
        <v>0.257830626450116</v>
      </c>
      <c r="E67" s="26">
        <f>E65/E27</f>
        <v>0.3108603667136812</v>
      </c>
      <c r="F67" s="26">
        <f>F65/F27</f>
        <v>0.25034087810199074</v>
      </c>
      <c r="G67" s="26">
        <f>G65/G27</f>
        <v>0.267570281124498</v>
      </c>
      <c r="H67" s="26">
        <f>H65/H27</f>
        <v>0.2552687038988409</v>
      </c>
      <c r="I67" s="26">
        <f>I65/I27</f>
        <v>0.34313241106719367</v>
      </c>
      <c r="J67" s="60">
        <f>J65/J27</f>
        <v>0.342861188192549</v>
      </c>
    </row>
    <row r="68">
      <c r="B68" s="50" t="s">
        <v>116</v>
      </c>
      <c r="C68" s="20"/>
      <c r="D68" s="20">
        <f>(D67-C67)*10000</f>
        <v>75.26119750968618</v>
      </c>
      <c r="E68" s="20">
        <f>(E67-D67)*10000</f>
        <v>530.2974026356521</v>
      </c>
      <c r="F68" s="20">
        <f>(F67-E67)*10000</f>
        <v>-605.1948861169049</v>
      </c>
      <c r="G68" s="20"/>
      <c r="H68" s="20">
        <f>(H67-F67)*10000</f>
        <v>49.27825796850138</v>
      </c>
      <c r="I68" s="20">
        <f>(I67-H67)*10000</f>
        <v>878.6370716835279</v>
      </c>
      <c r="J68" s="70">
        <f>(J67-I67)*10000</f>
        <v>-2.712228746446499</v>
      </c>
    </row>
    <row r="69">
      <c r="B69" s="50" t="s">
        <v>117</v>
      </c>
      <c r="C69" s="20" t="s">
        <v>46</v>
      </c>
      <c r="D69" s="20" t="s">
        <v>46</v>
      </c>
      <c r="E69" s="20" t="s">
        <v>46</v>
      </c>
      <c r="F69" s="20" t="s">
        <v>46</v>
      </c>
      <c r="G69" s="20" t="s">
        <v>46</v>
      </c>
      <c r="H69" s="20">
        <f>(H67-C67)*10000</f>
        <v>49.64197199693488</v>
      </c>
      <c r="I69" s="20">
        <f>(I67-D67)*10000</f>
        <v>853.0178461707766</v>
      </c>
      <c r="J69" s="70">
        <f>(J67-E67)*10000</f>
        <v>320.0082147886779</v>
      </c>
    </row>
    <row r="70">
      <c r="B70" s="2" t="s">
        <v>272</v>
      </c>
      <c r="C70" s="46">
        <v>178</v>
      </c>
      <c r="D70" s="46">
        <v>196</v>
      </c>
      <c r="E70" s="46">
        <v>241</v>
      </c>
      <c r="F70" s="46">
        <v>171</v>
      </c>
      <c r="G70" s="3">
        <f>SUM(C70:F70)</f>
        <v>786</v>
      </c>
      <c r="H70" s="46">
        <v>205</v>
      </c>
      <c r="I70" s="46">
        <v>305</v>
      </c>
      <c r="J70" s="57">
        <f>J65*J71</f>
        <v>305.73238392</v>
      </c>
    </row>
    <row r="71" ht="24">
      <c r="B71" s="17" t="s">
        <v>273</v>
      </c>
      <c r="C71" s="80">
        <f>C70/C65</f>
        <v>0.21654501216545013</v>
      </c>
      <c r="D71" s="80">
        <f>D70/D65</f>
        <v>0.2204724409448819</v>
      </c>
      <c r="E71" s="80">
        <f>E70/E65</f>
        <v>0.21869328493647913</v>
      </c>
      <c r="F71" s="80">
        <f>F70/F65</f>
        <v>0.18627450980392157</v>
      </c>
      <c r="G71" s="80">
        <f>G70/G65</f>
        <v>0.21066738139908872</v>
      </c>
      <c r="H71" s="80">
        <f>H70/H65</f>
        <v>0.21155830753353974</v>
      </c>
      <c r="I71" s="80">
        <f>I70/I65</f>
        <v>0.21958243340532757</v>
      </c>
      <c r="J71" s="102">
        <v>0.219</v>
      </c>
    </row>
    <row r="72">
      <c r="B72" s="50" t="s">
        <v>116</v>
      </c>
      <c r="C72" s="20"/>
      <c r="D72" s="20">
        <f>(D71-C71)*10000</f>
        <v>39.274287794317516</v>
      </c>
      <c r="E72" s="20">
        <f>(E71-D71)*10000</f>
        <v>-17.791560084027548</v>
      </c>
      <c r="F72" s="20">
        <f>(F71-E71)*10000</f>
        <v>-324.1877513255756</v>
      </c>
      <c r="G72" s="20"/>
      <c r="H72" s="20">
        <f>(H71-F71)*10000</f>
        <v>252.8379772961817</v>
      </c>
      <c r="I72" s="20">
        <f>(I71-H71)*10000</f>
        <v>80.2412587178783</v>
      </c>
      <c r="J72" s="70">
        <f>(J71-I71)*10000</f>
        <v>-5.824334053275704</v>
      </c>
    </row>
    <row r="73">
      <c r="B73" s="50" t="s">
        <v>117</v>
      </c>
      <c r="C73" s="20" t="s">
        <v>46</v>
      </c>
      <c r="D73" s="20" t="s">
        <v>46</v>
      </c>
      <c r="E73" s="20" t="s">
        <v>46</v>
      </c>
      <c r="F73" s="20" t="s">
        <v>46</v>
      </c>
      <c r="G73" s="20" t="s">
        <v>46</v>
      </c>
      <c r="H73" s="20">
        <f>(H71-C71)*10000</f>
        <v>-49.867046319103935</v>
      </c>
      <c r="I73" s="20">
        <f>(I71-D71)*10000</f>
        <v>-8.900075395543162</v>
      </c>
      <c r="J73" s="70">
        <f>(J71-E71)*10000</f>
        <v>3.067150635208682</v>
      </c>
    </row>
    <row r="74">
      <c r="B74" s="19" t="s">
        <v>274</v>
      </c>
      <c r="C74" s="38">
        <f>C65-C70</f>
        <v>644</v>
      </c>
      <c r="D74" s="38">
        <f>D65-D70</f>
        <v>693</v>
      </c>
      <c r="E74" s="38">
        <f>E65-E70</f>
        <v>861</v>
      </c>
      <c r="F74" s="38">
        <f>F65-F70</f>
        <v>747</v>
      </c>
      <c r="G74" s="38">
        <f>G65-G70</f>
        <v>2945</v>
      </c>
      <c r="H74" s="38">
        <f>H65-H70</f>
        <v>764</v>
      </c>
      <c r="I74" s="38">
        <f>I65-I70</f>
        <v>1084</v>
      </c>
      <c r="J74" s="63">
        <f>J65-J70</f>
        <v>1090.305898819726</v>
      </c>
    </row>
    <row r="75">
      <c r="B75" s="58" t="s">
        <v>69</v>
      </c>
      <c r="C75" s="26"/>
      <c r="D75" s="26"/>
      <c r="E75" s="26"/>
      <c r="F75" s="26"/>
      <c r="G75" s="26"/>
      <c r="H75" s="26">
        <f>H74/C74-1</f>
        <v>0.18633540372670798</v>
      </c>
      <c r="I75" s="26">
        <f>I74/D74-1</f>
        <v>0.5642135642135642</v>
      </c>
      <c r="J75" s="60">
        <f>J74/E74-1</f>
        <v>0.2663250857371964</v>
      </c>
    </row>
    <row r="76">
      <c r="B76" s="13" t="s">
        <v>275</v>
      </c>
      <c r="C76" s="26">
        <f>C74/C27</f>
        <v>0.1961023142509135</v>
      </c>
      <c r="D76" s="26">
        <f>D74/D27</f>
        <v>0.2009860788863109</v>
      </c>
      <c r="E76" s="26">
        <f>E74/E27</f>
        <v>0.24287729196050775</v>
      </c>
      <c r="F76" s="26">
        <f>F74/F27</f>
        <v>0.20370875374965913</v>
      </c>
      <c r="G76" s="26">
        <f>G74/G27</f>
        <v>0.21120195065978198</v>
      </c>
      <c r="H76" s="26">
        <f>H74/H27</f>
        <v>0.20126448893572182</v>
      </c>
      <c r="I76" s="26">
        <f>I74/I27</f>
        <v>0.26778656126482214</v>
      </c>
      <c r="J76" s="60">
        <f>J74/J27</f>
        <v>0.2677745879783808</v>
      </c>
    </row>
    <row r="77">
      <c r="B77" s="50" t="s">
        <v>116</v>
      </c>
      <c r="C77" s="20"/>
      <c r="D77" s="20">
        <f>(D76-C76)*10000</f>
        <v>48.83764635397386</v>
      </c>
      <c r="E77" s="20">
        <f>(E76-D76)*10000</f>
        <v>418.91213074196855</v>
      </c>
      <c r="F77" s="20">
        <f>(F76-E76)*10000</f>
        <v>-391.6853821084862</v>
      </c>
      <c r="G77" s="20"/>
      <c r="H77" s="20">
        <f>(H76-F76)*10000</f>
        <v>-24.44264813937308</v>
      </c>
      <c r="I77" s="20">
        <f>(I76-H76)*10000</f>
        <v>665.2207232910032</v>
      </c>
      <c r="J77" s="70">
        <f>(J76-I76)*10000</f>
        <v>-0.1197328644136908</v>
      </c>
    </row>
    <row r="78">
      <c r="B78" s="50" t="s">
        <v>117</v>
      </c>
      <c r="C78" s="20" t="s">
        <v>46</v>
      </c>
      <c r="D78" s="20" t="s">
        <v>46</v>
      </c>
      <c r="E78" s="20" t="s">
        <v>46</v>
      </c>
      <c r="F78" s="20" t="s">
        <v>46</v>
      </c>
      <c r="G78" s="20" t="s">
        <v>46</v>
      </c>
      <c r="H78" s="20">
        <f>(H76-C76)*10000</f>
        <v>51.62174684808313</v>
      </c>
      <c r="I78" s="20">
        <f>(I76-D76)*10000</f>
        <v>668.0048237851124</v>
      </c>
      <c r="J78" s="70">
        <f>(J76-E76)*10000</f>
        <v>248.9729601787302</v>
      </c>
    </row>
    <row r="79">
      <c r="B79" s="2" t="s">
        <v>276</v>
      </c>
      <c r="C79" s="46">
        <v>46</v>
      </c>
      <c r="D79" s="46">
        <v>63</v>
      </c>
      <c r="E79" s="46">
        <v>58</v>
      </c>
      <c r="F79" s="46">
        <v>59</v>
      </c>
      <c r="G79" s="3">
        <f>SUM(C79:F79)</f>
        <v>226</v>
      </c>
      <c r="H79" s="46">
        <v>58</v>
      </c>
      <c r="I79" s="46">
        <v>58</v>
      </c>
      <c r="J79" s="96">
        <v>58</v>
      </c>
    </row>
    <row r="80">
      <c r="B80" s="50" t="s">
        <v>113</v>
      </c>
      <c r="C80" s="3"/>
      <c r="D80" s="3"/>
      <c r="E80" s="3"/>
      <c r="F80" s="3"/>
      <c r="G80" s="3"/>
      <c r="H80" s="3">
        <f>H79-C79</f>
        <v>12</v>
      </c>
      <c r="I80" s="3">
        <f>I79-D79</f>
        <v>-5</v>
      </c>
      <c r="J80" s="57">
        <f>J79-E79</f>
        <v>0</v>
      </c>
    </row>
    <row r="81">
      <c r="B81" s="50" t="s">
        <v>119</v>
      </c>
      <c r="C81" s="3"/>
      <c r="D81" s="3">
        <f>D79-C79</f>
        <v>17</v>
      </c>
      <c r="E81" s="3">
        <f>E79-D79</f>
        <v>-5</v>
      </c>
      <c r="F81" s="3">
        <f>F79-E79</f>
        <v>1</v>
      </c>
      <c r="G81" s="3"/>
      <c r="H81" s="3">
        <f>H79-F79</f>
        <v>-1</v>
      </c>
      <c r="I81" s="3">
        <f>I79-H79</f>
        <v>0</v>
      </c>
      <c r="J81" s="57">
        <f>J79-I79</f>
        <v>0</v>
      </c>
    </row>
    <row r="82" ht="24">
      <c r="B82" s="6" t="s">
        <v>277</v>
      </c>
      <c r="C82" s="59">
        <v>1</v>
      </c>
      <c r="D82" s="59">
        <v>0</v>
      </c>
      <c r="E82" s="59">
        <v>1</v>
      </c>
      <c r="F82" s="59">
        <v>0</v>
      </c>
      <c r="G82" s="25">
        <f>SUM(C82:F82)</f>
        <v>2</v>
      </c>
      <c r="H82" s="59">
        <v>1</v>
      </c>
      <c r="I82" s="59">
        <v>0</v>
      </c>
      <c r="J82" s="129">
        <v>1</v>
      </c>
    </row>
    <row r="83">
      <c r="B83" s="50" t="s">
        <v>113</v>
      </c>
      <c r="C83" s="3"/>
      <c r="D83" s="3"/>
      <c r="E83" s="3"/>
      <c r="F83" s="3"/>
      <c r="G83" s="3"/>
      <c r="H83" s="3">
        <f>H82-C82</f>
        <v>0</v>
      </c>
      <c r="I83" s="3">
        <f>I82-D82</f>
        <v>0</v>
      </c>
      <c r="J83" s="57">
        <f>J82-E82</f>
        <v>0</v>
      </c>
    </row>
    <row r="84">
      <c r="B84" s="50" t="s">
        <v>119</v>
      </c>
      <c r="C84" s="3"/>
      <c r="D84" s="3">
        <f>D82-C82</f>
        <v>-1</v>
      </c>
      <c r="E84" s="3">
        <f>E82-D82</f>
        <v>1</v>
      </c>
      <c r="F84" s="3">
        <f>F82-E82</f>
        <v>-1</v>
      </c>
      <c r="G84" s="3"/>
      <c r="H84" s="3">
        <f>H82-F82</f>
        <v>1</v>
      </c>
      <c r="I84" s="3">
        <f>I82-H82</f>
        <v>-1</v>
      </c>
      <c r="J84" s="57">
        <f>J82-I82</f>
        <v>1</v>
      </c>
    </row>
    <row r="85" ht="24">
      <c r="B85" s="43" t="s">
        <v>278</v>
      </c>
      <c r="C85" s="33">
        <f>C74-C79-C82</f>
        <v>597</v>
      </c>
      <c r="D85" s="33">
        <f>D74-D79-D82</f>
        <v>630</v>
      </c>
      <c r="E85" s="33">
        <f>E74-E79-E82</f>
        <v>802</v>
      </c>
      <c r="F85" s="33">
        <f>F74-F79-F82</f>
        <v>688</v>
      </c>
      <c r="G85" s="33">
        <f>G74-G79-G82</f>
        <v>2717</v>
      </c>
      <c r="H85" s="33">
        <f>H74-H79-H82</f>
        <v>705</v>
      </c>
      <c r="I85" s="33">
        <f>I74-I79-I82</f>
        <v>1026</v>
      </c>
      <c r="J85" s="91">
        <f>J74-J79-J82</f>
        <v>1031.305898819726</v>
      </c>
    </row>
    <row r="86">
      <c r="B86" s="58" t="s">
        <v>69</v>
      </c>
      <c r="C86" s="26"/>
      <c r="D86" s="26"/>
      <c r="E86" s="26"/>
      <c r="F86" s="26"/>
      <c r="G86" s="26"/>
      <c r="H86" s="26">
        <f>H85/C85-1</f>
        <v>0.18090452261306522</v>
      </c>
      <c r="I86" s="26">
        <f>I85/D85-1</f>
        <v>0.6285714285714286</v>
      </c>
      <c r="J86" s="60">
        <f>J85/E85-1</f>
        <v>0.2859175795757183</v>
      </c>
    </row>
    <row r="87">
      <c r="B87" s="19" t="s">
        <v>279</v>
      </c>
      <c r="C87" s="2"/>
      <c r="D87" s="2"/>
      <c r="E87" s="2"/>
      <c r="F87" s="2"/>
      <c r="G87" s="2"/>
      <c r="H87" s="2"/>
      <c r="I87" s="2"/>
      <c r="J87" s="2"/>
    </row>
    <row r="88">
      <c r="B88" s="2" t="s">
        <v>280</v>
      </c>
      <c r="C88" s="75">
        <f>'Share Count'!C28</f>
        <v>288.562</v>
      </c>
      <c r="D88" s="75">
        <f>'Share Count'!D28</f>
        <v>286.281</v>
      </c>
      <c r="E88" s="75">
        <f>'Share Count'!E28</f>
        <v>283.434</v>
      </c>
      <c r="F88" s="75">
        <f>'Share Count'!F28</f>
        <v>280.008</v>
      </c>
      <c r="G88" s="75">
        <f>'Share Count'!G28</f>
        <v>284.545</v>
      </c>
      <c r="H88" s="75">
        <f>'Share Count'!H28</f>
        <v>278.434</v>
      </c>
      <c r="I88" s="75">
        <f>'Share Count'!I28</f>
        <v>276.15</v>
      </c>
      <c r="J88" s="132">
        <f>'Share Count'!J28</f>
        <v>273.4868797814207</v>
      </c>
    </row>
    <row r="89" ht="24">
      <c r="B89" s="6" t="s">
        <v>281</v>
      </c>
      <c r="C89" s="90">
        <f>'Share Count'!C34</f>
        <v>292.716</v>
      </c>
      <c r="D89" s="90">
        <f>'Share Count'!D34</f>
        <v>290.49</v>
      </c>
      <c r="E89" s="90">
        <f>'Share Count'!E34</f>
        <v>288.163</v>
      </c>
      <c r="F89" s="90">
        <f>'Share Count'!F34</f>
        <v>284.806</v>
      </c>
      <c r="G89" s="90">
        <f>'Share Count'!G34</f>
        <v>289.019</v>
      </c>
      <c r="H89" s="90">
        <f>'Share Count'!H34</f>
        <v>282.874</v>
      </c>
      <c r="I89" s="90">
        <f>'Share Count'!I34</f>
        <v>281.062</v>
      </c>
      <c r="J89" s="134">
        <f>'Share Count'!J34</f>
        <v>278.2368797814207</v>
      </c>
    </row>
    <row r="90">
      <c r="B90" s="2" t="s">
        <v>282</v>
      </c>
      <c r="C90" s="7">
        <f>C85/C88</f>
        <v>2.068879478240378</v>
      </c>
      <c r="D90" s="7">
        <f>D85/D88</f>
        <v>2.200635040397372</v>
      </c>
      <c r="E90" s="7">
        <f>E85/E88</f>
        <v>2.82958290113395</v>
      </c>
      <c r="F90" s="7">
        <f>F85/F88</f>
        <v>2.457072655066998</v>
      </c>
      <c r="G90" s="7">
        <f>G85/G88</f>
        <v>9.548577553638264</v>
      </c>
      <c r="H90" s="7">
        <f>H85/H88</f>
        <v>2.532018359826745</v>
      </c>
      <c r="I90" s="7">
        <f>I85/I88</f>
        <v>3.715372080391092</v>
      </c>
      <c r="J90" s="101">
        <f>J85/J88</f>
        <v>3.770952009266324</v>
      </c>
    </row>
    <row r="91">
      <c r="B91" s="19" t="s">
        <v>49</v>
      </c>
      <c r="C91" s="89">
        <f>C85/C89</f>
        <v>2.0395195342926247</v>
      </c>
      <c r="D91" s="89">
        <f>D85/D89</f>
        <v>2.1687493545388823</v>
      </c>
      <c r="E91" s="89">
        <f>E85/E89</f>
        <v>2.7831470383081798</v>
      </c>
      <c r="F91" s="89">
        <f>F85/F89</f>
        <v>2.4156794449555137</v>
      </c>
      <c r="G91" s="89">
        <f>G85/G89</f>
        <v>9.400766039602933</v>
      </c>
      <c r="H91" s="89">
        <f>H85/H89</f>
        <v>2.4922757128615567</v>
      </c>
      <c r="I91" s="89">
        <f>I85/I89</f>
        <v>3.650440116415595</v>
      </c>
      <c r="J91" s="136">
        <f>J85/J89</f>
        <v>3.7065751299033636</v>
      </c>
    </row>
    <row r="92">
      <c r="B92" s="58" t="s">
        <v>69</v>
      </c>
      <c r="C92" s="26"/>
      <c r="D92" s="26"/>
      <c r="E92" s="26"/>
      <c r="F92" s="26"/>
      <c r="G92" s="26"/>
      <c r="H92" s="26">
        <f>H91/C91-1</f>
        <v>0.22199158721270273</v>
      </c>
      <c r="I92" s="26">
        <f>I91/D91-1</f>
        <v>0.6832005546310578</v>
      </c>
      <c r="J92" s="60">
        <f>J91/E91-1</f>
        <v>0.3317927794991806</v>
      </c>
    </row>
    <row r="93" ht="24">
      <c r="B93" s="17" t="s">
        <v>283</v>
      </c>
      <c r="C93" s="85">
        <f>C91-C85/C89</f>
        <v>0</v>
      </c>
      <c r="D93" s="85">
        <f>D91-D85/D89</f>
        <v>0</v>
      </c>
      <c r="E93" s="85">
        <f>E91-E85/E89</f>
        <v>0</v>
      </c>
      <c r="F93" s="85">
        <f>F91-F85/F89</f>
        <v>0</v>
      </c>
      <c r="G93" s="85">
        <f>G91-G85/G89</f>
        <v>0</v>
      </c>
      <c r="H93" s="85">
        <f>H91-H85/H89</f>
        <v>0</v>
      </c>
      <c r="I93" s="85">
        <f>I91-I85/I89</f>
        <v>0</v>
      </c>
      <c r="J93" s="127">
        <f>J91-J85/J89</f>
        <v>0</v>
      </c>
    </row>
    <row r="94">
      <c r="B94" s="19" t="s">
        <v>284</v>
      </c>
      <c r="C94" s="2"/>
      <c r="D94" s="2"/>
      <c r="E94" s="2"/>
      <c r="F94" s="2"/>
      <c r="G94" s="2"/>
      <c r="H94" s="2"/>
      <c r="I94" s="2"/>
      <c r="J94" s="2"/>
    </row>
    <row r="95" ht="24">
      <c r="B95" s="83" t="s">
        <v>285</v>
      </c>
      <c r="C95" s="59">
        <v>0</v>
      </c>
      <c r="D95" s="59">
        <v>-3</v>
      </c>
      <c r="E95" s="59">
        <v>0</v>
      </c>
      <c r="F95" s="59">
        <v>0</v>
      </c>
      <c r="G95" s="25">
        <f>SUM(C95:F95)</f>
        <v>-3</v>
      </c>
      <c r="H95" s="59">
        <v>0</v>
      </c>
      <c r="I95" s="59">
        <v>0</v>
      </c>
      <c r="J95" s="129">
        <v>0</v>
      </c>
    </row>
    <row r="96">
      <c r="B96" s="50" t="s">
        <v>286</v>
      </c>
      <c r="C96" s="46">
        <v>0</v>
      </c>
      <c r="D96" s="46">
        <v>24</v>
      </c>
      <c r="E96" s="46">
        <v>0</v>
      </c>
      <c r="F96" s="46">
        <v>0</v>
      </c>
      <c r="G96" s="3">
        <f>SUM(C96:F96)</f>
        <v>24</v>
      </c>
      <c r="H96" s="46">
        <v>0</v>
      </c>
      <c r="I96" s="46">
        <v>0</v>
      </c>
      <c r="J96" s="96">
        <v>0</v>
      </c>
    </row>
    <row r="97">
      <c r="B97" s="50" t="s">
        <v>287</v>
      </c>
      <c r="C97" s="46">
        <v>0</v>
      </c>
      <c r="D97" s="46">
        <v>100</v>
      </c>
      <c r="E97" s="46">
        <v>0</v>
      </c>
      <c r="F97" s="46">
        <v>226</v>
      </c>
      <c r="G97" s="3">
        <f>SUM(C97:F97)</f>
        <v>326</v>
      </c>
      <c r="H97" s="46">
        <v>89</v>
      </c>
      <c r="I97" s="46">
        <v>0</v>
      </c>
      <c r="J97" s="96">
        <v>0</v>
      </c>
    </row>
    <row r="98">
      <c r="B98" s="50" t="s">
        <v>288</v>
      </c>
      <c r="C98" s="46">
        <v>0</v>
      </c>
      <c r="D98" s="46">
        <v>18</v>
      </c>
      <c r="E98" s="46">
        <v>0</v>
      </c>
      <c r="F98" s="46">
        <v>0</v>
      </c>
      <c r="G98" s="3">
        <f>SUM(C98:F98)</f>
        <v>18</v>
      </c>
      <c r="H98" s="46">
        <v>41</v>
      </c>
      <c r="I98" s="46">
        <v>0</v>
      </c>
      <c r="J98" s="96">
        <v>0</v>
      </c>
    </row>
    <row r="99">
      <c r="B99" s="50" t="s">
        <v>289</v>
      </c>
      <c r="C99" s="46">
        <v>0</v>
      </c>
      <c r="D99" s="46">
        <v>-1</v>
      </c>
      <c r="E99" s="46">
        <v>0</v>
      </c>
      <c r="F99" s="46">
        <v>-20</v>
      </c>
      <c r="G99" s="3">
        <f>SUM(C99:F99)</f>
        <v>-21</v>
      </c>
      <c r="H99" s="46">
        <v>0</v>
      </c>
      <c r="I99" s="46">
        <v>0</v>
      </c>
      <c r="J99" s="96">
        <v>0</v>
      </c>
    </row>
    <row r="100">
      <c r="B100" s="19" t="s">
        <v>290</v>
      </c>
      <c r="C100" s="38">
        <f>SUM(C95,C96,C97,C98,C99)</f>
        <v>0</v>
      </c>
      <c r="D100" s="38">
        <f>SUM(D95,D96,D97,D98,D99)</f>
        <v>138</v>
      </c>
      <c r="E100" s="38">
        <f>SUM(E95,E96,E97,E98,E99)</f>
        <v>0</v>
      </c>
      <c r="F100" s="38">
        <f>SUM(F95,F96,F97,F98,F99)</f>
        <v>206</v>
      </c>
      <c r="G100" s="38">
        <f>SUM(G95,G96,G97,G98,G99)</f>
        <v>344</v>
      </c>
      <c r="H100" s="38">
        <f>SUM(H95,H96,H97,H98,H99)</f>
        <v>130</v>
      </c>
      <c r="I100" s="38">
        <f>SUM(I95,I96,I97,I98,I99)</f>
        <v>0</v>
      </c>
      <c r="J100" s="63">
        <f>SUM(J95,J96,J97,J98,J99)</f>
        <v>0</v>
      </c>
    </row>
    <row r="101">
      <c r="B101" s="50" t="s">
        <v>291</v>
      </c>
      <c r="C101" s="46">
        <v>0</v>
      </c>
      <c r="D101" s="46">
        <v>-35</v>
      </c>
      <c r="E101" s="46">
        <v>0</v>
      </c>
      <c r="F101" s="46">
        <v>-49</v>
      </c>
      <c r="G101" s="3">
        <f>SUM(C101:F101)</f>
        <v>-84</v>
      </c>
      <c r="H101" s="46">
        <v>-32</v>
      </c>
      <c r="I101" s="46">
        <v>0</v>
      </c>
      <c r="J101" s="57">
        <f>-J100*J71</f>
        <v>0</v>
      </c>
    </row>
    <row r="102">
      <c r="B102" s="19" t="s">
        <v>292</v>
      </c>
      <c r="C102" s="38">
        <f>C100+C101</f>
        <v>0</v>
      </c>
      <c r="D102" s="38">
        <f>D100+D101</f>
        <v>103</v>
      </c>
      <c r="E102" s="38">
        <f>E100+E101</f>
        <v>0</v>
      </c>
      <c r="F102" s="38">
        <f>F100+F101</f>
        <v>157</v>
      </c>
      <c r="G102" s="38">
        <f>G100+G101</f>
        <v>260</v>
      </c>
      <c r="H102" s="38">
        <f>H100+H101</f>
        <v>98</v>
      </c>
      <c r="I102" s="38">
        <f>I100+I101</f>
        <v>0</v>
      </c>
      <c r="J102" s="63">
        <f>J100+J101</f>
        <v>0</v>
      </c>
    </row>
    <row r="103" ht="24">
      <c r="B103" s="43" t="s">
        <v>293</v>
      </c>
      <c r="C103" s="33">
        <f>C27+C95+C96</f>
        <v>3284</v>
      </c>
      <c r="D103" s="33">
        <f>D27+D95+D96</f>
        <v>3469</v>
      </c>
      <c r="E103" s="33">
        <f>E27+E95+E96</f>
        <v>3545</v>
      </c>
      <c r="F103" s="33">
        <f>F27+F95+F96</f>
        <v>3667</v>
      </c>
      <c r="G103" s="33">
        <f>G27+G95+G96</f>
        <v>13965</v>
      </c>
      <c r="H103" s="33">
        <f>H27+H95+H96</f>
        <v>3796</v>
      </c>
      <c r="I103" s="33">
        <f>I27+I95+I96</f>
        <v>4048</v>
      </c>
      <c r="J103" s="91">
        <f>J27+J95+J96</f>
        <v>4071.730282739726</v>
      </c>
    </row>
    <row r="104">
      <c r="B104" s="58" t="s">
        <v>69</v>
      </c>
      <c r="C104" s="26"/>
      <c r="D104" s="26"/>
      <c r="E104" s="26"/>
      <c r="F104" s="26"/>
      <c r="G104" s="26"/>
      <c r="H104" s="26">
        <f>H103/C103-1</f>
        <v>0.1559074299634593</v>
      </c>
      <c r="I104" s="26">
        <f>I103/D103-1</f>
        <v>0.16690688959354283</v>
      </c>
      <c r="J104" s="60">
        <f>J103/E103-1</f>
        <v>0.14858400077284228</v>
      </c>
    </row>
    <row r="105" ht="24">
      <c r="B105" s="43" t="s">
        <v>294</v>
      </c>
      <c r="C105" s="33">
        <f>C52-C97-C98-C99</f>
        <v>2450</v>
      </c>
      <c r="D105" s="33">
        <f>D52-D97-D98-D99</f>
        <v>2412</v>
      </c>
      <c r="E105" s="33">
        <f>E52-E97-E98-E99</f>
        <v>2434</v>
      </c>
      <c r="F105" s="33">
        <f>F52-F97-F98-F99</f>
        <v>2535</v>
      </c>
      <c r="G105" s="33">
        <f>G52-G97-G98-G99</f>
        <v>9831</v>
      </c>
      <c r="H105" s="33">
        <f>H52-H97-H98-H99</f>
        <v>2681</v>
      </c>
      <c r="I105" s="33">
        <f>I52-I97-I98-I99</f>
        <v>2659</v>
      </c>
      <c r="J105" s="91">
        <f>J52-J97-J98-J99</f>
        <v>2665.692</v>
      </c>
    </row>
    <row r="106">
      <c r="B106" s="58" t="s">
        <v>69</v>
      </c>
      <c r="C106" s="26"/>
      <c r="D106" s="26"/>
      <c r="E106" s="26"/>
      <c r="F106" s="26"/>
      <c r="G106" s="26"/>
      <c r="H106" s="26">
        <f>H105/C105-1</f>
        <v>0.0942857142857143</v>
      </c>
      <c r="I106" s="26">
        <f>I105/D105-1</f>
        <v>0.10240464344941946</v>
      </c>
      <c r="J106" s="60">
        <f>J105/E105-1</f>
        <v>0.09518981101068191</v>
      </c>
    </row>
    <row r="107">
      <c r="B107" s="58" t="s">
        <v>70</v>
      </c>
      <c r="C107" s="26"/>
      <c r="D107" s="26">
        <f>D105/C105-1</f>
        <v>-0.015510204081632617</v>
      </c>
      <c r="E107" s="26">
        <f>E105/D105-1</f>
        <v>0.009121061359867344</v>
      </c>
      <c r="F107" s="26">
        <f>F105/E105-1</f>
        <v>0.04149548069022191</v>
      </c>
      <c r="G107" s="26"/>
      <c r="H107" s="26">
        <f>H105/F105-1</f>
        <v>0.057593688362919115</v>
      </c>
      <c r="I107" s="26">
        <f>I105/H105-1</f>
        <v>-0.008205893323386837</v>
      </c>
      <c r="J107" s="60">
        <f>J105/I105-1</f>
        <v>0.00251673561489274</v>
      </c>
    </row>
    <row r="108" ht="24">
      <c r="B108" s="17" t="s">
        <v>295</v>
      </c>
      <c r="C108" s="105"/>
      <c r="D108" s="105"/>
      <c r="E108" s="105"/>
      <c r="F108" s="105"/>
      <c r="G108" s="105"/>
      <c r="H108" s="105">
        <f>((H103/C103)-(H105/C105))*10000</f>
        <v>616.2171567774499</v>
      </c>
      <c r="I108" s="105">
        <f>((I103/D103)-(I105/D105))*10000</f>
        <v>645.0224614412336</v>
      </c>
      <c r="J108" s="103">
        <f>((J103/E103)-(J105/E105))*10000</f>
        <v>533.9418976216037</v>
      </c>
    </row>
    <row r="109" ht="24">
      <c r="B109" s="43" t="s">
        <v>296</v>
      </c>
      <c r="C109" s="33">
        <f>C65+C100</f>
        <v>822</v>
      </c>
      <c r="D109" s="33">
        <f>D65+D100</f>
        <v>1027</v>
      </c>
      <c r="E109" s="33">
        <f>E65+E100</f>
        <v>1102</v>
      </c>
      <c r="F109" s="33">
        <f>F65+F100</f>
        <v>1124</v>
      </c>
      <c r="G109" s="33">
        <f>G65+G100</f>
        <v>4075</v>
      </c>
      <c r="H109" s="33">
        <f>H65+H100</f>
        <v>1099</v>
      </c>
      <c r="I109" s="33">
        <f>I65+I100</f>
        <v>1389</v>
      </c>
      <c r="J109" s="91">
        <f>J65+J100</f>
        <v>1396.0382827397261</v>
      </c>
    </row>
    <row r="110" ht="24">
      <c r="B110" s="17" t="s">
        <v>297</v>
      </c>
      <c r="C110" s="80">
        <f>C109/C103</f>
        <v>0.2503045066991474</v>
      </c>
      <c r="D110" s="80">
        <f>D109/D103</f>
        <v>0.29605073508215624</v>
      </c>
      <c r="E110" s="80">
        <f>E109/E103</f>
        <v>0.3108603667136812</v>
      </c>
      <c r="F110" s="80">
        <f>F109/F103</f>
        <v>0.30651758931006273</v>
      </c>
      <c r="G110" s="80">
        <f>G109/G103</f>
        <v>0.29180093089867526</v>
      </c>
      <c r="H110" s="80">
        <f>H109/H103</f>
        <v>0.28951527924130666</v>
      </c>
      <c r="I110" s="80">
        <f>I109/I103</f>
        <v>0.34313241106719367</v>
      </c>
      <c r="J110" s="87">
        <f>J109/J103</f>
        <v>0.342861188192549</v>
      </c>
    </row>
    <row r="111">
      <c r="B111" s="50" t="s">
        <v>116</v>
      </c>
      <c r="C111" s="20"/>
      <c r="D111" s="20">
        <f>(D110-C110)*10000</f>
        <v>457.4622838300885</v>
      </c>
      <c r="E111" s="20">
        <f>(E110-D110)*10000</f>
        <v>148.09631631524988</v>
      </c>
      <c r="F111" s="20">
        <f>(F110-E110)*10000</f>
        <v>-43.42777403618492</v>
      </c>
      <c r="G111" s="20"/>
      <c r="H111" s="20">
        <f>(H110-F110)*10000</f>
        <v>-170.02310068756077</v>
      </c>
      <c r="I111" s="20">
        <f>(I110-H110)*10000</f>
        <v>536.1713182588701</v>
      </c>
      <c r="J111" s="70">
        <f>(J110-I110)*10000</f>
        <v>-2.712228746446499</v>
      </c>
    </row>
    <row r="112">
      <c r="B112" s="50" t="s">
        <v>117</v>
      </c>
      <c r="C112" s="20" t="s">
        <v>46</v>
      </c>
      <c r="D112" s="20" t="s">
        <v>46</v>
      </c>
      <c r="E112" s="20" t="s">
        <v>46</v>
      </c>
      <c r="F112" s="20" t="s">
        <v>46</v>
      </c>
      <c r="G112" s="20" t="s">
        <v>46</v>
      </c>
      <c r="H112" s="20">
        <f>(H110-C110)*10000</f>
        <v>392.10772542159265</v>
      </c>
      <c r="I112" s="20">
        <f>(I110-D110)*10000</f>
        <v>470.8167598503743</v>
      </c>
      <c r="J112" s="70">
        <f>(J110-E110)*10000</f>
        <v>320.0082147886779</v>
      </c>
    </row>
    <row r="113" ht="24">
      <c r="B113" s="43" t="s">
        <v>298</v>
      </c>
      <c r="C113" s="33">
        <f>C85+C102</f>
        <v>597</v>
      </c>
      <c r="D113" s="33">
        <f>D85+D102</f>
        <v>733</v>
      </c>
      <c r="E113" s="33">
        <f>E85+E102</f>
        <v>802</v>
      </c>
      <c r="F113" s="33">
        <f>F85+F102</f>
        <v>845</v>
      </c>
      <c r="G113" s="33">
        <f>G85+G102</f>
        <v>2977</v>
      </c>
      <c r="H113" s="33">
        <f>H85+H102</f>
        <v>803</v>
      </c>
      <c r="I113" s="33">
        <f>I85+I102</f>
        <v>1026</v>
      </c>
      <c r="J113" s="91">
        <f>J85+J102</f>
        <v>1031.305898819726</v>
      </c>
    </row>
    <row r="114">
      <c r="B114" s="58" t="s">
        <v>69</v>
      </c>
      <c r="C114" s="26"/>
      <c r="D114" s="26"/>
      <c r="E114" s="26"/>
      <c r="F114" s="26"/>
      <c r="G114" s="26"/>
      <c r="H114" s="26">
        <f>H113/C113-1</f>
        <v>0.34505862646566166</v>
      </c>
      <c r="I114" s="26">
        <f>I113/D113-1</f>
        <v>0.3997271487039564</v>
      </c>
      <c r="J114" s="60">
        <f>J113/E113-1</f>
        <v>0.2859175795757183</v>
      </c>
    </row>
    <row r="115" ht="34.5">
      <c r="B115" s="43" t="s">
        <v>299</v>
      </c>
      <c r="C115" s="35">
        <f>C113/C89</f>
        <v>2.0395195342926247</v>
      </c>
      <c r="D115" s="35">
        <f>D113/D89</f>
        <v>2.5233226617095252</v>
      </c>
      <c r="E115" s="35">
        <f>E113/E89</f>
        <v>2.7831470383081798</v>
      </c>
      <c r="F115" s="35">
        <f>F113/F89</f>
        <v>2.9669318764351877</v>
      </c>
      <c r="G115" s="35">
        <f>G113/G89</f>
        <v>10.300360875928572</v>
      </c>
      <c r="H115" s="35">
        <f>H113/H89</f>
        <v>2.8387197126635884</v>
      </c>
      <c r="I115" s="35">
        <f>I113/I89</f>
        <v>3.650440116415595</v>
      </c>
      <c r="J115" s="104">
        <f>J113/J89</f>
        <v>3.7065751299033636</v>
      </c>
    </row>
    <row r="116">
      <c r="B116" s="58" t="s">
        <v>69</v>
      </c>
      <c r="C116" s="26"/>
      <c r="D116" s="26"/>
      <c r="E116" s="26"/>
      <c r="F116" s="26"/>
      <c r="G116" s="26"/>
      <c r="H116" s="26">
        <f>H115/C115-1</f>
        <v>0.39185708444226974</v>
      </c>
      <c r="I116" s="26">
        <f>I115/D115-1</f>
        <v>0.44667987642232765</v>
      </c>
      <c r="J116" s="60">
        <f>J115/E115-1</f>
        <v>0.3317927794991806</v>
      </c>
    </row>
    <row r="117">
      <c r="B117" s="50" t="s">
        <v>300</v>
      </c>
      <c r="C117" s="7">
        <f>C115-C91</f>
        <v>0</v>
      </c>
      <c r="D117" s="7">
        <f>D115-D91</f>
        <v>0.35457330717064295</v>
      </c>
      <c r="E117" s="7">
        <f>E115-E91</f>
        <v>0</v>
      </c>
      <c r="F117" s="7">
        <f>F115-F91</f>
        <v>0.5512524314796741</v>
      </c>
      <c r="G117" s="7">
        <f>G115-G91</f>
        <v>0.8995948363256385</v>
      </c>
      <c r="H117" s="7">
        <f>H115-H91</f>
        <v>0.34644399980203167</v>
      </c>
      <c r="I117" s="7">
        <f>I115-I91</f>
        <v>0</v>
      </c>
      <c r="J117" s="101">
        <f>J115-J91</f>
        <v>0</v>
      </c>
    </row>
    <row r="118">
      <c r="B118" s="19" t="s">
        <v>301</v>
      </c>
      <c r="C118" s="2"/>
      <c r="D118" s="2"/>
      <c r="E118" s="2"/>
      <c r="F118" s="2"/>
      <c r="G118" s="2"/>
      <c r="H118" s="2"/>
      <c r="I118" s="2"/>
      <c r="J118" s="2"/>
    </row>
    <row r="119">
      <c r="B119" s="2" t="s">
        <v>302</v>
      </c>
      <c r="C119" s="16">
        <f>Inputs!C100</f>
        <v>2.01</v>
      </c>
      <c r="D119" s="16">
        <f>Inputs!D100</f>
        <v>2.36</v>
      </c>
      <c r="E119" s="16">
        <f>Inputs!E100</f>
        <v>2.65</v>
      </c>
      <c r="F119" s="16">
        <f>Inputs!F100</f>
        <v>2.84</v>
      </c>
      <c r="G119" s="7"/>
      <c r="H119" s="16">
        <f>Inputs!H100</f>
        <v>2.64</v>
      </c>
      <c r="I119" s="16">
        <f>Inputs!I100</f>
        <v>3.34</v>
      </c>
      <c r="J119" s="139">
        <f>Inputs!C37</f>
        <v>3.68</v>
      </c>
    </row>
    <row r="120" ht="24">
      <c r="B120" s="6" t="s">
        <v>303</v>
      </c>
      <c r="C120" s="27">
        <f>Inputs!C101</f>
        <v>2.04</v>
      </c>
      <c r="D120" s="27">
        <f>Inputs!D101</f>
        <v>2.53</v>
      </c>
      <c r="E120" s="27">
        <f>Inputs!E101</f>
        <v>2.78</v>
      </c>
      <c r="F120" s="27">
        <f>Inputs!F101</f>
        <v>2.97</v>
      </c>
      <c r="G120" s="30"/>
      <c r="H120" s="27">
        <f>Inputs!H101</f>
        <v>2.84</v>
      </c>
      <c r="I120" s="27">
        <f>Inputs!I101</f>
        <v>3.65</v>
      </c>
      <c r="J120" s="93"/>
    </row>
    <row r="121" ht="35.25">
      <c r="B121" s="17" t="s">
        <v>304</v>
      </c>
      <c r="C121" s="85">
        <f>C115-C120</f>
        <v>-0.000480465707375366</v>
      </c>
      <c r="D121" s="85">
        <f>D115-D120</f>
        <v>-0.006677338290474566</v>
      </c>
      <c r="E121" s="85">
        <f>E115-E120</f>
        <v>0.0031470383081799724</v>
      </c>
      <c r="F121" s="85">
        <f>F115-F120</f>
        <v>-0.0030681235648124527</v>
      </c>
      <c r="G121" s="85"/>
      <c r="H121" s="85">
        <f>H115-H120</f>
        <v>-0.0012802873364115008</v>
      </c>
      <c r="I121" s="85">
        <f>I115-I120</f>
        <v>0.0004401164155951598</v>
      </c>
      <c r="J121" s="127"/>
    </row>
    <row r="122">
      <c r="B122" s="13" t="s">
        <v>305</v>
      </c>
      <c r="C122" s="99">
        <f>C120-C119</f>
        <v>0.03000000000000025</v>
      </c>
      <c r="D122" s="99">
        <f>D120-D119</f>
        <v>0.16999999999999993</v>
      </c>
      <c r="E122" s="99">
        <f>E120-E119</f>
        <v>0.1299999999999999</v>
      </c>
      <c r="F122" s="99">
        <f>F120-F119</f>
        <v>0.13000000000000034</v>
      </c>
      <c r="G122" s="99"/>
      <c r="H122" s="99">
        <f>H120-H119</f>
        <v>0.19999999999999973</v>
      </c>
      <c r="I122" s="99">
        <f>I120-I119</f>
        <v>0.31000000000000005</v>
      </c>
      <c r="J122" s="140">
        <f>J115-J119</f>
        <v>0.026575129903363415</v>
      </c>
    </row>
    <row r="123" ht="24">
      <c r="B123" s="6" t="s">
        <v>306</v>
      </c>
      <c r="C123" s="27">
        <f>Inputs!C103</f>
        <v>2.04</v>
      </c>
      <c r="D123" s="27">
        <f>Inputs!D103</f>
        <v>2.17</v>
      </c>
      <c r="E123" s="27">
        <f>Inputs!E103</f>
        <v>2.78</v>
      </c>
      <c r="F123" s="27">
        <f>Inputs!F103</f>
        <v>2.42</v>
      </c>
      <c r="G123" s="30"/>
      <c r="H123" s="27">
        <f>Inputs!H103</f>
        <v>2.49</v>
      </c>
      <c r="I123" s="27">
        <f>Inputs!I103</f>
        <v>3.65</v>
      </c>
      <c r="J123" s="93"/>
    </row>
    <row r="124" ht="24">
      <c r="B124" s="17" t="s">
        <v>307</v>
      </c>
      <c r="C124" s="85">
        <f>C91-C123</f>
        <v>-0.000480465707375366</v>
      </c>
      <c r="D124" s="85">
        <f>D91-D123</f>
        <v>-0.0012506454611176387</v>
      </c>
      <c r="E124" s="85">
        <f>E91-E123</f>
        <v>0.0031470383081799724</v>
      </c>
      <c r="F124" s="85">
        <f>F91-F123</f>
        <v>-0.004320555044486252</v>
      </c>
      <c r="G124" s="85"/>
      <c r="H124" s="85">
        <f>H91-H123</f>
        <v>0.002275712861556478</v>
      </c>
      <c r="I124" s="85">
        <f>I91-I123</f>
        <v>0.0004401164155951598</v>
      </c>
      <c r="J124" s="127"/>
    </row>
    <row r="125">
      <c r="B125" s="2" t="s">
        <v>308</v>
      </c>
      <c r="C125" s="12">
        <f>Inputs!C104</f>
        <v>3323.74</v>
      </c>
      <c r="D125" s="12">
        <f>Inputs!D104</f>
        <v>3349.45</v>
      </c>
      <c r="E125" s="12">
        <f>Inputs!E104</f>
        <v>3465.44</v>
      </c>
      <c r="F125" s="12">
        <f>Inputs!F104</f>
        <v>3615.21</v>
      </c>
      <c r="G125" s="3"/>
      <c r="H125" s="12">
        <f>Inputs!H104</f>
        <v>3687.98</v>
      </c>
      <c r="I125" s="12">
        <f>Inputs!I104</f>
        <v>3916.23</v>
      </c>
      <c r="J125" s="48">
        <f>Inputs!C53</f>
        <v>4041.38</v>
      </c>
    </row>
    <row r="126">
      <c r="B126" s="2" t="s">
        <v>309</v>
      </c>
      <c r="C126" s="12">
        <f>Inputs!C105</f>
        <v>3284</v>
      </c>
      <c r="D126" s="12">
        <f>Inputs!D105</f>
        <v>3448</v>
      </c>
      <c r="E126" s="12">
        <f>Inputs!E105</f>
        <v>3545</v>
      </c>
      <c r="F126" s="12">
        <f>Inputs!F105</f>
        <v>3667</v>
      </c>
      <c r="G126" s="3"/>
      <c r="H126" s="12">
        <f>Inputs!H105</f>
        <v>3796</v>
      </c>
      <c r="I126" s="12">
        <f>Inputs!I105</f>
        <v>4048</v>
      </c>
      <c r="J126" s="57"/>
    </row>
    <row r="127" ht="24">
      <c r="B127" s="17" t="s">
        <v>310</v>
      </c>
      <c r="C127" s="5">
        <f>C27-C126</f>
        <v>0</v>
      </c>
      <c r="D127" s="5">
        <f>D27-D126</f>
        <v>0</v>
      </c>
      <c r="E127" s="5">
        <f>E27-E126</f>
        <v>0</v>
      </c>
      <c r="F127" s="5">
        <f>F27-F126</f>
        <v>0</v>
      </c>
      <c r="G127" s="5"/>
      <c r="H127" s="5">
        <f>H27-H126</f>
        <v>0</v>
      </c>
      <c r="I127" s="5">
        <f>I27-I126</f>
        <v>0</v>
      </c>
      <c r="J127" s="64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2:J6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311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312</v>
      </c>
      <c r="C9" s="2"/>
      <c r="D9" s="2"/>
      <c r="E9" s="2"/>
      <c r="F9" s="2"/>
      <c r="G9" s="2"/>
      <c r="H9" s="2"/>
      <c r="I9" s="2"/>
      <c r="J9" s="2"/>
    </row>
    <row r="10">
      <c r="B10" s="50" t="s">
        <v>313</v>
      </c>
      <c r="C10" s="46">
        <v>4658</v>
      </c>
      <c r="D10" s="46">
        <v>4020</v>
      </c>
      <c r="E10" s="46">
        <v>4756</v>
      </c>
      <c r="F10" s="46">
        <v>4433</v>
      </c>
      <c r="G10" s="3">
        <f>F10</f>
        <v>4433</v>
      </c>
      <c r="H10" s="46">
        <v>6518</v>
      </c>
      <c r="I10" s="46">
        <v>4290</v>
      </c>
      <c r="J10" s="48">
        <f>'Cash Flow Statement'!J54</f>
        <v>4570.6979694208185</v>
      </c>
    </row>
    <row r="11" ht="24">
      <c r="B11" s="83" t="s">
        <v>314</v>
      </c>
      <c r="C11" s="59">
        <v>119464</v>
      </c>
      <c r="D11" s="59">
        <v>118835</v>
      </c>
      <c r="E11" s="59">
        <v>122642</v>
      </c>
      <c r="F11" s="59">
        <v>126930</v>
      </c>
      <c r="G11" s="25">
        <f>F11</f>
        <v>126930</v>
      </c>
      <c r="H11" s="59">
        <v>123574</v>
      </c>
      <c r="I11" s="59">
        <v>145223</v>
      </c>
      <c r="J11" s="86">
        <f>I11</f>
        <v>145223</v>
      </c>
    </row>
    <row r="12" ht="24">
      <c r="B12" s="83" t="s">
        <v>159</v>
      </c>
      <c r="C12" s="59">
        <v>7971</v>
      </c>
      <c r="D12" s="59">
        <v>8275</v>
      </c>
      <c r="E12" s="59">
        <v>7730</v>
      </c>
      <c r="F12" s="59">
        <v>6812</v>
      </c>
      <c r="G12" s="25">
        <f>F12</f>
        <v>6812</v>
      </c>
      <c r="H12" s="59">
        <v>8187</v>
      </c>
      <c r="I12" s="59">
        <v>9035</v>
      </c>
      <c r="J12" s="86">
        <f>I12</f>
        <v>9035</v>
      </c>
    </row>
    <row r="13">
      <c r="B13" s="50" t="s">
        <v>160</v>
      </c>
      <c r="C13" s="46">
        <v>743</v>
      </c>
      <c r="D13" s="46">
        <v>791</v>
      </c>
      <c r="E13" s="46">
        <v>884</v>
      </c>
      <c r="F13" s="46">
        <v>827</v>
      </c>
      <c r="G13" s="3">
        <f>F13</f>
        <v>827</v>
      </c>
      <c r="H13" s="46">
        <v>842</v>
      </c>
      <c r="I13" s="46">
        <v>856</v>
      </c>
      <c r="J13" s="57">
        <f>I13</f>
        <v>856</v>
      </c>
    </row>
    <row r="14" ht="24">
      <c r="B14" s="94" t="s">
        <v>315</v>
      </c>
      <c r="C14" s="59">
        <v>67444</v>
      </c>
      <c r="D14" s="59">
        <v>70603</v>
      </c>
      <c r="E14" s="59">
        <v>69443</v>
      </c>
      <c r="F14" s="59">
        <v>67154</v>
      </c>
      <c r="G14" s="25">
        <f>F14</f>
        <v>67154</v>
      </c>
      <c r="H14" s="59">
        <v>71645</v>
      </c>
      <c r="I14" s="59">
        <v>72297</v>
      </c>
      <c r="J14" s="86">
        <f>I14</f>
        <v>72297</v>
      </c>
    </row>
    <row r="15" ht="24">
      <c r="B15" s="94" t="s">
        <v>316</v>
      </c>
      <c r="C15" s="59">
        <v>45505</v>
      </c>
      <c r="D15" s="59">
        <v>43286</v>
      </c>
      <c r="E15" s="59">
        <v>40934</v>
      </c>
      <c r="F15" s="59">
        <v>38171</v>
      </c>
      <c r="G15" s="25">
        <f>F15</f>
        <v>38171</v>
      </c>
      <c r="H15" s="59">
        <v>36732</v>
      </c>
      <c r="I15" s="59">
        <v>35290</v>
      </c>
      <c r="J15" s="86">
        <f>I15</f>
        <v>35290</v>
      </c>
    </row>
    <row r="16">
      <c r="B16" s="77" t="s">
        <v>163</v>
      </c>
      <c r="C16" s="38">
        <f>C14+C15</f>
        <v>112949</v>
      </c>
      <c r="D16" s="38">
        <f>D14+D15</f>
        <v>113889</v>
      </c>
      <c r="E16" s="38">
        <f>E14+E15</f>
        <v>110377</v>
      </c>
      <c r="F16" s="38">
        <f>F14+F15</f>
        <v>105325</v>
      </c>
      <c r="G16" s="38">
        <f>G14+G15</f>
        <v>105325</v>
      </c>
      <c r="H16" s="38">
        <f>H14+H15</f>
        <v>108377</v>
      </c>
      <c r="I16" s="38">
        <f>I14+I15</f>
        <v>107587</v>
      </c>
      <c r="J16" s="63">
        <f>J14+J15</f>
        <v>107587</v>
      </c>
    </row>
    <row r="17">
      <c r="B17" s="50" t="s">
        <v>317</v>
      </c>
      <c r="C17" s="46">
        <v>44685</v>
      </c>
      <c r="D17" s="46">
        <v>47279</v>
      </c>
      <c r="E17" s="46">
        <v>46660</v>
      </c>
      <c r="F17" s="46">
        <v>46782</v>
      </c>
      <c r="G17" s="3">
        <f>F17</f>
        <v>46782</v>
      </c>
      <c r="H17" s="46">
        <v>49190</v>
      </c>
      <c r="I17" s="46">
        <v>52062</v>
      </c>
      <c r="J17" s="57">
        <f>I17</f>
        <v>52062</v>
      </c>
    </row>
    <row r="18">
      <c r="B18" s="58" t="s">
        <v>69</v>
      </c>
      <c r="C18" s="26"/>
      <c r="D18" s="26"/>
      <c r="E18" s="26"/>
      <c r="F18" s="26"/>
      <c r="G18" s="26"/>
      <c r="H18" s="26">
        <f>H17/C17-1</f>
        <v>0.10081682891350563</v>
      </c>
      <c r="I18" s="26">
        <f>I17/D17-1</f>
        <v>0.10116542228050518</v>
      </c>
      <c r="J18" s="60">
        <f>J17/E17-1</f>
        <v>0.11577368195456494</v>
      </c>
    </row>
    <row r="19">
      <c r="B19" s="50" t="s">
        <v>119</v>
      </c>
      <c r="C19" s="3"/>
      <c r="D19" s="3">
        <f>D17-C17</f>
        <v>2594</v>
      </c>
      <c r="E19" s="3">
        <f>E17-D17</f>
        <v>-619</v>
      </c>
      <c r="F19" s="3">
        <f>F17-E17</f>
        <v>122</v>
      </c>
      <c r="G19" s="3"/>
      <c r="H19" s="3">
        <f>H17-F17</f>
        <v>2408</v>
      </c>
      <c r="I19" s="3">
        <f>I17-H17</f>
        <v>2872</v>
      </c>
      <c r="J19" s="57">
        <f>J17-I17</f>
        <v>0</v>
      </c>
    </row>
    <row r="20" ht="24">
      <c r="B20" s="83" t="s">
        <v>318</v>
      </c>
      <c r="C20" s="59">
        <v>-176</v>
      </c>
      <c r="D20" s="59">
        <v>-179</v>
      </c>
      <c r="E20" s="59">
        <v>-190</v>
      </c>
      <c r="F20" s="59">
        <v>-193</v>
      </c>
      <c r="G20" s="25">
        <f>F20</f>
        <v>-193</v>
      </c>
      <c r="H20" s="59">
        <v>-168</v>
      </c>
      <c r="I20" s="59">
        <v>-161</v>
      </c>
      <c r="J20" s="86">
        <f>I20</f>
        <v>-161</v>
      </c>
    </row>
    <row r="21">
      <c r="B21" s="77" t="s">
        <v>319</v>
      </c>
      <c r="C21" s="38">
        <f>C17+C20</f>
        <v>44509</v>
      </c>
      <c r="D21" s="38">
        <f>D17+D20</f>
        <v>47100</v>
      </c>
      <c r="E21" s="38">
        <f>E17+E20</f>
        <v>46470</v>
      </c>
      <c r="F21" s="38">
        <f>F17+F20</f>
        <v>46589</v>
      </c>
      <c r="G21" s="38">
        <f>G17+G20</f>
        <v>46589</v>
      </c>
      <c r="H21" s="38">
        <f>H17+H20</f>
        <v>49022</v>
      </c>
      <c r="I21" s="38">
        <f>I17+I20</f>
        <v>51901</v>
      </c>
      <c r="J21" s="63">
        <f>J17+J20</f>
        <v>51901</v>
      </c>
    </row>
    <row r="22">
      <c r="B22" s="50" t="s">
        <v>320</v>
      </c>
      <c r="C22" s="46">
        <v>2784</v>
      </c>
      <c r="D22" s="46">
        <v>2942</v>
      </c>
      <c r="E22" s="46">
        <v>3080</v>
      </c>
      <c r="F22" s="46">
        <v>3174</v>
      </c>
      <c r="G22" s="3">
        <f>F22</f>
        <v>3174</v>
      </c>
      <c r="H22" s="46">
        <v>3313</v>
      </c>
      <c r="I22" s="46">
        <v>3854</v>
      </c>
      <c r="J22" s="57">
        <f>I22</f>
        <v>3854</v>
      </c>
    </row>
    <row r="23" ht="24">
      <c r="B23" s="83" t="s">
        <v>321</v>
      </c>
      <c r="C23" s="59">
        <v>4280</v>
      </c>
      <c r="D23" s="59">
        <v>4589</v>
      </c>
      <c r="E23" s="59">
        <v>4476</v>
      </c>
      <c r="F23" s="59">
        <v>4395</v>
      </c>
      <c r="G23" s="25">
        <f>F23</f>
        <v>4395</v>
      </c>
      <c r="H23" s="59">
        <v>4708</v>
      </c>
      <c r="I23" s="59">
        <v>4867</v>
      </c>
      <c r="J23" s="86">
        <f>I23</f>
        <v>4867</v>
      </c>
    </row>
    <row r="24">
      <c r="B24" s="50" t="s">
        <v>322</v>
      </c>
      <c r="C24" s="46">
        <v>7763</v>
      </c>
      <c r="D24" s="46">
        <v>7918</v>
      </c>
      <c r="E24" s="46">
        <v>7916</v>
      </c>
      <c r="F24" s="46">
        <v>8159</v>
      </c>
      <c r="G24" s="3">
        <f>F24</f>
        <v>8159</v>
      </c>
      <c r="H24" s="46">
        <v>8121</v>
      </c>
      <c r="I24" s="46">
        <v>8106</v>
      </c>
      <c r="J24" s="57">
        <f>I24</f>
        <v>8106</v>
      </c>
    </row>
    <row r="25">
      <c r="B25" s="50" t="s">
        <v>323</v>
      </c>
      <c r="C25" s="46">
        <v>1046</v>
      </c>
      <c r="D25" s="46">
        <v>1014</v>
      </c>
      <c r="E25" s="46">
        <v>958</v>
      </c>
      <c r="F25" s="46">
        <v>935</v>
      </c>
      <c r="G25" s="3">
        <f>F25</f>
        <v>935</v>
      </c>
      <c r="H25" s="46">
        <v>872</v>
      </c>
      <c r="I25" s="46">
        <v>816</v>
      </c>
      <c r="J25" s="57">
        <f>I25</f>
        <v>816</v>
      </c>
    </row>
    <row r="26">
      <c r="B26" s="50" t="s">
        <v>324</v>
      </c>
      <c r="C26" s="46">
        <v>66526</v>
      </c>
      <c r="D26" s="46">
        <v>67344</v>
      </c>
      <c r="E26" s="46">
        <v>61781</v>
      </c>
      <c r="F26" s="46">
        <v>58468</v>
      </c>
      <c r="G26" s="3">
        <f>F26</f>
        <v>58468</v>
      </c>
      <c r="H26" s="46">
        <v>78631</v>
      </c>
      <c r="I26" s="46">
        <v>81846</v>
      </c>
      <c r="J26" s="57">
        <f>I26</f>
        <v>81846</v>
      </c>
    </row>
    <row r="27">
      <c r="B27" s="19" t="s">
        <v>325</v>
      </c>
      <c r="C27" s="38">
        <f>SUM(C10,C11,C12,C13,C16,C21,C22,C23,C24,C25,C26)</f>
        <v>372693</v>
      </c>
      <c r="D27" s="38">
        <f>SUM(D10,D11,D12,D13,D16,D21,D22,D23,D24,D25,D26)</f>
        <v>376717</v>
      </c>
      <c r="E27" s="38">
        <f>SUM(E10,E11,E12,E13,E16,E21,E22,E23,E24,E25,E26)</f>
        <v>371070</v>
      </c>
      <c r="F27" s="38">
        <f>SUM(F10,F11,F12,F13,F16,F21,F22,F23,F24,F25,F26)</f>
        <v>366047</v>
      </c>
      <c r="G27" s="38">
        <f>SUM(G10,G11,G12,G13,G16,G21,G22,G23,G24,G25,G26)</f>
        <v>366047</v>
      </c>
      <c r="H27" s="38">
        <f>SUM(H10,H11,H12,H13,H16,H21,H22,H23,H24,H25,H26)</f>
        <v>392165</v>
      </c>
      <c r="I27" s="38">
        <f>SUM(I10,I11,I12,I13,I16,I21,I22,I23,I24,I25,I26)</f>
        <v>418381</v>
      </c>
      <c r="J27" s="63">
        <f>SUM(J10,J11,J12,J13,J16,J21,J22,J23,J24,J25,J26)</f>
        <v>418661.6979694208</v>
      </c>
    </row>
    <row r="28">
      <c r="B28" s="19" t="s">
        <v>326</v>
      </c>
      <c r="C28" s="2"/>
      <c r="D28" s="2"/>
      <c r="E28" s="2"/>
      <c r="F28" s="2"/>
      <c r="G28" s="2"/>
      <c r="H28" s="2"/>
      <c r="I28" s="2"/>
      <c r="J28" s="2"/>
    </row>
    <row r="29">
      <c r="B29" s="76" t="s">
        <v>171</v>
      </c>
      <c r="C29" s="46">
        <v>32265</v>
      </c>
      <c r="D29" s="46">
        <v>34569</v>
      </c>
      <c r="E29" s="46">
        <v>34395</v>
      </c>
      <c r="F29" s="46">
        <v>35267</v>
      </c>
      <c r="G29" s="3">
        <f>F29</f>
        <v>35267</v>
      </c>
      <c r="H29" s="46">
        <v>39643</v>
      </c>
      <c r="I29" s="46">
        <v>46489</v>
      </c>
      <c r="J29" s="57">
        <f>I29</f>
        <v>46489</v>
      </c>
    </row>
    <row r="30">
      <c r="B30" s="76" t="s">
        <v>168</v>
      </c>
      <c r="C30" s="46">
        <v>168362</v>
      </c>
      <c r="D30" s="46">
        <v>169444</v>
      </c>
      <c r="E30" s="46">
        <v>169013</v>
      </c>
      <c r="F30" s="46">
        <v>168079</v>
      </c>
      <c r="G30" s="3">
        <f>F30</f>
        <v>168079</v>
      </c>
      <c r="H30" s="46">
        <v>174723</v>
      </c>
      <c r="I30" s="46">
        <v>191759</v>
      </c>
      <c r="J30" s="57">
        <f>I30</f>
        <v>191759</v>
      </c>
    </row>
    <row r="31" ht="24">
      <c r="B31" s="94" t="s">
        <v>169</v>
      </c>
      <c r="C31" s="59">
        <v>71429</v>
      </c>
      <c r="D31" s="59">
        <v>79011</v>
      </c>
      <c r="E31" s="59">
        <v>76591</v>
      </c>
      <c r="F31" s="59">
        <v>71004</v>
      </c>
      <c r="G31" s="25">
        <f>F31</f>
        <v>71004</v>
      </c>
      <c r="H31" s="59">
        <v>78975</v>
      </c>
      <c r="I31" s="59">
        <v>81299</v>
      </c>
      <c r="J31" s="86">
        <f>I31</f>
        <v>81299</v>
      </c>
    </row>
    <row r="32">
      <c r="B32" s="77" t="s">
        <v>327</v>
      </c>
      <c r="C32" s="38">
        <f>C29+C30+C31</f>
        <v>272056</v>
      </c>
      <c r="D32" s="38">
        <f>D29+D30+D31</f>
        <v>283024</v>
      </c>
      <c r="E32" s="38">
        <f>E29+E30+E31</f>
        <v>279999</v>
      </c>
      <c r="F32" s="38">
        <f>F29+F30+F31</f>
        <v>274350</v>
      </c>
      <c r="G32" s="38">
        <f>G29+G30+G31</f>
        <v>274350</v>
      </c>
      <c r="H32" s="38">
        <f>H29+H30+H31</f>
        <v>293341</v>
      </c>
      <c r="I32" s="38">
        <f>I29+I30+I31</f>
        <v>319547</v>
      </c>
      <c r="J32" s="63">
        <f>J29+J30+J31</f>
        <v>319547</v>
      </c>
    </row>
    <row r="33">
      <c r="B33" s="58" t="s">
        <v>69</v>
      </c>
      <c r="C33" s="26"/>
      <c r="D33" s="26"/>
      <c r="E33" s="26"/>
      <c r="F33" s="26"/>
      <c r="G33" s="26"/>
      <c r="H33" s="26">
        <f>H32/C32-1</f>
        <v>0.07823756873584853</v>
      </c>
      <c r="I33" s="26">
        <f>I32/D32-1</f>
        <v>0.1290455933065746</v>
      </c>
      <c r="J33" s="60">
        <f>J32/E32-1</f>
        <v>0.1412433615834343</v>
      </c>
    </row>
    <row r="34">
      <c r="B34" s="50" t="s">
        <v>119</v>
      </c>
      <c r="C34" s="3"/>
      <c r="D34" s="3">
        <f>D32-C32</f>
        <v>10968</v>
      </c>
      <c r="E34" s="3">
        <f>E32-D32</f>
        <v>-3025</v>
      </c>
      <c r="F34" s="3">
        <f>F32-E32</f>
        <v>-5649</v>
      </c>
      <c r="G34" s="3"/>
      <c r="H34" s="3">
        <f>H32-F32</f>
        <v>18991</v>
      </c>
      <c r="I34" s="3">
        <f>I32-H32</f>
        <v>26206</v>
      </c>
      <c r="J34" s="57">
        <f>J32-I32</f>
        <v>0</v>
      </c>
    </row>
    <row r="35" ht="24">
      <c r="B35" s="83" t="s">
        <v>174</v>
      </c>
      <c r="C35" s="59">
        <v>3524</v>
      </c>
      <c r="D35" s="59">
        <v>2377</v>
      </c>
      <c r="E35" s="59">
        <v>206</v>
      </c>
      <c r="F35" s="59">
        <v>841</v>
      </c>
      <c r="G35" s="25">
        <f>F35</f>
        <v>841</v>
      </c>
      <c r="H35" s="59">
        <v>969</v>
      </c>
      <c r="I35" s="59">
        <v>395</v>
      </c>
      <c r="J35" s="86">
        <f>I35</f>
        <v>395</v>
      </c>
    </row>
    <row r="36">
      <c r="B36" s="50" t="s">
        <v>175</v>
      </c>
      <c r="C36" s="46">
        <v>11849</v>
      </c>
      <c r="D36" s="46">
        <v>9844</v>
      </c>
      <c r="E36" s="46">
        <v>9825</v>
      </c>
      <c r="F36" s="46">
        <v>3821</v>
      </c>
      <c r="G36" s="3">
        <f>F36</f>
        <v>3821</v>
      </c>
      <c r="H36" s="46">
        <v>3981</v>
      </c>
      <c r="I36" s="46">
        <v>4372</v>
      </c>
      <c r="J36" s="57">
        <f>I36</f>
        <v>4372</v>
      </c>
    </row>
    <row r="37" ht="24">
      <c r="B37" s="83" t="s">
        <v>328</v>
      </c>
      <c r="C37" s="59">
        <v>33726</v>
      </c>
      <c r="D37" s="59">
        <v>28254</v>
      </c>
      <c r="E37" s="59">
        <v>28710</v>
      </c>
      <c r="F37" s="59">
        <v>34051</v>
      </c>
      <c r="G37" s="25">
        <f>F37</f>
        <v>34051</v>
      </c>
      <c r="H37" s="59">
        <v>40899</v>
      </c>
      <c r="I37" s="59">
        <v>40095</v>
      </c>
      <c r="J37" s="86">
        <f>I37</f>
        <v>40095</v>
      </c>
    </row>
    <row r="38">
      <c r="B38" s="50" t="s">
        <v>176</v>
      </c>
      <c r="C38" s="46">
        <v>24846</v>
      </c>
      <c r="D38" s="46">
        <v>25911</v>
      </c>
      <c r="E38" s="46">
        <v>24688</v>
      </c>
      <c r="F38" s="46">
        <v>25143</v>
      </c>
      <c r="G38" s="3">
        <f>F38</f>
        <v>25143</v>
      </c>
      <c r="H38" s="46">
        <v>25233</v>
      </c>
      <c r="I38" s="46">
        <v>25704</v>
      </c>
      <c r="J38" s="57">
        <f>I38</f>
        <v>25704</v>
      </c>
    </row>
    <row r="39">
      <c r="B39" s="19" t="s">
        <v>329</v>
      </c>
      <c r="C39" s="38">
        <f>SUM(C32,C35,C36,C37,C38)</f>
        <v>346001</v>
      </c>
      <c r="D39" s="38">
        <f>SUM(D32,D35,D36,D37,D38)</f>
        <v>349410</v>
      </c>
      <c r="E39" s="38">
        <f>SUM(E32,E35,E36,E37,E38)</f>
        <v>343428</v>
      </c>
      <c r="F39" s="38">
        <f>SUM(F32,F35,F36,F37,F38)</f>
        <v>338206</v>
      </c>
      <c r="G39" s="38">
        <f>SUM(G32,G35,G36,G37,G38)</f>
        <v>338206</v>
      </c>
      <c r="H39" s="38">
        <f>SUM(H32,H35,H36,H37,H38)</f>
        <v>364423</v>
      </c>
      <c r="I39" s="38">
        <f>SUM(I32,I35,I36,I37,I38)</f>
        <v>390113</v>
      </c>
      <c r="J39" s="63">
        <f>SUM(J32,J35,J36,J37,J38)</f>
        <v>390113</v>
      </c>
    </row>
    <row r="40">
      <c r="B40" s="19" t="s">
        <v>330</v>
      </c>
      <c r="C40" s="2"/>
      <c r="D40" s="2"/>
      <c r="E40" s="2"/>
      <c r="F40" s="2"/>
      <c r="G40" s="2"/>
      <c r="H40" s="2"/>
      <c r="I40" s="2"/>
      <c r="J40" s="2"/>
    </row>
    <row r="41">
      <c r="B41" s="76" t="s">
        <v>331</v>
      </c>
      <c r="C41" s="46">
        <v>493</v>
      </c>
      <c r="D41" s="46">
        <v>493</v>
      </c>
      <c r="E41" s="46">
        <v>493</v>
      </c>
      <c r="F41" s="46">
        <v>493</v>
      </c>
      <c r="G41" s="3">
        <f>F41</f>
        <v>493</v>
      </c>
      <c r="H41" s="46">
        <v>493</v>
      </c>
      <c r="I41" s="46">
        <v>493</v>
      </c>
      <c r="J41" s="57">
        <f>I41</f>
        <v>493</v>
      </c>
    </row>
    <row r="42">
      <c r="B42" s="76" t="s">
        <v>332</v>
      </c>
      <c r="C42" s="46">
        <v>1481</v>
      </c>
      <c r="D42" s="46">
        <v>1481</v>
      </c>
      <c r="E42" s="46">
        <v>1481</v>
      </c>
      <c r="F42" s="46">
        <v>1481</v>
      </c>
      <c r="G42" s="3">
        <f>F42</f>
        <v>1481</v>
      </c>
      <c r="H42" s="46">
        <v>1481</v>
      </c>
      <c r="I42" s="46">
        <v>1481</v>
      </c>
      <c r="J42" s="57">
        <f>I42</f>
        <v>1481</v>
      </c>
    </row>
    <row r="43">
      <c r="B43" s="76" t="s">
        <v>333</v>
      </c>
      <c r="C43" s="46">
        <v>842</v>
      </c>
      <c r="D43" s="46">
        <v>842</v>
      </c>
      <c r="E43" s="46">
        <v>842</v>
      </c>
      <c r="F43" s="46">
        <v>842</v>
      </c>
      <c r="G43" s="3">
        <f>F43</f>
        <v>842</v>
      </c>
      <c r="H43" s="46">
        <v>842</v>
      </c>
      <c r="I43" s="46">
        <v>842</v>
      </c>
      <c r="J43" s="57">
        <f>I43</f>
        <v>842</v>
      </c>
    </row>
    <row r="44">
      <c r="B44" s="76" t="s">
        <v>334</v>
      </c>
      <c r="C44" s="46">
        <v>743</v>
      </c>
      <c r="D44" s="46">
        <v>743</v>
      </c>
      <c r="E44" s="46">
        <v>743</v>
      </c>
      <c r="F44" s="46">
        <v>743</v>
      </c>
      <c r="G44" s="3">
        <f>F44</f>
        <v>743</v>
      </c>
      <c r="H44" s="46">
        <v>743</v>
      </c>
      <c r="I44" s="46">
        <v>743</v>
      </c>
      <c r="J44" s="57">
        <f>I44</f>
        <v>743</v>
      </c>
    </row>
    <row r="45">
      <c r="B45" s="77" t="s">
        <v>335</v>
      </c>
      <c r="C45" s="38">
        <f>C41+C42+C43+C44</f>
        <v>3559</v>
      </c>
      <c r="D45" s="38">
        <f>D41+D42+D43+D44</f>
        <v>3559</v>
      </c>
      <c r="E45" s="38">
        <f>E41+E42+E43+E44</f>
        <v>3559</v>
      </c>
      <c r="F45" s="38">
        <f>F41+F42+F43+F44</f>
        <v>3559</v>
      </c>
      <c r="G45" s="38">
        <f>G41+G42+G43+G44</f>
        <v>3559</v>
      </c>
      <c r="H45" s="38">
        <f>H41+H42+H43+H44</f>
        <v>3559</v>
      </c>
      <c r="I45" s="38">
        <f>I41+I42+I43+I44</f>
        <v>3559</v>
      </c>
      <c r="J45" s="63">
        <f>J41+J42+J43+J44</f>
        <v>3559</v>
      </c>
    </row>
    <row r="46">
      <c r="B46" s="50" t="s">
        <v>336</v>
      </c>
      <c r="C46" s="46">
        <v>504</v>
      </c>
      <c r="D46" s="46">
        <v>504</v>
      </c>
      <c r="E46" s="46">
        <v>504</v>
      </c>
      <c r="F46" s="46">
        <v>504</v>
      </c>
      <c r="G46" s="3">
        <f>F46</f>
        <v>504</v>
      </c>
      <c r="H46" s="46">
        <v>504</v>
      </c>
      <c r="I46" s="46">
        <v>504</v>
      </c>
      <c r="J46" s="57">
        <f>I46</f>
        <v>504</v>
      </c>
    </row>
    <row r="47">
      <c r="B47" s="50" t="s">
        <v>337</v>
      </c>
      <c r="C47" s="46">
        <v>10693</v>
      </c>
      <c r="D47" s="46">
        <v>10698</v>
      </c>
      <c r="E47" s="46">
        <v>10704</v>
      </c>
      <c r="F47" s="46">
        <v>10705</v>
      </c>
      <c r="G47" s="3">
        <f>F47</f>
        <v>10705</v>
      </c>
      <c r="H47" s="46">
        <v>10701</v>
      </c>
      <c r="I47" s="46">
        <v>10710</v>
      </c>
      <c r="J47" s="57">
        <f>I47</f>
        <v>10710</v>
      </c>
    </row>
    <row r="48">
      <c r="B48" s="50" t="s">
        <v>338</v>
      </c>
      <c r="C48" s="46">
        <v>29959</v>
      </c>
      <c r="D48" s="46">
        <v>30373</v>
      </c>
      <c r="E48" s="46">
        <v>30938</v>
      </c>
      <c r="F48" s="46">
        <v>31392</v>
      </c>
      <c r="G48" s="3">
        <f>F48</f>
        <v>31392</v>
      </c>
      <c r="H48" s="46">
        <v>31864</v>
      </c>
      <c r="I48" s="46">
        <v>32660</v>
      </c>
      <c r="J48" s="48">
        <f>I48+'Income Statement'!J74-'Income Statement'!J79-'Share Count'!J43</f>
        <v>33440.69796942081</v>
      </c>
    </row>
    <row r="49" ht="24">
      <c r="B49" s="83" t="s">
        <v>339</v>
      </c>
      <c r="C49" s="59">
        <v>-1792</v>
      </c>
      <c r="D49" s="59">
        <v>-1321</v>
      </c>
      <c r="E49" s="59">
        <v>-1172</v>
      </c>
      <c r="F49" s="59">
        <v>-1043</v>
      </c>
      <c r="G49" s="25">
        <f>F49</f>
        <v>-1043</v>
      </c>
      <c r="H49" s="59">
        <v>-1282</v>
      </c>
      <c r="I49" s="59">
        <v>-1178</v>
      </c>
      <c r="J49" s="86">
        <f>I49</f>
        <v>-1178</v>
      </c>
    </row>
    <row r="50">
      <c r="B50" s="50" t="s">
        <v>340</v>
      </c>
      <c r="C50" s="46">
        <v>-16231</v>
      </c>
      <c r="D50" s="46">
        <v>-16506</v>
      </c>
      <c r="E50" s="46">
        <v>-16891</v>
      </c>
      <c r="F50" s="46">
        <v>-17276</v>
      </c>
      <c r="G50" s="3">
        <f>F50</f>
        <v>-17276</v>
      </c>
      <c r="H50" s="46">
        <v>-17604</v>
      </c>
      <c r="I50" s="46">
        <v>-17987</v>
      </c>
      <c r="J50" s="48">
        <f>I50-'Share Count'!J17</f>
        <v>-18487</v>
      </c>
    </row>
    <row r="51">
      <c r="B51" s="19" t="s">
        <v>341</v>
      </c>
      <c r="C51" s="38">
        <f>C45+C46+C47+C48+C49+C50</f>
        <v>26692</v>
      </c>
      <c r="D51" s="38">
        <f>D45+D46+D47+D48+D49+D50</f>
        <v>27307</v>
      </c>
      <c r="E51" s="38">
        <f>E45+E46+E47+E48+E49+E50</f>
        <v>27642</v>
      </c>
      <c r="F51" s="38">
        <f>F45+F46+F47+F48+F49+F50</f>
        <v>27841</v>
      </c>
      <c r="G51" s="38">
        <f>G45+G46+G47+G48+G49+G50</f>
        <v>27841</v>
      </c>
      <c r="H51" s="38">
        <f>H45+H46+H47+H48+H49+H50</f>
        <v>27742</v>
      </c>
      <c r="I51" s="38">
        <f>I45+I46+I47+I48+I49+I50</f>
        <v>28268</v>
      </c>
      <c r="J51" s="63">
        <f>J45+J46+J47+J48+J49+J50</f>
        <v>28548.697969420813</v>
      </c>
    </row>
    <row r="52">
      <c r="B52" s="19" t="s">
        <v>342</v>
      </c>
      <c r="C52" s="38">
        <f>C39+C51</f>
        <v>372693</v>
      </c>
      <c r="D52" s="38">
        <f>D39+D51</f>
        <v>376717</v>
      </c>
      <c r="E52" s="38">
        <f>E39+E51</f>
        <v>371070</v>
      </c>
      <c r="F52" s="38">
        <f>F39+F51</f>
        <v>366047</v>
      </c>
      <c r="G52" s="38">
        <f>G39+G51</f>
        <v>366047</v>
      </c>
      <c r="H52" s="38">
        <f>H39+H51</f>
        <v>392165</v>
      </c>
      <c r="I52" s="38">
        <f>I39+I51</f>
        <v>418381</v>
      </c>
      <c r="J52" s="63">
        <f>J39+J51</f>
        <v>418661.6979694208</v>
      </c>
    </row>
    <row r="53" ht="35.25">
      <c r="B53" s="17" t="s">
        <v>343</v>
      </c>
      <c r="C53" s="5">
        <f>C27-C39-C51</f>
        <v>0</v>
      </c>
      <c r="D53" s="5">
        <f>D27-D39-D51</f>
        <v>0</v>
      </c>
      <c r="E53" s="5">
        <f>E27-E39-E51</f>
        <v>0</v>
      </c>
      <c r="F53" s="5">
        <f>F27-F39-F51</f>
        <v>0</v>
      </c>
      <c r="G53" s="5">
        <f>G27-G39-G51</f>
        <v>0</v>
      </c>
      <c r="H53" s="5">
        <f>H27-H39-H51</f>
        <v>0</v>
      </c>
      <c r="I53" s="5">
        <f>I27-I39-I51</f>
        <v>0</v>
      </c>
      <c r="J53" s="64">
        <f>J27-J39-J51</f>
        <v>0</v>
      </c>
    </row>
    <row r="54">
      <c r="B54" s="19" t="s">
        <v>344</v>
      </c>
      <c r="C54" s="2"/>
      <c r="D54" s="2"/>
      <c r="E54" s="2"/>
      <c r="F54" s="2"/>
      <c r="G54" s="2"/>
      <c r="H54" s="2"/>
      <c r="I54" s="2"/>
      <c r="J54" s="2"/>
    </row>
    <row r="55">
      <c r="B55" s="2" t="s">
        <v>345</v>
      </c>
      <c r="C55" s="75">
        <f>'Share Count'!C23</f>
        <v>288.676</v>
      </c>
      <c r="D55" s="75">
        <f>'Share Count'!D23</f>
        <v>285.562</v>
      </c>
      <c r="E55" s="75">
        <f>'Share Count'!E23</f>
        <v>282.218</v>
      </c>
      <c r="F55" s="75">
        <f>'Share Count'!F23</f>
        <v>279.078</v>
      </c>
      <c r="G55" s="75">
        <f>'Share Count'!G23</f>
        <v>279.078</v>
      </c>
      <c r="H55" s="75">
        <f>'Share Count'!H23</f>
        <v>276.925</v>
      </c>
      <c r="I55" s="75">
        <f>'Share Count'!I23</f>
        <v>274.703</v>
      </c>
      <c r="J55" s="132">
        <f>'Share Count'!J23</f>
        <v>272.27075956284153</v>
      </c>
    </row>
    <row r="56">
      <c r="B56" s="2" t="s">
        <v>346</v>
      </c>
      <c r="C56" s="7">
        <f>(C51-C45)/C55</f>
        <v>80.13482243068354</v>
      </c>
      <c r="D56" s="7">
        <f>(D51-D45)/D55</f>
        <v>83.16232551950189</v>
      </c>
      <c r="E56" s="7">
        <f>(E51-E45)/E55</f>
        <v>85.33474122841207</v>
      </c>
      <c r="F56" s="7">
        <f>(F51-F45)/F55</f>
        <v>87.00793326596866</v>
      </c>
      <c r="G56" s="7">
        <f>(G51-G45)/G55</f>
        <v>87.00793326596866</v>
      </c>
      <c r="H56" s="7">
        <f>(H51-H45)/H55</f>
        <v>87.32689356323914</v>
      </c>
      <c r="I56" s="7">
        <f>(I51-I45)/I55</f>
        <v>89.94805298813628</v>
      </c>
      <c r="J56" s="101">
        <f>(J51-J45)/J55</f>
        <v>91.78252563567355</v>
      </c>
    </row>
    <row r="57" ht="24">
      <c r="B57" s="83" t="s">
        <v>347</v>
      </c>
      <c r="C57" s="74">
        <v>80.13</v>
      </c>
      <c r="D57" s="74">
        <v>83.16</v>
      </c>
      <c r="E57" s="74">
        <v>85.33</v>
      </c>
      <c r="F57" s="74">
        <v>87.01</v>
      </c>
      <c r="G57" s="30">
        <f>F57</f>
        <v>87.01</v>
      </c>
      <c r="H57" s="74">
        <v>87.33</v>
      </c>
      <c r="I57" s="74">
        <v>89.95</v>
      </c>
      <c r="J57" s="93" t="s">
        <v>46</v>
      </c>
    </row>
    <row r="58" ht="24">
      <c r="B58" s="83" t="s">
        <v>348</v>
      </c>
      <c r="C58" s="59">
        <v>465</v>
      </c>
      <c r="D58" s="59">
        <v>479</v>
      </c>
      <c r="E58" s="59">
        <v>473</v>
      </c>
      <c r="F58" s="59">
        <v>478</v>
      </c>
      <c r="G58" s="25">
        <f>F58</f>
        <v>478</v>
      </c>
      <c r="H58" s="59">
        <v>480</v>
      </c>
      <c r="I58" s="59">
        <v>484</v>
      </c>
      <c r="J58" s="86">
        <f>I58</f>
        <v>484</v>
      </c>
    </row>
    <row r="59">
      <c r="B59" s="19" t="s">
        <v>349</v>
      </c>
      <c r="C59" s="38">
        <f>C51-C45-C24-C25+C58</f>
        <v>14789</v>
      </c>
      <c r="D59" s="38">
        <f>D51-D45-D24-D25+D58</f>
        <v>15295</v>
      </c>
      <c r="E59" s="38">
        <f>E51-E45-E24-E25+E58</f>
        <v>15682</v>
      </c>
      <c r="F59" s="38">
        <f>F51-F45-F24-F25+F58</f>
        <v>15666</v>
      </c>
      <c r="G59" s="38">
        <f>G51-G45-G24-G25+G58</f>
        <v>15666</v>
      </c>
      <c r="H59" s="38">
        <f>H51-H45-H24-H25+H58</f>
        <v>15670</v>
      </c>
      <c r="I59" s="38">
        <f>I51-I45-I24-I25+I58</f>
        <v>16271</v>
      </c>
      <c r="J59" s="63">
        <f>J51-J45-J24-J25+J58</f>
        <v>16551.697969420813</v>
      </c>
    </row>
    <row r="60" ht="24">
      <c r="B60" s="6" t="s">
        <v>350</v>
      </c>
      <c r="C60" s="30">
        <f>C59/C55</f>
        <v>51.23044520500492</v>
      </c>
      <c r="D60" s="30">
        <f>D59/D55</f>
        <v>53.561048038604575</v>
      </c>
      <c r="E60" s="30">
        <f>E59/E55</f>
        <v>55.56697304920309</v>
      </c>
      <c r="F60" s="30">
        <f>F59/F55</f>
        <v>56.134844022101355</v>
      </c>
      <c r="G60" s="30">
        <f>G59/G55</f>
        <v>56.134844022101355</v>
      </c>
      <c r="H60" s="30">
        <f>H59/H55</f>
        <v>56.585718154735034</v>
      </c>
      <c r="I60" s="30">
        <f>I59/I55</f>
        <v>59.2312424691394</v>
      </c>
      <c r="J60" s="93">
        <f>J59/J55</f>
        <v>60.791316687830346</v>
      </c>
    </row>
    <row r="61" ht="24">
      <c r="B61" s="83" t="s">
        <v>351</v>
      </c>
      <c r="C61" s="74">
        <v>51.23</v>
      </c>
      <c r="D61" s="74">
        <v>53.56</v>
      </c>
      <c r="E61" s="74">
        <v>55.57</v>
      </c>
      <c r="F61" s="74">
        <v>56.13</v>
      </c>
      <c r="G61" s="30">
        <f>F61</f>
        <v>56.13</v>
      </c>
      <c r="H61" s="74">
        <v>56.59</v>
      </c>
      <c r="I61" s="74">
        <v>59.23</v>
      </c>
      <c r="J61" s="93" t="s">
        <v>46</v>
      </c>
    </row>
    <row r="62">
      <c r="B62" s="13" t="s">
        <v>352</v>
      </c>
      <c r="C62" s="78">
        <v>0.11</v>
      </c>
      <c r="D62" s="78">
        <v>0.107</v>
      </c>
      <c r="E62" s="78">
        <v>0.113</v>
      </c>
      <c r="F62" s="78">
        <v>0.116</v>
      </c>
      <c r="G62" s="26">
        <f>F62</f>
        <v>0.116</v>
      </c>
      <c r="H62" s="78">
        <v>0.106</v>
      </c>
      <c r="I62" s="78">
        <v>0.108</v>
      </c>
      <c r="J62" s="60" t="s">
        <v>72</v>
      </c>
    </row>
    <row r="63">
      <c r="B63" s="50" t="s">
        <v>116</v>
      </c>
      <c r="C63" s="20"/>
      <c r="D63" s="20">
        <f>(D62-C62)*10000</f>
        <v>-30.00000000000003</v>
      </c>
      <c r="E63" s="20">
        <f>(E62-D62)*10000</f>
        <v>60.00000000000006</v>
      </c>
      <c r="F63" s="20">
        <f>(F62-E62)*10000</f>
        <v>30.00000000000003</v>
      </c>
      <c r="G63" s="20"/>
      <c r="H63" s="20">
        <f>(H62-F62)*10000</f>
        <v>-100.00000000000009</v>
      </c>
      <c r="I63" s="20">
        <f>(I62-H62)*10000</f>
        <v>20.000000000000018</v>
      </c>
      <c r="J63" s="70"/>
    </row>
    <row r="64">
      <c r="B64" s="50" t="s">
        <v>117</v>
      </c>
      <c r="C64" s="20" t="s">
        <v>46</v>
      </c>
      <c r="D64" s="20" t="s">
        <v>46</v>
      </c>
      <c r="E64" s="20" t="s">
        <v>46</v>
      </c>
      <c r="F64" s="20" t="s">
        <v>46</v>
      </c>
      <c r="G64" s="20" t="s">
        <v>46</v>
      </c>
      <c r="H64" s="20">
        <f>(H62-C62)*10000</f>
        <v>-40.000000000000036</v>
      </c>
      <c r="I64" s="20">
        <f>(I62-D62)*10000</f>
        <v>10.000000000000009</v>
      </c>
      <c r="J64" s="70"/>
    </row>
    <row r="65">
      <c r="B65" s="13" t="s">
        <v>353</v>
      </c>
      <c r="C65" s="78">
        <v>0.055</v>
      </c>
      <c r="D65" s="78">
        <v>0.053</v>
      </c>
      <c r="E65" s="78">
        <v>0.056</v>
      </c>
      <c r="F65" s="78">
        <v>0.055</v>
      </c>
      <c r="G65" s="26">
        <f>F65</f>
        <v>0.055</v>
      </c>
      <c r="H65" s="78">
        <v>0.054</v>
      </c>
      <c r="I65" s="78">
        <v>0.053</v>
      </c>
      <c r="J65" s="60" t="s">
        <v>72</v>
      </c>
    </row>
    <row r="66">
      <c r="B66" s="50" t="s">
        <v>116</v>
      </c>
      <c r="C66" s="20"/>
      <c r="D66" s="20">
        <f>(D65-C65)*10000</f>
        <v>-20.000000000000018</v>
      </c>
      <c r="E66" s="20">
        <f>(E65-D65)*10000</f>
        <v>30.00000000000003</v>
      </c>
      <c r="F66" s="20">
        <f>(F65-E65)*10000</f>
        <v>-10.000000000000009</v>
      </c>
      <c r="G66" s="20"/>
      <c r="H66" s="20">
        <f>(H65-F65)*10000</f>
        <v>-10.000000000000009</v>
      </c>
      <c r="I66" s="20">
        <f>(I65-H65)*10000</f>
        <v>-10.000000000000009</v>
      </c>
      <c r="J66" s="70"/>
    </row>
    <row r="67">
      <c r="B67" s="50" t="s">
        <v>117</v>
      </c>
      <c r="C67" s="20" t="s">
        <v>46</v>
      </c>
      <c r="D67" s="20" t="s">
        <v>46</v>
      </c>
      <c r="E67" s="20" t="s">
        <v>46</v>
      </c>
      <c r="F67" s="20" t="s">
        <v>46</v>
      </c>
      <c r="G67" s="20" t="s">
        <v>46</v>
      </c>
      <c r="H67" s="20">
        <f>(H65-C65)*10000</f>
        <v>-10.000000000000009</v>
      </c>
      <c r="I67" s="20">
        <f>(I65-D65)*10000</f>
        <v>0</v>
      </c>
      <c r="J67" s="70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2:K10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354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355</v>
      </c>
      <c r="C9" s="2"/>
      <c r="D9" s="2"/>
      <c r="E9" s="2"/>
      <c r="F9" s="2"/>
      <c r="G9" s="2"/>
      <c r="H9" s="2"/>
      <c r="I9" s="2"/>
      <c r="J9" s="2"/>
    </row>
    <row r="10">
      <c r="B10" s="19" t="s">
        <v>356</v>
      </c>
      <c r="C10" s="49"/>
      <c r="D10" s="49"/>
      <c r="E10" s="49"/>
      <c r="F10" s="49"/>
      <c r="G10" s="49"/>
      <c r="H10" s="49"/>
      <c r="I10" s="49"/>
      <c r="J10" s="62"/>
    </row>
    <row r="11">
      <c r="B11" s="50" t="s">
        <v>274</v>
      </c>
      <c r="C11" s="3">
        <f>C64</f>
        <v>644</v>
      </c>
      <c r="D11" s="3">
        <f>D64-C64</f>
        <v>693</v>
      </c>
      <c r="E11" s="3">
        <f>E64-D64</f>
        <v>861</v>
      </c>
      <c r="F11" s="3">
        <f>F64-E64</f>
        <v>747</v>
      </c>
      <c r="G11" s="3">
        <f>SUM(C11:F11)</f>
        <v>2945</v>
      </c>
      <c r="H11" s="3">
        <f>H64</f>
        <v>764</v>
      </c>
      <c r="I11" s="3">
        <f>I64-H64</f>
        <v>1084</v>
      </c>
      <c r="J11" s="48">
        <f>'Income Statement'!J74</f>
        <v>1090.305898819726</v>
      </c>
    </row>
    <row r="12">
      <c r="B12" s="50" t="s">
        <v>357</v>
      </c>
      <c r="C12" s="3">
        <f>C65</f>
        <v>18</v>
      </c>
      <c r="D12" s="3">
        <f>D65-C65</f>
        <v>-82</v>
      </c>
      <c r="E12" s="3">
        <f>E65-D65</f>
        <v>1</v>
      </c>
      <c r="F12" s="3">
        <f>F65-E65</f>
        <v>-26</v>
      </c>
      <c r="G12" s="3">
        <f>SUM(C12:F12)</f>
        <v>-89</v>
      </c>
      <c r="H12" s="3">
        <f>H65</f>
        <v>28</v>
      </c>
      <c r="I12" s="3">
        <f>I65-H65</f>
        <v>72</v>
      </c>
      <c r="J12" s="57" t="s">
        <v>72</v>
      </c>
    </row>
    <row r="13" ht="24">
      <c r="B13" s="83" t="s">
        <v>358</v>
      </c>
      <c r="C13" s="25">
        <f>C66</f>
        <v>54</v>
      </c>
      <c r="D13" s="25">
        <f>D66-C66</f>
        <v>56</v>
      </c>
      <c r="E13" s="25">
        <f>E66-D66</f>
        <v>56</v>
      </c>
      <c r="F13" s="25">
        <f>F66-E66</f>
        <v>57</v>
      </c>
      <c r="G13" s="25">
        <f>SUM(C13:F13)</f>
        <v>223</v>
      </c>
      <c r="H13" s="25">
        <f>H66</f>
        <v>57</v>
      </c>
      <c r="I13" s="25">
        <f>I66-H66</f>
        <v>55</v>
      </c>
      <c r="J13" s="86" t="s">
        <v>72</v>
      </c>
    </row>
    <row r="14" ht="24">
      <c r="B14" s="83" t="s">
        <v>359</v>
      </c>
      <c r="C14" s="25">
        <f>C67</f>
        <v>34</v>
      </c>
      <c r="D14" s="25">
        <f>D67-C67</f>
        <v>61</v>
      </c>
      <c r="E14" s="25">
        <f>E67-D67</f>
        <v>103</v>
      </c>
      <c r="F14" s="25">
        <f>F67-E67</f>
        <v>133</v>
      </c>
      <c r="G14" s="25">
        <f>SUM(C14:F14)</f>
        <v>331</v>
      </c>
      <c r="H14" s="25">
        <f>H67</f>
        <v>160</v>
      </c>
      <c r="I14" s="25">
        <f>I67-H67</f>
        <v>145</v>
      </c>
      <c r="J14" s="86" t="s">
        <v>72</v>
      </c>
    </row>
    <row r="15" ht="24">
      <c r="B15" s="83" t="s">
        <v>360</v>
      </c>
      <c r="C15" s="25">
        <f>C68</f>
        <v>0</v>
      </c>
      <c r="D15" s="25">
        <f>D68-C68</f>
        <v>0</v>
      </c>
      <c r="E15" s="25">
        <f>E68-D68</f>
        <v>-1</v>
      </c>
      <c r="F15" s="25">
        <f>F68-E68</f>
        <v>-3</v>
      </c>
      <c r="G15" s="25">
        <f>SUM(C15:F15)</f>
        <v>-4</v>
      </c>
      <c r="H15" s="25">
        <f>H68</f>
        <v>-1</v>
      </c>
      <c r="I15" s="25">
        <f>I68-H68</f>
        <v>0</v>
      </c>
      <c r="J15" s="86" t="s">
        <v>72</v>
      </c>
    </row>
    <row r="16">
      <c r="B16" s="50" t="s">
        <v>203</v>
      </c>
      <c r="C16" s="3">
        <f>C69</f>
        <v>12</v>
      </c>
      <c r="D16" s="3">
        <f>D69-C69</f>
        <v>30</v>
      </c>
      <c r="E16" s="3">
        <f>E69-D69</f>
        <v>9</v>
      </c>
      <c r="F16" s="3">
        <f>F69-E69</f>
        <v>8</v>
      </c>
      <c r="G16" s="3">
        <f>SUM(C16:F16)</f>
        <v>59</v>
      </c>
      <c r="H16" s="3">
        <f>H69</f>
        <v>16</v>
      </c>
      <c r="I16" s="3">
        <f>I69-H69</f>
        <v>0</v>
      </c>
      <c r="J16" s="57" t="s">
        <v>72</v>
      </c>
    </row>
    <row r="17" ht="24">
      <c r="B17" s="83" t="s">
        <v>361</v>
      </c>
      <c r="C17" s="25">
        <f>C70</f>
        <v>25</v>
      </c>
      <c r="D17" s="25">
        <f>D70-C70</f>
        <v>-47</v>
      </c>
      <c r="E17" s="25">
        <f>E70-D70</f>
        <v>-93</v>
      </c>
      <c r="F17" s="25">
        <f>F70-E70</f>
        <v>56</v>
      </c>
      <c r="G17" s="25">
        <f>SUM(C17:F17)</f>
        <v>-59</v>
      </c>
      <c r="H17" s="25">
        <f>H70</f>
        <v>-15</v>
      </c>
      <c r="I17" s="25">
        <f>I70-H70</f>
        <v>-14</v>
      </c>
      <c r="J17" s="86" t="s">
        <v>72</v>
      </c>
    </row>
    <row r="18" ht="24">
      <c r="B18" s="83" t="s">
        <v>362</v>
      </c>
      <c r="C18" s="25">
        <f>C71</f>
        <v>-247</v>
      </c>
      <c r="D18" s="25">
        <f>D71-C71</f>
        <v>-308</v>
      </c>
      <c r="E18" s="25">
        <f>E71-D71</f>
        <v>112</v>
      </c>
      <c r="F18" s="25">
        <f>F71-E71</f>
        <v>93</v>
      </c>
      <c r="G18" s="25">
        <f>SUM(C18:F18)</f>
        <v>-350</v>
      </c>
      <c r="H18" s="25">
        <f>H71</f>
        <v>-313</v>
      </c>
      <c r="I18" s="25">
        <f>I71-H71</f>
        <v>-159</v>
      </c>
      <c r="J18" s="86" t="s">
        <v>72</v>
      </c>
    </row>
    <row r="19" ht="13.5">
      <c r="B19" s="83" t="s">
        <v>363</v>
      </c>
      <c r="C19" s="25">
        <f>C72</f>
        <v>-1697</v>
      </c>
      <c r="D19" s="25">
        <f>D72-C72</f>
        <v>-11441</v>
      </c>
      <c r="E19" s="25">
        <f>E72-D72</f>
        <v>11222</v>
      </c>
      <c r="F19" s="25">
        <f>F72-E72</f>
        <v>8527</v>
      </c>
      <c r="G19" s="25">
        <f>SUM(C19:F19)</f>
        <v>6611</v>
      </c>
      <c r="H19" s="25">
        <f>H72</f>
        <v>-5682</v>
      </c>
      <c r="I19" s="25">
        <f>I72-H72</f>
        <v>-7896</v>
      </c>
      <c r="J19" s="86" t="s">
        <v>72</v>
      </c>
    </row>
    <row r="20" ht="24">
      <c r="B20" s="83" t="s">
        <v>364</v>
      </c>
      <c r="C20" s="25">
        <f>C73</f>
        <v>4613</v>
      </c>
      <c r="D20" s="25">
        <f>D73-C73</f>
        <v>1296</v>
      </c>
      <c r="E20" s="25">
        <f>E73-D73</f>
        <v>-1778</v>
      </c>
      <c r="F20" s="25">
        <f>F73-E73</f>
        <v>1381</v>
      </c>
      <c r="G20" s="25">
        <f>SUM(C20:F20)</f>
        <v>5512</v>
      </c>
      <c r="H20" s="25">
        <f>H73</f>
        <v>-4369</v>
      </c>
      <c r="I20" s="25">
        <f>I73-H73</f>
        <v>-451</v>
      </c>
      <c r="J20" s="86" t="s">
        <v>72</v>
      </c>
    </row>
    <row r="21">
      <c r="B21" s="50" t="s">
        <v>365</v>
      </c>
      <c r="C21" s="3">
        <f>C74</f>
        <v>-1761</v>
      </c>
      <c r="D21" s="3">
        <f>D74-C74</f>
        <v>-919</v>
      </c>
      <c r="E21" s="3">
        <f>E74-D74</f>
        <v>-2</v>
      </c>
      <c r="F21" s="3">
        <f>F74-E74</f>
        <v>158</v>
      </c>
      <c r="G21" s="3">
        <f>SUM(C21:F21)</f>
        <v>-2524</v>
      </c>
      <c r="H21" s="3">
        <f>H74</f>
        <v>-4650</v>
      </c>
      <c r="I21" s="3">
        <f>I74-H74</f>
        <v>2036</v>
      </c>
      <c r="J21" s="57" t="s">
        <v>72</v>
      </c>
    </row>
    <row r="22" ht="24">
      <c r="B22" s="83" t="s">
        <v>366</v>
      </c>
      <c r="C22" s="25">
        <f>C75</f>
        <v>545</v>
      </c>
      <c r="D22" s="25">
        <f>D75-C75</f>
        <v>2094</v>
      </c>
      <c r="E22" s="25">
        <f>E75-D75</f>
        <v>-2650</v>
      </c>
      <c r="F22" s="25">
        <f>F75-E75</f>
        <v>-1156</v>
      </c>
      <c r="G22" s="25">
        <f>SUM(C22:F22)</f>
        <v>-1167</v>
      </c>
      <c r="H22" s="25">
        <f>H75</f>
        <v>1625</v>
      </c>
      <c r="I22" s="25">
        <f>I75-H75</f>
        <v>2711</v>
      </c>
      <c r="J22" s="86" t="s">
        <v>72</v>
      </c>
    </row>
    <row r="23">
      <c r="B23" s="50" t="s">
        <v>367</v>
      </c>
      <c r="C23" s="3">
        <f>C76</f>
        <v>156</v>
      </c>
      <c r="D23" s="3">
        <f>D76-C76</f>
        <v>126</v>
      </c>
      <c r="E23" s="3">
        <f>E76-D76</f>
        <v>61</v>
      </c>
      <c r="F23" s="3">
        <f>F76-E76</f>
        <v>67</v>
      </c>
      <c r="G23" s="3">
        <f>SUM(C23:F23)</f>
        <v>410</v>
      </c>
      <c r="H23" s="3">
        <f>H76</f>
        <v>237</v>
      </c>
      <c r="I23" s="3">
        <f>I76-H76</f>
        <v>91</v>
      </c>
      <c r="J23" s="57" t="s">
        <v>72</v>
      </c>
    </row>
    <row r="24" ht="24">
      <c r="B24" s="43" t="s">
        <v>368</v>
      </c>
      <c r="C24" s="33">
        <f>SUM(C11,C12,C13,C14,C15,C16,C17,C18,C19,C20,C21,C22,C23)</f>
        <v>2396</v>
      </c>
      <c r="D24" s="33">
        <f>SUM(D11,D12,D13,D14,D15,D16,D17,D18,D19,D20,D21,D22,D23)</f>
        <v>-8441</v>
      </c>
      <c r="E24" s="33">
        <f>SUM(E11,E12,E13,E14,E15,E16,E17,E18,E19,E20,E21,E22,E23)</f>
        <v>7901</v>
      </c>
      <c r="F24" s="33">
        <f>SUM(F11,F12,F13,F14,F15,F16,F17,F18,F19,F20,F21,F22,F23)</f>
        <v>10042</v>
      </c>
      <c r="G24" s="33">
        <f>SUM(G11,G12,G13,G14,G15,G16,G17,G18,G19,G20,G21,G22,G23)</f>
        <v>11898</v>
      </c>
      <c r="H24" s="33">
        <f>SUM(H11,H12,H13,H14,H15,H16,H17,H18,H19,H20,H21,H22,H23)</f>
        <v>-12143</v>
      </c>
      <c r="I24" s="33">
        <f>SUM(I11,I12,I13,I14,I15,I16,I17,I18,I19,I20,I21,I22,I23)</f>
        <v>-2326</v>
      </c>
      <c r="J24" s="91" t="s">
        <v>72</v>
      </c>
      <c r="K24" s="180" t="s">
        <v>369</v>
      </c>
    </row>
    <row r="25">
      <c r="B25" s="19" t="s">
        <v>370</v>
      </c>
      <c r="C25" s="49"/>
      <c r="D25" s="49"/>
      <c r="E25" s="49"/>
      <c r="F25" s="49"/>
      <c r="G25" s="49"/>
      <c r="H25" s="49"/>
      <c r="I25" s="49"/>
      <c r="J25" s="62"/>
    </row>
    <row r="26" ht="24">
      <c r="B26" s="83" t="s">
        <v>371</v>
      </c>
      <c r="C26" s="25">
        <f>C77</f>
        <v>-6507</v>
      </c>
      <c r="D26" s="25">
        <f>D77-C77</f>
        <v>628</v>
      </c>
      <c r="E26" s="25">
        <f>E77-D77</f>
        <v>-3806</v>
      </c>
      <c r="F26" s="25">
        <f>F77-E77</f>
        <v>-3313</v>
      </c>
      <c r="G26" s="25">
        <f>SUM(C26:F26)</f>
        <v>-12998</v>
      </c>
      <c r="H26" s="25">
        <f>H77</f>
        <v>3356</v>
      </c>
      <c r="I26" s="25">
        <f>I77-H77</f>
        <v>-21649</v>
      </c>
      <c r="J26" s="86" t="s">
        <v>72</v>
      </c>
    </row>
    <row r="27" ht="34.5">
      <c r="B27" s="83" t="s">
        <v>372</v>
      </c>
      <c r="C27" s="25">
        <f>C78</f>
        <v>-1291</v>
      </c>
      <c r="D27" s="25">
        <f>D78-C78</f>
        <v>-304</v>
      </c>
      <c r="E27" s="25">
        <f>E78-D78</f>
        <v>545</v>
      </c>
      <c r="F27" s="25">
        <f>F78-E78</f>
        <v>917</v>
      </c>
      <c r="G27" s="25">
        <f>SUM(C27:F27)</f>
        <v>-133</v>
      </c>
      <c r="H27" s="25">
        <f>H78</f>
        <v>-1375</v>
      </c>
      <c r="I27" s="25">
        <f>I78-H78</f>
        <v>-848</v>
      </c>
      <c r="J27" s="86" t="s">
        <v>72</v>
      </c>
    </row>
    <row r="28" ht="24">
      <c r="B28" s="83" t="s">
        <v>373</v>
      </c>
      <c r="C28" s="25">
        <f>C79</f>
        <v>2047</v>
      </c>
      <c r="D28" s="25">
        <f>D79-C79</f>
        <v>5474</v>
      </c>
      <c r="E28" s="25">
        <f>E79-D79</f>
        <v>2390</v>
      </c>
      <c r="F28" s="25">
        <f>F79-E79</f>
        <v>6088</v>
      </c>
      <c r="G28" s="25">
        <f>SUM(C28:F28)</f>
        <v>15999</v>
      </c>
      <c r="H28" s="25">
        <f>H79</f>
        <v>3944</v>
      </c>
      <c r="I28" s="25">
        <f>I79-H79</f>
        <v>1484</v>
      </c>
      <c r="J28" s="86" t="s">
        <v>72</v>
      </c>
    </row>
    <row r="29" ht="24">
      <c r="B29" s="83" t="s">
        <v>374</v>
      </c>
      <c r="C29" s="25">
        <f>C80</f>
        <v>8832</v>
      </c>
      <c r="D29" s="25">
        <f>D80-C80</f>
        <v>7410</v>
      </c>
      <c r="E29" s="25">
        <f>E80-D80</f>
        <v>7649</v>
      </c>
      <c r="F29" s="25">
        <f>F80-E80</f>
        <v>5149</v>
      </c>
      <c r="G29" s="25">
        <f>SUM(C29:F29)</f>
        <v>29040</v>
      </c>
      <c r="H29" s="25">
        <f>H80</f>
        <v>5301</v>
      </c>
      <c r="I29" s="25">
        <f>I80-H80</f>
        <v>5464</v>
      </c>
      <c r="J29" s="86" t="s">
        <v>72</v>
      </c>
    </row>
    <row r="30">
      <c r="B30" s="50" t="s">
        <v>375</v>
      </c>
      <c r="C30" s="3">
        <f>C81</f>
        <v>-18449</v>
      </c>
      <c r="D30" s="3">
        <f>D81-C81</f>
        <v>-13756</v>
      </c>
      <c r="E30" s="3">
        <f>E81-D81</f>
        <v>-9452</v>
      </c>
      <c r="F30" s="3">
        <f>F81-E81</f>
        <v>-8588</v>
      </c>
      <c r="G30" s="3">
        <f>SUM(C30:F30)</f>
        <v>-50245</v>
      </c>
      <c r="H30" s="3">
        <f>H81</f>
        <v>-13936</v>
      </c>
      <c r="I30" s="3">
        <f>I81-H81</f>
        <v>-7883</v>
      </c>
      <c r="J30" s="57" t="s">
        <v>72</v>
      </c>
    </row>
    <row r="31" ht="24">
      <c r="B31" s="83" t="s">
        <v>376</v>
      </c>
      <c r="C31" s="25">
        <f>C82</f>
        <v>2333</v>
      </c>
      <c r="D31" s="25">
        <f>D82-C82</f>
        <v>2375</v>
      </c>
      <c r="E31" s="25">
        <f>E82-D82</f>
        <v>2376</v>
      </c>
      <c r="F31" s="25">
        <f>F82-E82</f>
        <v>2774</v>
      </c>
      <c r="G31" s="25">
        <f>SUM(C31:F31)</f>
        <v>9858</v>
      </c>
      <c r="H31" s="25">
        <f>H82</f>
        <v>1420</v>
      </c>
      <c r="I31" s="25">
        <f>I82-H82</f>
        <v>1433</v>
      </c>
      <c r="J31" s="86" t="s">
        <v>72</v>
      </c>
    </row>
    <row r="32">
      <c r="B32" s="50" t="s">
        <v>377</v>
      </c>
      <c r="C32" s="3">
        <f>C83</f>
        <v>85</v>
      </c>
      <c r="D32" s="3">
        <f>D83-C83</f>
        <v>66</v>
      </c>
      <c r="E32" s="3">
        <f>E83-D83</f>
        <v>37</v>
      </c>
      <c r="F32" s="3">
        <f>F83-E83</f>
        <v>880</v>
      </c>
      <c r="G32" s="3">
        <f>SUM(C32:F32)</f>
        <v>1068</v>
      </c>
      <c r="H32" s="3">
        <f>H83</f>
        <v>132</v>
      </c>
      <c r="I32" s="3">
        <f>I83-H83</f>
        <v>472</v>
      </c>
      <c r="J32" s="57" t="s">
        <v>72</v>
      </c>
    </row>
    <row r="33">
      <c r="B33" s="50" t="s">
        <v>378</v>
      </c>
      <c r="C33" s="3">
        <f>C84</f>
        <v>-1281</v>
      </c>
      <c r="D33" s="3">
        <f>D84-C84</f>
        <v>-2004</v>
      </c>
      <c r="E33" s="3">
        <f>E84-D84</f>
        <v>566</v>
      </c>
      <c r="F33" s="3">
        <f>F84-E84</f>
        <v>-1000</v>
      </c>
      <c r="G33" s="3">
        <f>SUM(C33:F33)</f>
        <v>-3719</v>
      </c>
      <c r="H33" s="3">
        <f>H84</f>
        <v>-2858</v>
      </c>
      <c r="I33" s="3">
        <f>I84-H84</f>
        <v>-3410</v>
      </c>
      <c r="J33" s="57" t="s">
        <v>72</v>
      </c>
    </row>
    <row r="34" ht="24">
      <c r="B34" s="83" t="s">
        <v>379</v>
      </c>
      <c r="C34" s="25" t="str">
        <f>IF(ISNUMBER(C85),C85,"n.p.")</f>
        <v>n.p.</v>
      </c>
      <c r="D34" s="25" t="str">
        <f>IF(AND(ISNUMBER(D85),ISNUMBER(C85)),D85-C85,"n.p.")</f>
        <v>n.p.</v>
      </c>
      <c r="E34" s="25">
        <f>E85-D85</f>
        <v>0</v>
      </c>
      <c r="F34" s="25">
        <f>F85-E85</f>
        <v>-286</v>
      </c>
      <c r="G34" s="25">
        <f>SUM(C34:F34)</f>
        <v>-286</v>
      </c>
      <c r="H34" s="25" t="str">
        <f>IF(ISNUMBER(H85),H85,"n.p.")</f>
        <v>n.p.</v>
      </c>
      <c r="I34" s="25" t="str">
        <f>IF(AND(ISNUMBER(I85),ISNUMBER(H85)),I85-H85,"n.p.")</f>
        <v>n.p.</v>
      </c>
      <c r="J34" s="86" t="s">
        <v>72</v>
      </c>
    </row>
    <row r="35" ht="24">
      <c r="B35" s="83" t="s">
        <v>380</v>
      </c>
      <c r="C35" s="25">
        <f>C86</f>
        <v>-47</v>
      </c>
      <c r="D35" s="25">
        <f>D86-C86</f>
        <v>-212</v>
      </c>
      <c r="E35" s="25">
        <f>E86-D86</f>
        <v>-101</v>
      </c>
      <c r="F35" s="25">
        <f>F86-E86</f>
        <v>-804</v>
      </c>
      <c r="G35" s="25">
        <f>SUM(C35:F35)</f>
        <v>-1164</v>
      </c>
      <c r="H35" s="25">
        <f>H86</f>
        <v>-156</v>
      </c>
      <c r="I35" s="25">
        <f>I86-H86</f>
        <v>-256</v>
      </c>
      <c r="J35" s="86" t="s">
        <v>72</v>
      </c>
    </row>
    <row r="36" ht="24">
      <c r="B36" s="83" t="s">
        <v>381</v>
      </c>
      <c r="C36" s="25">
        <f>C87</f>
        <v>-226</v>
      </c>
      <c r="D36" s="25">
        <f>D87-C87</f>
        <v>-319</v>
      </c>
      <c r="E36" s="25">
        <f>E87-D87</f>
        <v>-243</v>
      </c>
      <c r="F36" s="25">
        <f>F87-E87</f>
        <v>-267</v>
      </c>
      <c r="G36" s="25">
        <f>SUM(C36:F36)</f>
        <v>-1055</v>
      </c>
      <c r="H36" s="25">
        <f>H87</f>
        <v>-270</v>
      </c>
      <c r="I36" s="25">
        <f>I87-H87</f>
        <v>-675</v>
      </c>
      <c r="J36" s="86" t="s">
        <v>72</v>
      </c>
    </row>
    <row r="37">
      <c r="B37" s="50" t="s">
        <v>382</v>
      </c>
      <c r="C37" s="3">
        <f>C88</f>
        <v>-103</v>
      </c>
      <c r="D37" s="3">
        <f>D88-C88</f>
        <v>258</v>
      </c>
      <c r="E37" s="3">
        <f>E88-D88</f>
        <v>96</v>
      </c>
      <c r="F37" s="3">
        <f>F88-E88</f>
        <v>393</v>
      </c>
      <c r="G37" s="3">
        <f>SUM(C37:F37)</f>
        <v>644</v>
      </c>
      <c r="H37" s="3">
        <f>H88</f>
        <v>59</v>
      </c>
      <c r="I37" s="3">
        <f>I88-H88</f>
        <v>82</v>
      </c>
      <c r="J37" s="57" t="s">
        <v>72</v>
      </c>
    </row>
    <row r="38" ht="24">
      <c r="B38" s="43" t="s">
        <v>383</v>
      </c>
      <c r="C38" s="33">
        <f>SUM(C26,C27,C28,C29,C30,C31,C32,C33,C34,C35,C36,C37)</f>
        <v>-14607</v>
      </c>
      <c r="D38" s="33">
        <f>SUM(D26,D27,D28,D29,D30,D31,D32,D33,D34,D35,D36,D37)</f>
        <v>-384</v>
      </c>
      <c r="E38" s="33">
        <f>SUM(E26,E27,E28,E29,E30,E31,E32,E33,E34,E35,E36,E37)</f>
        <v>57</v>
      </c>
      <c r="F38" s="33">
        <f>SUM(F26,F27,F28,F29,F30,F31,F32,F33,F34,F35,F36,F37)</f>
        <v>1943</v>
      </c>
      <c r="G38" s="33">
        <f>SUM(G26,G27,G28,G29,G30,G31,G32,G33,G34,G35,G36,G37)</f>
        <v>-12991</v>
      </c>
      <c r="H38" s="33">
        <f>SUM(H26,H27,H28,H29,H30,H31,H32,H33,H34,H35,H36,H37)</f>
        <v>-4383</v>
      </c>
      <c r="I38" s="33">
        <f>SUM(I26,I27,I28,I29,I30,I31,I32,I33,I34,I35,I36,I37)</f>
        <v>-25786</v>
      </c>
      <c r="J38" s="91" t="s">
        <v>72</v>
      </c>
    </row>
    <row r="39">
      <c r="B39" s="19" t="s">
        <v>384</v>
      </c>
      <c r="C39" s="49"/>
      <c r="D39" s="49"/>
      <c r="E39" s="49"/>
      <c r="F39" s="49"/>
      <c r="G39" s="49"/>
      <c r="H39" s="49"/>
      <c r="I39" s="49"/>
      <c r="J39" s="62"/>
    </row>
    <row r="40" ht="24">
      <c r="B40" s="83" t="s">
        <v>385</v>
      </c>
      <c r="C40" s="25">
        <f>C89</f>
        <v>2663</v>
      </c>
      <c r="D40" s="25">
        <f>D89-C89</f>
        <v>-4604</v>
      </c>
      <c r="E40" s="25">
        <f>E89-D89</f>
        <v>1164</v>
      </c>
      <c r="F40" s="25">
        <f>F89-E89</f>
        <v>-2331</v>
      </c>
      <c r="G40" s="25">
        <f>SUM(C40:F40)</f>
        <v>-3108</v>
      </c>
      <c r="H40" s="25">
        <f>H89</f>
        <v>-1097</v>
      </c>
      <c r="I40" s="25">
        <f>I89-H89</f>
        <v>-415</v>
      </c>
      <c r="J40" s="86" t="s">
        <v>72</v>
      </c>
    </row>
    <row r="41" ht="13.5">
      <c r="B41" s="83" t="s">
        <v>386</v>
      </c>
      <c r="C41" s="25">
        <f>C90</f>
        <v>7469</v>
      </c>
      <c r="D41" s="25">
        <f>D90-C90</f>
        <v>15567</v>
      </c>
      <c r="E41" s="25">
        <f>E90-D90</f>
        <v>-4188</v>
      </c>
      <c r="F41" s="25">
        <f>F90-E90</f>
        <v>-4377</v>
      </c>
      <c r="G41" s="25">
        <f>SUM(C41:F41)</f>
        <v>14471</v>
      </c>
      <c r="H41" s="25">
        <f>H90</f>
        <v>20086</v>
      </c>
      <c r="I41" s="25">
        <f>I90-H90</f>
        <v>26621</v>
      </c>
      <c r="J41" s="86" t="s">
        <v>72</v>
      </c>
    </row>
    <row r="42" ht="34.5">
      <c r="B42" s="83" t="s">
        <v>387</v>
      </c>
      <c r="C42" s="25">
        <f>C91</f>
        <v>-157</v>
      </c>
      <c r="D42" s="25">
        <f>D91-C91</f>
        <v>-1147</v>
      </c>
      <c r="E42" s="25">
        <f>E91-D91</f>
        <v>-2171</v>
      </c>
      <c r="F42" s="25">
        <f>F91-E91</f>
        <v>635</v>
      </c>
      <c r="G42" s="25">
        <f>SUM(C42:F42)</f>
        <v>-2840</v>
      </c>
      <c r="H42" s="25">
        <f>H91</f>
        <v>128</v>
      </c>
      <c r="I42" s="25">
        <f>I91-H91</f>
        <v>-574</v>
      </c>
      <c r="J42" s="86" t="s">
        <v>72</v>
      </c>
    </row>
    <row r="43" ht="24">
      <c r="B43" s="83" t="s">
        <v>388</v>
      </c>
      <c r="C43" s="25">
        <f>C92</f>
        <v>2010</v>
      </c>
      <c r="D43" s="25">
        <f>D92-C92</f>
        <v>-2006</v>
      </c>
      <c r="E43" s="25">
        <f>E92-D92</f>
        <v>-19</v>
      </c>
      <c r="F43" s="25">
        <f>F92-E92</f>
        <v>-6003</v>
      </c>
      <c r="G43" s="25">
        <f>SUM(C43:F43)</f>
        <v>-6018</v>
      </c>
      <c r="H43" s="25">
        <f>H92</f>
        <v>159</v>
      </c>
      <c r="I43" s="25">
        <f>I92-H92</f>
        <v>392</v>
      </c>
      <c r="J43" s="86" t="s">
        <v>72</v>
      </c>
    </row>
    <row r="44" ht="24">
      <c r="B44" s="83" t="s">
        <v>389</v>
      </c>
      <c r="C44" s="25">
        <f>C93</f>
        <v>2737</v>
      </c>
      <c r="D44" s="25">
        <f>D93-C93</f>
        <v>1991</v>
      </c>
      <c r="E44" s="25">
        <f>E93-D93</f>
        <v>0</v>
      </c>
      <c r="F44" s="25">
        <f>F93-E93</f>
        <v>994</v>
      </c>
      <c r="G44" s="25">
        <f>SUM(C44:F44)</f>
        <v>5722</v>
      </c>
      <c r="H44" s="25">
        <f>H93</f>
        <v>123</v>
      </c>
      <c r="I44" s="25">
        <f>I93-H93</f>
        <v>1492</v>
      </c>
      <c r="J44" s="86" t="s">
        <v>72</v>
      </c>
    </row>
    <row r="45" ht="24">
      <c r="B45" s="83" t="s">
        <v>390</v>
      </c>
      <c r="C45" s="25">
        <f>C94</f>
        <v>-1312</v>
      </c>
      <c r="D45" s="25">
        <f>D94-C94</f>
        <v>-1013</v>
      </c>
      <c r="E45" s="25">
        <f>E94-D94</f>
        <v>-1314</v>
      </c>
      <c r="F45" s="25">
        <f>F94-E94</f>
        <v>-504</v>
      </c>
      <c r="G45" s="25">
        <f>SUM(C45:F45)</f>
        <v>-4143</v>
      </c>
      <c r="H45" s="25">
        <f>H94</f>
        <v>-5</v>
      </c>
      <c r="I45" s="25">
        <f>I94-H94</f>
        <v>-913</v>
      </c>
      <c r="J45" s="86" t="s">
        <v>72</v>
      </c>
    </row>
    <row r="46" ht="24">
      <c r="B46" s="83" t="s">
        <v>391</v>
      </c>
      <c r="C46" s="25">
        <f>C95</f>
        <v>743</v>
      </c>
      <c r="D46" s="25">
        <f>D95-C95</f>
        <v>0</v>
      </c>
      <c r="E46" s="25">
        <f>E95-D95</f>
        <v>0</v>
      </c>
      <c r="F46" s="25">
        <f>F95-E95</f>
        <v>0</v>
      </c>
      <c r="G46" s="25">
        <f>SUM(C46:F46)</f>
        <v>743</v>
      </c>
      <c r="H46" s="25">
        <f>H95</f>
        <v>0</v>
      </c>
      <c r="I46" s="25">
        <f>I95-H95</f>
        <v>0</v>
      </c>
      <c r="J46" s="86" t="s">
        <v>72</v>
      </c>
    </row>
    <row r="47">
      <c r="B47" s="50" t="s">
        <v>392</v>
      </c>
      <c r="C47" s="3">
        <f>C96</f>
        <v>-100</v>
      </c>
      <c r="D47" s="3">
        <f>D96-C96</f>
        <v>-300</v>
      </c>
      <c r="E47" s="3">
        <f>E96-D96</f>
        <v>-400</v>
      </c>
      <c r="F47" s="3">
        <f>F96-E96</f>
        <v>-400</v>
      </c>
      <c r="G47" s="3">
        <f>SUM(C47:F47)</f>
        <v>-1200</v>
      </c>
      <c r="H47" s="3">
        <f>H96</f>
        <v>-400</v>
      </c>
      <c r="I47" s="3">
        <f>I96-H96</f>
        <v>-400</v>
      </c>
      <c r="J47" s="48">
        <f>-'Share Count'!J17</f>
        <v>-500</v>
      </c>
    </row>
    <row r="48" ht="24">
      <c r="B48" s="83" t="s">
        <v>393</v>
      </c>
      <c r="C48" s="25">
        <f>C97</f>
        <v>-57</v>
      </c>
      <c r="D48" s="25">
        <f>D97-C97</f>
        <v>-14</v>
      </c>
      <c r="E48" s="25">
        <f>E97-D97</f>
        <v>-16</v>
      </c>
      <c r="F48" s="25">
        <f>F97-E97</f>
        <v>-19</v>
      </c>
      <c r="G48" s="25">
        <f>SUM(C48:F48)</f>
        <v>-106</v>
      </c>
      <c r="H48" s="25">
        <f>H97</f>
        <v>-85</v>
      </c>
      <c r="I48" s="25">
        <f>I97-H97</f>
        <v>-22</v>
      </c>
      <c r="J48" s="86" t="s">
        <v>72</v>
      </c>
    </row>
    <row r="49">
      <c r="B49" s="50" t="s">
        <v>394</v>
      </c>
      <c r="C49" s="3">
        <f>C98</f>
        <v>-266</v>
      </c>
      <c r="D49" s="3">
        <f>D98-C98</f>
        <v>-283</v>
      </c>
      <c r="E49" s="3">
        <f>E98-D98</f>
        <v>-275</v>
      </c>
      <c r="F49" s="3">
        <f>F98-E98</f>
        <v>-296</v>
      </c>
      <c r="G49" s="3">
        <f>SUM(C49:F49)</f>
        <v>-1120</v>
      </c>
      <c r="H49" s="3">
        <f>H98</f>
        <v>-293</v>
      </c>
      <c r="I49" s="3">
        <f>I98-H98</f>
        <v>-291</v>
      </c>
      <c r="J49" s="48">
        <f>-('Share Count'!J43+'Income Statement'!J79)</f>
        <v>-309.6079293989071</v>
      </c>
    </row>
    <row r="50">
      <c r="B50" s="50" t="s">
        <v>395</v>
      </c>
      <c r="C50" s="3">
        <f>C99</f>
        <v>-6</v>
      </c>
      <c r="D50" s="3">
        <f>D99-C99</f>
        <v>-4</v>
      </c>
      <c r="E50" s="3">
        <f>E99-D99</f>
        <v>-3</v>
      </c>
      <c r="F50" s="3">
        <f>F99-E99</f>
        <v>-7</v>
      </c>
      <c r="G50" s="3">
        <f>SUM(C50:F50)</f>
        <v>-20</v>
      </c>
      <c r="H50" s="3">
        <f>H99</f>
        <v>-5</v>
      </c>
      <c r="I50" s="3">
        <f>I99-H99</f>
        <v>-6</v>
      </c>
      <c r="J50" s="57" t="s">
        <v>72</v>
      </c>
    </row>
    <row r="51" ht="24">
      <c r="B51" s="43" t="s">
        <v>396</v>
      </c>
      <c r="C51" s="33">
        <f>SUM(C40,C41,C42,C43,C44,C45,C46,C47,C48,C49,C50)</f>
        <v>13724</v>
      </c>
      <c r="D51" s="33">
        <f>SUM(D40,D41,D42,D43,D44,D45,D46,D47,D48,D49,D50)</f>
        <v>8187</v>
      </c>
      <c r="E51" s="33">
        <f>SUM(E40,E41,E42,E43,E44,E45,E46,E47,E48,E49,E50)</f>
        <v>-7222</v>
      </c>
      <c r="F51" s="33">
        <f>SUM(F40,F41,F42,F43,F44,F45,F46,F47,F48,F49,F50)</f>
        <v>-12308</v>
      </c>
      <c r="G51" s="33">
        <f>SUM(G40,G41,G42,G43,G44,G45,G46,G47,G48,G49,G50)</f>
        <v>2381</v>
      </c>
      <c r="H51" s="33">
        <f>SUM(H40,H41,H42,H43,H44,H45,H46,H47,H48,H49,H50)</f>
        <v>18611</v>
      </c>
      <c r="I51" s="33">
        <f>SUM(I40,I41,I42,I43,I44,I45,I46,I47,I48,I49,I50)</f>
        <v>25884</v>
      </c>
      <c r="J51" s="91" t="s">
        <v>72</v>
      </c>
    </row>
    <row r="52" ht="35.25">
      <c r="B52" s="43" t="s">
        <v>397</v>
      </c>
      <c r="C52" s="33">
        <f>C24+C38+C51</f>
        <v>1513</v>
      </c>
      <c r="D52" s="33">
        <f>D24+D38+D51</f>
        <v>-638</v>
      </c>
      <c r="E52" s="33">
        <f>E24+E38+E51</f>
        <v>736</v>
      </c>
      <c r="F52" s="33">
        <f>F24+F38+F51</f>
        <v>-323</v>
      </c>
      <c r="G52" s="33">
        <f>G24+G38+G51</f>
        <v>1288</v>
      </c>
      <c r="H52" s="33">
        <f>H24+H38+H51</f>
        <v>2085</v>
      </c>
      <c r="I52" s="33">
        <f>I24+I38+I51</f>
        <v>-2228</v>
      </c>
      <c r="J52" s="91">
        <f>J11+J47+J49</f>
        <v>280.69796942081894</v>
      </c>
    </row>
    <row r="53" ht="24">
      <c r="B53" s="6" t="s">
        <v>398</v>
      </c>
      <c r="C53" s="59">
        <v>3145</v>
      </c>
      <c r="D53" s="25">
        <f>C54</f>
        <v>4658</v>
      </c>
      <c r="E53" s="25">
        <f>D54</f>
        <v>4020</v>
      </c>
      <c r="F53" s="25">
        <f>E54</f>
        <v>4756</v>
      </c>
      <c r="G53" s="25">
        <f>C53</f>
        <v>3145</v>
      </c>
      <c r="H53" s="25">
        <f>F54</f>
        <v>4433</v>
      </c>
      <c r="I53" s="25">
        <f>H54</f>
        <v>6518</v>
      </c>
      <c r="J53" s="86">
        <f>I54</f>
        <v>4290</v>
      </c>
    </row>
    <row r="54" ht="35.25">
      <c r="B54" s="43" t="s">
        <v>399</v>
      </c>
      <c r="C54" s="33">
        <f>C53+C52</f>
        <v>4658</v>
      </c>
      <c r="D54" s="33">
        <f>D53+D52</f>
        <v>4020</v>
      </c>
      <c r="E54" s="33">
        <f>E53+E52</f>
        <v>4756</v>
      </c>
      <c r="F54" s="33">
        <f>F53+F52</f>
        <v>4433</v>
      </c>
      <c r="G54" s="33">
        <f>G53+G52</f>
        <v>4433</v>
      </c>
      <c r="H54" s="33">
        <f>H53+H52</f>
        <v>6518</v>
      </c>
      <c r="I54" s="33">
        <f>I53+I52</f>
        <v>4290</v>
      </c>
      <c r="J54" s="91">
        <f>J53+J52</f>
        <v>4570.6979694208185</v>
      </c>
    </row>
    <row r="55" ht="35.25">
      <c r="B55" s="17" t="s">
        <v>400</v>
      </c>
      <c r="C55" s="47">
        <f>C54-'Balance Sheet'!C10</f>
        <v>0</v>
      </c>
      <c r="D55" s="47">
        <f>D54-'Balance Sheet'!D10</f>
        <v>0</v>
      </c>
      <c r="E55" s="47">
        <f>E54-'Balance Sheet'!E10</f>
        <v>0</v>
      </c>
      <c r="F55" s="47">
        <f>F54-'Balance Sheet'!F10</f>
        <v>0</v>
      </c>
      <c r="G55" s="47">
        <f>G54-'Balance Sheet'!G10</f>
        <v>0</v>
      </c>
      <c r="H55" s="47">
        <f>H54-'Balance Sheet'!H10</f>
        <v>0</v>
      </c>
      <c r="I55" s="47">
        <f>I54-'Balance Sheet'!I10</f>
        <v>0</v>
      </c>
      <c r="J55" s="61">
        <f>J54-'Balance Sheet'!J10</f>
        <v>0</v>
      </c>
    </row>
    <row r="56" ht="35.25">
      <c r="B56" s="17" t="s">
        <v>401</v>
      </c>
      <c r="C56" s="47">
        <f>C52-('Balance Sheet'!C10-C53)</f>
        <v>0</v>
      </c>
      <c r="D56" s="47">
        <f>D52-('Balance Sheet'!D10-'Balance Sheet'!C10)</f>
        <v>0</v>
      </c>
      <c r="E56" s="47">
        <f>E52-('Balance Sheet'!E10-'Balance Sheet'!D10)</f>
        <v>0</v>
      </c>
      <c r="F56" s="47">
        <f>F52-('Balance Sheet'!F10-'Balance Sheet'!E10)</f>
        <v>0</v>
      </c>
      <c r="G56" s="47">
        <f>G52-('Balance Sheet'!G10-G53)</f>
        <v>0</v>
      </c>
      <c r="H56" s="47">
        <f>H52-('Balance Sheet'!H10-'Balance Sheet'!F10)</f>
        <v>0</v>
      </c>
      <c r="I56" s="47">
        <f>I52-('Balance Sheet'!I10-'Balance Sheet'!H10)</f>
        <v>0</v>
      </c>
      <c r="J56" s="61">
        <f>J52-('Balance Sheet'!J10-'Balance Sheet'!I10)</f>
        <v>0</v>
      </c>
    </row>
    <row r="57" ht="35.25">
      <c r="B57" s="17" t="s">
        <v>402</v>
      </c>
      <c r="C57" s="47">
        <f>C11-'Income Statement'!C74</f>
        <v>0</v>
      </c>
      <c r="D57" s="47">
        <f>D11-'Income Statement'!D74</f>
        <v>0</v>
      </c>
      <c r="E57" s="47">
        <f>E11-'Income Statement'!E74</f>
        <v>0</v>
      </c>
      <c r="F57" s="47">
        <f>F11-'Income Statement'!F74</f>
        <v>0</v>
      </c>
      <c r="G57" s="47">
        <f>G11-'Income Statement'!G74</f>
        <v>0</v>
      </c>
      <c r="H57" s="47">
        <f>H11-'Income Statement'!H74</f>
        <v>0</v>
      </c>
      <c r="I57" s="47">
        <f>I11-'Income Statement'!I74</f>
        <v>0</v>
      </c>
      <c r="J57" s="61">
        <f>J11-'Income Statement'!J74</f>
        <v>0</v>
      </c>
    </row>
    <row r="58">
      <c r="B58" s="19" t="s">
        <v>403</v>
      </c>
      <c r="C58" s="49"/>
      <c r="D58" s="49"/>
      <c r="E58" s="49"/>
      <c r="F58" s="49"/>
      <c r="G58" s="49"/>
      <c r="H58" s="49"/>
      <c r="I58" s="49"/>
      <c r="J58" s="62"/>
    </row>
    <row r="59" ht="24">
      <c r="B59" s="6" t="s">
        <v>404</v>
      </c>
      <c r="C59" s="25">
        <f>-C36</f>
        <v>226</v>
      </c>
      <c r="D59" s="25">
        <f>-D36</f>
        <v>319</v>
      </c>
      <c r="E59" s="25">
        <f>-E36</f>
        <v>243</v>
      </c>
      <c r="F59" s="25">
        <f>-F36</f>
        <v>267</v>
      </c>
      <c r="G59" s="25">
        <f>-G36</f>
        <v>1055</v>
      </c>
      <c r="H59" s="25">
        <f>-H36</f>
        <v>270</v>
      </c>
      <c r="I59" s="25">
        <f>-I36</f>
        <v>675</v>
      </c>
      <c r="J59" s="86" t="s">
        <v>72</v>
      </c>
      <c r="K59" s="180" t="s">
        <v>405</v>
      </c>
    </row>
    <row r="60">
      <c r="B60" s="2" t="s">
        <v>406</v>
      </c>
      <c r="C60" s="3" t="s">
        <v>46</v>
      </c>
      <c r="D60" s="3" t="s">
        <v>46</v>
      </c>
      <c r="E60" s="3" t="s">
        <v>46</v>
      </c>
      <c r="F60" s="3" t="s">
        <v>46</v>
      </c>
      <c r="G60" s="3" t="s">
        <v>46</v>
      </c>
      <c r="H60" s="3" t="s">
        <v>46</v>
      </c>
      <c r="I60" s="3" t="s">
        <v>46</v>
      </c>
      <c r="J60" s="57" t="s">
        <v>46</v>
      </c>
      <c r="K60" s="180" t="s">
        <v>407</v>
      </c>
    </row>
    <row r="61">
      <c r="B61" s="2"/>
      <c r="C61" s="2"/>
      <c r="D61" s="2"/>
      <c r="E61" s="2"/>
      <c r="F61" s="2"/>
      <c r="G61" s="2"/>
      <c r="H61" s="2"/>
      <c r="I61" s="2"/>
      <c r="J61" s="2"/>
    </row>
    <row r="62">
      <c r="B62" s="19" t="s">
        <v>408</v>
      </c>
      <c r="C62" s="2"/>
      <c r="D62" s="2"/>
      <c r="E62" s="2"/>
      <c r="F62" s="2"/>
      <c r="G62" s="2"/>
      <c r="H62" s="2"/>
      <c r="I62" s="2"/>
      <c r="J62" s="2"/>
    </row>
    <row r="63">
      <c r="B63" s="13" t="s">
        <v>409</v>
      </c>
      <c r="C63" s="22"/>
      <c r="D63" s="22"/>
      <c r="E63" s="22"/>
      <c r="F63" s="22"/>
      <c r="G63" s="22"/>
      <c r="H63" s="22"/>
      <c r="I63" s="22"/>
      <c r="J63" s="138"/>
    </row>
    <row r="64">
      <c r="B64" s="50" t="s">
        <v>410</v>
      </c>
      <c r="C64" s="46">
        <v>644</v>
      </c>
      <c r="D64" s="46">
        <v>1337</v>
      </c>
      <c r="E64" s="46">
        <v>2198</v>
      </c>
      <c r="F64" s="46">
        <v>2945</v>
      </c>
      <c r="G64" s="3"/>
      <c r="H64" s="46">
        <v>764</v>
      </c>
      <c r="I64" s="46">
        <v>1848</v>
      </c>
      <c r="J64" s="3"/>
    </row>
    <row r="65">
      <c r="B65" s="50" t="s">
        <v>411</v>
      </c>
      <c r="C65" s="46">
        <v>18</v>
      </c>
      <c r="D65" s="46">
        <v>-64</v>
      </c>
      <c r="E65" s="46">
        <v>-63</v>
      </c>
      <c r="F65" s="46">
        <v>-89</v>
      </c>
      <c r="G65" s="3"/>
      <c r="H65" s="46">
        <v>28</v>
      </c>
      <c r="I65" s="46">
        <v>100</v>
      </c>
      <c r="J65" s="3"/>
    </row>
    <row r="66" ht="24">
      <c r="B66" s="83" t="s">
        <v>412</v>
      </c>
      <c r="C66" s="59">
        <v>54</v>
      </c>
      <c r="D66" s="59">
        <v>110</v>
      </c>
      <c r="E66" s="59">
        <v>166</v>
      </c>
      <c r="F66" s="59">
        <v>223</v>
      </c>
      <c r="G66" s="25"/>
      <c r="H66" s="59">
        <v>57</v>
      </c>
      <c r="I66" s="59">
        <v>112</v>
      </c>
      <c r="J66" s="25"/>
    </row>
    <row r="67" ht="24">
      <c r="B67" s="83" t="s">
        <v>413</v>
      </c>
      <c r="C67" s="59">
        <v>34</v>
      </c>
      <c r="D67" s="59">
        <v>95</v>
      </c>
      <c r="E67" s="59">
        <v>198</v>
      </c>
      <c r="F67" s="59">
        <v>331</v>
      </c>
      <c r="G67" s="25"/>
      <c r="H67" s="59">
        <v>160</v>
      </c>
      <c r="I67" s="59">
        <v>305</v>
      </c>
      <c r="J67" s="25"/>
    </row>
    <row r="68" ht="24">
      <c r="B68" s="83" t="s">
        <v>414</v>
      </c>
      <c r="C68" s="59">
        <v>0</v>
      </c>
      <c r="D68" s="59">
        <v>0</v>
      </c>
      <c r="E68" s="59">
        <v>-1</v>
      </c>
      <c r="F68" s="59">
        <v>-4</v>
      </c>
      <c r="G68" s="25"/>
      <c r="H68" s="59">
        <v>-1</v>
      </c>
      <c r="I68" s="59">
        <v>-1</v>
      </c>
      <c r="J68" s="25"/>
    </row>
    <row r="69">
      <c r="B69" s="50" t="s">
        <v>415</v>
      </c>
      <c r="C69" s="46">
        <v>12</v>
      </c>
      <c r="D69" s="46">
        <v>42</v>
      </c>
      <c r="E69" s="46">
        <v>51</v>
      </c>
      <c r="F69" s="46">
        <v>59</v>
      </c>
      <c r="G69" s="3"/>
      <c r="H69" s="46">
        <v>16</v>
      </c>
      <c r="I69" s="46">
        <v>16</v>
      </c>
      <c r="J69" s="3"/>
    </row>
    <row r="70" ht="24">
      <c r="B70" s="83" t="s">
        <v>416</v>
      </c>
      <c r="C70" s="59">
        <v>25</v>
      </c>
      <c r="D70" s="59">
        <v>-22</v>
      </c>
      <c r="E70" s="59">
        <v>-115</v>
      </c>
      <c r="F70" s="59">
        <v>-59</v>
      </c>
      <c r="G70" s="25"/>
      <c r="H70" s="59">
        <v>-15</v>
      </c>
      <c r="I70" s="59">
        <v>-29</v>
      </c>
      <c r="J70" s="25"/>
    </row>
    <row r="71" ht="24">
      <c r="B71" s="83" t="s">
        <v>417</v>
      </c>
      <c r="C71" s="59">
        <v>-247</v>
      </c>
      <c r="D71" s="59">
        <v>-555</v>
      </c>
      <c r="E71" s="59">
        <v>-443</v>
      </c>
      <c r="F71" s="59">
        <v>-350</v>
      </c>
      <c r="G71" s="25"/>
      <c r="H71" s="59">
        <v>-313</v>
      </c>
      <c r="I71" s="59">
        <v>-472</v>
      </c>
      <c r="J71" s="25"/>
    </row>
    <row r="72" ht="24">
      <c r="B72" s="83" t="s">
        <v>418</v>
      </c>
      <c r="C72" s="59">
        <v>-1697</v>
      </c>
      <c r="D72" s="59">
        <v>-13138</v>
      </c>
      <c r="E72" s="59">
        <v>-1916</v>
      </c>
      <c r="F72" s="59">
        <v>6611</v>
      </c>
      <c r="G72" s="25"/>
      <c r="H72" s="59">
        <v>-5682</v>
      </c>
      <c r="I72" s="59">
        <v>-13578</v>
      </c>
      <c r="J72" s="25"/>
    </row>
    <row r="73" ht="24">
      <c r="B73" s="83" t="s">
        <v>419</v>
      </c>
      <c r="C73" s="59">
        <v>4613</v>
      </c>
      <c r="D73" s="59">
        <v>5909</v>
      </c>
      <c r="E73" s="59">
        <v>4131</v>
      </c>
      <c r="F73" s="59">
        <v>5512</v>
      </c>
      <c r="G73" s="25"/>
      <c r="H73" s="59">
        <v>-4369</v>
      </c>
      <c r="I73" s="59">
        <v>-4820</v>
      </c>
      <c r="J73" s="25"/>
    </row>
    <row r="74">
      <c r="B74" s="50" t="s">
        <v>420</v>
      </c>
      <c r="C74" s="46">
        <v>-1761</v>
      </c>
      <c r="D74" s="46">
        <v>-2680</v>
      </c>
      <c r="E74" s="46">
        <v>-2682</v>
      </c>
      <c r="F74" s="46">
        <v>-2524</v>
      </c>
      <c r="G74" s="3"/>
      <c r="H74" s="46">
        <v>-4650</v>
      </c>
      <c r="I74" s="46">
        <v>-2614</v>
      </c>
      <c r="J74" s="3"/>
    </row>
    <row r="75" ht="24">
      <c r="B75" s="83" t="s">
        <v>421</v>
      </c>
      <c r="C75" s="59">
        <v>545</v>
      </c>
      <c r="D75" s="59">
        <v>2639</v>
      </c>
      <c r="E75" s="59">
        <v>-11</v>
      </c>
      <c r="F75" s="59">
        <v>-1167</v>
      </c>
      <c r="G75" s="25"/>
      <c r="H75" s="59">
        <v>1625</v>
      </c>
      <c r="I75" s="59">
        <v>4336</v>
      </c>
      <c r="J75" s="25"/>
    </row>
    <row r="76">
      <c r="B76" s="50" t="s">
        <v>422</v>
      </c>
      <c r="C76" s="46">
        <v>156</v>
      </c>
      <c r="D76" s="46">
        <v>282</v>
      </c>
      <c r="E76" s="46">
        <v>343</v>
      </c>
      <c r="F76" s="46">
        <v>410</v>
      </c>
      <c r="G76" s="3"/>
      <c r="H76" s="46">
        <v>237</v>
      </c>
      <c r="I76" s="46">
        <v>328</v>
      </c>
      <c r="J76" s="3"/>
    </row>
    <row r="77" ht="34.5">
      <c r="B77" s="83" t="s">
        <v>423</v>
      </c>
      <c r="C77" s="59">
        <v>-6507</v>
      </c>
      <c r="D77" s="59">
        <v>-5879</v>
      </c>
      <c r="E77" s="59">
        <v>-9685</v>
      </c>
      <c r="F77" s="59">
        <v>-12998</v>
      </c>
      <c r="G77" s="25"/>
      <c r="H77" s="59">
        <v>3356</v>
      </c>
      <c r="I77" s="59">
        <v>-18293</v>
      </c>
      <c r="J77" s="25"/>
    </row>
    <row r="78" ht="34.5">
      <c r="B78" s="83" t="s">
        <v>424</v>
      </c>
      <c r="C78" s="59">
        <v>-1291</v>
      </c>
      <c r="D78" s="59">
        <v>-1595</v>
      </c>
      <c r="E78" s="59">
        <v>-1050</v>
      </c>
      <c r="F78" s="59">
        <v>-133</v>
      </c>
      <c r="G78" s="25"/>
      <c r="H78" s="59">
        <v>-1375</v>
      </c>
      <c r="I78" s="59">
        <v>-2223</v>
      </c>
      <c r="J78" s="25"/>
    </row>
    <row r="79" ht="24">
      <c r="B79" s="83" t="s">
        <v>425</v>
      </c>
      <c r="C79" s="59">
        <v>2047</v>
      </c>
      <c r="D79" s="59">
        <v>7521</v>
      </c>
      <c r="E79" s="59">
        <v>9911</v>
      </c>
      <c r="F79" s="59">
        <v>15999</v>
      </c>
      <c r="G79" s="25"/>
      <c r="H79" s="59">
        <v>3944</v>
      </c>
      <c r="I79" s="59">
        <v>5428</v>
      </c>
      <c r="J79" s="25"/>
    </row>
    <row r="80" ht="24">
      <c r="B80" s="83" t="s">
        <v>426</v>
      </c>
      <c r="C80" s="59">
        <v>8832</v>
      </c>
      <c r="D80" s="59">
        <v>16242</v>
      </c>
      <c r="E80" s="59">
        <v>23891</v>
      </c>
      <c r="F80" s="59">
        <v>29040</v>
      </c>
      <c r="G80" s="25"/>
      <c r="H80" s="59">
        <v>5301</v>
      </c>
      <c r="I80" s="59">
        <v>10765</v>
      </c>
      <c r="J80" s="25"/>
    </row>
    <row r="81">
      <c r="B81" s="50" t="s">
        <v>427</v>
      </c>
      <c r="C81" s="46">
        <v>-18449</v>
      </c>
      <c r="D81" s="46">
        <v>-32205</v>
      </c>
      <c r="E81" s="46">
        <v>-41657</v>
      </c>
      <c r="F81" s="46">
        <v>-50245</v>
      </c>
      <c r="G81" s="3"/>
      <c r="H81" s="46">
        <v>-13936</v>
      </c>
      <c r="I81" s="46">
        <v>-21819</v>
      </c>
      <c r="J81" s="3"/>
    </row>
    <row r="82" ht="24">
      <c r="B82" s="83" t="s">
        <v>428</v>
      </c>
      <c r="C82" s="59">
        <v>2333</v>
      </c>
      <c r="D82" s="59">
        <v>4708</v>
      </c>
      <c r="E82" s="59">
        <v>7084</v>
      </c>
      <c r="F82" s="59">
        <v>9858</v>
      </c>
      <c r="G82" s="25"/>
      <c r="H82" s="59">
        <v>1420</v>
      </c>
      <c r="I82" s="59">
        <v>2853</v>
      </c>
      <c r="J82" s="25"/>
    </row>
    <row r="83">
      <c r="B83" s="50" t="s">
        <v>429</v>
      </c>
      <c r="C83" s="46">
        <v>85</v>
      </c>
      <c r="D83" s="46">
        <v>151</v>
      </c>
      <c r="E83" s="46">
        <v>188</v>
      </c>
      <c r="F83" s="46">
        <v>1068</v>
      </c>
      <c r="G83" s="3"/>
      <c r="H83" s="46">
        <v>132</v>
      </c>
      <c r="I83" s="46">
        <v>604</v>
      </c>
      <c r="J83" s="3"/>
    </row>
    <row r="84">
      <c r="B84" s="50" t="s">
        <v>430</v>
      </c>
      <c r="C84" s="46">
        <v>-1281</v>
      </c>
      <c r="D84" s="46">
        <v>-3285</v>
      </c>
      <c r="E84" s="46">
        <v>-2719</v>
      </c>
      <c r="F84" s="46">
        <v>-3719</v>
      </c>
      <c r="G84" s="3"/>
      <c r="H84" s="46">
        <v>-2858</v>
      </c>
      <c r="I84" s="46">
        <v>-6268</v>
      </c>
      <c r="J84" s="3"/>
    </row>
    <row r="85" ht="24">
      <c r="B85" s="83" t="s">
        <v>431</v>
      </c>
      <c r="C85" s="25" t="s">
        <v>432</v>
      </c>
      <c r="D85" s="59">
        <v>0</v>
      </c>
      <c r="E85" s="59">
        <v>0</v>
      </c>
      <c r="F85" s="59">
        <v>-286</v>
      </c>
      <c r="G85" s="25"/>
      <c r="H85" s="25" t="s">
        <v>432</v>
      </c>
      <c r="I85" s="25" t="s">
        <v>432</v>
      </c>
      <c r="J85" s="25"/>
    </row>
    <row r="86" ht="24">
      <c r="B86" s="83" t="s">
        <v>433</v>
      </c>
      <c r="C86" s="59">
        <v>-47</v>
      </c>
      <c r="D86" s="59">
        <v>-259</v>
      </c>
      <c r="E86" s="59">
        <v>-360</v>
      </c>
      <c r="F86" s="59">
        <v>-1164</v>
      </c>
      <c r="G86" s="25"/>
      <c r="H86" s="59">
        <v>-156</v>
      </c>
      <c r="I86" s="59">
        <v>-412</v>
      </c>
      <c r="J86" s="25"/>
    </row>
    <row r="87" ht="24">
      <c r="B87" s="83" t="s">
        <v>434</v>
      </c>
      <c r="C87" s="59">
        <v>-226</v>
      </c>
      <c r="D87" s="59">
        <v>-545</v>
      </c>
      <c r="E87" s="59">
        <v>-788</v>
      </c>
      <c r="F87" s="59">
        <v>-1055</v>
      </c>
      <c r="G87" s="25"/>
      <c r="H87" s="59">
        <v>-270</v>
      </c>
      <c r="I87" s="59">
        <v>-945</v>
      </c>
      <c r="J87" s="25"/>
    </row>
    <row r="88">
      <c r="B88" s="50" t="s">
        <v>435</v>
      </c>
      <c r="C88" s="46">
        <v>-103</v>
      </c>
      <c r="D88" s="46">
        <v>155</v>
      </c>
      <c r="E88" s="46">
        <v>251</v>
      </c>
      <c r="F88" s="46">
        <v>644</v>
      </c>
      <c r="G88" s="3"/>
      <c r="H88" s="46">
        <v>59</v>
      </c>
      <c r="I88" s="46">
        <v>141</v>
      </c>
      <c r="J88" s="3"/>
    </row>
    <row r="89" ht="24">
      <c r="B89" s="83" t="s">
        <v>436</v>
      </c>
      <c r="C89" s="59">
        <v>2663</v>
      </c>
      <c r="D89" s="59">
        <v>-1941</v>
      </c>
      <c r="E89" s="59">
        <v>-777</v>
      </c>
      <c r="F89" s="59">
        <v>-3108</v>
      </c>
      <c r="G89" s="25"/>
      <c r="H89" s="59">
        <v>-1097</v>
      </c>
      <c r="I89" s="59">
        <v>-1512</v>
      </c>
      <c r="J89" s="25"/>
    </row>
    <row r="90" ht="24">
      <c r="B90" s="83" t="s">
        <v>437</v>
      </c>
      <c r="C90" s="59">
        <v>7469</v>
      </c>
      <c r="D90" s="59">
        <v>23036</v>
      </c>
      <c r="E90" s="59">
        <v>18848</v>
      </c>
      <c r="F90" s="59">
        <v>14471</v>
      </c>
      <c r="G90" s="25"/>
      <c r="H90" s="59">
        <v>20086</v>
      </c>
      <c r="I90" s="59">
        <v>46707</v>
      </c>
      <c r="J90" s="25"/>
    </row>
    <row r="91" ht="34.5">
      <c r="B91" s="83" t="s">
        <v>438</v>
      </c>
      <c r="C91" s="59">
        <v>-157</v>
      </c>
      <c r="D91" s="59">
        <v>-1304</v>
      </c>
      <c r="E91" s="59">
        <v>-3475</v>
      </c>
      <c r="F91" s="59">
        <v>-2840</v>
      </c>
      <c r="G91" s="25"/>
      <c r="H91" s="59">
        <v>128</v>
      </c>
      <c r="I91" s="59">
        <v>-446</v>
      </c>
      <c r="J91" s="25"/>
    </row>
    <row r="92" ht="24">
      <c r="B92" s="83" t="s">
        <v>439</v>
      </c>
      <c r="C92" s="59">
        <v>2010</v>
      </c>
      <c r="D92" s="59">
        <v>4</v>
      </c>
      <c r="E92" s="59">
        <v>-15</v>
      </c>
      <c r="F92" s="59">
        <v>-6018</v>
      </c>
      <c r="G92" s="25"/>
      <c r="H92" s="59">
        <v>159</v>
      </c>
      <c r="I92" s="59">
        <v>551</v>
      </c>
      <c r="J92" s="25"/>
    </row>
    <row r="93" ht="24">
      <c r="B93" s="83" t="s">
        <v>440</v>
      </c>
      <c r="C93" s="59">
        <v>2737</v>
      </c>
      <c r="D93" s="59">
        <v>4728</v>
      </c>
      <c r="E93" s="59">
        <v>4728</v>
      </c>
      <c r="F93" s="59">
        <v>5722</v>
      </c>
      <c r="G93" s="25"/>
      <c r="H93" s="59">
        <v>123</v>
      </c>
      <c r="I93" s="59">
        <v>1615</v>
      </c>
      <c r="J93" s="25"/>
    </row>
    <row r="94" ht="24">
      <c r="B94" s="83" t="s">
        <v>441</v>
      </c>
      <c r="C94" s="59">
        <v>-1312</v>
      </c>
      <c r="D94" s="59">
        <v>-2325</v>
      </c>
      <c r="E94" s="59">
        <v>-3639</v>
      </c>
      <c r="F94" s="59">
        <v>-4143</v>
      </c>
      <c r="G94" s="25"/>
      <c r="H94" s="59">
        <v>-5</v>
      </c>
      <c r="I94" s="59">
        <v>-918</v>
      </c>
      <c r="J94" s="25"/>
    </row>
    <row r="95" ht="24">
      <c r="B95" s="83" t="s">
        <v>442</v>
      </c>
      <c r="C95" s="59">
        <v>743</v>
      </c>
      <c r="D95" s="59">
        <v>743</v>
      </c>
      <c r="E95" s="59">
        <v>743</v>
      </c>
      <c r="F95" s="59">
        <v>743</v>
      </c>
      <c r="G95" s="25"/>
      <c r="H95" s="59">
        <v>0</v>
      </c>
      <c r="I95" s="59">
        <v>0</v>
      </c>
      <c r="J95" s="25"/>
    </row>
    <row r="96">
      <c r="B96" s="50" t="s">
        <v>443</v>
      </c>
      <c r="C96" s="46">
        <v>-100</v>
      </c>
      <c r="D96" s="46">
        <v>-400</v>
      </c>
      <c r="E96" s="46">
        <v>-800</v>
      </c>
      <c r="F96" s="46">
        <v>-1200</v>
      </c>
      <c r="G96" s="3"/>
      <c r="H96" s="46">
        <v>-400</v>
      </c>
      <c r="I96" s="46">
        <v>-800</v>
      </c>
      <c r="J96" s="3"/>
    </row>
    <row r="97" ht="24">
      <c r="B97" s="83" t="s">
        <v>444</v>
      </c>
      <c r="C97" s="59">
        <v>-57</v>
      </c>
      <c r="D97" s="59">
        <v>-71</v>
      </c>
      <c r="E97" s="59">
        <v>-87</v>
      </c>
      <c r="F97" s="59">
        <v>-106</v>
      </c>
      <c r="G97" s="25"/>
      <c r="H97" s="59">
        <v>-85</v>
      </c>
      <c r="I97" s="59">
        <v>-107</v>
      </c>
      <c r="J97" s="25"/>
    </row>
    <row r="98">
      <c r="B98" s="50" t="s">
        <v>445</v>
      </c>
      <c r="C98" s="46">
        <v>-266</v>
      </c>
      <c r="D98" s="46">
        <v>-549</v>
      </c>
      <c r="E98" s="46">
        <v>-824</v>
      </c>
      <c r="F98" s="46">
        <v>-1120</v>
      </c>
      <c r="G98" s="3"/>
      <c r="H98" s="46">
        <v>-293</v>
      </c>
      <c r="I98" s="46">
        <v>-584</v>
      </c>
      <c r="J98" s="3"/>
    </row>
    <row r="99">
      <c r="B99" s="50" t="s">
        <v>446</v>
      </c>
      <c r="C99" s="46">
        <v>-6</v>
      </c>
      <c r="D99" s="46">
        <v>-10</v>
      </c>
      <c r="E99" s="46">
        <v>-13</v>
      </c>
      <c r="F99" s="46">
        <v>-20</v>
      </c>
      <c r="G99" s="3"/>
      <c r="H99" s="46">
        <v>-5</v>
      </c>
      <c r="I99" s="46">
        <v>-11</v>
      </c>
      <c r="J99" s="3"/>
    </row>
    <row r="100" ht="24">
      <c r="B100" s="83" t="s">
        <v>447</v>
      </c>
      <c r="C100" s="59">
        <v>2396</v>
      </c>
      <c r="D100" s="59">
        <v>-6045</v>
      </c>
      <c r="E100" s="59">
        <v>1856</v>
      </c>
      <c r="F100" s="59">
        <v>11898</v>
      </c>
      <c r="G100" s="25"/>
      <c r="H100" s="59">
        <v>-12143</v>
      </c>
      <c r="I100" s="59">
        <v>-14469</v>
      </c>
      <c r="J100" s="25"/>
    </row>
    <row r="101" ht="24">
      <c r="B101" s="83" t="s">
        <v>448</v>
      </c>
      <c r="C101" s="59">
        <v>-14607</v>
      </c>
      <c r="D101" s="59">
        <v>-14991</v>
      </c>
      <c r="E101" s="59">
        <v>-14934</v>
      </c>
      <c r="F101" s="59">
        <v>-12991</v>
      </c>
      <c r="G101" s="25"/>
      <c r="H101" s="59">
        <v>-4383</v>
      </c>
      <c r="I101" s="59">
        <v>-30169</v>
      </c>
      <c r="J101" s="25"/>
    </row>
    <row r="102" ht="24">
      <c r="B102" s="83" t="s">
        <v>449</v>
      </c>
      <c r="C102" s="59">
        <v>13724</v>
      </c>
      <c r="D102" s="59">
        <v>21911</v>
      </c>
      <c r="E102" s="59">
        <v>14689</v>
      </c>
      <c r="F102" s="59">
        <v>2381</v>
      </c>
      <c r="G102" s="25"/>
      <c r="H102" s="59">
        <v>18611</v>
      </c>
      <c r="I102" s="59">
        <v>44495</v>
      </c>
      <c r="J102" s="25"/>
    </row>
    <row r="103" ht="24">
      <c r="B103" s="83" t="s">
        <v>450</v>
      </c>
      <c r="C103" s="59">
        <v>1513</v>
      </c>
      <c r="D103" s="59">
        <v>875</v>
      </c>
      <c r="E103" s="59">
        <v>1611</v>
      </c>
      <c r="F103" s="59">
        <v>1288</v>
      </c>
      <c r="G103" s="25"/>
      <c r="H103" s="59">
        <v>2085</v>
      </c>
      <c r="I103" s="59">
        <v>-143</v>
      </c>
      <c r="J103" s="25"/>
    </row>
    <row r="104" ht="24">
      <c r="B104" s="17" t="s">
        <v>451</v>
      </c>
      <c r="C104" s="5">
        <f>SUM(C64,C65,C66,C67,C68,C69,C70,C71,C72,C73,C74,C75,C76)-C100</f>
        <v>0</v>
      </c>
      <c r="D104" s="5">
        <f>SUM(D64,D65,D66,D67,D68,D69,D70,D71,D72,D73,D74,D75,D76)-D100</f>
        <v>0</v>
      </c>
      <c r="E104" s="5">
        <f>SUM(E64,E65,E66,E67,E68,E69,E70,E71,E72,E73,E74,E75,E76)-E100</f>
        <v>0</v>
      </c>
      <c r="F104" s="5">
        <f>SUM(F64,F65,F66,F67,F68,F69,F70,F71,F72,F73,F74,F75,F76)-F100</f>
        <v>0</v>
      </c>
      <c r="G104" s="5"/>
      <c r="H104" s="5">
        <f>SUM(H64,H65,H66,H67,H68,H69,H70,H71,H72,H73,H74,H75,H76)-H100</f>
        <v>0</v>
      </c>
      <c r="I104" s="5">
        <f>SUM(I64,I65,I66,I67,I68,I69,I70,I71,I72,I73,I74,I75,I76)-I100</f>
        <v>0</v>
      </c>
      <c r="J104" s="5"/>
    </row>
    <row r="105" ht="24">
      <c r="B105" s="17" t="s">
        <v>452</v>
      </c>
      <c r="C105" s="5">
        <f>SUM(C77,C78,C79,C80,C81,C82,C83,C84,C85,C86,C87,C88)-C101</f>
        <v>0</v>
      </c>
      <c r="D105" s="5">
        <f>SUM(D77,D78,D79,D80,D81,D82,D83,D84,D85,D86,D87,D88)-D101</f>
        <v>0</v>
      </c>
      <c r="E105" s="5">
        <f>SUM(E77,E78,E79,E80,E81,E82,E83,E84,E85,E86,E87,E88)-E101</f>
        <v>0</v>
      </c>
      <c r="F105" s="5">
        <f>SUM(F77,F78,F79,F80,F81,F82,F83,F84,F85,F86,F87,F88)-F101</f>
        <v>0</v>
      </c>
      <c r="G105" s="5"/>
      <c r="H105" s="5">
        <f>SUM(H77,H78,H79,H80,H81,H82,H83,H84,H85,H86,H87,H88)-H101</f>
        <v>0</v>
      </c>
      <c r="I105" s="5">
        <f>SUM(I77,I78,I79,I80,I81,I82,I83,I84,I85,I86,I87,I88)-I101</f>
        <v>0</v>
      </c>
      <c r="J105" s="5"/>
    </row>
    <row r="106" ht="24">
      <c r="B106" s="17" t="s">
        <v>453</v>
      </c>
      <c r="C106" s="5">
        <f>SUM(C89,C90,C91,C92,C93,C94,C95,C96,C97,C98,C99)-C102</f>
        <v>0</v>
      </c>
      <c r="D106" s="5">
        <f>SUM(D89,D90,D91,D92,D93,D94,D95,D96,D97,D98,D99)-D102</f>
        <v>0</v>
      </c>
      <c r="E106" s="5">
        <f>SUM(E89,E90,E91,E92,E93,E94,E95,E96,E97,E98,E99)-E102</f>
        <v>0</v>
      </c>
      <c r="F106" s="5">
        <f>SUM(F89,F90,F91,F92,F93,F94,F95,F96,F97,F98,F99)-F102</f>
        <v>0</v>
      </c>
      <c r="G106" s="5"/>
      <c r="H106" s="5">
        <f>SUM(H89,H90,H91,H92,H93,H94,H95,H96,H97,H98,H99)-H102</f>
        <v>0</v>
      </c>
      <c r="I106" s="5">
        <f>SUM(I89,I90,I91,I92,I93,I94,I95,I96,I97,I98,I99)-I102</f>
        <v>0</v>
      </c>
      <c r="J106" s="5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2:J6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454</v>
      </c>
      <c r="C3" s="2"/>
      <c r="D3" s="2"/>
      <c r="E3" s="2"/>
      <c r="F3" s="2"/>
      <c r="G3" s="2"/>
      <c r="H3" s="2"/>
      <c r="I3" s="2"/>
      <c r="J3" s="2"/>
    </row>
    <row r="4">
      <c r="B4" s="13" t="s">
        <v>455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456</v>
      </c>
      <c r="C9" s="2"/>
      <c r="D9" s="2"/>
      <c r="E9" s="2"/>
      <c r="F9" s="2"/>
      <c r="G9" s="2"/>
      <c r="H9" s="2"/>
      <c r="I9" s="2"/>
      <c r="J9" s="2"/>
    </row>
    <row r="10">
      <c r="B10" s="2" t="s">
        <v>457</v>
      </c>
      <c r="C10" s="3" t="s">
        <v>47</v>
      </c>
      <c r="D10" s="3" t="s">
        <v>47</v>
      </c>
      <c r="E10" s="3" t="s">
        <v>47</v>
      </c>
      <c r="F10" s="3" t="s">
        <v>47</v>
      </c>
      <c r="G10" s="46">
        <v>8008</v>
      </c>
      <c r="H10" s="3" t="s">
        <v>47</v>
      </c>
      <c r="I10" s="3" t="s">
        <v>47</v>
      </c>
      <c r="J10" s="57" t="s">
        <v>47</v>
      </c>
    </row>
    <row r="11">
      <c r="B11" s="2" t="s">
        <v>458</v>
      </c>
      <c r="C11" s="3" t="s">
        <v>47</v>
      </c>
      <c r="D11" s="3" t="s">
        <v>47</v>
      </c>
      <c r="E11" s="3" t="s">
        <v>47</v>
      </c>
      <c r="F11" s="3" t="s">
        <v>47</v>
      </c>
      <c r="G11" s="46">
        <v>5936</v>
      </c>
      <c r="H11" s="3" t="s">
        <v>47</v>
      </c>
      <c r="I11" s="3" t="s">
        <v>47</v>
      </c>
      <c r="J11" s="57" t="s">
        <v>47</v>
      </c>
    </row>
    <row r="12">
      <c r="B12" s="19" t="s">
        <v>459</v>
      </c>
      <c r="C12" s="38"/>
      <c r="D12" s="38"/>
      <c r="E12" s="38"/>
      <c r="F12" s="38"/>
      <c r="G12" s="38">
        <f>G10+G11</f>
        <v>13944</v>
      </c>
      <c r="H12" s="38"/>
      <c r="I12" s="38"/>
      <c r="J12" s="63"/>
    </row>
    <row r="13" ht="24">
      <c r="B13" s="17" t="s">
        <v>460</v>
      </c>
      <c r="C13" s="5"/>
      <c r="D13" s="5"/>
      <c r="E13" s="5"/>
      <c r="F13" s="5"/>
      <c r="G13" s="47">
        <f>G12-'Income Statement'!G27</f>
        <v>0</v>
      </c>
      <c r="H13" s="5"/>
      <c r="I13" s="5"/>
      <c r="J13" s="64"/>
    </row>
    <row r="14">
      <c r="B14" s="58" t="s">
        <v>461</v>
      </c>
      <c r="C14" s="26"/>
      <c r="D14" s="26"/>
      <c r="E14" s="26"/>
      <c r="F14" s="26"/>
      <c r="G14" s="26">
        <f>G10/G12</f>
        <v>0.5742971887550201</v>
      </c>
      <c r="H14" s="26"/>
      <c r="I14" s="26"/>
      <c r="J14" s="60"/>
    </row>
    <row r="15">
      <c r="B15" s="58" t="s">
        <v>462</v>
      </c>
      <c r="C15" s="26"/>
      <c r="D15" s="26"/>
      <c r="E15" s="26"/>
      <c r="F15" s="26"/>
      <c r="G15" s="26">
        <f>G11/G12</f>
        <v>0.42570281124497994</v>
      </c>
      <c r="H15" s="26"/>
      <c r="I15" s="26"/>
      <c r="J15" s="60"/>
    </row>
    <row r="16">
      <c r="B16" s="19" t="s">
        <v>463</v>
      </c>
      <c r="C16" s="49"/>
      <c r="D16" s="49"/>
      <c r="E16" s="49"/>
      <c r="F16" s="49"/>
      <c r="G16" s="49"/>
      <c r="H16" s="49"/>
      <c r="I16" s="49"/>
      <c r="J16" s="62"/>
    </row>
    <row r="17">
      <c r="B17" s="50" t="s">
        <v>464</v>
      </c>
      <c r="C17" s="3"/>
      <c r="D17" s="3"/>
      <c r="E17" s="3"/>
      <c r="F17" s="3"/>
      <c r="G17" s="46">
        <v>2238</v>
      </c>
      <c r="H17" s="3"/>
      <c r="I17" s="3"/>
      <c r="J17" s="57"/>
    </row>
    <row r="18">
      <c r="B18" s="50" t="s">
        <v>465</v>
      </c>
      <c r="C18" s="3"/>
      <c r="D18" s="3"/>
      <c r="E18" s="3"/>
      <c r="F18" s="3"/>
      <c r="G18" s="46">
        <v>1493</v>
      </c>
      <c r="H18" s="3"/>
      <c r="I18" s="3"/>
      <c r="J18" s="57"/>
    </row>
    <row r="19" ht="24">
      <c r="B19" s="17" t="s">
        <v>466</v>
      </c>
      <c r="C19" s="5"/>
      <c r="D19" s="5"/>
      <c r="E19" s="5"/>
      <c r="F19" s="5"/>
      <c r="G19" s="47">
        <f>G17+G18-'Income Statement'!G65</f>
        <v>0</v>
      </c>
      <c r="H19" s="5"/>
      <c r="I19" s="5"/>
      <c r="J19" s="64"/>
    </row>
    <row r="20">
      <c r="B20" s="2"/>
      <c r="C20" s="2"/>
      <c r="D20" s="2"/>
      <c r="E20" s="2"/>
      <c r="F20" s="2"/>
      <c r="G20" s="2"/>
      <c r="H20" s="2"/>
      <c r="I20" s="2"/>
      <c r="J20" s="2"/>
    </row>
    <row r="21">
      <c r="B21" s="19" t="s">
        <v>467</v>
      </c>
      <c r="C21" s="2"/>
      <c r="D21" s="2"/>
      <c r="E21" s="2"/>
      <c r="F21" s="2"/>
      <c r="G21" s="2"/>
      <c r="H21" s="2"/>
      <c r="I21" s="2"/>
      <c r="J21" s="2"/>
    </row>
    <row r="22">
      <c r="B22" s="50" t="s">
        <v>468</v>
      </c>
      <c r="C22" s="46">
        <v>33340</v>
      </c>
      <c r="D22" s="46">
        <v>35028</v>
      </c>
      <c r="E22" s="46">
        <v>36698</v>
      </c>
      <c r="F22" s="46">
        <v>37422</v>
      </c>
      <c r="G22" s="3">
        <f>F22</f>
        <v>37422</v>
      </c>
      <c r="H22" s="46">
        <v>37265</v>
      </c>
      <c r="I22" s="46">
        <v>40040</v>
      </c>
      <c r="J22" s="48">
        <f>'Segment - Investment Servicing'!J21*I22/I34</f>
        <v>40578.8078260569</v>
      </c>
    </row>
    <row r="23">
      <c r="B23" s="58" t="s">
        <v>69</v>
      </c>
      <c r="C23" s="26"/>
      <c r="D23" s="26"/>
      <c r="E23" s="26"/>
      <c r="F23" s="26"/>
      <c r="G23" s="26"/>
      <c r="H23" s="26">
        <f>H22/C22-1</f>
        <v>0.11772645470905818</v>
      </c>
      <c r="I23" s="26">
        <f>I22/D22-1</f>
        <v>0.14308553157474013</v>
      </c>
      <c r="J23" s="60">
        <f>J22/E22-1</f>
        <v>0.10574984538822019</v>
      </c>
    </row>
    <row r="24">
      <c r="B24" s="50" t="s">
        <v>119</v>
      </c>
      <c r="C24" s="3"/>
      <c r="D24" s="3">
        <f>D22-C22</f>
        <v>1688</v>
      </c>
      <c r="E24" s="3">
        <f>E22-D22</f>
        <v>1670</v>
      </c>
      <c r="F24" s="3">
        <f>F22-E22</f>
        <v>724</v>
      </c>
      <c r="G24" s="3"/>
      <c r="H24" s="3">
        <f>H22-F22</f>
        <v>-157</v>
      </c>
      <c r="I24" s="3">
        <f>I22-H22</f>
        <v>2775</v>
      </c>
      <c r="J24" s="57">
        <f>J22-I22</f>
        <v>538.8078260569018</v>
      </c>
    </row>
    <row r="25">
      <c r="B25" s="53" t="s">
        <v>130</v>
      </c>
      <c r="C25" s="26">
        <f>C22/C34</f>
        <v>0.7134145036697837</v>
      </c>
      <c r="D25" s="26">
        <f>D22/D34</f>
        <v>0.7148571428571429</v>
      </c>
      <c r="E25" s="26">
        <f>E22/E34</f>
        <v>0.710320532672654</v>
      </c>
      <c r="F25" s="26">
        <f>F22/F34</f>
        <v>0.6955762081784387</v>
      </c>
      <c r="G25" s="26">
        <f>G22/G34</f>
        <v>0.6955762081784387</v>
      </c>
      <c r="H25" s="26">
        <f>H22/H34</f>
        <v>0.6835733284417133</v>
      </c>
      <c r="I25" s="26">
        <f>I22/I34</f>
        <v>0.6920391302844896</v>
      </c>
      <c r="J25" s="55">
        <f>J22/'Segment - Investment Servicing'!J21</f>
        <v>0.6920391302844897</v>
      </c>
    </row>
    <row r="26">
      <c r="B26" s="50" t="s">
        <v>469</v>
      </c>
      <c r="C26" s="46">
        <v>10303</v>
      </c>
      <c r="D26" s="46">
        <v>10803</v>
      </c>
      <c r="E26" s="46">
        <v>11570</v>
      </c>
      <c r="F26" s="46">
        <v>12918</v>
      </c>
      <c r="G26" s="3">
        <f>F26</f>
        <v>12918</v>
      </c>
      <c r="H26" s="46">
        <v>13563</v>
      </c>
      <c r="I26" s="46">
        <v>14002</v>
      </c>
      <c r="J26" s="48">
        <f>'Segment - Investment Servicing'!J21*I26/I34</f>
        <v>14190.421258252964</v>
      </c>
    </row>
    <row r="27">
      <c r="B27" s="58" t="s">
        <v>69</v>
      </c>
      <c r="C27" s="26"/>
      <c r="D27" s="26"/>
      <c r="E27" s="26"/>
      <c r="F27" s="26"/>
      <c r="G27" s="26"/>
      <c r="H27" s="26">
        <f>H26/C26-1</f>
        <v>0.3164126953314568</v>
      </c>
      <c r="I27" s="26">
        <f>I26/D26-1</f>
        <v>0.2961214477459966</v>
      </c>
      <c r="J27" s="60">
        <f>J26/E26-1</f>
        <v>0.22648411912298738</v>
      </c>
    </row>
    <row r="28">
      <c r="B28" s="50" t="s">
        <v>119</v>
      </c>
      <c r="C28" s="3"/>
      <c r="D28" s="3">
        <f>D26-C26</f>
        <v>500</v>
      </c>
      <c r="E28" s="3">
        <f>E26-D26</f>
        <v>767</v>
      </c>
      <c r="F28" s="3">
        <f>F26-E26</f>
        <v>1348</v>
      </c>
      <c r="G28" s="3"/>
      <c r="H28" s="3">
        <f>H26-F26</f>
        <v>645</v>
      </c>
      <c r="I28" s="3">
        <f>I26-H26</f>
        <v>439</v>
      </c>
      <c r="J28" s="57">
        <f>J26-I26</f>
        <v>188.42125825296353</v>
      </c>
    </row>
    <row r="29">
      <c r="B29" s="53" t="s">
        <v>130</v>
      </c>
      <c r="C29" s="26">
        <f>C26/C34</f>
        <v>0.2204651959001134</v>
      </c>
      <c r="D29" s="26">
        <f>D26/D34</f>
        <v>0.22046938775510205</v>
      </c>
      <c r="E29" s="26">
        <f>E26/E34</f>
        <v>0.2239470424279963</v>
      </c>
      <c r="F29" s="26">
        <f>F26/F34</f>
        <v>0.24011152416356876</v>
      </c>
      <c r="G29" s="26">
        <f>G26/G34</f>
        <v>0.24011152416356876</v>
      </c>
      <c r="H29" s="26">
        <f>H26/H34</f>
        <v>0.24879390993304595</v>
      </c>
      <c r="I29" s="26">
        <f>I26/I34</f>
        <v>0.24200629126482076</v>
      </c>
      <c r="J29" s="55">
        <f>J26/'Segment - Investment Servicing'!J21</f>
        <v>0.24200629126482076</v>
      </c>
    </row>
    <row r="30">
      <c r="B30" s="50" t="s">
        <v>470</v>
      </c>
      <c r="C30" s="46">
        <v>3090</v>
      </c>
      <c r="D30" s="46">
        <v>3169</v>
      </c>
      <c r="E30" s="46">
        <v>3396</v>
      </c>
      <c r="F30" s="46">
        <v>3460</v>
      </c>
      <c r="G30" s="3">
        <f>F30</f>
        <v>3460</v>
      </c>
      <c r="H30" s="46">
        <v>3687</v>
      </c>
      <c r="I30" s="46">
        <v>3816</v>
      </c>
      <c r="J30" s="48">
        <f>'Segment - Investment Servicing'!J21*I30/I34</f>
        <v>3867.3509156901378</v>
      </c>
    </row>
    <row r="31">
      <c r="B31" s="58" t="s">
        <v>69</v>
      </c>
      <c r="C31" s="26"/>
      <c r="D31" s="26"/>
      <c r="E31" s="26"/>
      <c r="F31" s="26"/>
      <c r="G31" s="26"/>
      <c r="H31" s="26">
        <f>H30/C30-1</f>
        <v>0.19320388349514572</v>
      </c>
      <c r="I31" s="26">
        <f>I30/D30-1</f>
        <v>0.20416535184600826</v>
      </c>
      <c r="J31" s="60">
        <f>J30/E30-1</f>
        <v>0.13879591156953408</v>
      </c>
    </row>
    <row r="32">
      <c r="B32" s="50" t="s">
        <v>119</v>
      </c>
      <c r="C32" s="3"/>
      <c r="D32" s="3">
        <f>D30-C30</f>
        <v>79</v>
      </c>
      <c r="E32" s="3">
        <f>E30-D30</f>
        <v>227</v>
      </c>
      <c r="F32" s="3">
        <f>F30-E30</f>
        <v>64</v>
      </c>
      <c r="G32" s="3"/>
      <c r="H32" s="3">
        <f>H30-F30</f>
        <v>227</v>
      </c>
      <c r="I32" s="3">
        <f>I30-H30</f>
        <v>129</v>
      </c>
      <c r="J32" s="57">
        <f>J30-I30</f>
        <v>51.350915690137754</v>
      </c>
    </row>
    <row r="33">
      <c r="B33" s="53" t="s">
        <v>130</v>
      </c>
      <c r="C33" s="26">
        <f>C30/C34</f>
        <v>0.06612030043010292</v>
      </c>
      <c r="D33" s="26">
        <f>D30/D34</f>
        <v>0.0646734693877551</v>
      </c>
      <c r="E33" s="26">
        <f>E30/E34</f>
        <v>0.06573242489934965</v>
      </c>
      <c r="F33" s="26">
        <f>F30/F34</f>
        <v>0.06431226765799257</v>
      </c>
      <c r="G33" s="26">
        <f>G30/G34</f>
        <v>0.06431226765799257</v>
      </c>
      <c r="H33" s="26">
        <f>H30/H34</f>
        <v>0.06763276162524076</v>
      </c>
      <c r="I33" s="26">
        <f>I30/I34</f>
        <v>0.06595457845068962</v>
      </c>
      <c r="J33" s="55">
        <f>J30/'Segment - Investment Servicing'!J21</f>
        <v>0.06595457845068961</v>
      </c>
    </row>
    <row r="34">
      <c r="B34" s="19" t="s">
        <v>471</v>
      </c>
      <c r="C34" s="38">
        <f>C22+C26+C30</f>
        <v>46733</v>
      </c>
      <c r="D34" s="38">
        <f>D22+D26+D30</f>
        <v>49000</v>
      </c>
      <c r="E34" s="38">
        <f>E22+E26+E30</f>
        <v>51664</v>
      </c>
      <c r="F34" s="38">
        <f>F22+F26+F30</f>
        <v>53800</v>
      </c>
      <c r="G34" s="38">
        <f>G22+G26+G30</f>
        <v>53800</v>
      </c>
      <c r="H34" s="38">
        <f>H22+H26+H30</f>
        <v>54515</v>
      </c>
      <c r="I34" s="38">
        <f>I22+I26+I30</f>
        <v>57858</v>
      </c>
      <c r="J34" s="63">
        <f>J22+J26+J30</f>
        <v>58636.58</v>
      </c>
    </row>
    <row r="35" ht="35.25">
      <c r="B35" s="17" t="s">
        <v>472</v>
      </c>
      <c r="C35" s="47">
        <f>C34-'Segment - Investment Servicing'!C21</f>
        <v>0</v>
      </c>
      <c r="D35" s="47">
        <f>D34-'Segment - Investment Servicing'!D21</f>
        <v>0</v>
      </c>
      <c r="E35" s="47">
        <f>E34-'Segment - Investment Servicing'!E21</f>
        <v>0</v>
      </c>
      <c r="F35" s="47">
        <f>F34-'Segment - Investment Servicing'!F21</f>
        <v>0</v>
      </c>
      <c r="G35" s="47">
        <f>G34-'Segment - Investment Servicing'!G21</f>
        <v>0</v>
      </c>
      <c r="H35" s="47">
        <f>H34-'Segment - Investment Servicing'!H21</f>
        <v>0</v>
      </c>
      <c r="I35" s="47">
        <f>I34-'Segment - Investment Servicing'!I21</f>
        <v>0</v>
      </c>
      <c r="J35" s="61">
        <f>J34-'Segment - Investment Servicing'!J21</f>
        <v>0</v>
      </c>
    </row>
    <row r="36">
      <c r="B36" s="2"/>
      <c r="C36" s="2"/>
      <c r="D36" s="2"/>
      <c r="E36" s="2"/>
      <c r="F36" s="2"/>
      <c r="G36" s="2"/>
      <c r="H36" s="2"/>
      <c r="I36" s="2"/>
      <c r="J36" s="2"/>
    </row>
    <row r="37">
      <c r="B37" s="19" t="s">
        <v>473</v>
      </c>
      <c r="C37" s="2"/>
      <c r="D37" s="2"/>
      <c r="E37" s="2"/>
      <c r="F37" s="2"/>
      <c r="G37" s="2"/>
      <c r="H37" s="2"/>
      <c r="I37" s="2"/>
      <c r="J37" s="2"/>
    </row>
    <row r="38">
      <c r="B38" s="50" t="s">
        <v>468</v>
      </c>
      <c r="C38" s="46">
        <v>3431</v>
      </c>
      <c r="D38" s="46">
        <v>3713</v>
      </c>
      <c r="E38" s="46">
        <v>3982</v>
      </c>
      <c r="F38" s="46">
        <v>4155</v>
      </c>
      <c r="G38" s="3">
        <f>F38</f>
        <v>4155</v>
      </c>
      <c r="H38" s="46">
        <v>4108</v>
      </c>
      <c r="I38" s="46">
        <v>4573</v>
      </c>
      <c r="J38" s="48">
        <f>'Segment - Investment Management'!J43*I38/I50</f>
        <v>4648.716001592864</v>
      </c>
    </row>
    <row r="39">
      <c r="B39" s="58" t="s">
        <v>69</v>
      </c>
      <c r="C39" s="26"/>
      <c r="D39" s="26"/>
      <c r="E39" s="26"/>
      <c r="F39" s="26"/>
      <c r="G39" s="26"/>
      <c r="H39" s="26">
        <f>H38/C38-1</f>
        <v>0.19731856601573883</v>
      </c>
      <c r="I39" s="26">
        <f>I38/D38-1</f>
        <v>0.2316186372205764</v>
      </c>
      <c r="J39" s="60">
        <f>J38/E38-1</f>
        <v>0.1674324464070478</v>
      </c>
    </row>
    <row r="40">
      <c r="B40" s="50" t="s">
        <v>119</v>
      </c>
      <c r="C40" s="3"/>
      <c r="D40" s="3">
        <f>D38-C38</f>
        <v>282</v>
      </c>
      <c r="E40" s="3">
        <f>E38-D38</f>
        <v>269</v>
      </c>
      <c r="F40" s="3">
        <f>F38-E38</f>
        <v>173</v>
      </c>
      <c r="G40" s="3"/>
      <c r="H40" s="3">
        <f>H38-F38</f>
        <v>-47</v>
      </c>
      <c r="I40" s="3">
        <f>I38-H38</f>
        <v>465</v>
      </c>
      <c r="J40" s="57">
        <f>J38-I38</f>
        <v>75.7160015928639</v>
      </c>
    </row>
    <row r="41">
      <c r="B41" s="53" t="s">
        <v>474</v>
      </c>
      <c r="C41" s="26">
        <f>C38/C50</f>
        <v>0.7354769560557342</v>
      </c>
      <c r="D41" s="26">
        <f>D38/D50</f>
        <v>0.7256204807504397</v>
      </c>
      <c r="E41" s="26">
        <f>E38/E50</f>
        <v>0.7311788468600808</v>
      </c>
      <c r="F41" s="26">
        <f>F38/F50</f>
        <v>0.733451015004413</v>
      </c>
      <c r="G41" s="26">
        <f>G38/G50</f>
        <v>0.733451015004413</v>
      </c>
      <c r="H41" s="26">
        <f>H38/H50</f>
        <v>0.7309608540925266</v>
      </c>
      <c r="I41" s="26">
        <f>I38/I50</f>
        <v>0.7284166932143995</v>
      </c>
      <c r="J41" s="55">
        <f>J38/'Segment - Investment Management'!J43</f>
        <v>0.7284166932143995</v>
      </c>
    </row>
    <row r="42">
      <c r="B42" s="50" t="s">
        <v>469</v>
      </c>
      <c r="C42" s="46">
        <v>690</v>
      </c>
      <c r="D42" s="46">
        <v>771</v>
      </c>
      <c r="E42" s="46">
        <v>806</v>
      </c>
      <c r="F42" s="46">
        <v>841</v>
      </c>
      <c r="G42" s="3">
        <f>F42</f>
        <v>841</v>
      </c>
      <c r="H42" s="46">
        <v>845</v>
      </c>
      <c r="I42" s="46">
        <v>956</v>
      </c>
      <c r="J42" s="48">
        <f>'Segment - Investment Management'!J43*I42/I50</f>
        <v>971.828667728576</v>
      </c>
    </row>
    <row r="43">
      <c r="B43" s="58" t="s">
        <v>69</v>
      </c>
      <c r="C43" s="26"/>
      <c r="D43" s="26"/>
      <c r="E43" s="26"/>
      <c r="F43" s="26"/>
      <c r="G43" s="26"/>
      <c r="H43" s="26">
        <f>H42/C42-1</f>
        <v>0.2246376811594204</v>
      </c>
      <c r="I43" s="26">
        <f>I42/D42-1</f>
        <v>0.23994811932555127</v>
      </c>
      <c r="J43" s="60">
        <f>J42/E42-1</f>
        <v>0.2057427639312357</v>
      </c>
    </row>
    <row r="44">
      <c r="B44" s="50" t="s">
        <v>119</v>
      </c>
      <c r="C44" s="3"/>
      <c r="D44" s="3">
        <f>D42-C42</f>
        <v>81</v>
      </c>
      <c r="E44" s="3">
        <f>E42-D42</f>
        <v>35</v>
      </c>
      <c r="F44" s="3">
        <f>F42-E42</f>
        <v>35</v>
      </c>
      <c r="G44" s="3"/>
      <c r="H44" s="3">
        <f>H42-F42</f>
        <v>4</v>
      </c>
      <c r="I44" s="3">
        <f>I42-H42</f>
        <v>111</v>
      </c>
      <c r="J44" s="57">
        <f>J42-I42</f>
        <v>15.828667728575965</v>
      </c>
    </row>
    <row r="45">
      <c r="B45" s="53" t="s">
        <v>474</v>
      </c>
      <c r="C45" s="26">
        <f>C42/C50</f>
        <v>0.14790996784565916</v>
      </c>
      <c r="D45" s="26">
        <f>D42/D50</f>
        <v>0.15067422317764315</v>
      </c>
      <c r="E45" s="26">
        <f>E42/E50</f>
        <v>0.14799853103195004</v>
      </c>
      <c r="F45" s="26">
        <f>F42/F50</f>
        <v>0.14845542806707857</v>
      </c>
      <c r="G45" s="26">
        <f>G42/G50</f>
        <v>0.14845542806707857</v>
      </c>
      <c r="H45" s="26">
        <f>H42/H50</f>
        <v>0.15035587188612098</v>
      </c>
      <c r="I45" s="26">
        <f>I42/I50</f>
        <v>0.15227779547626633</v>
      </c>
      <c r="J45" s="55">
        <f>J42/'Segment - Investment Management'!J43</f>
        <v>0.15227779547626633</v>
      </c>
    </row>
    <row r="46">
      <c r="B46" s="50" t="s">
        <v>470</v>
      </c>
      <c r="C46" s="46">
        <v>544</v>
      </c>
      <c r="D46" s="46">
        <v>633</v>
      </c>
      <c r="E46" s="46">
        <v>658</v>
      </c>
      <c r="F46" s="46">
        <v>669</v>
      </c>
      <c r="G46" s="3">
        <f>F46</f>
        <v>669</v>
      </c>
      <c r="H46" s="46">
        <v>667</v>
      </c>
      <c r="I46" s="46">
        <v>749</v>
      </c>
      <c r="J46" s="48">
        <f>'Segment - Investment Management'!J43*I46/I50</f>
        <v>761.4013306785599</v>
      </c>
    </row>
    <row r="47">
      <c r="B47" s="58" t="s">
        <v>69</v>
      </c>
      <c r="C47" s="26"/>
      <c r="D47" s="26"/>
      <c r="E47" s="26"/>
      <c r="F47" s="26"/>
      <c r="G47" s="26"/>
      <c r="H47" s="26">
        <f>H46/C46-1</f>
        <v>0.22610294117647056</v>
      </c>
      <c r="I47" s="26">
        <f>I46/D46-1</f>
        <v>0.18325434439178512</v>
      </c>
      <c r="J47" s="60">
        <f>J46/E46-1</f>
        <v>0.15714487945069888</v>
      </c>
    </row>
    <row r="48">
      <c r="B48" s="50" t="s">
        <v>119</v>
      </c>
      <c r="C48" s="3"/>
      <c r="D48" s="3">
        <f>D46-C46</f>
        <v>89</v>
      </c>
      <c r="E48" s="3">
        <f>E46-D46</f>
        <v>25</v>
      </c>
      <c r="F48" s="3">
        <f>F46-E46</f>
        <v>11</v>
      </c>
      <c r="G48" s="3"/>
      <c r="H48" s="3">
        <f>H46-F46</f>
        <v>-2</v>
      </c>
      <c r="I48" s="3">
        <f>I46-H46</f>
        <v>82</v>
      </c>
      <c r="J48" s="57">
        <f>J46-I46</f>
        <v>12.40133067855993</v>
      </c>
    </row>
    <row r="49">
      <c r="B49" s="53" t="s">
        <v>474</v>
      </c>
      <c r="C49" s="26">
        <f>C46/C50</f>
        <v>0.11661307609860665</v>
      </c>
      <c r="D49" s="26">
        <f>D46/D50</f>
        <v>0.12370529607191715</v>
      </c>
      <c r="E49" s="26">
        <f>E46/E50</f>
        <v>0.12082262210796915</v>
      </c>
      <c r="F49" s="26">
        <f>F46/F50</f>
        <v>0.11809355692850838</v>
      </c>
      <c r="G49" s="26">
        <f>G46/G50</f>
        <v>0.11809355692850838</v>
      </c>
      <c r="H49" s="26">
        <f>H46/H50</f>
        <v>0.11868327402135231</v>
      </c>
      <c r="I49" s="26">
        <f>I46/I50</f>
        <v>0.11930551130933419</v>
      </c>
      <c r="J49" s="55">
        <f>J46/'Segment - Investment Management'!J43</f>
        <v>0.11930551130933417</v>
      </c>
    </row>
    <row r="50">
      <c r="B50" s="19" t="s">
        <v>475</v>
      </c>
      <c r="C50" s="38">
        <f>C38+C42+C46</f>
        <v>4665</v>
      </c>
      <c r="D50" s="38">
        <f>D38+D42+D46</f>
        <v>5117</v>
      </c>
      <c r="E50" s="38">
        <f>E38+E42+E46</f>
        <v>5446</v>
      </c>
      <c r="F50" s="38">
        <f>F38+F42+F46</f>
        <v>5665</v>
      </c>
      <c r="G50" s="38">
        <f>G38+G42+G46</f>
        <v>5665</v>
      </c>
      <c r="H50" s="38">
        <f>H38+H42+H46</f>
        <v>5620</v>
      </c>
      <c r="I50" s="38">
        <f>I38+I42+I46</f>
        <v>6278</v>
      </c>
      <c r="J50" s="63">
        <f>J38+J42+J46</f>
        <v>6381.946</v>
      </c>
    </row>
    <row r="51" ht="35.25">
      <c r="B51" s="17" t="s">
        <v>476</v>
      </c>
      <c r="C51" s="47">
        <f>C50-'Segment - Investment Management'!C43</f>
        <v>0</v>
      </c>
      <c r="D51" s="47">
        <f>D50-'Segment - Investment Management'!D43</f>
        <v>0</v>
      </c>
      <c r="E51" s="47">
        <f>E50-'Segment - Investment Management'!E43</f>
        <v>0</v>
      </c>
      <c r="F51" s="47">
        <f>F50-'Segment - Investment Management'!F43</f>
        <v>0</v>
      </c>
      <c r="G51" s="47">
        <f>G50-'Segment - Investment Management'!G43</f>
        <v>0</v>
      </c>
      <c r="H51" s="47">
        <f>H50-'Segment - Investment Management'!H43</f>
        <v>0</v>
      </c>
      <c r="I51" s="47">
        <f>I50-'Segment - Investment Management'!I43</f>
        <v>0</v>
      </c>
      <c r="J51" s="61">
        <f>J50-'Segment - Investment Management'!J43</f>
        <v>0</v>
      </c>
    </row>
    <row r="52">
      <c r="B52" s="19" t="s">
        <v>477</v>
      </c>
      <c r="C52" s="49"/>
      <c r="D52" s="49"/>
      <c r="E52" s="49"/>
      <c r="F52" s="49"/>
      <c r="G52" s="49"/>
      <c r="H52" s="49"/>
      <c r="I52" s="49"/>
      <c r="J52" s="62"/>
    </row>
    <row r="53">
      <c r="B53" s="50" t="s">
        <v>468</v>
      </c>
      <c r="C53" s="46">
        <v>4</v>
      </c>
      <c r="D53" s="46">
        <v>29</v>
      </c>
      <c r="E53" s="46">
        <v>36</v>
      </c>
      <c r="F53" s="46">
        <v>75</v>
      </c>
      <c r="G53" s="3">
        <f>SUM(C53:F53)</f>
        <v>144</v>
      </c>
      <c r="H53" s="46">
        <v>10</v>
      </c>
      <c r="I53" s="46">
        <v>75</v>
      </c>
      <c r="J53" s="57" t="s">
        <v>72</v>
      </c>
    </row>
    <row r="54">
      <c r="B54" s="50" t="s">
        <v>113</v>
      </c>
      <c r="C54" s="3"/>
      <c r="D54" s="3"/>
      <c r="E54" s="3"/>
      <c r="F54" s="3"/>
      <c r="G54" s="3"/>
      <c r="H54" s="3">
        <f>H53-C53</f>
        <v>6</v>
      </c>
      <c r="I54" s="3">
        <f>I53-D53</f>
        <v>46</v>
      </c>
      <c r="J54" s="57"/>
    </row>
    <row r="55">
      <c r="B55" s="50" t="s">
        <v>119</v>
      </c>
      <c r="C55" s="3"/>
      <c r="D55" s="3">
        <f>D53-C53</f>
        <v>25</v>
      </c>
      <c r="E55" s="3">
        <f>E53-D53</f>
        <v>7</v>
      </c>
      <c r="F55" s="3">
        <f>F53-E53</f>
        <v>39</v>
      </c>
      <c r="G55" s="3"/>
      <c r="H55" s="3">
        <f>H53-F53</f>
        <v>-65</v>
      </c>
      <c r="I55" s="3">
        <f>I53-H53</f>
        <v>65</v>
      </c>
      <c r="J55" s="57"/>
    </row>
    <row r="56">
      <c r="B56" s="50" t="s">
        <v>469</v>
      </c>
      <c r="C56" s="46">
        <v>-29</v>
      </c>
      <c r="D56" s="46">
        <v>18</v>
      </c>
      <c r="E56" s="46">
        <v>0</v>
      </c>
      <c r="F56" s="46">
        <v>10</v>
      </c>
      <c r="G56" s="3">
        <f>SUM(C56:F56)</f>
        <v>-1</v>
      </c>
      <c r="H56" s="46">
        <v>29</v>
      </c>
      <c r="I56" s="46">
        <v>18</v>
      </c>
      <c r="J56" s="57" t="s">
        <v>72</v>
      </c>
    </row>
    <row r="57">
      <c r="B57" s="50" t="s">
        <v>113</v>
      </c>
      <c r="C57" s="3"/>
      <c r="D57" s="3"/>
      <c r="E57" s="3"/>
      <c r="F57" s="3"/>
      <c r="G57" s="3"/>
      <c r="H57" s="3">
        <f>H56-C56</f>
        <v>58</v>
      </c>
      <c r="I57" s="3">
        <f>I56-D56</f>
        <v>0</v>
      </c>
      <c r="J57" s="57"/>
    </row>
    <row r="58">
      <c r="B58" s="50" t="s">
        <v>119</v>
      </c>
      <c r="C58" s="3"/>
      <c r="D58" s="3">
        <f>D56-C56</f>
        <v>47</v>
      </c>
      <c r="E58" s="3">
        <f>E56-D56</f>
        <v>-18</v>
      </c>
      <c r="F58" s="3">
        <f>F56-E56</f>
        <v>10</v>
      </c>
      <c r="G58" s="3"/>
      <c r="H58" s="3">
        <f>H56-F56</f>
        <v>19</v>
      </c>
      <c r="I58" s="3">
        <f>I56-H56</f>
        <v>-11</v>
      </c>
      <c r="J58" s="57"/>
    </row>
    <row r="59">
      <c r="B59" s="50" t="s">
        <v>470</v>
      </c>
      <c r="C59" s="46">
        <v>12</v>
      </c>
      <c r="D59" s="46">
        <v>35</v>
      </c>
      <c r="E59" s="46">
        <v>-10</v>
      </c>
      <c r="F59" s="46">
        <v>0</v>
      </c>
      <c r="G59" s="3">
        <f>SUM(C59:F59)</f>
        <v>37</v>
      </c>
      <c r="H59" s="46">
        <v>10</v>
      </c>
      <c r="I59" s="46">
        <v>21</v>
      </c>
      <c r="J59" s="57" t="s">
        <v>72</v>
      </c>
    </row>
    <row r="60">
      <c r="B60" s="50" t="s">
        <v>113</v>
      </c>
      <c r="C60" s="3"/>
      <c r="D60" s="3"/>
      <c r="E60" s="3"/>
      <c r="F60" s="3"/>
      <c r="G60" s="3"/>
      <c r="H60" s="3">
        <f>H59-C59</f>
        <v>-2</v>
      </c>
      <c r="I60" s="3">
        <f>I59-D59</f>
        <v>-14</v>
      </c>
      <c r="J60" s="57"/>
    </row>
    <row r="61">
      <c r="B61" s="50" t="s">
        <v>119</v>
      </c>
      <c r="C61" s="3"/>
      <c r="D61" s="3">
        <f>D59-C59</f>
        <v>23</v>
      </c>
      <c r="E61" s="3">
        <f>E59-D59</f>
        <v>-45</v>
      </c>
      <c r="F61" s="3">
        <f>F59-E59</f>
        <v>10</v>
      </c>
      <c r="G61" s="3"/>
      <c r="H61" s="3">
        <f>H59-F59</f>
        <v>10</v>
      </c>
      <c r="I61" s="3">
        <f>I59-H59</f>
        <v>11</v>
      </c>
      <c r="J61" s="57"/>
    </row>
    <row r="62">
      <c r="B62" s="19" t="s">
        <v>478</v>
      </c>
      <c r="C62" s="38">
        <f>C53+C56+C59</f>
        <v>-13</v>
      </c>
      <c r="D62" s="38">
        <f>D53+D56+D59</f>
        <v>82</v>
      </c>
      <c r="E62" s="38">
        <f>E53+E56+E59</f>
        <v>26</v>
      </c>
      <c r="F62" s="38">
        <f>F53+F56+F59</f>
        <v>85</v>
      </c>
      <c r="G62" s="38">
        <f>G53+G56+G59</f>
        <v>180</v>
      </c>
      <c r="H62" s="38">
        <f>H53+H56+H59</f>
        <v>49</v>
      </c>
      <c r="I62" s="38">
        <f>I53+I56+I59</f>
        <v>114</v>
      </c>
      <c r="J62" s="63" t="s">
        <v>72</v>
      </c>
    </row>
    <row r="63" ht="24">
      <c r="B63" s="17" t="s">
        <v>479</v>
      </c>
      <c r="C63" s="47">
        <f>C62-'Segment - Investment Management'!C27</f>
        <v>0</v>
      </c>
      <c r="D63" s="47">
        <f>D62-'Segment - Investment Management'!D27</f>
        <v>0</v>
      </c>
      <c r="E63" s="47">
        <f>E62-'Segment - Investment Management'!E27</f>
        <v>0</v>
      </c>
      <c r="F63" s="47">
        <f>F62-'Segment - Investment Management'!F27</f>
        <v>0</v>
      </c>
      <c r="G63" s="47">
        <f>G62-'Segment - Investment Management'!G27</f>
        <v>0</v>
      </c>
      <c r="H63" s="47">
        <f>H62-'Segment - Investment Management'!H27</f>
        <v>0</v>
      </c>
      <c r="I63" s="47">
        <f>I62-'Segment - Investment Management'!I27</f>
        <v>0</v>
      </c>
      <c r="J63" s="64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B2:J5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480</v>
      </c>
      <c r="C3" s="2"/>
      <c r="D3" s="2"/>
      <c r="E3" s="2"/>
      <c r="F3" s="2"/>
      <c r="G3" s="2"/>
      <c r="H3" s="2"/>
      <c r="I3" s="2"/>
      <c r="J3" s="2"/>
    </row>
    <row r="4">
      <c r="B4" s="13" t="s">
        <v>481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/>
      <c r="C8" s="2"/>
      <c r="D8" s="2"/>
      <c r="E8" s="2"/>
      <c r="F8" s="2"/>
      <c r="G8" s="2"/>
      <c r="H8" s="2"/>
      <c r="I8" s="2"/>
      <c r="J8" s="2"/>
    </row>
    <row r="9">
      <c r="B9" s="19" t="s">
        <v>482</v>
      </c>
      <c r="C9" s="2"/>
      <c r="D9" s="2"/>
      <c r="E9" s="2"/>
      <c r="F9" s="2"/>
      <c r="G9" s="2"/>
      <c r="H9" s="2"/>
      <c r="I9" s="2"/>
      <c r="J9" s="2"/>
    </row>
    <row r="10">
      <c r="B10" s="2" t="s">
        <v>483</v>
      </c>
      <c r="C10" s="67">
        <v>288.767</v>
      </c>
      <c r="D10" s="21">
        <f>C23</f>
        <v>288.676</v>
      </c>
      <c r="E10" s="21">
        <f>D23</f>
        <v>285.562</v>
      </c>
      <c r="F10" s="21">
        <f>E23</f>
        <v>282.218</v>
      </c>
      <c r="G10" s="21">
        <f>C10</f>
        <v>288.767</v>
      </c>
      <c r="H10" s="21">
        <f>F23</f>
        <v>279.078</v>
      </c>
      <c r="I10" s="21">
        <f>H23</f>
        <v>276.925</v>
      </c>
      <c r="J10" s="69">
        <f>I23</f>
        <v>274.703</v>
      </c>
    </row>
    <row r="11">
      <c r="B11" s="50" t="s">
        <v>484</v>
      </c>
      <c r="C11" s="67">
        <v>1</v>
      </c>
      <c r="D11" s="67">
        <v>3.5</v>
      </c>
      <c r="E11" s="67">
        <v>3.6</v>
      </c>
      <c r="F11" s="21" t="s">
        <v>47</v>
      </c>
      <c r="G11" s="21" t="s">
        <v>46</v>
      </c>
      <c r="H11" s="67">
        <v>3.2</v>
      </c>
      <c r="I11" s="67">
        <v>2.5</v>
      </c>
      <c r="J11" s="69">
        <f>J17/J14</f>
        <v>2.73224043715847</v>
      </c>
    </row>
    <row r="12">
      <c r="B12" s="58" t="s">
        <v>69</v>
      </c>
      <c r="C12" s="26"/>
      <c r="D12" s="26"/>
      <c r="E12" s="26"/>
      <c r="F12" s="26"/>
      <c r="G12" s="26"/>
      <c r="H12" s="26">
        <f>H11/C11-1</f>
        <v>2.2</v>
      </c>
      <c r="I12" s="26">
        <f>I11/D11-1</f>
        <v>-0.2857142857142857</v>
      </c>
      <c r="J12" s="60">
        <f>J11/E11-1</f>
        <v>-0.24104432301153622</v>
      </c>
    </row>
    <row r="13">
      <c r="B13" s="50" t="s">
        <v>119</v>
      </c>
      <c r="C13" s="21"/>
      <c r="D13" s="21">
        <f>D11-C11</f>
        <v>2.5</v>
      </c>
      <c r="E13" s="21">
        <f>E11-D11</f>
        <v>0.10000000000000009</v>
      </c>
      <c r="F13" s="21"/>
      <c r="G13" s="21"/>
      <c r="H13" s="21"/>
      <c r="I13" s="21">
        <f>I11-H11</f>
        <v>-0.7000000000000002</v>
      </c>
      <c r="J13" s="69">
        <f>J11-I11</f>
        <v>0.23224043715846987</v>
      </c>
    </row>
    <row r="14">
      <c r="B14" s="50" t="s">
        <v>485</v>
      </c>
      <c r="C14" s="114">
        <v>99.6</v>
      </c>
      <c r="D14" s="114">
        <v>85.78</v>
      </c>
      <c r="E14" s="114">
        <v>110.34</v>
      </c>
      <c r="F14" s="65" t="s">
        <v>47</v>
      </c>
      <c r="G14" s="65" t="s">
        <v>46</v>
      </c>
      <c r="H14" s="114">
        <v>125.94</v>
      </c>
      <c r="I14" s="114">
        <v>159.63</v>
      </c>
      <c r="J14" s="118">
        <v>183</v>
      </c>
    </row>
    <row r="15">
      <c r="B15" s="58" t="s">
        <v>69</v>
      </c>
      <c r="C15" s="26"/>
      <c r="D15" s="26"/>
      <c r="E15" s="26"/>
      <c r="F15" s="26"/>
      <c r="G15" s="26"/>
      <c r="H15" s="26">
        <f>H14/C14-1</f>
        <v>0.2644578313253012</v>
      </c>
      <c r="I15" s="26">
        <f>I14/D14-1</f>
        <v>0.8609232921426906</v>
      </c>
      <c r="J15" s="60">
        <f>J14/E14-1</f>
        <v>0.6585100598151168</v>
      </c>
    </row>
    <row r="16">
      <c r="B16" s="50" t="s">
        <v>119</v>
      </c>
      <c r="C16" s="65"/>
      <c r="D16" s="65">
        <f>D14-C14</f>
        <v>-13.819999999999993</v>
      </c>
      <c r="E16" s="65">
        <f>E14-D14</f>
        <v>24.560000000000002</v>
      </c>
      <c r="F16" s="65"/>
      <c r="G16" s="65"/>
      <c r="H16" s="65"/>
      <c r="I16" s="65">
        <f>I14-H14</f>
        <v>33.69</v>
      </c>
      <c r="J16" s="142">
        <f>J14-I14</f>
        <v>23.370000000000005</v>
      </c>
    </row>
    <row r="17">
      <c r="B17" s="50" t="s">
        <v>486</v>
      </c>
      <c r="C17" s="12">
        <f>-'Cash Flow Statement'!C47</f>
        <v>100</v>
      </c>
      <c r="D17" s="12">
        <f>-'Cash Flow Statement'!D47</f>
        <v>300</v>
      </c>
      <c r="E17" s="12">
        <f>-'Cash Flow Statement'!E47</f>
        <v>400</v>
      </c>
      <c r="F17" s="12">
        <f>-'Cash Flow Statement'!F47</f>
        <v>400</v>
      </c>
      <c r="G17" s="3">
        <f>SUM(C17:F17)</f>
        <v>1200</v>
      </c>
      <c r="H17" s="12">
        <f>-'Cash Flow Statement'!H47</f>
        <v>400</v>
      </c>
      <c r="I17" s="12">
        <f>-'Cash Flow Statement'!I47</f>
        <v>400</v>
      </c>
      <c r="J17" s="96">
        <v>500</v>
      </c>
    </row>
    <row r="18">
      <c r="B18" s="58" t="s">
        <v>69</v>
      </c>
      <c r="C18" s="26"/>
      <c r="D18" s="26"/>
      <c r="E18" s="26"/>
      <c r="F18" s="26"/>
      <c r="G18" s="26"/>
      <c r="H18" s="26">
        <f>H17/C17-1</f>
        <v>3</v>
      </c>
      <c r="I18" s="26">
        <f>I17/D17-1</f>
        <v>0.33333333333333326</v>
      </c>
      <c r="J18" s="60">
        <f>J17/E17-1</f>
        <v>0.25</v>
      </c>
    </row>
    <row r="19">
      <c r="B19" s="50" t="s">
        <v>119</v>
      </c>
      <c r="C19" s="3"/>
      <c r="D19" s="3">
        <f>D17-C17</f>
        <v>200</v>
      </c>
      <c r="E19" s="3">
        <f>E17-D17</f>
        <v>100</v>
      </c>
      <c r="F19" s="3">
        <f>F17-E17</f>
        <v>0</v>
      </c>
      <c r="G19" s="3"/>
      <c r="H19" s="3">
        <f>H17-F17</f>
        <v>0</v>
      </c>
      <c r="I19" s="3">
        <f>I17-H17</f>
        <v>0</v>
      </c>
      <c r="J19" s="57">
        <f>J17-I17</f>
        <v>100</v>
      </c>
    </row>
    <row r="20" ht="24">
      <c r="B20" s="83" t="s">
        <v>487</v>
      </c>
      <c r="C20" s="66">
        <f>C23-C10+C11</f>
        <v>0.9089999999999918</v>
      </c>
      <c r="D20" s="66">
        <f>D23-D10+D11</f>
        <v>0.3860000000000241</v>
      </c>
      <c r="E20" s="66">
        <f>E23-E10+E11</f>
        <v>0.256000000000006</v>
      </c>
      <c r="F20" s="66" t="s">
        <v>46</v>
      </c>
      <c r="G20" s="66" t="s">
        <v>46</v>
      </c>
      <c r="H20" s="66">
        <f>H23-H10+H11</f>
        <v>1.047000000000037</v>
      </c>
      <c r="I20" s="66">
        <f>I23-I10+I11</f>
        <v>0.27799999999996317</v>
      </c>
      <c r="J20" s="120">
        <v>0.3</v>
      </c>
    </row>
    <row r="21">
      <c r="B21" s="58" t="s">
        <v>69</v>
      </c>
      <c r="C21" s="26"/>
      <c r="D21" s="26"/>
      <c r="E21" s="26"/>
      <c r="F21" s="26"/>
      <c r="G21" s="26"/>
      <c r="H21" s="26">
        <f>H20/C20-1</f>
        <v>0.15181518151820295</v>
      </c>
      <c r="I21" s="26">
        <f>I20/D20-1</f>
        <v>-0.2797927461141301</v>
      </c>
      <c r="J21" s="60">
        <f>J20/E20-1</f>
        <v>0.17187499999997247</v>
      </c>
    </row>
    <row r="22">
      <c r="B22" s="50" t="s">
        <v>119</v>
      </c>
      <c r="C22" s="21"/>
      <c r="D22" s="21">
        <f>D20-C20</f>
        <v>-0.5229999999999677</v>
      </c>
      <c r="E22" s="21">
        <f>E20-D20</f>
        <v>-0.1300000000000181</v>
      </c>
      <c r="F22" s="21"/>
      <c r="G22" s="21"/>
      <c r="H22" s="21"/>
      <c r="I22" s="21">
        <f>I20-H20</f>
        <v>-0.7690000000000738</v>
      </c>
      <c r="J22" s="69">
        <f>J20-I20</f>
        <v>0.022000000000036823</v>
      </c>
    </row>
    <row r="23">
      <c r="B23" s="19" t="s">
        <v>488</v>
      </c>
      <c r="C23" s="116">
        <v>288.676</v>
      </c>
      <c r="D23" s="116">
        <v>285.562</v>
      </c>
      <c r="E23" s="116">
        <v>282.218</v>
      </c>
      <c r="F23" s="116">
        <v>279.078</v>
      </c>
      <c r="G23" s="125">
        <f>F23</f>
        <v>279.078</v>
      </c>
      <c r="H23" s="116">
        <v>276.925</v>
      </c>
      <c r="I23" s="116">
        <v>274.703</v>
      </c>
      <c r="J23" s="115">
        <f>J10-J11+J20</f>
        <v>272.27075956284153</v>
      </c>
    </row>
    <row r="24">
      <c r="B24" s="58" t="s">
        <v>69</v>
      </c>
      <c r="C24" s="26"/>
      <c r="D24" s="26"/>
      <c r="E24" s="26"/>
      <c r="F24" s="26"/>
      <c r="G24" s="26"/>
      <c r="H24" s="26">
        <f>H23/C23-1</f>
        <v>-0.04070653604733321</v>
      </c>
      <c r="I24" s="26">
        <f>I23/D23-1</f>
        <v>-0.038026768267486744</v>
      </c>
      <c r="J24" s="60">
        <f>J23/E23-1</f>
        <v>-0.035246654845397796</v>
      </c>
    </row>
    <row r="25">
      <c r="B25" s="50" t="s">
        <v>119</v>
      </c>
      <c r="C25" s="21"/>
      <c r="D25" s="21">
        <f>D23-C23</f>
        <v>-3.113999999999976</v>
      </c>
      <c r="E25" s="21">
        <f>E23-D23</f>
        <v>-3.343999999999994</v>
      </c>
      <c r="F25" s="21">
        <f>F23-E23</f>
        <v>-3.140000000000043</v>
      </c>
      <c r="G25" s="21"/>
      <c r="H25" s="21">
        <f>H23-F23</f>
        <v>-2.152999999999963</v>
      </c>
      <c r="I25" s="21">
        <f>I23-H23</f>
        <v>-2.222000000000037</v>
      </c>
      <c r="J25" s="69">
        <f>J23-I23</f>
        <v>-2.432240437158441</v>
      </c>
    </row>
    <row r="26">
      <c r="B26" s="2"/>
      <c r="C26" s="2"/>
      <c r="D26" s="2"/>
      <c r="E26" s="2"/>
      <c r="F26" s="2"/>
      <c r="G26" s="2"/>
      <c r="H26" s="2"/>
      <c r="I26" s="2"/>
      <c r="J26" s="2"/>
    </row>
    <row r="27">
      <c r="B27" s="19" t="s">
        <v>489</v>
      </c>
      <c r="C27" s="2"/>
      <c r="D27" s="2"/>
      <c r="E27" s="2"/>
      <c r="F27" s="2"/>
      <c r="G27" s="2"/>
      <c r="H27" s="2"/>
      <c r="I27" s="2"/>
      <c r="J27" s="2"/>
    </row>
    <row r="28">
      <c r="B28" s="2" t="s">
        <v>490</v>
      </c>
      <c r="C28" s="67">
        <v>288.562</v>
      </c>
      <c r="D28" s="67">
        <v>286.281</v>
      </c>
      <c r="E28" s="67">
        <v>283.434</v>
      </c>
      <c r="F28" s="67">
        <v>280.008</v>
      </c>
      <c r="G28" s="161">
        <v>284.545</v>
      </c>
      <c r="H28" s="67">
        <v>278.434</v>
      </c>
      <c r="I28" s="67">
        <v>276.15</v>
      </c>
      <c r="J28" s="69">
        <f>AVERAGE(J10,J23)</f>
        <v>273.4868797814207</v>
      </c>
    </row>
    <row r="29">
      <c r="B29" s="58" t="s">
        <v>69</v>
      </c>
      <c r="C29" s="26"/>
      <c r="D29" s="26"/>
      <c r="E29" s="26"/>
      <c r="F29" s="26"/>
      <c r="G29" s="26"/>
      <c r="H29" s="26">
        <f>H28/C28-1</f>
        <v>-0.03509817647507285</v>
      </c>
      <c r="I29" s="26">
        <f>I28/D28-1</f>
        <v>-0.03538830729248543</v>
      </c>
      <c r="J29" s="60">
        <f>J28/E28-1</f>
        <v>-0.03509501407233884</v>
      </c>
    </row>
    <row r="30">
      <c r="B30" s="50" t="s">
        <v>119</v>
      </c>
      <c r="C30" s="21"/>
      <c r="D30" s="21">
        <f>D28-C28</f>
        <v>-2.281000000000006</v>
      </c>
      <c r="E30" s="21">
        <f>E28-D28</f>
        <v>-2.84699999999998</v>
      </c>
      <c r="F30" s="21">
        <f>F28-E28</f>
        <v>-3.4260000000000446</v>
      </c>
      <c r="G30" s="21"/>
      <c r="H30" s="21">
        <f>H28-F28</f>
        <v>-1.5739999999999554</v>
      </c>
      <c r="I30" s="21">
        <f>I28-H28</f>
        <v>-2.2840000000000487</v>
      </c>
      <c r="J30" s="69">
        <f>J28-I28</f>
        <v>-2.6631202185792517</v>
      </c>
    </row>
    <row r="31">
      <c r="B31" s="50" t="s">
        <v>491</v>
      </c>
      <c r="C31" s="21">
        <f>C34-C28</f>
        <v>4.153999999999996</v>
      </c>
      <c r="D31" s="21">
        <f>D34-D28</f>
        <v>4.209000000000003</v>
      </c>
      <c r="E31" s="21">
        <f>E34-E28</f>
        <v>4.728999999999985</v>
      </c>
      <c r="F31" s="21">
        <f>F34-F28</f>
        <v>4.798000000000002</v>
      </c>
      <c r="G31" s="21">
        <f>G34-G28</f>
        <v>4.4739999999999895</v>
      </c>
      <c r="H31" s="21">
        <f>H34-H28</f>
        <v>4.439999999999998</v>
      </c>
      <c r="I31" s="21">
        <f>I34-I28</f>
        <v>4.912000000000035</v>
      </c>
      <c r="J31" s="137">
        <v>4.75</v>
      </c>
    </row>
    <row r="32">
      <c r="B32" s="58" t="s">
        <v>69</v>
      </c>
      <c r="C32" s="26"/>
      <c r="D32" s="26"/>
      <c r="E32" s="26"/>
      <c r="F32" s="26"/>
      <c r="G32" s="26"/>
      <c r="H32" s="26">
        <f>H31/C31-1</f>
        <v>0.06884930187770855</v>
      </c>
      <c r="I32" s="26">
        <f>I31/D31-1</f>
        <v>0.16702304585412953</v>
      </c>
      <c r="J32" s="60">
        <f>J31/E31-1</f>
        <v>0.004440685134281086</v>
      </c>
    </row>
    <row r="33">
      <c r="B33" s="50" t="s">
        <v>119</v>
      </c>
      <c r="C33" s="21"/>
      <c r="D33" s="21">
        <f>D31-C31</f>
        <v>0.05500000000000682</v>
      </c>
      <c r="E33" s="21">
        <f>E31-D31</f>
        <v>0.5199999999999818</v>
      </c>
      <c r="F33" s="21">
        <f>F31-E31</f>
        <v>0.06900000000001683</v>
      </c>
      <c r="G33" s="21"/>
      <c r="H33" s="21">
        <f>H31-F31</f>
        <v>-0.3580000000000041</v>
      </c>
      <c r="I33" s="21">
        <f>I31-H31</f>
        <v>0.47200000000003683</v>
      </c>
      <c r="J33" s="69">
        <f>J31-I31</f>
        <v>-0.16200000000003456</v>
      </c>
    </row>
    <row r="34">
      <c r="B34" s="19" t="s">
        <v>492</v>
      </c>
      <c r="C34" s="116">
        <v>292.716</v>
      </c>
      <c r="D34" s="116">
        <v>290.49</v>
      </c>
      <c r="E34" s="116">
        <v>288.163</v>
      </c>
      <c r="F34" s="116">
        <v>284.806</v>
      </c>
      <c r="G34" s="125">
        <f>G37</f>
        <v>289.019</v>
      </c>
      <c r="H34" s="116">
        <v>282.874</v>
      </c>
      <c r="I34" s="116">
        <v>281.062</v>
      </c>
      <c r="J34" s="115">
        <f>J28+J31</f>
        <v>278.2368797814207</v>
      </c>
    </row>
    <row r="35">
      <c r="B35" s="58" t="s">
        <v>69</v>
      </c>
      <c r="C35" s="26"/>
      <c r="D35" s="26"/>
      <c r="E35" s="26"/>
      <c r="F35" s="26"/>
      <c r="G35" s="26"/>
      <c r="H35" s="26">
        <f>H34/C34-1</f>
        <v>-0.03362303393049915</v>
      </c>
      <c r="I35" s="26">
        <f>I34/D34-1</f>
        <v>-0.03245550621363902</v>
      </c>
      <c r="J35" s="60">
        <f>J34/E34-1</f>
        <v>-0.034446199611259165</v>
      </c>
    </row>
    <row r="36">
      <c r="B36" s="50" t="s">
        <v>119</v>
      </c>
      <c r="C36" s="21"/>
      <c r="D36" s="21">
        <f>D34-C34</f>
        <v>-2.225999999999999</v>
      </c>
      <c r="E36" s="21">
        <f>E34-D34</f>
        <v>-2.326999999999998</v>
      </c>
      <c r="F36" s="21">
        <f>F34-E34</f>
        <v>-3.3570000000000277</v>
      </c>
      <c r="G36" s="21"/>
      <c r="H36" s="21">
        <f>H34-F34</f>
        <v>-1.9319999999999595</v>
      </c>
      <c r="I36" s="21">
        <f>I34-H34</f>
        <v>-1.8120000000000118</v>
      </c>
      <c r="J36" s="69">
        <f>J34-I34</f>
        <v>-2.8251202185792863</v>
      </c>
    </row>
    <row r="37" ht="24">
      <c r="B37" s="83" t="s">
        <v>493</v>
      </c>
      <c r="C37" s="66"/>
      <c r="D37" s="66"/>
      <c r="E37" s="66"/>
      <c r="F37" s="66"/>
      <c r="G37" s="143">
        <v>289.019</v>
      </c>
      <c r="H37" s="66"/>
      <c r="I37" s="66"/>
      <c r="J37" s="141"/>
    </row>
    <row r="38">
      <c r="B38" s="2"/>
      <c r="C38" s="2"/>
      <c r="D38" s="2"/>
      <c r="E38" s="2"/>
      <c r="F38" s="2"/>
      <c r="G38" s="2"/>
      <c r="H38" s="2"/>
      <c r="I38" s="2"/>
      <c r="J38" s="2"/>
    </row>
    <row r="39">
      <c r="B39" s="19" t="s">
        <v>494</v>
      </c>
      <c r="C39" s="2"/>
      <c r="D39" s="2"/>
      <c r="E39" s="2"/>
      <c r="F39" s="2"/>
      <c r="G39" s="2"/>
      <c r="H39" s="2"/>
      <c r="I39" s="2"/>
      <c r="J39" s="2"/>
    </row>
    <row r="40" ht="24">
      <c r="B40" s="6" t="s">
        <v>495</v>
      </c>
      <c r="C40" s="74">
        <v>0.76</v>
      </c>
      <c r="D40" s="74">
        <v>0.76</v>
      </c>
      <c r="E40" s="74">
        <v>0.84</v>
      </c>
      <c r="F40" s="74">
        <v>0.84</v>
      </c>
      <c r="G40" s="30">
        <f>SUM(C40:F40)</f>
        <v>3.2</v>
      </c>
      <c r="H40" s="74">
        <v>0.84</v>
      </c>
      <c r="I40" s="74">
        <v>0.84</v>
      </c>
      <c r="J40" s="122">
        <v>0.92</v>
      </c>
    </row>
    <row r="41">
      <c r="B41" s="58" t="s">
        <v>69</v>
      </c>
      <c r="C41" s="26"/>
      <c r="D41" s="26"/>
      <c r="E41" s="26"/>
      <c r="F41" s="26"/>
      <c r="G41" s="26"/>
      <c r="H41" s="26">
        <f>H40/C40-1</f>
        <v>0.10526315789473673</v>
      </c>
      <c r="I41" s="26">
        <f>I40/D40-1</f>
        <v>0.10526315789473673</v>
      </c>
      <c r="J41" s="60">
        <f>J40/E40-1</f>
        <v>0.09523809523809534</v>
      </c>
    </row>
    <row r="42">
      <c r="B42" s="50" t="s">
        <v>119</v>
      </c>
      <c r="C42" s="7"/>
      <c r="D42" s="7">
        <f>D40-C40</f>
        <v>0</v>
      </c>
      <c r="E42" s="7">
        <f>E40-D40</f>
        <v>0.07999999999999996</v>
      </c>
      <c r="F42" s="7">
        <f>F40-E40</f>
        <v>0</v>
      </c>
      <c r="G42" s="7"/>
      <c r="H42" s="7">
        <f>H40-F40</f>
        <v>0</v>
      </c>
      <c r="I42" s="7">
        <f>I40-H40</f>
        <v>0</v>
      </c>
      <c r="J42" s="101">
        <f>J40-I40</f>
        <v>0.08000000000000007</v>
      </c>
    </row>
    <row r="43">
      <c r="B43" s="2" t="s">
        <v>496</v>
      </c>
      <c r="C43" s="46">
        <v>220</v>
      </c>
      <c r="D43" s="46">
        <v>217</v>
      </c>
      <c r="E43" s="46">
        <v>237</v>
      </c>
      <c r="F43" s="46">
        <v>235</v>
      </c>
      <c r="G43" s="3">
        <f>SUM(C43:F43)</f>
        <v>909</v>
      </c>
      <c r="H43" s="46">
        <v>233</v>
      </c>
      <c r="I43" s="46">
        <v>231</v>
      </c>
      <c r="J43" s="57">
        <f>J40*J28</f>
        <v>251.6079293989071</v>
      </c>
    </row>
    <row r="44">
      <c r="B44" s="58" t="s">
        <v>69</v>
      </c>
      <c r="C44" s="26"/>
      <c r="D44" s="26"/>
      <c r="E44" s="26"/>
      <c r="F44" s="26"/>
      <c r="G44" s="26"/>
      <c r="H44" s="26">
        <f>H43/C43-1</f>
        <v>0.05909090909090908</v>
      </c>
      <c r="I44" s="26">
        <f>I43/D43-1</f>
        <v>0.06451612903225801</v>
      </c>
      <c r="J44" s="60">
        <f>J43/E43-1</f>
        <v>0.0616368329067809</v>
      </c>
    </row>
    <row r="45">
      <c r="B45" s="50" t="s">
        <v>119</v>
      </c>
      <c r="C45" s="3"/>
      <c r="D45" s="3">
        <f>D43-C43</f>
        <v>-3</v>
      </c>
      <c r="E45" s="3">
        <f>E43-D43</f>
        <v>20</v>
      </c>
      <c r="F45" s="3">
        <f>F43-E43</f>
        <v>-2</v>
      </c>
      <c r="G45" s="3"/>
      <c r="H45" s="3">
        <f>H43-F43</f>
        <v>-2</v>
      </c>
      <c r="I45" s="3">
        <f>I43-H43</f>
        <v>-2</v>
      </c>
      <c r="J45" s="57">
        <f>J43-I43</f>
        <v>20.60792939890709</v>
      </c>
    </row>
    <row r="46">
      <c r="B46" s="2" t="s">
        <v>497</v>
      </c>
      <c r="C46" s="12">
        <f>'Income Statement'!C79</f>
        <v>46</v>
      </c>
      <c r="D46" s="12">
        <f>'Income Statement'!D79</f>
        <v>63</v>
      </c>
      <c r="E46" s="12">
        <f>'Income Statement'!E79</f>
        <v>58</v>
      </c>
      <c r="F46" s="12">
        <f>'Income Statement'!F79</f>
        <v>59</v>
      </c>
      <c r="G46" s="12">
        <f>'Income Statement'!G79</f>
        <v>226</v>
      </c>
      <c r="H46" s="12">
        <f>'Income Statement'!H79</f>
        <v>58</v>
      </c>
      <c r="I46" s="12">
        <f>'Income Statement'!I79</f>
        <v>58</v>
      </c>
      <c r="J46" s="48">
        <f>'Income Statement'!J79</f>
        <v>58</v>
      </c>
    </row>
    <row r="47" ht="24">
      <c r="B47" s="17" t="s">
        <v>498</v>
      </c>
      <c r="C47" s="117">
        <f>(C43+C17)/'Income Statement'!C85</f>
        <v>0.5360134003350083</v>
      </c>
      <c r="D47" s="117">
        <f>(D43+D17)/'Income Statement'!D85</f>
        <v>0.8206349206349206</v>
      </c>
      <c r="E47" s="117">
        <f>(E43+E17)/'Income Statement'!E85</f>
        <v>0.7942643391521197</v>
      </c>
      <c r="F47" s="117">
        <f>(F43+F17)/'Income Statement'!F85</f>
        <v>0.9229651162790697</v>
      </c>
      <c r="G47" s="117">
        <f>(G43+G17)/'Income Statement'!G85</f>
        <v>0.7762237762237763</v>
      </c>
      <c r="H47" s="117">
        <f>(H43+H17)/'Income Statement'!H85</f>
        <v>0.8978723404255319</v>
      </c>
      <c r="I47" s="117">
        <f>(I43+I17)/'Income Statement'!I85</f>
        <v>0.615009746588694</v>
      </c>
      <c r="J47" s="123">
        <f>(J43+J17)/'Income Statement'!J85</f>
        <v>0.7287924274059537</v>
      </c>
    </row>
    <row r="48">
      <c r="B48" s="50" t="s">
        <v>116</v>
      </c>
      <c r="C48" s="20"/>
      <c r="D48" s="20">
        <f>(D47-C47)*10000</f>
        <v>2846.215202999123</v>
      </c>
      <c r="E48" s="20">
        <f>(E47-D47)*10000</f>
        <v>-263.7058148280091</v>
      </c>
      <c r="F48" s="20">
        <f>(F47-E47)*10000</f>
        <v>1287.0077712695006</v>
      </c>
      <c r="G48" s="20"/>
      <c r="H48" s="20">
        <f>(H47-F47)*10000</f>
        <v>-250.92775853537864</v>
      </c>
      <c r="I48" s="20">
        <f>(I47-H47)*10000</f>
        <v>-2828.6259383683787</v>
      </c>
      <c r="J48" s="70">
        <f>(J47-I47)*10000</f>
        <v>1137.8268081725973</v>
      </c>
    </row>
    <row r="49">
      <c r="B49" s="50" t="s">
        <v>117</v>
      </c>
      <c r="C49" s="20" t="s">
        <v>46</v>
      </c>
      <c r="D49" s="20" t="s">
        <v>46</v>
      </c>
      <c r="E49" s="20" t="s">
        <v>46</v>
      </c>
      <c r="F49" s="20" t="s">
        <v>46</v>
      </c>
      <c r="G49" s="20" t="s">
        <v>46</v>
      </c>
      <c r="H49" s="20">
        <f>(H47-C47)*10000</f>
        <v>3618.5894009052354</v>
      </c>
      <c r="I49" s="20">
        <f>(I47-D47)*10000</f>
        <v>-2056.251740462266</v>
      </c>
      <c r="J49" s="70">
        <f>(J47-E47)*10000</f>
        <v>-654.7191174616596</v>
      </c>
    </row>
    <row r="50">
      <c r="B50" s="2"/>
      <c r="C50" s="2"/>
      <c r="D50" s="2"/>
      <c r="E50" s="2"/>
      <c r="F50" s="2"/>
      <c r="G50" s="2"/>
      <c r="H50" s="2"/>
      <c r="I50" s="2"/>
      <c r="J50" s="2"/>
    </row>
    <row r="51">
      <c r="B51" s="19" t="s">
        <v>499</v>
      </c>
      <c r="C51" s="2"/>
      <c r="D51" s="2"/>
      <c r="E51" s="2"/>
      <c r="F51" s="2"/>
      <c r="G51" s="2"/>
      <c r="H51" s="2"/>
      <c r="I51" s="2"/>
      <c r="J51" s="2"/>
    </row>
    <row r="52" ht="24">
      <c r="B52" s="43" t="s">
        <v>500</v>
      </c>
      <c r="C52" s="68"/>
      <c r="D52" s="68"/>
      <c r="E52" s="68"/>
      <c r="F52" s="68"/>
      <c r="G52" s="68"/>
      <c r="H52" s="68"/>
      <c r="I52" s="68"/>
      <c r="J52" s="121">
        <f>J34</f>
        <v>278.2368797814207</v>
      </c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5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501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 t="s">
        <v>502</v>
      </c>
      <c r="C8" s="2"/>
      <c r="D8" s="2"/>
      <c r="E8" s="2"/>
      <c r="F8" s="2"/>
      <c r="G8" s="2"/>
      <c r="H8" s="2"/>
      <c r="I8" s="2"/>
      <c r="J8" s="2"/>
    </row>
    <row r="9">
      <c r="B9" s="19" t="s">
        <v>503</v>
      </c>
      <c r="C9" s="2"/>
      <c r="D9" s="2"/>
      <c r="E9" s="2"/>
      <c r="F9" s="2"/>
      <c r="G9" s="2"/>
      <c r="H9" s="2"/>
      <c r="I9" s="2"/>
      <c r="J9" s="2"/>
    </row>
    <row r="10">
      <c r="B10" s="19" t="s">
        <v>504</v>
      </c>
      <c r="C10" s="4" t="s">
        <v>505</v>
      </c>
      <c r="D10" s="172" t="s">
        <v>506</v>
      </c>
      <c r="E10" s="172" t="s">
        <v>507</v>
      </c>
      <c r="F10" s="4" t="s">
        <v>508</v>
      </c>
      <c r="G10" s="4" t="s">
        <v>509</v>
      </c>
      <c r="H10" s="4" t="s">
        <v>510</v>
      </c>
      <c r="I10" s="4" t="s">
        <v>511</v>
      </c>
      <c r="J10" s="172" t="s">
        <v>512</v>
      </c>
    </row>
    <row r="11">
      <c r="B11" s="2" t="s">
        <v>513</v>
      </c>
      <c r="C11" s="34">
        <f>DATE(2025,7,15)</f>
        <v>45853</v>
      </c>
      <c r="D11" s="170" t="s">
        <v>514</v>
      </c>
      <c r="E11" s="170" t="s">
        <v>515</v>
      </c>
      <c r="F11" s="36">
        <v>0.05</v>
      </c>
      <c r="G11" s="36">
        <v>0.07</v>
      </c>
      <c r="H11" s="15">
        <f>AVERAGE(F11,G11)</f>
        <v>0.060000000000000005</v>
      </c>
      <c r="I11" s="15">
        <f>J32</f>
        <v>0.09191066997518615</v>
      </c>
      <c r="J11" s="170" t="str">
        <f>IF(I11&gt;H11,"Beat",IF(I11&lt;H11,"Miss","In line"))</f>
        <v>Beat</v>
      </c>
    </row>
    <row r="12">
      <c r="B12" s="2" t="s">
        <v>513</v>
      </c>
      <c r="C12" s="34">
        <f>DATE(2025,10,17)</f>
        <v>45947</v>
      </c>
      <c r="D12" s="170" t="s">
        <v>514</v>
      </c>
      <c r="E12" s="170" t="s">
        <v>516</v>
      </c>
      <c r="F12" s="36">
        <v>0.085</v>
      </c>
      <c r="G12" s="36">
        <v>0.09</v>
      </c>
      <c r="H12" s="15">
        <f>AVERAGE(F12,G12)</f>
        <v>0.0875</v>
      </c>
      <c r="I12" s="15">
        <f>J32</f>
        <v>0.09191066997518615</v>
      </c>
      <c r="J12" s="170" t="str">
        <f>IF(I12&gt;H12,"Beat",IF(I12&lt;H12,"Miss","In line"))</f>
        <v>Beat</v>
      </c>
    </row>
    <row r="13">
      <c r="B13" s="2" t="s">
        <v>513</v>
      </c>
      <c r="C13" s="34">
        <f>DATE(2026,1,16)</f>
        <v>46038</v>
      </c>
      <c r="D13" s="170" t="s">
        <v>517</v>
      </c>
      <c r="E13" s="170" t="s">
        <v>518</v>
      </c>
      <c r="F13" s="36">
        <v>0.04</v>
      </c>
      <c r="G13" s="36">
        <v>0.06</v>
      </c>
      <c r="H13" s="15">
        <f>AVERAGE(F13,G13)</f>
        <v>0.05</v>
      </c>
      <c r="I13" s="15" t="s">
        <v>519</v>
      </c>
      <c r="J13" s="170" t="s">
        <v>519</v>
      </c>
    </row>
    <row r="14">
      <c r="B14" s="2" t="s">
        <v>520</v>
      </c>
      <c r="C14" s="34">
        <f>DATE(2026,1,16)</f>
        <v>46038</v>
      </c>
      <c r="D14" s="170" t="s">
        <v>517</v>
      </c>
      <c r="E14" s="170" t="s">
        <v>518</v>
      </c>
      <c r="F14" s="15" t="s">
        <v>47</v>
      </c>
      <c r="G14" s="15" t="s">
        <v>47</v>
      </c>
      <c r="H14" s="15" t="s">
        <v>46</v>
      </c>
      <c r="I14" s="15" t="s">
        <v>519</v>
      </c>
      <c r="J14" s="170" t="s">
        <v>519</v>
      </c>
    </row>
    <row r="15">
      <c r="B15" s="2" t="s">
        <v>521</v>
      </c>
      <c r="C15" s="34">
        <f>DATE(2026,1,16)</f>
        <v>46038</v>
      </c>
      <c r="D15" s="170" t="s">
        <v>517</v>
      </c>
      <c r="E15" s="170" t="s">
        <v>518</v>
      </c>
      <c r="F15" s="36">
        <v>0.03</v>
      </c>
      <c r="G15" s="36">
        <v>0.04</v>
      </c>
      <c r="H15" s="15">
        <f>AVERAGE(F15,G15)</f>
        <v>0.035</v>
      </c>
      <c r="I15" s="15" t="s">
        <v>519</v>
      </c>
      <c r="J15" s="170" t="s">
        <v>519</v>
      </c>
    </row>
    <row r="16">
      <c r="B16" s="2" t="s">
        <v>513</v>
      </c>
      <c r="C16" s="34">
        <f>DATE(2026,4,17)</f>
        <v>46129</v>
      </c>
      <c r="D16" s="170" t="s">
        <v>517</v>
      </c>
      <c r="E16" s="170" t="s">
        <v>518</v>
      </c>
      <c r="F16" s="36">
        <v>0.07</v>
      </c>
      <c r="G16" s="36">
        <v>0.09</v>
      </c>
      <c r="H16" s="15">
        <f>AVERAGE(F16,G16)</f>
        <v>0.08</v>
      </c>
      <c r="I16" s="15" t="s">
        <v>519</v>
      </c>
      <c r="J16" s="170" t="s">
        <v>519</v>
      </c>
    </row>
    <row r="17">
      <c r="B17" s="2" t="s">
        <v>522</v>
      </c>
      <c r="C17" s="34">
        <f>DATE(2026,4,17)</f>
        <v>46129</v>
      </c>
      <c r="D17" s="170" t="s">
        <v>517</v>
      </c>
      <c r="E17" s="170" t="s">
        <v>518</v>
      </c>
      <c r="F17" s="36">
        <v>0.08</v>
      </c>
      <c r="G17" s="36">
        <v>0.1</v>
      </c>
      <c r="H17" s="15">
        <f>AVERAGE(F17,G17)</f>
        <v>0.09</v>
      </c>
      <c r="I17" s="15" t="s">
        <v>519</v>
      </c>
      <c r="J17" s="170" t="s">
        <v>519</v>
      </c>
    </row>
    <row r="18">
      <c r="B18" s="2" t="s">
        <v>521</v>
      </c>
      <c r="C18" s="34">
        <f>DATE(2026,4,17)</f>
        <v>46129</v>
      </c>
      <c r="D18" s="170" t="s">
        <v>517</v>
      </c>
      <c r="E18" s="170" t="s">
        <v>518</v>
      </c>
      <c r="F18" s="36">
        <v>0.05</v>
      </c>
      <c r="G18" s="36">
        <v>0.06</v>
      </c>
      <c r="H18" s="15">
        <f>AVERAGE(F18,G18)</f>
        <v>0.055</v>
      </c>
      <c r="I18" s="15" t="s">
        <v>519</v>
      </c>
      <c r="J18" s="170" t="s">
        <v>519</v>
      </c>
    </row>
    <row r="19">
      <c r="B19" s="2" t="s">
        <v>513</v>
      </c>
      <c r="C19" s="34">
        <f>DATE(2026,7,16)</f>
        <v>46219</v>
      </c>
      <c r="D19" s="170" t="s">
        <v>517</v>
      </c>
      <c r="E19" s="170" t="s">
        <v>523</v>
      </c>
      <c r="F19" s="36">
        <v>0.12</v>
      </c>
      <c r="G19" s="36">
        <v>0.13</v>
      </c>
      <c r="H19" s="15">
        <f>AVERAGE(F19,G19)</f>
        <v>0.125</v>
      </c>
      <c r="I19" s="15" t="s">
        <v>519</v>
      </c>
      <c r="J19" s="170" t="s">
        <v>519</v>
      </c>
    </row>
    <row r="20">
      <c r="B20" s="2" t="s">
        <v>522</v>
      </c>
      <c r="C20" s="34">
        <f>DATE(2026,7,16)</f>
        <v>46219</v>
      </c>
      <c r="D20" s="170" t="s">
        <v>517</v>
      </c>
      <c r="E20" s="170" t="s">
        <v>523</v>
      </c>
      <c r="F20" s="36">
        <v>0.14</v>
      </c>
      <c r="G20" s="36">
        <v>0.15</v>
      </c>
      <c r="H20" s="15">
        <f>AVERAGE(F20,G20)</f>
        <v>0.14500000000000002</v>
      </c>
      <c r="I20" s="15" t="s">
        <v>519</v>
      </c>
      <c r="J20" s="170" t="s">
        <v>519</v>
      </c>
    </row>
    <row r="21">
      <c r="B21" s="2" t="s">
        <v>524</v>
      </c>
      <c r="C21" s="34">
        <f>DATE(2026,7,16)</f>
        <v>46219</v>
      </c>
      <c r="D21" s="170" t="s">
        <v>517</v>
      </c>
      <c r="E21" s="170" t="s">
        <v>523</v>
      </c>
      <c r="F21" s="36">
        <v>0.08</v>
      </c>
      <c r="G21" s="36">
        <v>0.08</v>
      </c>
      <c r="H21" s="15">
        <f>AVERAGE(F21,G21)</f>
        <v>0.08</v>
      </c>
      <c r="I21" s="15" t="s">
        <v>519</v>
      </c>
      <c r="J21" s="170" t="s">
        <v>519</v>
      </c>
    </row>
    <row r="22">
      <c r="B22" s="2" t="s">
        <v>525</v>
      </c>
      <c r="C22" s="34">
        <f>DATE(2026,7,16)</f>
        <v>46219</v>
      </c>
      <c r="D22" s="170" t="s">
        <v>517</v>
      </c>
      <c r="E22" s="170" t="s">
        <v>526</v>
      </c>
      <c r="F22" s="36">
        <v>0.22</v>
      </c>
      <c r="G22" s="36">
        <v>0.22</v>
      </c>
      <c r="H22" s="15">
        <f>AVERAGE(F22,G22)</f>
        <v>0.22</v>
      </c>
      <c r="I22" s="15" t="s">
        <v>519</v>
      </c>
      <c r="J22" s="170" t="s">
        <v>519</v>
      </c>
    </row>
    <row r="23">
      <c r="B23" s="2" t="s">
        <v>513</v>
      </c>
      <c r="C23" s="34">
        <f>DATE(2026,9,14)</f>
        <v>46279</v>
      </c>
      <c r="D23" s="170" t="s">
        <v>517</v>
      </c>
      <c r="E23" s="170" t="s">
        <v>527</v>
      </c>
      <c r="F23" s="36">
        <v>0.13</v>
      </c>
      <c r="G23" s="36">
        <v>0.14</v>
      </c>
      <c r="H23" s="15">
        <f>AVERAGE(F23,G23)</f>
        <v>0.135</v>
      </c>
      <c r="I23" s="15" t="s">
        <v>519</v>
      </c>
      <c r="J23" s="170" t="s">
        <v>519</v>
      </c>
    </row>
    <row r="24" ht="24">
      <c r="B24" s="6" t="s">
        <v>528</v>
      </c>
      <c r="C24" s="39">
        <f>DATE(2026,9,14)</f>
        <v>46279</v>
      </c>
      <c r="D24" s="171" t="s">
        <v>517</v>
      </c>
      <c r="E24" s="171" t="s">
        <v>527</v>
      </c>
      <c r="F24" s="32">
        <v>0.145</v>
      </c>
      <c r="G24" s="32">
        <v>0.15</v>
      </c>
      <c r="H24" s="37">
        <f>AVERAGE(F24,G24)</f>
        <v>0.1475</v>
      </c>
      <c r="I24" s="37" t="s">
        <v>519</v>
      </c>
      <c r="J24" s="171" t="s">
        <v>519</v>
      </c>
    </row>
    <row r="25" ht="24">
      <c r="B25" s="6" t="s">
        <v>529</v>
      </c>
      <c r="C25" s="39">
        <f>DATE(2026,9,14)</f>
        <v>46279</v>
      </c>
      <c r="D25" s="171" t="s">
        <v>517</v>
      </c>
      <c r="E25" s="171" t="s">
        <v>527</v>
      </c>
      <c r="F25" s="32">
        <v>0.08</v>
      </c>
      <c r="G25" s="32">
        <v>0.09</v>
      </c>
      <c r="H25" s="37">
        <f>AVERAGE(F25,G25)</f>
        <v>0.08499999999999999</v>
      </c>
      <c r="I25" s="37" t="s">
        <v>519</v>
      </c>
      <c r="J25" s="171" t="s">
        <v>519</v>
      </c>
    </row>
    <row r="26" ht="24">
      <c r="B26" s="6" t="s">
        <v>530</v>
      </c>
      <c r="C26" s="39">
        <f>DATE(2026,9,14)</f>
        <v>46279</v>
      </c>
      <c r="D26" s="171" t="s">
        <v>531</v>
      </c>
      <c r="E26" s="171" t="s">
        <v>527</v>
      </c>
      <c r="F26" s="37" t="s">
        <v>47</v>
      </c>
      <c r="G26" s="37" t="s">
        <v>47</v>
      </c>
      <c r="H26" s="37" t="s">
        <v>46</v>
      </c>
      <c r="I26" s="37" t="s">
        <v>519</v>
      </c>
      <c r="J26" s="171" t="s">
        <v>519</v>
      </c>
    </row>
    <row r="27">
      <c r="B27" s="2"/>
      <c r="C27" s="2"/>
      <c r="D27" s="2"/>
      <c r="E27" s="2"/>
      <c r="F27" s="2"/>
      <c r="G27" s="2"/>
      <c r="H27" s="2"/>
      <c r="I27" s="2"/>
      <c r="J27" s="2"/>
    </row>
    <row r="28">
      <c r="B28" s="19" t="s">
        <v>532</v>
      </c>
      <c r="C28" s="2"/>
      <c r="D28" s="2"/>
      <c r="E28" s="2"/>
      <c r="F28" s="2"/>
      <c r="G28" s="2"/>
      <c r="H28" s="2"/>
      <c r="I28" s="2"/>
      <c r="J28" s="2"/>
    </row>
    <row r="29">
      <c r="B29" s="2" t="s">
        <v>533</v>
      </c>
      <c r="C29" s="3"/>
      <c r="D29" s="3"/>
      <c r="E29" s="3"/>
      <c r="F29" s="3"/>
      <c r="G29" s="3"/>
      <c r="H29" s="3"/>
      <c r="I29" s="3"/>
      <c r="J29" s="12">
        <f>'Income Statement'!G16+'Income Statement'!G95+'Income Statement'!G96</f>
        <v>11001</v>
      </c>
    </row>
    <row r="30" ht="24">
      <c r="B30" s="6" t="s">
        <v>534</v>
      </c>
      <c r="C30" s="25"/>
      <c r="D30" s="25"/>
      <c r="E30" s="25"/>
      <c r="F30" s="25"/>
      <c r="G30" s="25"/>
      <c r="H30" s="25"/>
      <c r="I30" s="25"/>
      <c r="J30" s="18">
        <f>'Revenue summary'!G126</f>
        <v>10156</v>
      </c>
    </row>
    <row r="31" ht="24">
      <c r="B31" s="6" t="s">
        <v>535</v>
      </c>
      <c r="C31" s="25"/>
      <c r="D31" s="25"/>
      <c r="E31" s="25"/>
      <c r="F31" s="25"/>
      <c r="G31" s="25"/>
      <c r="H31" s="25"/>
      <c r="I31" s="25"/>
      <c r="J31" s="59">
        <v>81</v>
      </c>
    </row>
    <row r="32" ht="24">
      <c r="B32" s="45" t="s">
        <v>536</v>
      </c>
      <c r="C32" s="40"/>
      <c r="D32" s="40"/>
      <c r="E32" s="40"/>
      <c r="F32" s="40"/>
      <c r="G32" s="40"/>
      <c r="H32" s="40"/>
      <c r="I32" s="40"/>
      <c r="J32" s="40">
        <f>J29/(J30-J31)-1</f>
        <v>0.09191066997518615</v>
      </c>
    </row>
    <row r="33">
      <c r="B33" s="2"/>
      <c r="C33" s="2"/>
      <c r="D33" s="2"/>
      <c r="E33" s="2"/>
      <c r="F33" s="2"/>
      <c r="G33" s="2"/>
      <c r="H33" s="2"/>
      <c r="I33" s="2"/>
      <c r="J33" s="2"/>
    </row>
    <row r="34">
      <c r="B34" s="19" t="s">
        <v>537</v>
      </c>
      <c r="C34" s="2"/>
      <c r="D34" s="2"/>
      <c r="E34" s="2"/>
      <c r="F34" s="2"/>
      <c r="G34" s="2"/>
      <c r="H34" s="2"/>
      <c r="I34" s="2"/>
      <c r="J34" s="2"/>
    </row>
    <row r="35">
      <c r="B35" s="2" t="s">
        <v>538</v>
      </c>
      <c r="C35" s="31"/>
      <c r="D35" s="31"/>
      <c r="E35" s="31"/>
      <c r="F35" s="31"/>
      <c r="G35" s="31"/>
      <c r="H35" s="31"/>
      <c r="I35" s="31"/>
      <c r="J35" s="31">
        <f>DATE(2026,12,31)-J6</f>
        <v>92</v>
      </c>
    </row>
    <row r="36">
      <c r="B36" s="13" t="s">
        <v>539</v>
      </c>
      <c r="C36" s="26"/>
      <c r="D36" s="26"/>
      <c r="E36" s="26"/>
      <c r="F36" s="26"/>
      <c r="G36" s="26"/>
      <c r="H36" s="26"/>
      <c r="I36" s="26"/>
      <c r="J36" s="26">
        <f>J7/(J7+J35)</f>
        <v>0.5</v>
      </c>
    </row>
    <row r="37">
      <c r="B37" s="2" t="s">
        <v>533</v>
      </c>
      <c r="C37" s="3"/>
      <c r="D37" s="3"/>
      <c r="E37" s="3"/>
      <c r="F37" s="3"/>
      <c r="G37" s="3"/>
      <c r="H37" s="3"/>
      <c r="I37" s="3"/>
      <c r="J37" s="12">
        <f>'Income Statement'!G16+'Income Statement'!G95+'Income Statement'!G96</f>
        <v>11001</v>
      </c>
    </row>
    <row r="38">
      <c r="B38" s="13" t="s">
        <v>540</v>
      </c>
      <c r="C38" s="26"/>
      <c r="D38" s="26"/>
      <c r="E38" s="26"/>
      <c r="F38" s="26"/>
      <c r="G38" s="26"/>
      <c r="H38" s="26"/>
      <c r="I38" s="26"/>
      <c r="J38" s="26">
        <f>H23</f>
        <v>0.135</v>
      </c>
    </row>
    <row r="39">
      <c r="B39" s="2" t="s">
        <v>541</v>
      </c>
      <c r="C39" s="3"/>
      <c r="D39" s="3"/>
      <c r="E39" s="3"/>
      <c r="F39" s="3"/>
      <c r="G39" s="3"/>
      <c r="H39" s="3"/>
      <c r="I39" s="3"/>
      <c r="J39" s="3">
        <f>J37*(1+J38)</f>
        <v>12486.135</v>
      </c>
    </row>
    <row r="40">
      <c r="B40" s="2" t="s">
        <v>542</v>
      </c>
      <c r="C40" s="3"/>
      <c r="D40" s="3"/>
      <c r="E40" s="3"/>
      <c r="F40" s="3"/>
      <c r="G40" s="3"/>
      <c r="H40" s="3"/>
      <c r="I40" s="3"/>
      <c r="J40" s="12">
        <f>'Income Statement'!H16+'Income Statement'!I16</f>
        <v>6148</v>
      </c>
    </row>
    <row r="41">
      <c r="B41" s="19" t="s">
        <v>543</v>
      </c>
      <c r="C41" s="38"/>
      <c r="D41" s="38"/>
      <c r="E41" s="38"/>
      <c r="F41" s="38"/>
      <c r="G41" s="38"/>
      <c r="H41" s="38"/>
      <c r="I41" s="38"/>
      <c r="J41" s="38">
        <f>(J39-J40)*J36</f>
        <v>3169.0675</v>
      </c>
    </row>
    <row r="42">
      <c r="B42" s="2" t="s">
        <v>544</v>
      </c>
      <c r="C42" s="3"/>
      <c r="D42" s="3"/>
      <c r="E42" s="3"/>
      <c r="F42" s="3"/>
      <c r="G42" s="3"/>
      <c r="H42" s="3"/>
      <c r="I42" s="3"/>
      <c r="J42" s="12">
        <f>'Income Statement'!G22</f>
        <v>2960</v>
      </c>
    </row>
    <row r="43">
      <c r="B43" s="13" t="s">
        <v>545</v>
      </c>
      <c r="C43" s="26"/>
      <c r="D43" s="26"/>
      <c r="E43" s="26"/>
      <c r="F43" s="26"/>
      <c r="G43" s="26"/>
      <c r="H43" s="26"/>
      <c r="I43" s="26"/>
      <c r="J43" s="26">
        <f>H24</f>
        <v>0.1475</v>
      </c>
    </row>
    <row r="44">
      <c r="B44" s="19" t="s">
        <v>546</v>
      </c>
      <c r="C44" s="38"/>
      <c r="D44" s="38"/>
      <c r="E44" s="38"/>
      <c r="F44" s="38"/>
      <c r="G44" s="38"/>
      <c r="H44" s="38"/>
      <c r="I44" s="38"/>
      <c r="J44" s="52">
        <f>(J42*(1+J43)-'Income Statement'!H22-'Income Statement'!I22)*J36</f>
        <v>850.8</v>
      </c>
    </row>
    <row r="45" ht="24">
      <c r="B45" s="43" t="s">
        <v>547</v>
      </c>
      <c r="C45" s="33"/>
      <c r="D45" s="33"/>
      <c r="E45" s="33"/>
      <c r="F45" s="33"/>
      <c r="G45" s="33"/>
      <c r="H45" s="33"/>
      <c r="I45" s="33"/>
      <c r="J45" s="33">
        <f>J41+J44</f>
        <v>4019.8675000000003</v>
      </c>
    </row>
    <row r="46">
      <c r="B46" s="2" t="s">
        <v>548</v>
      </c>
      <c r="C46" s="3"/>
      <c r="D46" s="3"/>
      <c r="E46" s="3"/>
      <c r="F46" s="3"/>
      <c r="G46" s="3"/>
      <c r="H46" s="3"/>
      <c r="I46" s="3"/>
      <c r="J46" s="12">
        <f>'Income Statement'!G105</f>
        <v>9831</v>
      </c>
    </row>
    <row r="47">
      <c r="B47" s="13" t="s">
        <v>549</v>
      </c>
      <c r="C47" s="26"/>
      <c r="D47" s="26"/>
      <c r="E47" s="26"/>
      <c r="F47" s="26"/>
      <c r="G47" s="26"/>
      <c r="H47" s="26"/>
      <c r="I47" s="26"/>
      <c r="J47" s="26">
        <f>H25</f>
        <v>0.08499999999999999</v>
      </c>
    </row>
    <row r="48">
      <c r="B48" s="19" t="s">
        <v>550</v>
      </c>
      <c r="C48" s="38"/>
      <c r="D48" s="38"/>
      <c r="E48" s="38"/>
      <c r="F48" s="38"/>
      <c r="G48" s="38"/>
      <c r="H48" s="38"/>
      <c r="I48" s="38"/>
      <c r="J48" s="52">
        <f>(J46*(1+J47)-'Income Statement'!H105-'Income Statement'!I105)*J36</f>
        <v>2663.3175</v>
      </c>
    </row>
    <row r="49" ht="24">
      <c r="B49" s="6" t="s">
        <v>551</v>
      </c>
      <c r="C49" s="25"/>
      <c r="D49" s="25"/>
      <c r="E49" s="25"/>
      <c r="F49" s="25"/>
      <c r="G49" s="25"/>
      <c r="H49" s="25"/>
      <c r="I49" s="25"/>
      <c r="J49" s="18">
        <f>'Income Statement'!J30</f>
        <v>10</v>
      </c>
    </row>
    <row r="50">
      <c r="B50" s="2" t="s">
        <v>552</v>
      </c>
      <c r="C50" s="3"/>
      <c r="D50" s="3"/>
      <c r="E50" s="3"/>
      <c r="F50" s="3"/>
      <c r="G50" s="3"/>
      <c r="H50" s="3"/>
      <c r="I50" s="3"/>
      <c r="J50" s="3">
        <f>J45-J48-J49</f>
        <v>1346.5500000000002</v>
      </c>
    </row>
    <row r="51">
      <c r="B51" s="2" t="s">
        <v>553</v>
      </c>
      <c r="C51" s="3"/>
      <c r="D51" s="3"/>
      <c r="E51" s="3"/>
      <c r="F51" s="3"/>
      <c r="G51" s="3"/>
      <c r="H51" s="3"/>
      <c r="I51" s="3"/>
      <c r="J51" s="3">
        <f>J50*H22</f>
        <v>296.24100000000004</v>
      </c>
    </row>
    <row r="52" ht="34.5">
      <c r="B52" s="43" t="s">
        <v>554</v>
      </c>
      <c r="C52" s="33"/>
      <c r="D52" s="33"/>
      <c r="E52" s="33"/>
      <c r="F52" s="33"/>
      <c r="G52" s="33"/>
      <c r="H52" s="33"/>
      <c r="I52" s="33"/>
      <c r="J52" s="44">
        <f>J50-J51-'Income Statement'!J79-'Income Statement'!J82</f>
        <v>991.3090000000002</v>
      </c>
    </row>
    <row r="53" ht="24">
      <c r="B53" s="43" t="s">
        <v>555</v>
      </c>
      <c r="C53" s="35"/>
      <c r="D53" s="35"/>
      <c r="E53" s="35"/>
      <c r="F53" s="35"/>
      <c r="G53" s="35"/>
      <c r="H53" s="35"/>
      <c r="I53" s="35"/>
      <c r="J53" s="54">
        <f>J52/'Income Statement'!J89</f>
        <v>3.5628238815025517</v>
      </c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2:J6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6" width="12" customWidth="1"/>
    <col min="7" max="7" width="60" customWidth="1"/>
    <col min="8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556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 t="s">
        <v>557</v>
      </c>
      <c r="C8" s="2"/>
      <c r="D8" s="2"/>
      <c r="E8" s="2"/>
      <c r="F8" s="2"/>
      <c r="G8" s="2"/>
      <c r="H8" s="2"/>
      <c r="I8" s="2"/>
      <c r="J8" s="2"/>
    </row>
    <row r="9">
      <c r="B9" s="19" t="s">
        <v>558</v>
      </c>
      <c r="C9" s="2"/>
      <c r="D9" s="2"/>
      <c r="E9" s="2"/>
      <c r="F9" s="2"/>
      <c r="G9" s="2"/>
      <c r="H9" s="2"/>
      <c r="I9" s="2"/>
      <c r="J9" s="2"/>
    </row>
    <row r="10">
      <c r="B10" s="19" t="s">
        <v>559</v>
      </c>
      <c r="C10" s="4" t="s">
        <v>560</v>
      </c>
      <c r="D10" s="176" t="s">
        <v>561</v>
      </c>
      <c r="E10" s="4" t="s">
        <v>562</v>
      </c>
      <c r="F10" s="176" t="s">
        <v>563</v>
      </c>
      <c r="G10" s="160" t="s">
        <v>564</v>
      </c>
      <c r="H10" s="4"/>
      <c r="I10" s="4"/>
      <c r="J10" s="4"/>
    </row>
    <row r="11" ht="35.25">
      <c r="B11" s="72" t="s">
        <v>565</v>
      </c>
      <c r="C11" s="39">
        <f>DATE(2026,10,11)</f>
        <v>46306</v>
      </c>
      <c r="D11" s="174" t="s">
        <v>566</v>
      </c>
      <c r="E11" s="39">
        <f>DATE(2026,10,12)</f>
        <v>46307</v>
      </c>
      <c r="F11" s="174" t="s">
        <v>567</v>
      </c>
      <c r="G11" s="163" t="s">
        <v>568</v>
      </c>
      <c r="H11" s="1"/>
      <c r="I11" s="1"/>
      <c r="J11" s="1"/>
    </row>
    <row r="12" ht="24">
      <c r="B12" s="72" t="s">
        <v>569</v>
      </c>
      <c r="C12" s="39">
        <f>DATE(2026,10,11)</f>
        <v>46306</v>
      </c>
      <c r="D12" s="174" t="s">
        <v>566</v>
      </c>
      <c r="E12" s="39">
        <f>DATE(2026,10,12)</f>
        <v>46307</v>
      </c>
      <c r="F12" s="174" t="s">
        <v>570</v>
      </c>
      <c r="G12" s="163" t="s">
        <v>571</v>
      </c>
      <c r="H12" s="1"/>
      <c r="I12" s="1"/>
      <c r="J12" s="1"/>
    </row>
    <row r="13" ht="24">
      <c r="B13" s="72" t="s">
        <v>572</v>
      </c>
      <c r="C13" s="39">
        <f>DATE(2026,7,16)</f>
        <v>46219</v>
      </c>
      <c r="D13" s="174" t="s">
        <v>573</v>
      </c>
      <c r="E13" s="39">
        <f>DATE(2026,10,12)</f>
        <v>46307</v>
      </c>
      <c r="F13" s="174" t="s">
        <v>574</v>
      </c>
      <c r="G13" s="163" t="s">
        <v>575</v>
      </c>
      <c r="H13" s="1"/>
      <c r="I13" s="1"/>
      <c r="J13" s="1"/>
    </row>
    <row r="14" ht="24">
      <c r="B14" s="72" t="s">
        <v>576</v>
      </c>
      <c r="C14" s="39">
        <f>DATE(2026,7,16)</f>
        <v>46219</v>
      </c>
      <c r="D14" s="174" t="s">
        <v>573</v>
      </c>
      <c r="E14" s="39">
        <f>DATE(2026,10,12)</f>
        <v>46307</v>
      </c>
      <c r="F14" s="174" t="s">
        <v>577</v>
      </c>
      <c r="G14" s="163" t="s">
        <v>578</v>
      </c>
      <c r="H14" s="1"/>
      <c r="I14" s="1"/>
      <c r="J14" s="1"/>
    </row>
    <row r="15" ht="24">
      <c r="B15" s="72" t="s">
        <v>523</v>
      </c>
      <c r="C15" s="39">
        <f>DATE(2026,7,16)</f>
        <v>46219</v>
      </c>
      <c r="D15" s="174" t="s">
        <v>573</v>
      </c>
      <c r="E15" s="39">
        <f>DATE(2026,10,12)</f>
        <v>46307</v>
      </c>
      <c r="F15" s="174" t="s">
        <v>579</v>
      </c>
      <c r="G15" s="163" t="s">
        <v>580</v>
      </c>
      <c r="H15" s="1"/>
      <c r="I15" s="1"/>
      <c r="J15" s="1"/>
    </row>
    <row r="16" ht="24">
      <c r="B16" s="72" t="s">
        <v>581</v>
      </c>
      <c r="C16" s="39">
        <f>DATE(2026,4,17)</f>
        <v>46129</v>
      </c>
      <c r="D16" s="174" t="s">
        <v>573</v>
      </c>
      <c r="E16" s="39">
        <f>DATE(2026,10,12)</f>
        <v>46307</v>
      </c>
      <c r="F16" s="174" t="s">
        <v>582</v>
      </c>
      <c r="G16" s="163" t="s">
        <v>583</v>
      </c>
      <c r="H16" s="1"/>
      <c r="I16" s="1"/>
      <c r="J16" s="1"/>
    </row>
    <row r="17" ht="24">
      <c r="B17" s="72" t="s">
        <v>584</v>
      </c>
      <c r="C17" s="39">
        <f>DATE(2026,4,17)</f>
        <v>46129</v>
      </c>
      <c r="D17" s="174" t="s">
        <v>573</v>
      </c>
      <c r="E17" s="39">
        <f>DATE(2026,10,12)</f>
        <v>46307</v>
      </c>
      <c r="F17" s="174" t="s">
        <v>585</v>
      </c>
      <c r="G17" s="163" t="s">
        <v>586</v>
      </c>
      <c r="H17" s="1"/>
      <c r="I17" s="1"/>
      <c r="J17" s="1"/>
    </row>
    <row r="18" ht="24">
      <c r="B18" s="72" t="s">
        <v>587</v>
      </c>
      <c r="C18" s="39">
        <f>DATE(2026,1,16)</f>
        <v>46038</v>
      </c>
      <c r="D18" s="174" t="s">
        <v>573</v>
      </c>
      <c r="E18" s="39">
        <f>DATE(2026,10,12)</f>
        <v>46307</v>
      </c>
      <c r="F18" s="174" t="s">
        <v>588</v>
      </c>
      <c r="G18" s="163" t="s">
        <v>589</v>
      </c>
      <c r="H18" s="1"/>
      <c r="I18" s="1"/>
      <c r="J18" s="1"/>
    </row>
    <row r="19" ht="24">
      <c r="B19" s="72" t="s">
        <v>590</v>
      </c>
      <c r="C19" s="39">
        <f>DATE(2026,1,16)</f>
        <v>46038</v>
      </c>
      <c r="D19" s="174" t="s">
        <v>573</v>
      </c>
      <c r="E19" s="39">
        <f>DATE(2026,10,12)</f>
        <v>46307</v>
      </c>
      <c r="F19" s="174" t="s">
        <v>591</v>
      </c>
      <c r="G19" s="163" t="s">
        <v>592</v>
      </c>
      <c r="H19" s="1"/>
      <c r="I19" s="1"/>
      <c r="J19" s="1"/>
    </row>
    <row r="20" ht="24">
      <c r="B20" s="72" t="s">
        <v>593</v>
      </c>
      <c r="C20" s="39">
        <f>DATE(2025,10,17)</f>
        <v>45947</v>
      </c>
      <c r="D20" s="174" t="s">
        <v>573</v>
      </c>
      <c r="E20" s="39">
        <f>DATE(2026,10,12)</f>
        <v>46307</v>
      </c>
      <c r="F20" s="174" t="s">
        <v>582</v>
      </c>
      <c r="G20" s="163" t="s">
        <v>594</v>
      </c>
      <c r="H20" s="1"/>
      <c r="I20" s="1"/>
      <c r="J20" s="1"/>
    </row>
    <row r="21" ht="24">
      <c r="B21" s="72" t="s">
        <v>516</v>
      </c>
      <c r="C21" s="39">
        <f>DATE(2025,10,17)</f>
        <v>45947</v>
      </c>
      <c r="D21" s="174" t="s">
        <v>573</v>
      </c>
      <c r="E21" s="39">
        <f>DATE(2026,10,12)</f>
        <v>46307</v>
      </c>
      <c r="F21" s="174" t="s">
        <v>591</v>
      </c>
      <c r="G21" s="163" t="s">
        <v>595</v>
      </c>
      <c r="H21" s="1"/>
      <c r="I21" s="1"/>
      <c r="J21" s="1"/>
    </row>
    <row r="22" ht="24">
      <c r="B22" s="72" t="s">
        <v>515</v>
      </c>
      <c r="C22" s="39">
        <f>DATE(2025,7,15)</f>
        <v>45853</v>
      </c>
      <c r="D22" s="174" t="s">
        <v>573</v>
      </c>
      <c r="E22" s="39">
        <f>DATE(2026,10,12)</f>
        <v>46307</v>
      </c>
      <c r="F22" s="174" t="s">
        <v>591</v>
      </c>
      <c r="G22" s="163" t="s">
        <v>596</v>
      </c>
      <c r="H22" s="1"/>
      <c r="I22" s="1"/>
      <c r="J22" s="1"/>
    </row>
    <row r="23" ht="24">
      <c r="B23" s="72" t="s">
        <v>597</v>
      </c>
      <c r="C23" s="39">
        <f>DATE(2025,4,17)</f>
        <v>45764</v>
      </c>
      <c r="D23" s="174" t="s">
        <v>573</v>
      </c>
      <c r="E23" s="39">
        <f>DATE(2026,10,12)</f>
        <v>46307</v>
      </c>
      <c r="F23" s="174" t="s">
        <v>598</v>
      </c>
      <c r="G23" s="163" t="s">
        <v>599</v>
      </c>
      <c r="H23" s="1"/>
      <c r="I23" s="1"/>
      <c r="J23" s="1"/>
    </row>
    <row r="24" ht="24">
      <c r="B24" s="72" t="s">
        <v>600</v>
      </c>
      <c r="C24" s="39">
        <f>DATE(2026,2,19)</f>
        <v>46072</v>
      </c>
      <c r="D24" s="174" t="s">
        <v>573</v>
      </c>
      <c r="E24" s="39">
        <f>DATE(2026,10,12)</f>
        <v>46307</v>
      </c>
      <c r="F24" s="174" t="s">
        <v>601</v>
      </c>
      <c r="G24" s="163" t="s">
        <v>602</v>
      </c>
      <c r="H24" s="1"/>
      <c r="I24" s="1"/>
      <c r="J24" s="1"/>
    </row>
    <row r="25" ht="24">
      <c r="B25" s="72" t="s">
        <v>603</v>
      </c>
      <c r="C25" s="39">
        <f>DATE(2026,7,30)</f>
        <v>46233</v>
      </c>
      <c r="D25" s="174" t="s">
        <v>573</v>
      </c>
      <c r="E25" s="39">
        <f>DATE(2026,10,12)</f>
        <v>46307</v>
      </c>
      <c r="F25" s="174" t="s">
        <v>604</v>
      </c>
      <c r="G25" s="163" t="s">
        <v>605</v>
      </c>
      <c r="H25" s="1"/>
      <c r="I25" s="1"/>
      <c r="J25" s="1"/>
    </row>
    <row r="26" ht="24">
      <c r="B26" s="72" t="s">
        <v>606</v>
      </c>
      <c r="C26" s="39">
        <f>DATE(2026,4,29)</f>
        <v>46141</v>
      </c>
      <c r="D26" s="174" t="s">
        <v>573</v>
      </c>
      <c r="E26" s="39">
        <f>DATE(2026,10,12)</f>
        <v>46307</v>
      </c>
      <c r="F26" s="174" t="s">
        <v>604</v>
      </c>
      <c r="G26" s="163" t="s">
        <v>607</v>
      </c>
      <c r="H26" s="1"/>
      <c r="I26" s="1"/>
      <c r="J26" s="1"/>
    </row>
    <row r="27" ht="24">
      <c r="B27" s="72" t="s">
        <v>608</v>
      </c>
      <c r="C27" s="39">
        <f>DATE(2025,10,30)</f>
        <v>45960</v>
      </c>
      <c r="D27" s="174" t="s">
        <v>573</v>
      </c>
      <c r="E27" s="39">
        <f>DATE(2026,10,12)</f>
        <v>46307</v>
      </c>
      <c r="F27" s="174" t="s">
        <v>604</v>
      </c>
      <c r="G27" s="163" t="s">
        <v>609</v>
      </c>
      <c r="H27" s="1"/>
      <c r="I27" s="1"/>
      <c r="J27" s="1"/>
    </row>
    <row r="28" ht="24">
      <c r="B28" s="72" t="s">
        <v>610</v>
      </c>
      <c r="C28" s="39">
        <f>DATE(2025,7,31)</f>
        <v>45869</v>
      </c>
      <c r="D28" s="174" t="s">
        <v>573</v>
      </c>
      <c r="E28" s="39">
        <f>DATE(2026,10,12)</f>
        <v>46307</v>
      </c>
      <c r="F28" s="174" t="s">
        <v>604</v>
      </c>
      <c r="G28" s="163" t="s">
        <v>611</v>
      </c>
      <c r="H28" s="1"/>
      <c r="I28" s="1"/>
      <c r="J28" s="1"/>
    </row>
    <row r="29" ht="24">
      <c r="B29" s="72" t="s">
        <v>612</v>
      </c>
      <c r="C29" s="39">
        <f>DATE(2025,5,1)</f>
        <v>45778</v>
      </c>
      <c r="D29" s="174" t="s">
        <v>573</v>
      </c>
      <c r="E29" s="39">
        <f>DATE(2026,10,12)</f>
        <v>46307</v>
      </c>
      <c r="F29" s="174" t="s">
        <v>613</v>
      </c>
      <c r="G29" s="163" t="s">
        <v>614</v>
      </c>
      <c r="H29" s="1"/>
      <c r="I29" s="1"/>
      <c r="J29" s="1"/>
    </row>
    <row r="30" ht="24">
      <c r="B30" s="72" t="s">
        <v>526</v>
      </c>
      <c r="C30" s="39">
        <f>DATE(2026,7,23)</f>
        <v>46226</v>
      </c>
      <c r="D30" s="174" t="s">
        <v>615</v>
      </c>
      <c r="E30" s="39">
        <f>DATE(2026,10,12)</f>
        <v>46307</v>
      </c>
      <c r="F30" s="174" t="s">
        <v>616</v>
      </c>
      <c r="G30" s="163" t="s">
        <v>617</v>
      </c>
      <c r="H30" s="1"/>
      <c r="I30" s="1"/>
      <c r="J30" s="1"/>
    </row>
    <row r="31" ht="24">
      <c r="B31" s="72" t="s">
        <v>518</v>
      </c>
      <c r="C31" s="39">
        <f>DATE(2026,4,17)</f>
        <v>46129</v>
      </c>
      <c r="D31" s="174" t="s">
        <v>615</v>
      </c>
      <c r="E31" s="39">
        <f>DATE(2026,10,12)</f>
        <v>46307</v>
      </c>
      <c r="F31" s="174" t="s">
        <v>501</v>
      </c>
      <c r="G31" s="163" t="s">
        <v>618</v>
      </c>
      <c r="H31" s="1"/>
      <c r="I31" s="1"/>
      <c r="J31" s="1"/>
    </row>
    <row r="32" ht="24">
      <c r="B32" s="72" t="s">
        <v>527</v>
      </c>
      <c r="C32" s="39">
        <f>DATE(2026,9,14)</f>
        <v>46279</v>
      </c>
      <c r="D32" s="174" t="s">
        <v>619</v>
      </c>
      <c r="E32" s="39">
        <f>DATE(2026,10,12)</f>
        <v>46307</v>
      </c>
      <c r="F32" s="174" t="s">
        <v>620</v>
      </c>
      <c r="G32" s="163" t="s">
        <v>621</v>
      </c>
      <c r="H32" s="1"/>
      <c r="I32" s="1"/>
      <c r="J32" s="1"/>
    </row>
    <row r="33" ht="35.25">
      <c r="B33" s="72" t="s">
        <v>622</v>
      </c>
      <c r="C33" s="39">
        <f>DATE(2026,9,14)</f>
        <v>46279</v>
      </c>
      <c r="D33" s="174" t="s">
        <v>623</v>
      </c>
      <c r="E33" s="39">
        <f>DATE(2026,10,12)</f>
        <v>46307</v>
      </c>
      <c r="F33" s="174" t="s">
        <v>501</v>
      </c>
      <c r="G33" s="163" t="s">
        <v>624</v>
      </c>
      <c r="H33" s="1"/>
      <c r="I33" s="1"/>
      <c r="J33" s="1"/>
    </row>
    <row r="34" ht="24">
      <c r="B34" s="72" t="s">
        <v>625</v>
      </c>
      <c r="C34" s="39">
        <f>DATE(2026,10,9)</f>
        <v>46304</v>
      </c>
      <c r="D34" s="174" t="s">
        <v>626</v>
      </c>
      <c r="E34" s="39">
        <f>DATE(2026,10,12)</f>
        <v>46307</v>
      </c>
      <c r="F34" s="174" t="s">
        <v>627</v>
      </c>
      <c r="G34" s="163" t="s">
        <v>628</v>
      </c>
      <c r="H34" s="1"/>
      <c r="I34" s="1"/>
      <c r="J34" s="1"/>
    </row>
    <row r="35" ht="35.25">
      <c r="B35" s="72" t="s">
        <v>629</v>
      </c>
      <c r="C35" s="39">
        <f>DATE(2026,9,30)</f>
        <v>46295</v>
      </c>
      <c r="D35" s="174" t="s">
        <v>630</v>
      </c>
      <c r="E35" s="39">
        <f>DATE(2026,10,12)</f>
        <v>46307</v>
      </c>
      <c r="F35" s="174" t="s">
        <v>631</v>
      </c>
      <c r="G35" s="163" t="s">
        <v>632</v>
      </c>
      <c r="H35" s="1"/>
      <c r="I35" s="1"/>
      <c r="J35" s="1"/>
    </row>
    <row r="36" ht="24">
      <c r="B36" s="72" t="s">
        <v>633</v>
      </c>
      <c r="C36" s="39">
        <f>DATE(2026,10,8)</f>
        <v>46303</v>
      </c>
      <c r="D36" s="174" t="s">
        <v>634</v>
      </c>
      <c r="E36" s="39">
        <f>DATE(2026,10,12)</f>
        <v>46307</v>
      </c>
      <c r="F36" s="174" t="s">
        <v>635</v>
      </c>
      <c r="G36" s="163" t="s">
        <v>636</v>
      </c>
      <c r="H36" s="1"/>
      <c r="I36" s="1"/>
      <c r="J36" s="1"/>
    </row>
    <row r="37" ht="46.5">
      <c r="B37" s="72" t="s">
        <v>637</v>
      </c>
      <c r="C37" s="39">
        <f>DATE(2026,9,23)</f>
        <v>46288</v>
      </c>
      <c r="D37" s="174" t="s">
        <v>638</v>
      </c>
      <c r="E37" s="39">
        <f>DATE(2026,10,12)</f>
        <v>46307</v>
      </c>
      <c r="F37" s="174" t="s">
        <v>639</v>
      </c>
      <c r="G37" s="163" t="s">
        <v>640</v>
      </c>
      <c r="H37" s="1"/>
      <c r="I37" s="1"/>
      <c r="J37" s="1"/>
    </row>
    <row r="38" ht="46.5">
      <c r="B38" s="72" t="s">
        <v>641</v>
      </c>
      <c r="C38" s="39">
        <f>DATE(2026,7,28)</f>
        <v>46231</v>
      </c>
      <c r="D38" s="174" t="s">
        <v>638</v>
      </c>
      <c r="E38" s="39">
        <f>DATE(2026,10,12)</f>
        <v>46307</v>
      </c>
      <c r="F38" s="174" t="s">
        <v>642</v>
      </c>
      <c r="G38" s="163" t="s">
        <v>643</v>
      </c>
      <c r="H38" s="1"/>
      <c r="I38" s="1"/>
      <c r="J38" s="1"/>
    </row>
    <row r="39" ht="24">
      <c r="B39" s="72" t="s">
        <v>644</v>
      </c>
      <c r="C39" s="39">
        <f>DATE(2026,10,11)</f>
        <v>46306</v>
      </c>
      <c r="D39" s="174" t="s">
        <v>645</v>
      </c>
      <c r="E39" s="39">
        <f>DATE(2026,10,12)</f>
        <v>46307</v>
      </c>
      <c r="F39" s="174" t="s">
        <v>646</v>
      </c>
      <c r="G39" s="163" t="s">
        <v>647</v>
      </c>
      <c r="H39" s="1"/>
      <c r="I39" s="1"/>
      <c r="J39" s="1"/>
    </row>
    <row r="40" ht="35.25">
      <c r="B40" s="72" t="s">
        <v>648</v>
      </c>
      <c r="C40" s="39">
        <f>DATE(2026,10,2)</f>
        <v>46297</v>
      </c>
      <c r="D40" s="174" t="s">
        <v>649</v>
      </c>
      <c r="E40" s="39">
        <f>DATE(2026,10,12)</f>
        <v>46307</v>
      </c>
      <c r="F40" s="174" t="s">
        <v>650</v>
      </c>
      <c r="G40" s="163" t="s">
        <v>651</v>
      </c>
      <c r="H40" s="1"/>
      <c r="I40" s="1"/>
      <c r="J40" s="1"/>
    </row>
    <row r="41" ht="24">
      <c r="B41" s="72" t="s">
        <v>652</v>
      </c>
      <c r="C41" s="39">
        <f>DATE(2026,10,6)</f>
        <v>46301</v>
      </c>
      <c r="D41" s="174" t="s">
        <v>653</v>
      </c>
      <c r="E41" s="39">
        <f>DATE(2026,10,12)</f>
        <v>46307</v>
      </c>
      <c r="F41" s="174" t="s">
        <v>627</v>
      </c>
      <c r="G41" s="163" t="s">
        <v>654</v>
      </c>
      <c r="H41" s="1"/>
      <c r="I41" s="1"/>
      <c r="J41" s="1"/>
    </row>
    <row r="42" ht="24">
      <c r="B42" s="72" t="s">
        <v>655</v>
      </c>
      <c r="C42" s="39">
        <f>DATE(2026,10,11)</f>
        <v>46306</v>
      </c>
      <c r="D42" s="174" t="s">
        <v>656</v>
      </c>
      <c r="E42" s="39">
        <f>DATE(2026,10,12)</f>
        <v>46307</v>
      </c>
      <c r="F42" s="174" t="s">
        <v>657</v>
      </c>
      <c r="G42" s="163" t="s">
        <v>658</v>
      </c>
      <c r="H42" s="1"/>
      <c r="I42" s="1"/>
      <c r="J42" s="1"/>
    </row>
    <row r="43" ht="24">
      <c r="B43" s="72" t="s">
        <v>659</v>
      </c>
      <c r="C43" s="39">
        <f>DATE(2026,10,10)</f>
        <v>46305</v>
      </c>
      <c r="D43" s="174" t="s">
        <v>660</v>
      </c>
      <c r="E43" s="39">
        <f>DATE(2026,10,12)</f>
        <v>46307</v>
      </c>
      <c r="F43" s="174" t="s">
        <v>661</v>
      </c>
      <c r="G43" s="163" t="s">
        <v>662</v>
      </c>
      <c r="H43" s="1"/>
      <c r="I43" s="1"/>
      <c r="J43" s="1"/>
    </row>
    <row r="44" ht="24">
      <c r="B44" s="72" t="s">
        <v>663</v>
      </c>
      <c r="C44" s="39">
        <f>DATE(2026,10,7)</f>
        <v>46302</v>
      </c>
      <c r="D44" s="174" t="s">
        <v>664</v>
      </c>
      <c r="E44" s="39">
        <f>DATE(2026,10,12)</f>
        <v>46307</v>
      </c>
      <c r="F44" s="174" t="s">
        <v>627</v>
      </c>
      <c r="G44" s="163" t="s">
        <v>665</v>
      </c>
      <c r="H44" s="1"/>
      <c r="I44" s="1"/>
      <c r="J44" s="1"/>
    </row>
    <row r="45" ht="46.5">
      <c r="B45" s="72" t="s">
        <v>666</v>
      </c>
      <c r="C45" s="39">
        <f>DATE(2026,10,2)</f>
        <v>46297</v>
      </c>
      <c r="D45" s="174" t="s">
        <v>667</v>
      </c>
      <c r="E45" s="39">
        <f>DATE(2026,10,12)</f>
        <v>46307</v>
      </c>
      <c r="F45" s="174" t="s">
        <v>627</v>
      </c>
      <c r="G45" s="163" t="s">
        <v>668</v>
      </c>
      <c r="H45" s="1"/>
      <c r="I45" s="1"/>
      <c r="J45" s="1"/>
    </row>
    <row r="46" ht="24">
      <c r="B46" s="72" t="s">
        <v>669</v>
      </c>
      <c r="C46" s="39">
        <f>DATE(2026,7,31)</f>
        <v>46234</v>
      </c>
      <c r="D46" s="174" t="s">
        <v>670</v>
      </c>
      <c r="E46" s="39">
        <f>DATE(2026,10,12)</f>
        <v>46307</v>
      </c>
      <c r="F46" s="174" t="s">
        <v>671</v>
      </c>
      <c r="G46" s="163" t="s">
        <v>672</v>
      </c>
      <c r="H46" s="1"/>
      <c r="I46" s="1"/>
      <c r="J46" s="1"/>
    </row>
    <row r="47" ht="24">
      <c r="B47" s="72" t="s">
        <v>673</v>
      </c>
      <c r="C47" s="39">
        <f>DATE(2025,4,17)</f>
        <v>45764</v>
      </c>
      <c r="D47" s="174" t="s">
        <v>573</v>
      </c>
      <c r="E47" s="39">
        <f>DATE(2026,10,12)</f>
        <v>46307</v>
      </c>
      <c r="F47" s="174" t="s">
        <v>674</v>
      </c>
      <c r="G47" s="163" t="s">
        <v>675</v>
      </c>
      <c r="H47" s="1"/>
      <c r="I47" s="1"/>
      <c r="J47" s="1"/>
    </row>
    <row r="48" ht="24">
      <c r="B48" s="72" t="s">
        <v>676</v>
      </c>
      <c r="C48" s="39">
        <f>DATE(2025,7,15)</f>
        <v>45853</v>
      </c>
      <c r="D48" s="174" t="s">
        <v>573</v>
      </c>
      <c r="E48" s="39">
        <f>DATE(2026,10,12)</f>
        <v>46307</v>
      </c>
      <c r="F48" s="174" t="s">
        <v>674</v>
      </c>
      <c r="G48" s="163" t="s">
        <v>677</v>
      </c>
      <c r="H48" s="1"/>
      <c r="I48" s="1"/>
      <c r="J48" s="1"/>
    </row>
    <row r="49">
      <c r="B49" s="2"/>
      <c r="C49" s="2"/>
      <c r="D49" s="2"/>
      <c r="E49" s="2"/>
      <c r="F49" s="2"/>
      <c r="G49" s="2"/>
      <c r="H49" s="2"/>
      <c r="I49" s="2"/>
      <c r="J49" s="2"/>
    </row>
    <row r="50">
      <c r="B50" s="19" t="s">
        <v>678</v>
      </c>
      <c r="C50" s="2"/>
      <c r="D50" s="2"/>
      <c r="E50" s="2"/>
      <c r="F50" s="2"/>
      <c r="G50" s="2"/>
      <c r="H50" s="2"/>
      <c r="I50" s="2"/>
      <c r="J50" s="2"/>
    </row>
    <row r="51">
      <c r="B51" s="19" t="s">
        <v>679</v>
      </c>
      <c r="C51" s="4" t="s">
        <v>680</v>
      </c>
      <c r="D51" s="176" t="s">
        <v>681</v>
      </c>
      <c r="E51" s="4"/>
      <c r="F51" s="4"/>
      <c r="G51" s="4"/>
      <c r="H51" s="4"/>
      <c r="I51" s="4"/>
      <c r="J51" s="4"/>
    </row>
    <row r="52" ht="24">
      <c r="B52" s="6" t="s">
        <v>682</v>
      </c>
      <c r="C52" s="74">
        <v>3.63</v>
      </c>
      <c r="D52" s="175" t="s">
        <v>625</v>
      </c>
      <c r="E52" s="41"/>
      <c r="F52" s="41"/>
      <c r="G52" s="41"/>
      <c r="H52" s="41"/>
      <c r="I52" s="41"/>
      <c r="J52" s="41"/>
    </row>
    <row r="53" ht="24">
      <c r="B53" s="6" t="s">
        <v>683</v>
      </c>
      <c r="C53" s="74">
        <v>3.63</v>
      </c>
      <c r="D53" s="175" t="s">
        <v>652</v>
      </c>
      <c r="E53" s="41"/>
      <c r="F53" s="41"/>
      <c r="G53" s="41"/>
      <c r="H53" s="41"/>
      <c r="I53" s="41"/>
      <c r="J53" s="41"/>
    </row>
    <row r="54" ht="24">
      <c r="B54" s="6" t="s">
        <v>684</v>
      </c>
      <c r="C54" s="74">
        <v>3.66</v>
      </c>
      <c r="D54" s="175" t="s">
        <v>666</v>
      </c>
      <c r="E54" s="41"/>
      <c r="F54" s="41"/>
      <c r="G54" s="41"/>
      <c r="H54" s="41"/>
      <c r="I54" s="41"/>
      <c r="J54" s="41"/>
    </row>
    <row r="55" ht="24">
      <c r="B55" s="6" t="s">
        <v>685</v>
      </c>
      <c r="C55" s="74">
        <v>3.67</v>
      </c>
      <c r="D55" s="175" t="s">
        <v>663</v>
      </c>
      <c r="E55" s="41"/>
      <c r="F55" s="41"/>
      <c r="G55" s="41"/>
      <c r="H55" s="41"/>
      <c r="I55" s="41"/>
      <c r="J55" s="41"/>
    </row>
    <row r="56" ht="24">
      <c r="B56" s="6" t="s">
        <v>686</v>
      </c>
      <c r="C56" s="59">
        <v>3200</v>
      </c>
      <c r="D56" s="175" t="s">
        <v>625</v>
      </c>
      <c r="E56" s="41"/>
      <c r="F56" s="41"/>
      <c r="G56" s="41"/>
      <c r="H56" s="41"/>
      <c r="I56" s="41"/>
      <c r="J56" s="41"/>
    </row>
    <row r="57" ht="24">
      <c r="B57" s="6" t="s">
        <v>687</v>
      </c>
      <c r="C57" s="59">
        <v>857.91</v>
      </c>
      <c r="D57" s="175" t="s">
        <v>625</v>
      </c>
      <c r="E57" s="41"/>
      <c r="F57" s="41"/>
      <c r="G57" s="41"/>
      <c r="H57" s="41"/>
      <c r="I57" s="41"/>
      <c r="J57" s="41"/>
    </row>
    <row r="58" ht="24">
      <c r="B58" s="6" t="s">
        <v>688</v>
      </c>
      <c r="C58" s="59">
        <v>1520</v>
      </c>
      <c r="D58" s="175" t="s">
        <v>625</v>
      </c>
      <c r="E58" s="41"/>
      <c r="F58" s="41"/>
      <c r="G58" s="41"/>
      <c r="H58" s="41"/>
      <c r="I58" s="41"/>
      <c r="J58" s="41"/>
    </row>
    <row r="59" ht="24">
      <c r="B59" s="6" t="s">
        <v>689</v>
      </c>
      <c r="C59" s="59">
        <v>811.83</v>
      </c>
      <c r="D59" s="175" t="s">
        <v>625</v>
      </c>
      <c r="E59" s="41"/>
      <c r="F59" s="41"/>
      <c r="G59" s="41"/>
      <c r="H59" s="41"/>
      <c r="I59" s="41"/>
      <c r="J59" s="41"/>
    </row>
    <row r="60" ht="24">
      <c r="B60" s="6" t="s">
        <v>690</v>
      </c>
      <c r="C60" s="59">
        <v>6375.31</v>
      </c>
      <c r="D60" s="175" t="s">
        <v>625</v>
      </c>
      <c r="E60" s="41"/>
      <c r="F60" s="41"/>
      <c r="G60" s="41"/>
      <c r="H60" s="41"/>
      <c r="I60" s="41"/>
      <c r="J60" s="41"/>
    </row>
    <row r="61">
      <c r="B61" s="2"/>
      <c r="C61" s="2"/>
      <c r="D61" s="2"/>
      <c r="E61" s="2"/>
      <c r="F61" s="2"/>
      <c r="G61" s="2"/>
      <c r="H61" s="2"/>
      <c r="I61" s="2"/>
      <c r="J61" s="2"/>
    </row>
    <row r="62" ht="91.5">
      <c r="B62" s="162" t="s">
        <v>691</v>
      </c>
      <c r="C62" s="22"/>
      <c r="D62" s="22"/>
      <c r="E62" s="22"/>
      <c r="F62" s="22"/>
      <c r="G62" s="22"/>
      <c r="H62" s="22"/>
      <c r="I62" s="22"/>
      <c r="J62" s="22"/>
    </row>
    <row r="63" ht="80.25">
      <c r="B63" s="162" t="s">
        <v>692</v>
      </c>
      <c r="C63" s="22"/>
      <c r="D63" s="22"/>
      <c r="E63" s="22"/>
      <c r="F63" s="22"/>
      <c r="G63" s="22"/>
      <c r="H63" s="22"/>
      <c r="I63" s="22"/>
      <c r="J63" s="22"/>
    </row>
    <row r="64" ht="46.5">
      <c r="B64" s="162" t="s">
        <v>693</v>
      </c>
      <c r="C64" s="22"/>
      <c r="D64" s="22"/>
      <c r="E64" s="22"/>
      <c r="F64" s="22"/>
      <c r="G64" s="22"/>
      <c r="H64" s="22"/>
      <c r="I64" s="22"/>
      <c r="J64" s="22"/>
    </row>
    <row r="65" ht="46.5">
      <c r="B65" s="162" t="s">
        <v>694</v>
      </c>
      <c r="C65" s="22"/>
      <c r="D65" s="22"/>
      <c r="E65" s="22"/>
      <c r="F65" s="22"/>
      <c r="G65" s="22"/>
      <c r="H65" s="22"/>
      <c r="I65" s="22"/>
      <c r="J65" s="22"/>
    </row>
    <row r="66" ht="82.5">
      <c r="B66" s="173" t="s">
        <v>695</v>
      </c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B2:J12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</cols>
  <sheetData>
    <row r="2">
      <c r="B2" s="28" t="s">
        <v>1</v>
      </c>
      <c r="C2" s="2"/>
      <c r="D2" s="2"/>
      <c r="E2" s="2"/>
      <c r="F2" s="2"/>
      <c r="G2" s="2"/>
      <c r="H2" s="2"/>
      <c r="I2" s="2"/>
      <c r="J2" s="2"/>
    </row>
    <row r="3">
      <c r="B3" s="51" t="s">
        <v>696</v>
      </c>
      <c r="C3" s="2"/>
      <c r="D3" s="2"/>
      <c r="E3" s="2"/>
      <c r="F3" s="2"/>
      <c r="G3" s="2"/>
      <c r="H3" s="2"/>
      <c r="I3" s="2"/>
      <c r="J3" s="2"/>
    </row>
    <row r="4">
      <c r="B4" s="13" t="s">
        <v>2</v>
      </c>
      <c r="C4" s="2"/>
      <c r="D4" s="2"/>
      <c r="E4" s="2"/>
      <c r="F4" s="2"/>
      <c r="G4" s="2"/>
      <c r="H4" s="2"/>
      <c r="I4" s="2"/>
      <c r="J4" s="2"/>
    </row>
    <row r="5">
      <c r="B5" s="42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>
      <c r="B6" s="56" t="s">
        <v>12</v>
      </c>
      <c r="C6" s="14">
        <f>DATE(2025,3,31)</f>
        <v>45747</v>
      </c>
      <c r="D6" s="14">
        <f>DATE(2025,6,30)</f>
        <v>45838</v>
      </c>
      <c r="E6" s="14">
        <f>DATE(2025,9,30)</f>
        <v>45930</v>
      </c>
      <c r="F6" s="14">
        <f>DATE(2025,12,31)</f>
        <v>46022</v>
      </c>
      <c r="G6" s="14">
        <f>DATE(2025,12,31)</f>
        <v>46022</v>
      </c>
      <c r="H6" s="14">
        <f>DATE(2026,3,31)</f>
        <v>46112</v>
      </c>
      <c r="I6" s="14">
        <f>DATE(2026,6,30)</f>
        <v>46203</v>
      </c>
      <c r="J6" s="14">
        <f>DATE(2026,9,30)</f>
        <v>46295</v>
      </c>
    </row>
    <row r="7">
      <c r="B7" s="10" t="s">
        <v>13</v>
      </c>
      <c r="C7" s="24">
        <f>C6-DATE(2024,12,31)</f>
        <v>90</v>
      </c>
      <c r="D7" s="24">
        <f>D6-C6</f>
        <v>91</v>
      </c>
      <c r="E7" s="24">
        <f>E6-D6</f>
        <v>92</v>
      </c>
      <c r="F7" s="24">
        <f>F6-E6</f>
        <v>92</v>
      </c>
      <c r="G7" s="24">
        <f>G6-DATE(2024,12,31)</f>
        <v>365</v>
      </c>
      <c r="H7" s="24">
        <f>H6-F6</f>
        <v>90</v>
      </c>
      <c r="I7" s="24">
        <f>I6-H6</f>
        <v>91</v>
      </c>
      <c r="J7" s="24">
        <f>J6-I6</f>
        <v>92</v>
      </c>
    </row>
    <row r="8">
      <c r="B8" s="2" t="s">
        <v>697</v>
      </c>
      <c r="C8" s="2"/>
      <c r="D8" s="2"/>
      <c r="E8" s="2"/>
      <c r="F8" s="2"/>
      <c r="G8" s="2"/>
      <c r="H8" s="2"/>
      <c r="I8" s="2"/>
      <c r="J8" s="2"/>
    </row>
    <row r="9">
      <c r="B9" s="19" t="s">
        <v>698</v>
      </c>
      <c r="C9" s="2"/>
      <c r="D9" s="2"/>
      <c r="E9" s="2"/>
      <c r="F9" s="2"/>
      <c r="G9" s="2"/>
      <c r="H9" s="2"/>
      <c r="I9" s="2"/>
      <c r="J9" s="2"/>
    </row>
    <row r="10">
      <c r="B10" s="2" t="s">
        <v>699</v>
      </c>
      <c r="C10" s="11" t="s">
        <v>566</v>
      </c>
      <c r="D10" s="1"/>
      <c r="E10" s="1"/>
      <c r="F10" s="1"/>
      <c r="G10" s="1"/>
      <c r="H10" s="1"/>
      <c r="I10" s="1"/>
      <c r="J10" s="1"/>
    </row>
    <row r="11">
      <c r="B11" s="2" t="s">
        <v>700</v>
      </c>
      <c r="C11" s="11" t="s">
        <v>19</v>
      </c>
      <c r="D11" s="1"/>
      <c r="E11" s="1"/>
      <c r="F11" s="1"/>
      <c r="G11" s="1"/>
      <c r="H11" s="1"/>
      <c r="I11" s="1"/>
      <c r="J11" s="1"/>
    </row>
    <row r="12">
      <c r="B12" s="2" t="s">
        <v>701</v>
      </c>
      <c r="C12" s="11" t="s">
        <v>17</v>
      </c>
      <c r="D12" s="1"/>
      <c r="E12" s="1"/>
      <c r="F12" s="1"/>
      <c r="G12" s="1"/>
      <c r="H12" s="1"/>
      <c r="I12" s="1"/>
      <c r="J12" s="1"/>
    </row>
    <row r="13">
      <c r="B13" s="2" t="s">
        <v>702</v>
      </c>
      <c r="C13" s="11" t="s">
        <v>703</v>
      </c>
      <c r="D13" s="1"/>
      <c r="E13" s="1"/>
      <c r="F13" s="1"/>
      <c r="G13" s="1"/>
      <c r="H13" s="1"/>
      <c r="I13" s="1"/>
      <c r="J13" s="1"/>
    </row>
    <row r="14">
      <c r="B14" s="2" t="s">
        <v>704</v>
      </c>
      <c r="C14" s="165">
        <v>46295</v>
      </c>
      <c r="D14" s="34"/>
      <c r="E14" s="34"/>
      <c r="F14" s="34"/>
      <c r="G14" s="34"/>
      <c r="H14" s="34"/>
      <c r="I14" s="34"/>
      <c r="J14" s="34"/>
    </row>
    <row r="15">
      <c r="B15" s="2" t="s">
        <v>705</v>
      </c>
      <c r="C15" s="165">
        <v>46306</v>
      </c>
      <c r="D15" s="34"/>
      <c r="E15" s="34"/>
      <c r="F15" s="34"/>
      <c r="G15" s="34"/>
      <c r="H15" s="34"/>
      <c r="I15" s="34"/>
      <c r="J15" s="34"/>
    </row>
    <row r="16">
      <c r="B16" s="2" t="s">
        <v>706</v>
      </c>
      <c r="C16" s="164">
        <v>13</v>
      </c>
      <c r="D16" s="31"/>
      <c r="E16" s="31"/>
      <c r="F16" s="31"/>
      <c r="G16" s="31"/>
      <c r="H16" s="31"/>
      <c r="I16" s="31"/>
      <c r="J16" s="31"/>
    </row>
    <row r="17">
      <c r="B17" s="2" t="s">
        <v>707</v>
      </c>
      <c r="C17" s="166">
        <v>3.68</v>
      </c>
      <c r="D17" s="7"/>
      <c r="E17" s="7"/>
      <c r="F17" s="7"/>
      <c r="G17" s="7"/>
      <c r="H17" s="7"/>
      <c r="I17" s="7"/>
      <c r="J17" s="7"/>
    </row>
    <row r="18">
      <c r="B18" s="2" t="s">
        <v>708</v>
      </c>
      <c r="C18" s="11" t="s">
        <v>709</v>
      </c>
      <c r="D18" s="1"/>
      <c r="E18" s="1"/>
      <c r="F18" s="1"/>
      <c r="G18" s="1"/>
      <c r="H18" s="1"/>
      <c r="I18" s="1"/>
      <c r="J18" s="1"/>
    </row>
    <row r="19">
      <c r="B19" s="2" t="s">
        <v>710</v>
      </c>
      <c r="C19" s="167">
        <v>4041.38</v>
      </c>
      <c r="D19" s="3"/>
      <c r="E19" s="3"/>
      <c r="F19" s="3"/>
      <c r="G19" s="3"/>
      <c r="H19" s="3"/>
      <c r="I19" s="3"/>
      <c r="J19" s="3"/>
    </row>
    <row r="20">
      <c r="B20" s="2" t="s">
        <v>711</v>
      </c>
      <c r="C20" s="11" t="s">
        <v>25</v>
      </c>
      <c r="D20" s="1"/>
      <c r="E20" s="1"/>
      <c r="F20" s="1"/>
      <c r="G20" s="1"/>
      <c r="H20" s="1"/>
      <c r="I20" s="1"/>
      <c r="J20" s="1"/>
    </row>
    <row r="21">
      <c r="B21" s="2" t="s">
        <v>712</v>
      </c>
      <c r="C21" s="11" t="s">
        <v>713</v>
      </c>
      <c r="D21" s="1"/>
      <c r="E21" s="1"/>
      <c r="F21" s="1"/>
      <c r="G21" s="1"/>
      <c r="H21" s="1"/>
      <c r="I21" s="1"/>
      <c r="J21" s="1"/>
    </row>
    <row r="22">
      <c r="B22" s="2" t="s">
        <v>714</v>
      </c>
      <c r="C22" s="11" t="s">
        <v>715</v>
      </c>
      <c r="D22" s="1"/>
      <c r="E22" s="1"/>
      <c r="F22" s="1"/>
      <c r="G22" s="1"/>
      <c r="H22" s="1"/>
      <c r="I22" s="1"/>
      <c r="J22" s="1"/>
    </row>
    <row r="23">
      <c r="B23" s="2" t="s">
        <v>716</v>
      </c>
      <c r="C23" s="11" t="s">
        <v>717</v>
      </c>
      <c r="D23" s="1"/>
      <c r="E23" s="1"/>
      <c r="F23" s="1"/>
      <c r="G23" s="1"/>
      <c r="H23" s="1"/>
      <c r="I23" s="1"/>
      <c r="J23" s="1"/>
    </row>
    <row r="24">
      <c r="B24" s="2"/>
      <c r="C24" s="2"/>
      <c r="D24" s="2"/>
      <c r="E24" s="2"/>
      <c r="F24" s="2"/>
      <c r="G24" s="2"/>
      <c r="H24" s="2"/>
      <c r="I24" s="2"/>
      <c r="J24" s="2"/>
    </row>
    <row r="25">
      <c r="B25" s="19" t="s">
        <v>718</v>
      </c>
      <c r="C25" s="2"/>
      <c r="D25" s="2"/>
      <c r="E25" s="2"/>
      <c r="F25" s="2"/>
      <c r="G25" s="2"/>
      <c r="H25" s="2"/>
      <c r="I25" s="2"/>
      <c r="J25" s="2"/>
    </row>
    <row r="26">
      <c r="B26" s="2" t="s">
        <v>700</v>
      </c>
      <c r="C26" s="11" t="s">
        <v>19</v>
      </c>
      <c r="D26" s="1"/>
      <c r="E26" s="1"/>
      <c r="F26" s="1"/>
      <c r="G26" s="1"/>
      <c r="H26" s="1"/>
      <c r="I26" s="1"/>
      <c r="J26" s="1"/>
    </row>
    <row r="27">
      <c r="B27" s="2" t="s">
        <v>719</v>
      </c>
      <c r="C27" s="11" t="s">
        <v>17</v>
      </c>
      <c r="D27" s="1"/>
      <c r="E27" s="1"/>
      <c r="F27" s="1"/>
      <c r="G27" s="1"/>
      <c r="H27" s="1"/>
      <c r="I27" s="1"/>
      <c r="J27" s="1"/>
    </row>
    <row r="28">
      <c r="B28" s="2" t="s">
        <v>720</v>
      </c>
      <c r="C28" s="11" t="s">
        <v>721</v>
      </c>
      <c r="D28" s="1"/>
      <c r="E28" s="1"/>
      <c r="F28" s="1"/>
      <c r="G28" s="1"/>
      <c r="H28" s="1"/>
      <c r="I28" s="1"/>
      <c r="J28" s="1"/>
    </row>
    <row r="29">
      <c r="B29" s="2" t="s">
        <v>722</v>
      </c>
      <c r="C29" s="168">
        <v>188785</v>
      </c>
      <c r="D29" s="1"/>
      <c r="E29" s="1"/>
      <c r="F29" s="1"/>
      <c r="G29" s="1"/>
      <c r="H29" s="1"/>
      <c r="I29" s="1"/>
      <c r="J29" s="1"/>
    </row>
    <row r="30">
      <c r="B30" s="2" t="s">
        <v>723</v>
      </c>
      <c r="C30" s="11" t="s">
        <v>724</v>
      </c>
      <c r="D30" s="1"/>
      <c r="E30" s="1"/>
      <c r="F30" s="1"/>
      <c r="G30" s="1"/>
      <c r="H30" s="1"/>
      <c r="I30" s="1"/>
      <c r="J30" s="1"/>
    </row>
    <row r="31">
      <c r="B31" s="2" t="s">
        <v>725</v>
      </c>
      <c r="C31" s="11"/>
      <c r="D31" s="1"/>
      <c r="E31" s="1"/>
      <c r="F31" s="1"/>
      <c r="G31" s="1"/>
      <c r="H31" s="1"/>
      <c r="I31" s="1"/>
      <c r="J31" s="1"/>
    </row>
    <row r="32">
      <c r="B32" s="2" t="s">
        <v>726</v>
      </c>
      <c r="C32" s="11" t="s">
        <v>703</v>
      </c>
      <c r="D32" s="1"/>
      <c r="E32" s="1"/>
      <c r="F32" s="1"/>
      <c r="G32" s="1"/>
      <c r="H32" s="1"/>
      <c r="I32" s="1"/>
      <c r="J32" s="1"/>
    </row>
    <row r="33">
      <c r="B33" s="2" t="s">
        <v>727</v>
      </c>
      <c r="C33" s="165">
        <v>46295</v>
      </c>
      <c r="D33" s="34"/>
      <c r="E33" s="34"/>
      <c r="F33" s="34"/>
      <c r="G33" s="34"/>
      <c r="H33" s="34"/>
      <c r="I33" s="34"/>
      <c r="J33" s="34"/>
    </row>
    <row r="34">
      <c r="B34" s="2" t="s">
        <v>728</v>
      </c>
      <c r="C34" s="165">
        <v>46309</v>
      </c>
      <c r="D34" s="34"/>
      <c r="E34" s="34"/>
      <c r="F34" s="34"/>
      <c r="G34" s="34"/>
      <c r="H34" s="34"/>
      <c r="I34" s="34"/>
      <c r="J34" s="34"/>
    </row>
    <row r="35">
      <c r="B35" s="2" t="s">
        <v>729</v>
      </c>
      <c r="C35" s="11" t="s">
        <v>730</v>
      </c>
      <c r="D35" s="1"/>
      <c r="E35" s="1"/>
      <c r="F35" s="1"/>
      <c r="G35" s="1"/>
      <c r="H35" s="1"/>
      <c r="I35" s="1"/>
      <c r="J35" s="1"/>
    </row>
    <row r="36">
      <c r="B36" s="2" t="s">
        <v>731</v>
      </c>
      <c r="C36" s="164">
        <v>17</v>
      </c>
      <c r="D36" s="31"/>
      <c r="E36" s="31"/>
      <c r="F36" s="31"/>
      <c r="G36" s="31"/>
      <c r="H36" s="31"/>
      <c r="I36" s="31"/>
      <c r="J36" s="31"/>
    </row>
    <row r="37">
      <c r="B37" s="2" t="s">
        <v>732</v>
      </c>
      <c r="C37" s="166">
        <v>3.68</v>
      </c>
      <c r="D37" s="7"/>
      <c r="E37" s="7"/>
      <c r="F37" s="7"/>
      <c r="G37" s="7"/>
      <c r="H37" s="7"/>
      <c r="I37" s="7"/>
      <c r="J37" s="7"/>
    </row>
    <row r="38">
      <c r="B38" s="2" t="s">
        <v>733</v>
      </c>
      <c r="C38" s="166">
        <v>3.66</v>
      </c>
      <c r="D38" s="7"/>
      <c r="E38" s="7"/>
      <c r="F38" s="7"/>
      <c r="G38" s="7"/>
      <c r="H38" s="7"/>
      <c r="I38" s="7"/>
      <c r="J38" s="7"/>
    </row>
    <row r="39">
      <c r="B39" s="2" t="s">
        <v>734</v>
      </c>
      <c r="C39" s="166">
        <v>3.89</v>
      </c>
      <c r="D39" s="7"/>
      <c r="E39" s="7"/>
      <c r="F39" s="7"/>
      <c r="G39" s="7"/>
      <c r="H39" s="7"/>
      <c r="I39" s="7"/>
      <c r="J39" s="7"/>
    </row>
    <row r="40">
      <c r="B40" s="2" t="s">
        <v>735</v>
      </c>
      <c r="C40" s="166">
        <v>3.59</v>
      </c>
      <c r="D40" s="7"/>
      <c r="E40" s="7"/>
      <c r="F40" s="7"/>
      <c r="G40" s="7"/>
      <c r="H40" s="7"/>
      <c r="I40" s="7"/>
      <c r="J40" s="7"/>
    </row>
    <row r="41">
      <c r="B41" s="2" t="s">
        <v>736</v>
      </c>
      <c r="C41" s="166">
        <v>0.08</v>
      </c>
      <c r="D41" s="7"/>
      <c r="E41" s="7"/>
      <c r="F41" s="7"/>
      <c r="G41" s="7"/>
      <c r="H41" s="7"/>
      <c r="I41" s="7"/>
      <c r="J41" s="7"/>
    </row>
    <row r="42">
      <c r="B42" s="2" t="s">
        <v>737</v>
      </c>
      <c r="C42" s="164">
        <v>13</v>
      </c>
      <c r="D42" s="31"/>
      <c r="E42" s="31"/>
      <c r="F42" s="31"/>
      <c r="G42" s="31"/>
      <c r="H42" s="31"/>
      <c r="I42" s="31"/>
      <c r="J42" s="31"/>
    </row>
    <row r="43">
      <c r="B43" s="2" t="s">
        <v>738</v>
      </c>
      <c r="C43" s="11"/>
      <c r="D43" s="1"/>
      <c r="E43" s="1"/>
      <c r="F43" s="1"/>
      <c r="G43" s="1"/>
      <c r="H43" s="1"/>
      <c r="I43" s="1"/>
      <c r="J43" s="1"/>
    </row>
    <row r="44">
      <c r="B44" s="2" t="s">
        <v>739</v>
      </c>
      <c r="C44" s="11"/>
      <c r="D44" s="1"/>
      <c r="E44" s="1"/>
      <c r="F44" s="1"/>
      <c r="G44" s="1"/>
      <c r="H44" s="1"/>
      <c r="I44" s="1"/>
      <c r="J44" s="1"/>
    </row>
    <row r="45">
      <c r="B45" s="2" t="s">
        <v>740</v>
      </c>
      <c r="C45" s="11"/>
      <c r="D45" s="1"/>
      <c r="E45" s="1"/>
      <c r="F45" s="1"/>
      <c r="G45" s="1"/>
      <c r="H45" s="1"/>
      <c r="I45" s="1"/>
      <c r="J45" s="1"/>
    </row>
    <row r="46">
      <c r="B46" s="2" t="s">
        <v>741</v>
      </c>
      <c r="C46" s="166">
        <v>3.65</v>
      </c>
      <c r="D46" s="7"/>
      <c r="E46" s="7"/>
      <c r="F46" s="7"/>
      <c r="G46" s="7"/>
      <c r="H46" s="7"/>
      <c r="I46" s="7"/>
      <c r="J46" s="7"/>
    </row>
    <row r="47">
      <c r="B47" s="2" t="s">
        <v>742</v>
      </c>
      <c r="C47" s="166">
        <v>3.64</v>
      </c>
      <c r="D47" s="7"/>
      <c r="E47" s="7"/>
      <c r="F47" s="7"/>
      <c r="G47" s="7"/>
      <c r="H47" s="7"/>
      <c r="I47" s="7"/>
      <c r="J47" s="7"/>
    </row>
    <row r="48">
      <c r="B48" s="2" t="s">
        <v>743</v>
      </c>
      <c r="C48" s="166">
        <v>3.72</v>
      </c>
      <c r="D48" s="7"/>
      <c r="E48" s="7"/>
      <c r="F48" s="7"/>
      <c r="G48" s="7"/>
      <c r="H48" s="7"/>
      <c r="I48" s="7"/>
      <c r="J48" s="7"/>
    </row>
    <row r="49">
      <c r="B49" s="2" t="s">
        <v>744</v>
      </c>
      <c r="C49" s="166">
        <v>3.59</v>
      </c>
      <c r="D49" s="7"/>
      <c r="E49" s="7"/>
      <c r="F49" s="7"/>
      <c r="G49" s="7"/>
      <c r="H49" s="7"/>
      <c r="I49" s="7"/>
      <c r="J49" s="7"/>
    </row>
    <row r="50">
      <c r="B50" s="2" t="s">
        <v>745</v>
      </c>
      <c r="C50" s="166">
        <v>0.04</v>
      </c>
      <c r="D50" s="7"/>
      <c r="E50" s="7"/>
      <c r="F50" s="7"/>
      <c r="G50" s="7"/>
      <c r="H50" s="7"/>
      <c r="I50" s="7"/>
      <c r="J50" s="7"/>
    </row>
    <row r="51">
      <c r="B51" s="2" t="s">
        <v>746</v>
      </c>
      <c r="C51" s="164">
        <v>10</v>
      </c>
      <c r="D51" s="31"/>
      <c r="E51" s="31"/>
      <c r="F51" s="31"/>
      <c r="G51" s="31"/>
      <c r="H51" s="31"/>
      <c r="I51" s="31"/>
      <c r="J51" s="31"/>
    </row>
    <row r="52">
      <c r="B52" s="2" t="s">
        <v>747</v>
      </c>
      <c r="C52" s="11"/>
      <c r="D52" s="1"/>
      <c r="E52" s="1"/>
      <c r="F52" s="1"/>
      <c r="G52" s="1"/>
      <c r="H52" s="1"/>
      <c r="I52" s="1"/>
      <c r="J52" s="1"/>
    </row>
    <row r="53">
      <c r="B53" s="2" t="s">
        <v>748</v>
      </c>
      <c r="C53" s="167">
        <v>4041.38</v>
      </c>
      <c r="D53" s="3"/>
      <c r="E53" s="3"/>
      <c r="F53" s="3"/>
      <c r="G53" s="3"/>
      <c r="H53" s="3"/>
      <c r="I53" s="3"/>
      <c r="J53" s="3"/>
    </row>
    <row r="54">
      <c r="B54" s="2" t="s">
        <v>749</v>
      </c>
      <c r="C54" s="167">
        <v>4037</v>
      </c>
      <c r="D54" s="3"/>
      <c r="E54" s="3"/>
      <c r="F54" s="3"/>
      <c r="G54" s="3"/>
      <c r="H54" s="3"/>
      <c r="I54" s="3"/>
      <c r="J54" s="3"/>
    </row>
    <row r="55">
      <c r="B55" s="2" t="s">
        <v>750</v>
      </c>
      <c r="C55" s="167">
        <v>4101.01</v>
      </c>
      <c r="D55" s="3"/>
      <c r="E55" s="3"/>
      <c r="F55" s="3"/>
      <c r="G55" s="3"/>
      <c r="H55" s="3"/>
      <c r="I55" s="3"/>
      <c r="J55" s="3"/>
    </row>
    <row r="56">
      <c r="B56" s="2" t="s">
        <v>751</v>
      </c>
      <c r="C56" s="167">
        <v>3995</v>
      </c>
      <c r="D56" s="3"/>
      <c r="E56" s="3"/>
      <c r="F56" s="3"/>
      <c r="G56" s="3"/>
      <c r="H56" s="3"/>
      <c r="I56" s="3"/>
      <c r="J56" s="3"/>
    </row>
    <row r="57">
      <c r="B57" s="2" t="s">
        <v>752</v>
      </c>
      <c r="C57" s="167">
        <v>33.75</v>
      </c>
      <c r="D57" s="3"/>
      <c r="E57" s="3"/>
      <c r="F57" s="3"/>
      <c r="G57" s="3"/>
      <c r="H57" s="3"/>
      <c r="I57" s="3"/>
      <c r="J57" s="3"/>
    </row>
    <row r="58">
      <c r="B58" s="2" t="s">
        <v>753</v>
      </c>
      <c r="C58" s="164">
        <v>8</v>
      </c>
      <c r="D58" s="31"/>
      <c r="E58" s="31"/>
      <c r="F58" s="31"/>
      <c r="G58" s="31"/>
      <c r="H58" s="31"/>
      <c r="I58" s="31"/>
      <c r="J58" s="31"/>
    </row>
    <row r="59">
      <c r="B59" s="2" t="s">
        <v>754</v>
      </c>
      <c r="C59" s="11"/>
      <c r="D59" s="1"/>
      <c r="E59" s="1"/>
      <c r="F59" s="1"/>
      <c r="G59" s="1"/>
      <c r="H59" s="1"/>
      <c r="I59" s="1"/>
      <c r="J59" s="1"/>
    </row>
    <row r="60">
      <c r="B60" s="2" t="s">
        <v>755</v>
      </c>
      <c r="C60" s="11"/>
      <c r="D60" s="1"/>
      <c r="E60" s="1"/>
      <c r="F60" s="1"/>
      <c r="G60" s="1"/>
      <c r="H60" s="1"/>
      <c r="I60" s="1"/>
      <c r="J60" s="1"/>
    </row>
    <row r="61">
      <c r="B61" s="2" t="s">
        <v>756</v>
      </c>
      <c r="C61" s="11"/>
      <c r="D61" s="1"/>
      <c r="E61" s="1"/>
      <c r="F61" s="1"/>
      <c r="G61" s="1"/>
      <c r="H61" s="1"/>
      <c r="I61" s="1"/>
      <c r="J61" s="1"/>
    </row>
    <row r="62">
      <c r="B62" s="2" t="s">
        <v>757</v>
      </c>
      <c r="C62" s="11"/>
      <c r="D62" s="1"/>
      <c r="E62" s="1"/>
      <c r="F62" s="1"/>
      <c r="G62" s="1"/>
      <c r="H62" s="1"/>
      <c r="I62" s="1"/>
      <c r="J62" s="1"/>
    </row>
    <row r="63">
      <c r="B63" s="2" t="s">
        <v>758</v>
      </c>
      <c r="C63" s="167">
        <v>1387.25</v>
      </c>
      <c r="D63" s="3"/>
      <c r="E63" s="3"/>
      <c r="F63" s="3"/>
      <c r="G63" s="3"/>
      <c r="H63" s="3"/>
      <c r="I63" s="3"/>
      <c r="J63" s="3"/>
    </row>
    <row r="64">
      <c r="B64" s="2" t="s">
        <v>759</v>
      </c>
      <c r="C64" s="167">
        <v>1378.17</v>
      </c>
      <c r="D64" s="3"/>
      <c r="E64" s="3"/>
      <c r="F64" s="3"/>
      <c r="G64" s="3"/>
      <c r="H64" s="3"/>
      <c r="I64" s="3"/>
      <c r="J64" s="3"/>
    </row>
    <row r="65">
      <c r="B65" s="2" t="s">
        <v>760</v>
      </c>
      <c r="C65" s="167">
        <v>1381.25</v>
      </c>
      <c r="D65" s="3"/>
      <c r="E65" s="3"/>
      <c r="F65" s="3"/>
      <c r="G65" s="3"/>
      <c r="H65" s="3"/>
      <c r="I65" s="3"/>
      <c r="J65" s="3"/>
    </row>
    <row r="66">
      <c r="B66" s="2" t="s">
        <v>761</v>
      </c>
      <c r="C66" s="167">
        <v>1013.18</v>
      </c>
      <c r="D66" s="179" t="s">
        <v>762</v>
      </c>
      <c r="E66" s="3"/>
      <c r="F66" s="3"/>
      <c r="G66" s="3"/>
      <c r="H66" s="3"/>
      <c r="I66" s="3"/>
      <c r="J66" s="3"/>
    </row>
    <row r="67">
      <c r="B67" s="2" t="s">
        <v>763</v>
      </c>
      <c r="C67" s="167">
        <v>1014.74</v>
      </c>
      <c r="D67" s="3"/>
      <c r="E67" s="3"/>
      <c r="F67" s="3"/>
      <c r="G67" s="3"/>
      <c r="H67" s="3"/>
      <c r="I67" s="3"/>
      <c r="J67" s="3"/>
    </row>
    <row r="68">
      <c r="B68" s="2" t="s">
        <v>764</v>
      </c>
      <c r="C68" s="167">
        <v>1.11</v>
      </c>
      <c r="D68" s="3"/>
      <c r="E68" s="3"/>
      <c r="F68" s="3"/>
      <c r="G68" s="3"/>
      <c r="H68" s="3"/>
      <c r="I68" s="3"/>
      <c r="J68" s="3"/>
    </row>
    <row r="69">
      <c r="B69" s="2" t="s">
        <v>765</v>
      </c>
      <c r="C69" s="167">
        <v>22</v>
      </c>
      <c r="D69" s="3"/>
      <c r="E69" s="3"/>
      <c r="F69" s="3"/>
      <c r="G69" s="3"/>
      <c r="H69" s="3"/>
      <c r="I69" s="3"/>
      <c r="J69" s="3"/>
    </row>
    <row r="70">
      <c r="B70" s="2" t="s">
        <v>766</v>
      </c>
      <c r="C70" s="11"/>
      <c r="D70" s="1"/>
      <c r="E70" s="1"/>
      <c r="F70" s="1"/>
      <c r="G70" s="1"/>
      <c r="H70" s="1"/>
      <c r="I70" s="1"/>
      <c r="J70" s="1"/>
    </row>
    <row r="71">
      <c r="B71" s="2" t="s">
        <v>767</v>
      </c>
      <c r="C71" s="11"/>
      <c r="D71" s="1"/>
      <c r="E71" s="1"/>
      <c r="F71" s="1"/>
      <c r="G71" s="1"/>
      <c r="H71" s="1"/>
      <c r="I71" s="1"/>
      <c r="J71" s="1"/>
    </row>
    <row r="72">
      <c r="B72" s="2" t="s">
        <v>768</v>
      </c>
      <c r="C72" s="11"/>
      <c r="D72" s="1"/>
      <c r="E72" s="1"/>
      <c r="F72" s="1"/>
      <c r="G72" s="1"/>
      <c r="H72" s="1"/>
      <c r="I72" s="1"/>
      <c r="J72" s="1"/>
    </row>
    <row r="73">
      <c r="B73" s="2" t="s">
        <v>769</v>
      </c>
      <c r="C73" s="11"/>
      <c r="D73" s="1"/>
      <c r="E73" s="1"/>
      <c r="F73" s="1"/>
      <c r="G73" s="1"/>
      <c r="H73" s="1"/>
      <c r="I73" s="1"/>
      <c r="J73" s="1"/>
    </row>
    <row r="74">
      <c r="B74" s="2" t="s">
        <v>770</v>
      </c>
      <c r="C74" s="11"/>
      <c r="D74" s="1"/>
      <c r="E74" s="1"/>
      <c r="F74" s="1"/>
      <c r="G74" s="1"/>
      <c r="H74" s="1"/>
      <c r="I74" s="1"/>
      <c r="J74" s="1"/>
    </row>
    <row r="75">
      <c r="B75" s="2" t="s">
        <v>771</v>
      </c>
      <c r="C75" s="11"/>
      <c r="D75" s="1"/>
      <c r="E75" s="1"/>
      <c r="F75" s="1"/>
      <c r="G75" s="1"/>
      <c r="H75" s="1"/>
      <c r="I75" s="1"/>
      <c r="J75" s="1"/>
    </row>
    <row r="76">
      <c r="B76" s="2" t="s">
        <v>772</v>
      </c>
      <c r="C76" s="11"/>
      <c r="D76" s="1"/>
      <c r="E76" s="1"/>
      <c r="F76" s="1"/>
      <c r="G76" s="1"/>
      <c r="H76" s="1"/>
      <c r="I76" s="1"/>
      <c r="J76" s="1"/>
    </row>
    <row r="77">
      <c r="B77" s="2" t="s">
        <v>773</v>
      </c>
      <c r="C77" s="11"/>
      <c r="D77" s="1"/>
      <c r="E77" s="1"/>
      <c r="F77" s="1"/>
      <c r="G77" s="1"/>
      <c r="H77" s="1"/>
      <c r="I77" s="1"/>
      <c r="J77" s="1"/>
    </row>
    <row r="78">
      <c r="B78" s="2" t="s">
        <v>774</v>
      </c>
      <c r="C78" s="11"/>
      <c r="D78" s="1"/>
      <c r="E78" s="1"/>
      <c r="F78" s="1"/>
      <c r="G78" s="1"/>
      <c r="H78" s="1"/>
      <c r="I78" s="1"/>
      <c r="J78" s="1"/>
    </row>
    <row r="79">
      <c r="B79" s="2" t="s">
        <v>775</v>
      </c>
      <c r="C79" s="167">
        <v>16819.5</v>
      </c>
      <c r="D79" s="3"/>
      <c r="E79" s="3"/>
      <c r="F79" s="3"/>
      <c r="G79" s="3"/>
      <c r="H79" s="3"/>
      <c r="I79" s="3"/>
      <c r="J79" s="3"/>
    </row>
    <row r="80">
      <c r="B80" s="2" t="s">
        <v>776</v>
      </c>
      <c r="C80" s="11"/>
      <c r="D80" s="1"/>
      <c r="E80" s="1"/>
      <c r="F80" s="1"/>
      <c r="G80" s="1"/>
      <c r="H80" s="1"/>
      <c r="I80" s="1"/>
      <c r="J80" s="1"/>
    </row>
    <row r="81">
      <c r="B81" s="2" t="s">
        <v>777</v>
      </c>
      <c r="C81" s="167">
        <v>16.3</v>
      </c>
      <c r="D81" s="3"/>
      <c r="E81" s="3"/>
      <c r="F81" s="3"/>
      <c r="G81" s="3"/>
      <c r="H81" s="3"/>
      <c r="I81" s="3"/>
      <c r="J81" s="3"/>
    </row>
    <row r="82">
      <c r="B82" s="2" t="s">
        <v>778</v>
      </c>
      <c r="C82" s="166">
        <v>199.03</v>
      </c>
      <c r="D82" s="7"/>
      <c r="E82" s="7"/>
      <c r="F82" s="7"/>
      <c r="G82" s="7"/>
      <c r="H82" s="7"/>
      <c r="I82" s="7"/>
      <c r="J82" s="7"/>
    </row>
    <row r="83">
      <c r="B83" s="2" t="s">
        <v>779</v>
      </c>
      <c r="C83" s="166">
        <v>200</v>
      </c>
      <c r="D83" s="7"/>
      <c r="E83" s="7"/>
      <c r="F83" s="7"/>
      <c r="G83" s="7"/>
      <c r="H83" s="7"/>
      <c r="I83" s="7"/>
      <c r="J83" s="7"/>
    </row>
    <row r="84">
      <c r="B84" s="2" t="s">
        <v>780</v>
      </c>
      <c r="C84" s="166">
        <v>220</v>
      </c>
      <c r="D84" s="7"/>
      <c r="E84" s="7"/>
      <c r="F84" s="7"/>
      <c r="G84" s="7"/>
      <c r="H84" s="7"/>
      <c r="I84" s="7"/>
      <c r="J84" s="7"/>
    </row>
    <row r="85">
      <c r="B85" s="2" t="s">
        <v>781</v>
      </c>
      <c r="C85" s="166">
        <v>150</v>
      </c>
      <c r="D85" s="7"/>
      <c r="E85" s="7"/>
      <c r="F85" s="7"/>
      <c r="G85" s="7"/>
      <c r="H85" s="7"/>
      <c r="I85" s="7"/>
      <c r="J85" s="7"/>
    </row>
    <row r="86">
      <c r="B86" s="2" t="s">
        <v>782</v>
      </c>
      <c r="C86" s="166">
        <v>16.72</v>
      </c>
      <c r="D86" s="7"/>
      <c r="E86" s="7"/>
      <c r="F86" s="7"/>
      <c r="G86" s="7"/>
      <c r="H86" s="7"/>
      <c r="I86" s="7"/>
      <c r="J86" s="7"/>
    </row>
    <row r="87">
      <c r="B87" s="2" t="s">
        <v>783</v>
      </c>
      <c r="C87" s="164">
        <v>15</v>
      </c>
      <c r="D87" s="31"/>
      <c r="E87" s="31"/>
      <c r="F87" s="31"/>
      <c r="G87" s="31"/>
      <c r="H87" s="31"/>
      <c r="I87" s="31"/>
      <c r="J87" s="31"/>
    </row>
    <row r="88">
      <c r="B88" s="2" t="s">
        <v>784</v>
      </c>
      <c r="C88" s="11" t="s">
        <v>785</v>
      </c>
      <c r="D88" s="1"/>
      <c r="E88" s="1"/>
      <c r="F88" s="1"/>
      <c r="G88" s="1"/>
      <c r="H88" s="1"/>
      <c r="I88" s="1"/>
      <c r="J88" s="1"/>
    </row>
    <row r="89">
      <c r="B89" s="2" t="s">
        <v>786</v>
      </c>
      <c r="C89" s="166">
        <v>2</v>
      </c>
      <c r="D89" s="7"/>
      <c r="E89" s="7"/>
      <c r="F89" s="7"/>
      <c r="G89" s="7"/>
      <c r="H89" s="7"/>
      <c r="I89" s="7"/>
      <c r="J89" s="7"/>
    </row>
    <row r="90">
      <c r="B90" s="2" t="s">
        <v>787</v>
      </c>
      <c r="C90" s="166">
        <v>174.96</v>
      </c>
      <c r="D90" s="7"/>
      <c r="E90" s="7"/>
      <c r="F90" s="7"/>
      <c r="G90" s="7"/>
      <c r="H90" s="7"/>
      <c r="I90" s="7"/>
      <c r="J90" s="7"/>
    </row>
    <row r="91">
      <c r="B91" s="2" t="s">
        <v>788</v>
      </c>
      <c r="C91" s="11" t="s">
        <v>789</v>
      </c>
      <c r="D91" s="1"/>
      <c r="E91" s="1"/>
      <c r="F91" s="1"/>
      <c r="G91" s="1"/>
      <c r="H91" s="1"/>
      <c r="I91" s="1"/>
      <c r="J91" s="1"/>
    </row>
    <row r="92">
      <c r="B92" s="2" t="s">
        <v>711</v>
      </c>
      <c r="C92" s="11" t="s">
        <v>25</v>
      </c>
      <c r="D92" s="1"/>
      <c r="E92" s="1"/>
      <c r="F92" s="1"/>
      <c r="G92" s="1"/>
      <c r="H92" s="1"/>
      <c r="I92" s="1"/>
      <c r="J92" s="1"/>
    </row>
    <row r="93">
      <c r="B93" s="2" t="s">
        <v>790</v>
      </c>
      <c r="C93" s="11" t="s">
        <v>717</v>
      </c>
      <c r="D93" s="1"/>
      <c r="E93" s="1"/>
      <c r="F93" s="1"/>
      <c r="G93" s="1"/>
      <c r="H93" s="1"/>
      <c r="I93" s="1"/>
      <c r="J93" s="1"/>
    </row>
    <row r="94">
      <c r="B94" s="2" t="s">
        <v>791</v>
      </c>
      <c r="C94" s="165">
        <v>46306</v>
      </c>
      <c r="D94" s="34"/>
      <c r="E94" s="34"/>
      <c r="F94" s="34"/>
      <c r="G94" s="34"/>
      <c r="H94" s="34"/>
      <c r="I94" s="34"/>
      <c r="J94" s="34"/>
    </row>
    <row r="95">
      <c r="B95" s="2" t="s">
        <v>792</v>
      </c>
      <c r="C95" s="11" t="s">
        <v>793</v>
      </c>
      <c r="D95" s="1"/>
      <c r="E95" s="1"/>
      <c r="F95" s="1"/>
      <c r="G95" s="1"/>
      <c r="H95" s="1"/>
      <c r="I95" s="1"/>
      <c r="J95" s="1"/>
    </row>
    <row r="96">
      <c r="B96" s="2"/>
      <c r="C96" s="2"/>
      <c r="D96" s="2"/>
      <c r="E96" s="2"/>
      <c r="F96" s="2"/>
      <c r="G96" s="2"/>
      <c r="H96" s="2"/>
      <c r="I96" s="2"/>
      <c r="J96" s="2"/>
    </row>
    <row r="97">
      <c r="B97" s="19" t="s">
        <v>794</v>
      </c>
      <c r="C97" s="2"/>
      <c r="D97" s="2"/>
      <c r="E97" s="2"/>
      <c r="F97" s="2"/>
      <c r="G97" s="2"/>
      <c r="H97" s="2"/>
      <c r="I97" s="2"/>
      <c r="J97" s="2"/>
    </row>
    <row r="98">
      <c r="B98" s="2" t="s">
        <v>704</v>
      </c>
      <c r="C98" s="107">
        <v>45747</v>
      </c>
      <c r="D98" s="107">
        <v>45838</v>
      </c>
      <c r="E98" s="107">
        <v>45930</v>
      </c>
      <c r="F98" s="107">
        <v>46022</v>
      </c>
      <c r="G98" s="34"/>
      <c r="H98" s="107">
        <v>46112</v>
      </c>
      <c r="I98" s="107">
        <v>46203</v>
      </c>
      <c r="J98" s="34"/>
    </row>
    <row r="99">
      <c r="B99" s="2" t="s">
        <v>795</v>
      </c>
      <c r="C99" s="107">
        <v>45764</v>
      </c>
      <c r="D99" s="107">
        <v>45853</v>
      </c>
      <c r="E99" s="107">
        <v>45947</v>
      </c>
      <c r="F99" s="107">
        <v>46038</v>
      </c>
      <c r="G99" s="34"/>
      <c r="H99" s="107">
        <v>46129</v>
      </c>
      <c r="I99" s="107">
        <v>46219</v>
      </c>
      <c r="J99" s="34"/>
    </row>
    <row r="100">
      <c r="B100" s="2" t="s">
        <v>796</v>
      </c>
      <c r="C100" s="110">
        <v>2.01</v>
      </c>
      <c r="D100" s="110">
        <v>2.36</v>
      </c>
      <c r="E100" s="110">
        <v>2.65</v>
      </c>
      <c r="F100" s="110">
        <v>2.84</v>
      </c>
      <c r="G100" s="7"/>
      <c r="H100" s="110">
        <v>2.64</v>
      </c>
      <c r="I100" s="110">
        <v>3.34</v>
      </c>
      <c r="J100" s="7"/>
    </row>
    <row r="101">
      <c r="B101" s="2" t="s">
        <v>797</v>
      </c>
      <c r="C101" s="110">
        <v>2.04</v>
      </c>
      <c r="D101" s="110">
        <v>2.53</v>
      </c>
      <c r="E101" s="110">
        <v>2.78</v>
      </c>
      <c r="F101" s="110">
        <v>2.97</v>
      </c>
      <c r="G101" s="7"/>
      <c r="H101" s="110">
        <v>2.84</v>
      </c>
      <c r="I101" s="110">
        <v>3.65</v>
      </c>
      <c r="J101" s="7"/>
    </row>
    <row r="102">
      <c r="B102" s="2" t="s">
        <v>798</v>
      </c>
      <c r="C102" s="110">
        <v>2.01</v>
      </c>
      <c r="D102" s="110">
        <v>2.31</v>
      </c>
      <c r="E102" s="110">
        <v>2.61</v>
      </c>
      <c r="F102" s="110">
        <v>2.45</v>
      </c>
      <c r="G102" s="7"/>
      <c r="H102" s="110">
        <v>2.62</v>
      </c>
      <c r="I102" s="110">
        <v>3.31</v>
      </c>
      <c r="J102" s="7"/>
    </row>
    <row r="103">
      <c r="B103" s="2" t="s">
        <v>799</v>
      </c>
      <c r="C103" s="110">
        <v>2.04</v>
      </c>
      <c r="D103" s="110">
        <v>2.17</v>
      </c>
      <c r="E103" s="110">
        <v>2.78</v>
      </c>
      <c r="F103" s="110">
        <v>2.42</v>
      </c>
      <c r="G103" s="7"/>
      <c r="H103" s="110">
        <v>2.49</v>
      </c>
      <c r="I103" s="110">
        <v>3.65</v>
      </c>
      <c r="J103" s="7"/>
    </row>
    <row r="104">
      <c r="B104" s="2" t="s">
        <v>800</v>
      </c>
      <c r="C104" s="46">
        <v>3323.74</v>
      </c>
      <c r="D104" s="46">
        <v>3349.45</v>
      </c>
      <c r="E104" s="46">
        <v>3465.44</v>
      </c>
      <c r="F104" s="46">
        <v>3615.21</v>
      </c>
      <c r="G104" s="3"/>
      <c r="H104" s="46">
        <v>3687.98</v>
      </c>
      <c r="I104" s="46">
        <v>3916.23</v>
      </c>
      <c r="J104" s="3"/>
    </row>
    <row r="105">
      <c r="B105" s="2" t="s">
        <v>801</v>
      </c>
      <c r="C105" s="46">
        <v>3284</v>
      </c>
      <c r="D105" s="46">
        <v>3448</v>
      </c>
      <c r="E105" s="46">
        <v>3545</v>
      </c>
      <c r="F105" s="46">
        <v>3667</v>
      </c>
      <c r="G105" s="3"/>
      <c r="H105" s="46">
        <v>3796</v>
      </c>
      <c r="I105" s="46">
        <v>4048</v>
      </c>
      <c r="J105" s="3"/>
    </row>
    <row r="106">
      <c r="B106" s="2"/>
      <c r="C106" s="2"/>
      <c r="D106" s="2"/>
      <c r="E106" s="2"/>
      <c r="F106" s="2"/>
      <c r="G106" s="2"/>
      <c r="H106" s="2"/>
      <c r="I106" s="2"/>
      <c r="J106" s="2"/>
    </row>
    <row r="107">
      <c r="B107" s="19" t="s">
        <v>802</v>
      </c>
      <c r="C107" s="2"/>
      <c r="D107" s="2"/>
      <c r="E107" s="2"/>
      <c r="F107" s="2"/>
      <c r="G107" s="2"/>
      <c r="H107" s="2"/>
      <c r="I107" s="2"/>
      <c r="J107" s="2"/>
    </row>
    <row r="108" ht="24">
      <c r="B108" s="6" t="s">
        <v>803</v>
      </c>
      <c r="C108" s="98">
        <f>C90</f>
        <v>174.96</v>
      </c>
      <c r="D108" s="98"/>
      <c r="E108" s="98"/>
      <c r="F108" s="98"/>
      <c r="G108" s="98"/>
      <c r="H108" s="98"/>
      <c r="I108" s="98"/>
      <c r="J108" s="98"/>
    </row>
    <row r="109" ht="24">
      <c r="B109" s="6" t="s">
        <v>804</v>
      </c>
      <c r="C109" s="90">
        <f>'Share Count'!I23</f>
        <v>274.703</v>
      </c>
      <c r="D109" s="66"/>
      <c r="E109" s="66"/>
      <c r="F109" s="66"/>
      <c r="G109" s="66"/>
      <c r="H109" s="66"/>
      <c r="I109" s="66"/>
      <c r="J109" s="66"/>
    </row>
    <row r="110">
      <c r="B110" s="2" t="s">
        <v>805</v>
      </c>
      <c r="C110" s="3">
        <f>C108*C109</f>
        <v>48062.03688</v>
      </c>
      <c r="D110" s="3"/>
      <c r="E110" s="3"/>
      <c r="F110" s="3"/>
      <c r="G110" s="3"/>
      <c r="H110" s="3"/>
      <c r="I110" s="3"/>
      <c r="J110" s="3"/>
    </row>
    <row r="111" ht="24">
      <c r="B111" s="6" t="s">
        <v>806</v>
      </c>
      <c r="C111" s="159" t="str">
        <f>IF(C110&gt;10000,"large",IF(C110&gt;2000,"mid","small"))</f>
        <v>large</v>
      </c>
      <c r="D111" s="41"/>
      <c r="E111" s="41"/>
      <c r="F111" s="41"/>
      <c r="G111" s="41"/>
      <c r="H111" s="41"/>
      <c r="I111" s="41"/>
      <c r="J111" s="41"/>
    </row>
    <row r="112" ht="24">
      <c r="B112" s="6" t="s">
        <v>807</v>
      </c>
      <c r="C112" s="159" t="str">
        <f>C30</f>
        <v>Y</v>
      </c>
      <c r="D112" s="41"/>
      <c r="E112" s="41"/>
      <c r="F112" s="41"/>
      <c r="G112" s="41"/>
      <c r="H112" s="41"/>
      <c r="I112" s="41"/>
      <c r="J112" s="41"/>
    </row>
    <row r="113" ht="24">
      <c r="B113" s="17" t="s">
        <v>808</v>
      </c>
      <c r="C113" s="80">
        <f>IF(OR(C111="large",C112="Y"),0.78,IF(C111="mid",0.7,0.6))</f>
        <v>0.78</v>
      </c>
      <c r="D113" s="80"/>
      <c r="E113" s="80"/>
      <c r="F113" s="80"/>
      <c r="G113" s="80"/>
      <c r="H113" s="80"/>
      <c r="I113" s="80"/>
      <c r="J113" s="80"/>
    </row>
    <row r="114" ht="24">
      <c r="B114" s="6" t="s">
        <v>809</v>
      </c>
      <c r="C114" s="111">
        <f>SUMPRODUCT(--(C101:I101&gt;C100:I100))</f>
        <v>6</v>
      </c>
      <c r="D114" s="111"/>
      <c r="E114" s="111"/>
      <c r="F114" s="111"/>
      <c r="G114" s="111"/>
      <c r="H114" s="111"/>
      <c r="I114" s="111"/>
      <c r="J114" s="111"/>
    </row>
    <row r="115">
      <c r="B115" s="2" t="s">
        <v>810</v>
      </c>
      <c r="C115" s="31">
        <f>COUNT(C101:I101)</f>
        <v>6</v>
      </c>
      <c r="D115" s="31"/>
      <c r="E115" s="31"/>
      <c r="F115" s="31"/>
      <c r="G115" s="31"/>
      <c r="H115" s="31"/>
      <c r="I115" s="31"/>
      <c r="J115" s="31"/>
    </row>
    <row r="116" ht="24">
      <c r="B116" s="6" t="s">
        <v>811</v>
      </c>
      <c r="C116" s="126">
        <v>8</v>
      </c>
      <c r="D116" s="111"/>
      <c r="E116" s="111"/>
      <c r="F116" s="111"/>
      <c r="G116" s="111"/>
      <c r="H116" s="111"/>
      <c r="I116" s="111"/>
      <c r="J116" s="111"/>
    </row>
    <row r="117" ht="24">
      <c r="B117" s="17" t="s">
        <v>812</v>
      </c>
      <c r="C117" s="80">
        <f>(C116*C113+C114)/(C116+C115)</f>
        <v>0.8742857142857143</v>
      </c>
      <c r="D117" s="80"/>
      <c r="E117" s="80"/>
      <c r="F117" s="80"/>
      <c r="G117" s="80"/>
      <c r="H117" s="80"/>
      <c r="I117" s="80"/>
      <c r="J117" s="80"/>
    </row>
    <row r="118" ht="24">
      <c r="B118" s="17" t="s">
        <v>813</v>
      </c>
      <c r="C118" s="119">
        <v>0.7</v>
      </c>
      <c r="D118" s="177" t="s">
        <v>814</v>
      </c>
      <c r="E118" s="80"/>
      <c r="F118" s="80"/>
      <c r="G118" s="80"/>
      <c r="H118" s="80"/>
      <c r="I118" s="80"/>
      <c r="J118" s="80"/>
    </row>
    <row r="119">
      <c r="B119" s="2" t="s">
        <v>815</v>
      </c>
      <c r="C119" s="158" t="s">
        <v>816</v>
      </c>
      <c r="D119" s="1"/>
      <c r="E119" s="1"/>
      <c r="F119" s="1"/>
      <c r="G119" s="1"/>
      <c r="H119" s="1"/>
      <c r="I119" s="1"/>
      <c r="J119" s="1"/>
    </row>
    <row r="120" ht="123.75">
      <c r="B120" s="178" t="s">
        <v>817</v>
      </c>
      <c r="C120" s="178" t="s">
        <v>818</v>
      </c>
      <c r="D120" s="178"/>
      <c r="E120" s="178"/>
      <c r="F120" s="178"/>
      <c r="G120" s="178"/>
      <c r="H120" s="178"/>
      <c r="I120" s="178"/>
      <c r="J120" s="178"/>
    </row>
  </sheetData>
  <mergeCells count="1">
    <mergeCell ref="C120:J120"/>
  </mergeCells>
  <legacyDrawing r:id="rId2"/>
</worksheet>
</file>