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comments1.xml" ContentType="application/vnd.openxmlformats-officedocument.spreadsheetml.comment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over" sheetId="1" r:id="rId1"/>
    <sheet name="Revenue summary" sheetId="2" r:id="rId3"/>
    <sheet name="Segment - CSBB" sheetId="3" r:id="rId4"/>
    <sheet name="Segment - Wholesale" sheetId="4" r:id="rId5"/>
    <sheet name="Segment - OT&amp;C" sheetId="5" r:id="rId6"/>
    <sheet name="Income Statement" sheetId="6" r:id="rId7"/>
    <sheet name="Balance Sheet" sheetId="7" r:id="rId8"/>
    <sheet name="Cash Flow Statement" sheetId="8" r:id="rId9"/>
    <sheet name="Share Count" sheetId="9" r:id="rId10"/>
    <sheet name="Guidance" sheetId="10" r:id="rId11"/>
    <sheet name="Inputs" sheetId="11" r:id="rId12"/>
    <sheet name="Sources" sheetId="12" r:id="rId13"/>
  </sheets>
  <calcPr calcId="0"/>
</workbook>
</file>

<file path=xl/comments1.xml><?xml version="1.0" encoding="utf-8"?>
<comments xmlns="http://schemas.openxmlformats.org/spreadsheetml/2006/main">
  <authors>
    <author>Shortcut</author>
  </authors>
  <commentList>
    <comment ref="D25" authorId="0">
      <text>
        <t>CapIQ net_income_gaap_m 1445.03: basis (to common vs total) and estimator set unverified; implies $1.19/sh vs CapIQ GAAP EPS mean $1.05, so variance E25:F25 is withheld (n.m.). Value retained as recorded.</t>
      </text>
    </comment>
    <comment ref="D22" authorId="0">
      <text>
        <t>CapIQ net_income_excl_excep_m 1421.77: attribution (to common) inferred, not verified — 1421.77 / 1214.0 model diluted shares = $1.171, consistent with the $1.17 normalized EPS mean. Value retained as recorded.</t>
      </text>
    </comment>
  </commentList>
</comments>
</file>

<file path=xl/sharedStrings.xml><?xml version="1.0" encoding="utf-8"?>
<sst xmlns="http://schemas.openxmlformats.org/spreadsheetml/2006/main" count="2455" uniqueCount="983">
  <si>
    <t>Truist Financial Corporation (NYSE: TFC)</t>
  </si>
  <si>
    <t>Company Model — built by Shortcut</t>
  </si>
  <si>
    <t>$ millions, except per share</t>
  </si>
  <si>
    <t>Period header not applicable on Cover; forecast period is 3Q26E (FQ3 2026, ended 2026-09-30).</t>
  </si>
  <si>
    <t>Company</t>
  </si>
  <si>
    <t>Truist Financial Corporation</t>
  </si>
  <si>
    <t>Ticker</t>
  </si>
  <si>
    <t>TFC</t>
  </si>
  <si>
    <t>Exchange</t>
  </si>
  <si>
    <t>New York Stock Exchange (NYSE: TFC)</t>
  </si>
  <si>
    <t>Fiscal year end</t>
  </si>
  <si>
    <t>December 31 (fiscal quarters = calendar quarters)</t>
  </si>
  <si>
    <t>Forecast period</t>
  </si>
  <si>
    <t>3Q26E = supplied "FQ3 2026 – Sep 2026"; period end 2026-09-30 (issuer quarter end verified)</t>
  </si>
  <si>
    <t>Reporting currency</t>
  </si>
  <si>
    <t>USD</t>
  </si>
  <si>
    <t>EPS basis</t>
  </si>
  <si>
    <t>Normalized diluted EPS per common share (≈ Truist adjusted EPS excl. selected items; see B53:B56)</t>
  </si>
  <si>
    <t>Information cutoff</t>
  </si>
  <si>
    <t>2026-10-11 22:24 UTC</t>
  </si>
  <si>
    <t>Expected report date</t>
  </si>
  <si>
    <t>2026-10-16, before market open (Truist release 2026-09-18, S22)</t>
  </si>
  <si>
    <t>Author</t>
  </si>
  <si>
    <t>Shortcut</t>
  </si>
  <si>
    <t>Headline estimate vs consensus vs guidance – 3Q26E</t>
  </si>
  <si>
    <t>Metric</t>
  </si>
  <si>
    <t>Shortcut estimate</t>
  </si>
  <si>
    <t>Consensus at cutoff (CapIQ 10/11/26)</t>
  </si>
  <si>
    <t>Variance</t>
  </si>
  <si>
    <t>Variance %</t>
  </si>
  <si>
    <t>Guidance-implied (model-built)</t>
  </si>
  <si>
    <t>Estimate – guidance-implied</t>
  </si>
  <si>
    <t>Revenue – TE ($m)</t>
  </si>
  <si>
    <t>Net income to common – normalized ($m)</t>
  </si>
  <si>
    <t>EPS – normalized diluted ($)</t>
  </si>
  <si>
    <t>Scoring withheld – see B55</t>
  </si>
  <si>
    <t>EPS – GAAP diluted ($)</t>
  </si>
  <si>
    <t>n.m.</t>
  </si>
  <si>
    <t>n/a</t>
  </si>
  <si>
    <t>n.m. – see B57</t>
  </si>
  <si>
    <t>Net income to common – GAAP ($m)</t>
  </si>
  <si>
    <t>Overall check result (all inline check rows)</t>
  </si>
  <si>
    <t>3Q26E checks incl. Cash Flow!H50 = identities / mapping-completeness (BS cash is the plug): necessary, not independent validation</t>
  </si>
  <si>
    <t>P(beat consensus EPS)</t>
  </si>
  <si>
    <t>Confidence</t>
  </si>
  <si>
    <t>low</t>
  </si>
  <si>
    <t>Cover ties to statements (should be 0)</t>
  </si>
  <si>
    <t>Tie: Revenue – TE</t>
  </si>
  <si>
    <t>Tie: Net income to common – normalized</t>
  </si>
  <si>
    <t>Tie: EPS – normalized diluted</t>
  </si>
  <si>
    <t>Tie: EPS – GAAP diluted</t>
  </si>
  <si>
    <t>Tie: Net income to common – GAAP</t>
  </si>
  <si>
    <t>Other consensus observations (recorded separately; frozen CapIQ snapshot remains the comparison baseline; public scoring withheld – see B55)</t>
  </si>
  <si>
    <t>Source</t>
  </si>
  <si>
    <t>Normalized EPS</t>
  </si>
  <si>
    <t>Date</t>
  </si>
  <si>
    <t>CapIQ median (snapshot)</t>
  </si>
  <si>
    <t>CapIQ high / low (snapshot)</t>
  </si>
  <si>
    <t>Earnings Whispers consensus (S20)</t>
  </si>
  <si>
    <t>Earnings Whispers whisper (S20)</t>
  </si>
  <si>
    <t>Benzinga / AlphaPilot (S21)</t>
  </si>
  <si>
    <t>Yahoo Finance, older snapshot (S29)</t>
  </si>
  <si>
    <t>pre-2026-07-17</t>
  </si>
  <si>
    <t>Key drivers (detail in the Notes column of each tab)</t>
  </si>
  <si>
    <t>Guidance (7/17/26, affirmed 9/15/26): revenue-TE +1% q/q, NII +1.5%, fees stable, expense +2%; model sits at guide on NII/revenue, slightly better on expense.</t>
  </si>
  <si>
    <t>Preferred dividends $114m in 3Q26 (semi-annual payers + first Series S coupon) vs ~$34m in 2Q26 – a ~$0.06 q/q EPS headwind that a CapIQ NI/EBT cross-check suggests consensus may under-model.</t>
  </si>
  <si>
    <t>RAC near-prime auto sale closed w/e 9/30/26 (H.8): $535m reserve recapture and ~$65m AT costs are selected items – in GAAP EPS, excluded from normalized EPS.</t>
  </si>
  <si>
    <t>Consensus mean $1.17 vs median $1.12 and high $1.52: some estimates appear to include the RAC recapture; model normalized EPS is just below the mean.</t>
  </si>
  <si>
    <t>EPS basis, comparison and display notes</t>
  </si>
  <si>
    <t>EPS basis (C14): CapIQ normalized ≈ Truist adjusted EPS excl. selected items; ±$0.01 rounding/basis gap vs CapIQ history,</t>
  </si>
  <si>
    <t xml:space="preserve">   e.g. 1Q25 CapIQ 0.89 vs 0.8955 = (1157+29)/1324.339 rebuilt from Inputs.</t>
  </si>
  <si>
    <t>Public scoring withheld (C23 vs D23): CapIQ normalized treatment of RAC recapture/costs is unverified (Inputs C87).</t>
  </si>
  <si>
    <t>GAAP EPS/NI (rows 24-25): CapIQ GAAP basis unverified (RAC/AFS items, pre/post preferred; estimate mix): 1,445.03 / $1.05 implies</t>
  </si>
  <si>
    <t xml:space="preserve">   ~1,376m shares vs ~1,214m model diluted shares, so no GAAP variance is computed (E24:F25 n.m.).</t>
  </si>
  <si>
    <t>Display: true zeros (inputs, drivers, 0% guidance) show 0 / 0.0 / 0.0%; '–' = calculated zero; blank = not disclosed / not forecast.</t>
  </si>
  <si>
    <t>Revenue summary and consolidated revenue drivers</t>
  </si>
  <si>
    <t>Period</t>
  </si>
  <si>
    <t>3Q25A</t>
  </si>
  <si>
    <t>4Q25A</t>
  </si>
  <si>
    <t>FY25A</t>
  </si>
  <si>
    <t>1Q26A</t>
  </si>
  <si>
    <t>2Q26A</t>
  </si>
  <si>
    <t>3Q26E</t>
  </si>
  <si>
    <t>Notes</t>
  </si>
  <si>
    <t>Period end</t>
  </si>
  <si>
    <t>Days in period</t>
  </si>
  <si>
    <t>Revenue by reported segment ($ millions)</t>
  </si>
  <si>
    <t>CSBB revenue</t>
  </si>
  <si>
    <t>Link: Segment - CSBB</t>
  </si>
  <si>
    <t xml:space="preserve">   % Y/Y (vs yr-ago qtr)</t>
  </si>
  <si>
    <t>Label note: subtotal blocks list % Y/Y before % Q/Q (line items list Q/Q first); labels state the comparison base. Rows not relocated, to preserve cell references</t>
  </si>
  <si>
    <t xml:space="preserve">   % Q/Q (vs prior qtr)</t>
  </si>
  <si>
    <t>Wholesale Banking revenue</t>
  </si>
  <si>
    <t>Link: Segment - Wholesale</t>
  </si>
  <si>
    <t>OT&amp;C revenue</t>
  </si>
  <si>
    <t>Link: Segment - OT&amp;C</t>
  </si>
  <si>
    <t>Total segment revenue (= GAAP revenue)</t>
  </si>
  <si>
    <t>Segment mix (% of total GAAP revenue)</t>
  </si>
  <si>
    <t xml:space="preserve">   CSBB – % of revenue</t>
  </si>
  <si>
    <t xml:space="preserve">   Change Q/Q (bps)</t>
  </si>
  <si>
    <t xml:space="preserve">   Wholesale Banking – % of revenue</t>
  </si>
  <si>
    <t xml:space="preserve">   OT&amp;C – % of revenue</t>
  </si>
  <si>
    <t>Growth decomposition by segment</t>
  </si>
  <si>
    <t>CSBB</t>
  </si>
  <si>
    <t xml:space="preserve">   M&amp;A / scope impact</t>
  </si>
  <si>
    <t>Not disclosed</t>
  </si>
  <si>
    <t>Issuer discloses no M&amp;A/scope split for this line; not set to zero</t>
  </si>
  <si>
    <t xml:space="preserve">   FX impact</t>
  </si>
  <si>
    <t>USD-only U.S. franchise; issuer does not disclose an FX effect</t>
  </si>
  <si>
    <t xml:space="preserve">   Organic growth</t>
  </si>
  <si>
    <t>Unavailable</t>
  </si>
  <si>
    <t>Organic = (1+Y/Y)/((1+M&amp;A)*(1+FX))-1 not computable: components undisclosed</t>
  </si>
  <si>
    <t xml:space="preserve">   Total Y/Y (reported)</t>
  </si>
  <si>
    <t>Wholesale Banking</t>
  </si>
  <si>
    <t>OT&amp;C</t>
  </si>
  <si>
    <t>Total revenue – taxable-equivalent (consensus basis)</t>
  </si>
  <si>
    <t>TE adjustment</t>
  </si>
  <si>
    <t>Link: NII build below</t>
  </si>
  <si>
    <t>Total revenue – TE</t>
  </si>
  <si>
    <t>Issuer non-GAAP "Revenue - TE"; CapIQ revenue actuals use this basis</t>
  </si>
  <si>
    <t>Memo: CapIQ revenue actual / 3Q26E consensus</t>
  </si>
  <si>
    <t>3Q26E column shows frozen CapIQ consensus mean</t>
  </si>
  <si>
    <t>Check: model – CapIQ revenue actual</t>
  </si>
  <si>
    <t>Memo: 3Q26E estimate – frozen consensus</t>
  </si>
  <si>
    <t>Geography: U.S. only – Geo tab omitted</t>
  </si>
  <si>
    <t>effectively all revenue is U.S.-sourced (Truist operates only in U.S. markets; no geographic revenue split is disclosed in the 2025 10-K or 2Q26 10-Q) – Geo tab omitted.</t>
  </si>
  <si>
    <t>Revenue by type ($ millions)</t>
  </si>
  <si>
    <t>Net interest income – TE</t>
  </si>
  <si>
    <t>Noninterest income</t>
  </si>
  <si>
    <t>Check: by type – by segment (TE)</t>
  </si>
  <si>
    <t>Historical columns: independent tie. 3Q26E: identity by construction (OT&amp;C segment is the residual), not an independent check</t>
  </si>
  <si>
    <t>Noninterest income % of revenue – TE</t>
  </si>
  <si>
    <t xml:space="preserve">   Change Y/Y (bps)</t>
  </si>
  <si>
    <t>NII build – average balances ($ millions)</t>
  </si>
  <si>
    <t>AFS and HTM securities (amortized cost)</t>
  </si>
  <si>
    <t>QPS average balances</t>
  </si>
  <si>
    <t xml:space="preserve">   % Q/Q (forecast driver)</t>
  </si>
  <si>
    <t>Original judgmental driver retained: avg securities +1% while BS period-end AFS flat / HTM –900 (BS H15:H16); no sourced intra-quarter path. Flat avg ≈ –8.9 pretax / –$0.006 EPS</t>
  </si>
  <si>
    <t xml:space="preserve">   % Y/Y</t>
  </si>
  <si>
    <t xml:space="preserve">   Q/Q change ($)</t>
  </si>
  <si>
    <t>Loans and leases:</t>
  </si>
  <si>
    <t>Commercial and industrial</t>
  </si>
  <si>
    <t>CRE</t>
  </si>
  <si>
    <t>Commercial construction</t>
  </si>
  <si>
    <t>Residential mortgage</t>
  </si>
  <si>
    <t>Home equity</t>
  </si>
  <si>
    <t>Indirect auto</t>
  </si>
  <si>
    <t>3Q26E: RAC ($5.5bn near-prime auto) moved to LHFS on signing (mid-Sept) and sold w/e 9/30 (H.8 note)</t>
  </si>
  <si>
    <t>Other consumer</t>
  </si>
  <si>
    <t>Credit card</t>
  </si>
  <si>
    <t>Total loans and leases HFI</t>
  </si>
  <si>
    <t xml:space="preserve">   % Q/Q</t>
  </si>
  <si>
    <t>Loans held for sale</t>
  </si>
  <si>
    <t>3Q26E: includes ~2 weeks of RAC loans at ~12% yield before sale</t>
  </si>
  <si>
    <t>Total loans and leases</t>
  </si>
  <si>
    <t>Interest-earning trading assets</t>
  </si>
  <si>
    <t>Other earning assets</t>
  </si>
  <si>
    <t>Fed funds +25bp on 9/17/26</t>
  </si>
  <si>
    <t>Total earning assets</t>
  </si>
  <si>
    <t>Funding:</t>
  </si>
  <si>
    <t>Interest checking</t>
  </si>
  <si>
    <t>Money market and savings</t>
  </si>
  <si>
    <t>Time deposits</t>
  </si>
  <si>
    <t>Total interest-bearing deposits</t>
  </si>
  <si>
    <t>Short-term borrowings</t>
  </si>
  <si>
    <t>Long-term debt</t>
  </si>
  <si>
    <t>Total interest-bearing liabilities</t>
  </si>
  <si>
    <t>Noninterest-bearing deposits</t>
  </si>
  <si>
    <t>Total deposits (average)</t>
  </si>
  <si>
    <t>Noninterest-bearing % of deposits</t>
  </si>
  <si>
    <t>Loans HFI / deposits</t>
  </si>
  <si>
    <t>NII build – yields and rates (TE, annualized)</t>
  </si>
  <si>
    <t xml:space="preserve">   Change Q/Q (bps; forecast driver)</t>
  </si>
  <si>
    <t>NII build – interest income and expense (TE, $ millions)</t>
  </si>
  <si>
    <t>Forecast = prior × balance ratio × yield ratio × day ratio</t>
  </si>
  <si>
    <t>Total interest income – TE</t>
  </si>
  <si>
    <t>Total interest expense</t>
  </si>
  <si>
    <t>Net interest margin – TE</t>
  </si>
  <si>
    <t>Yield on earning assets</t>
  </si>
  <si>
    <t>Cost of interest-bearing liabilities</t>
  </si>
  <si>
    <t>Cost of total deposits</t>
  </si>
  <si>
    <t>3Q26E held at 2Q26 level (assumption)</t>
  </si>
  <si>
    <t>Net interest income – GAAP</t>
  </si>
  <si>
    <t>Memo: NII – TE as reported</t>
  </si>
  <si>
    <t>Check: build – reported</t>
  </si>
  <si>
    <t>Noninterest income by line ($ millions)</t>
  </si>
  <si>
    <t>Wealth management income</t>
  </si>
  <si>
    <t>Card and treasury management fees</t>
  </si>
  <si>
    <t>Investment banking and trading income</t>
  </si>
  <si>
    <t>Peers at 9/14-15 Barclays conf.: JPM IB +mid/high-teens y/y, BAC IB -10%+ y/y; sell-side 3Q26 previews: capital markets about -15% q/q</t>
  </si>
  <si>
    <t>Other deposit revenue</t>
  </si>
  <si>
    <t>Mortgage banking income</t>
  </si>
  <si>
    <t>Higher mortgage rates in 3Q26 (10-yr ~5.2%)</t>
  </si>
  <si>
    <t>Lending related fees</t>
  </si>
  <si>
    <t>Securities gains (losses)</t>
  </si>
  <si>
    <t>Quarters core; FY25A includes the (18) 2Q25 selected-item loss. Core excludes any AFS repositioning loss (shown on Income Statement as selected item)</t>
  </si>
  <si>
    <t>Other income</t>
  </si>
  <si>
    <t>2Q26 boosted by equity investments and NQDCP (+$31m); 3Q26E level assumption 195 (mgmt guides total fees ~stable q/q)</t>
  </si>
  <si>
    <t>Total noninterest income</t>
  </si>
  <si>
    <t xml:space="preserve">   Wealth management income – % of fees</t>
  </si>
  <si>
    <t xml:space="preserve">   Card and treasury management fees – % of fees</t>
  </si>
  <si>
    <t xml:space="preserve">   Investment banking and trading income – % of fees</t>
  </si>
  <si>
    <t xml:space="preserve">   Other deposit revenue – % of fees</t>
  </si>
  <si>
    <t xml:space="preserve">   Mortgage banking income – % of fees</t>
  </si>
  <si>
    <t xml:space="preserve">   Lending related fees – % of fees</t>
  </si>
  <si>
    <t xml:space="preserve">   Securities gains (losses) – % of fees (FY25A incl. selected item)</t>
  </si>
  <si>
    <t>Quarters core; FY25A = (19) incl. the (18) 2Q25 selected-item loss (row 371 basis); core-only FY25A = (1) / 5,896 = (0.02%)</t>
  </si>
  <si>
    <t xml:space="preserve">   Other income – % of fees</t>
  </si>
  <si>
    <t>Memo: noninterest income as reported</t>
  </si>
  <si>
    <t>Check: model – reported</t>
  </si>
  <si>
    <t>Segment - CSBB – Consumer and Small Business Banking (CSBB)</t>
  </si>
  <si>
    <t>Balance drivers ($ billions, daily averages)</t>
  </si>
  <si>
    <t>Average loans HFI ($bn)</t>
  </si>
  <si>
    <t>Deck A-1/A-2 (rounded $bn; 3Q25/4Q25 derived from linked-quarter deltas). FY25 = simple average of the four quarterly averages (not day-weighted, unlike issuer-reported consolidated FY averages; difference immaterial, convention retained)</t>
  </si>
  <si>
    <t>3Q26E held flat (original assumption). Unresolved: segment attribution of the RAC indirect-auto sale is unsourced; consolidated indirect auto average falls ~1,466 (Revenue summary H109) and OT&amp;C residual absorbs any mis-split. Segment split only; consolidated NII, provision and EPS unaffected</t>
  </si>
  <si>
    <t xml:space="preserve">   Q/Q change ($bn)</t>
  </si>
  <si>
    <t>Average deposits ($bn)</t>
  </si>
  <si>
    <t>Loan-to-deposit ratio</t>
  </si>
  <si>
    <t>Net interest income build ($ millions)</t>
  </si>
  <si>
    <t>Net interest income (external)</t>
  </si>
  <si>
    <t>Forecast: segment NII less FTP</t>
  </si>
  <si>
    <t>Net intersegment interest income (FTP)</t>
  </si>
  <si>
    <t>Forecast: 2Q26 per-day FTP held flat</t>
  </si>
  <si>
    <t>Segment net interest income</t>
  </si>
  <si>
    <t>NII spread on avg loans + deposits (annualized)</t>
  </si>
  <si>
    <t>Derived = segment NII ÷ (avg loans + avg deposits) × 365/days; forecast driver</t>
  </si>
  <si>
    <t>Noninterest income and revenue ($ millions)</t>
  </si>
  <si>
    <t>QPS segment table</t>
  </si>
  <si>
    <t>Segment revenue (NII + noninterest income)</t>
  </si>
  <si>
    <t>Noninterest income % of segment revenue</t>
  </si>
  <si>
    <t>Noninterest expense ($ millions)</t>
  </si>
  <si>
    <t>Personnel expense</t>
  </si>
  <si>
    <t>Amortization of intangibles</t>
  </si>
  <si>
    <t>Other direct noninterest expense</t>
  </si>
  <si>
    <t>Direct noninterest expense</t>
  </si>
  <si>
    <t>Expense allocations</t>
  </si>
  <si>
    <t>Total noninterest expense</t>
  </si>
  <si>
    <t>Segment efficiency ratio</t>
  </si>
  <si>
    <t>Segment profit ($ millions)</t>
  </si>
  <si>
    <t>Segment PPNR</t>
  </si>
  <si>
    <t>Allocated provision for credit losses</t>
  </si>
  <si>
    <t>Provision / avg loans (annualized, bps) – driver</t>
  </si>
  <si>
    <t>Income before income taxes</t>
  </si>
  <si>
    <t>Provision (benefit) for income taxes</t>
  </si>
  <si>
    <t>Segment net income (loss)</t>
  </si>
  <si>
    <t>Segment effective tax rate – driver</t>
  </si>
  <si>
    <t>Segment net income margin (NI / revenue)</t>
  </si>
  <si>
    <t>Memo: segment net income as reported (QPS)</t>
  </si>
  <si>
    <t>Check row below should be 0</t>
  </si>
  <si>
    <t>Segment - Wholesale – Wholesale Banking (WB)</t>
  </si>
  <si>
    <t>Segment - OT&amp;C – Other, Treasury &amp; Corporate (OT&amp;C)</t>
  </si>
  <si>
    <t>Forecast: consolidated GAAP NII less CSBB and WB (residual)</t>
  </si>
  <si>
    <t>FTP nets to zero across segments</t>
  </si>
  <si>
    <t>History: QPS segment table. 3Q26E: residual (consolidated less CSBB and WB)</t>
  </si>
  <si>
    <t>3Q26E residual = consolidated 62 – CSBB 32.01 – WB 30 = (0.01): original segment amortization assumptions marginally exceed consolidated; retained (immaterial, EPS unaffected)</t>
  </si>
  <si>
    <t>Forecast residual includes RAC reserve recapture (selected item)</t>
  </si>
  <si>
    <t>Segment effective tax rate</t>
  </si>
  <si>
    <t>Note on 3Q26E residual method</t>
  </si>
  <si>
    <t>OT&amp;C forecast columns are the residual of consolidated forecasts less CSBB and WB; it carries treasury, corporate and selected items.</t>
  </si>
  <si>
    <t>Income Statement – GAAP to normalized EPS</t>
  </si>
  <si>
    <t>Interest income ($ millions)</t>
  </si>
  <si>
    <t>Interest and fees on loans and leases</t>
  </si>
  <si>
    <t>3Q26E: NII build loan income (TE) less the full TE adjustment (46) – original line-allocation assumption (2Q26 TE gaps ~43/2/1 loans/securities/other); total interest income and NII unaffected</t>
  </si>
  <si>
    <t>Interest on securities</t>
  </si>
  <si>
    <t>3Q26E: TE-basis build; TE adjustment allocated entirely to loans (see I11)</t>
  </si>
  <si>
    <t>Interest on other earning assets</t>
  </si>
  <si>
    <t>Total interest income</t>
  </si>
  <si>
    <t>Interest expense ($ millions)</t>
  </si>
  <si>
    <t>Interest on deposits</t>
  </si>
  <si>
    <t>Interest on long-term debt</t>
  </si>
  <si>
    <t>Interest on other borrowings</t>
  </si>
  <si>
    <t>Net interest income</t>
  </si>
  <si>
    <t>Check: NII – Revenue summary NII build (GAAP)</t>
  </si>
  <si>
    <t>Historical columns: tie to NII build. 3Q26E: identity by construction (lines link directly to the Revenue summary build)</t>
  </si>
  <si>
    <t>Provision for credit losses ($ millions)</t>
  </si>
  <si>
    <t>Net charge-offs – core</t>
  </si>
  <si>
    <t>QPS ACL roll-forward; 3Q26E excludes RAC write-down at transfer (selected item, on Balance Sheet)</t>
  </si>
  <si>
    <t>NCO ratio (annualized) – driver</t>
  </si>
  <si>
    <t>FY26 guide ~55bp; 3Q25 seasonal low 48bp; 2Q26 50bp</t>
  </si>
  <si>
    <t>Reserve build (release) – core</t>
  </si>
  <si>
    <t>Provision for credit losses – core</t>
  </si>
  <si>
    <t>RAC loan loss reserve recapture (selected item)</t>
  </si>
  <si>
    <t>S13 9/15/26 8-K: $535mm recapture; sale closed w/e 9/30/26 per S14 H.8 note</t>
  </si>
  <si>
    <t>Provision for credit losses – GAAP</t>
  </si>
  <si>
    <t>Net interest income after provision</t>
  </si>
  <si>
    <t>Noninterest income ($ millions)</t>
  </si>
  <si>
    <t>Quarters shown are core (excl. selected items); FY25A includes the (18) 2Q25 selected-item securities loss (Inputs D118/D136)</t>
  </si>
  <si>
    <t>AFS securities repositioning loss (selected item; scenario)</t>
  </si>
  <si>
    <t>Base case: not executed in 3Q26 (no announcement through 10/11/26); illustrative loss ≈ $945mm after tax if executed (S13)</t>
  </si>
  <si>
    <t>Total revenue – GAAP</t>
  </si>
  <si>
    <t>Total revenue – TE (consensus basis)</t>
  </si>
  <si>
    <t>Check: TE revenue – Revenue summary TE revenue</t>
  </si>
  <si>
    <t>Historical columns: tie. 3Q26E: identity by construction (direct links / OT&amp;C residual)</t>
  </si>
  <si>
    <t>Historical lines include restructuring/legal selected items (see bridge)</t>
  </si>
  <si>
    <t>Professional fees and outside processing</t>
  </si>
  <si>
    <t>Software expense</t>
  </si>
  <si>
    <t>Net occupancy expense</t>
  </si>
  <si>
    <t>Equipment expense</t>
  </si>
  <si>
    <t>Marketing and customer development</t>
  </si>
  <si>
    <t>Regulatory costs</t>
  </si>
  <si>
    <t>Other expense</t>
  </si>
  <si>
    <t>RAC transaction-related costs (selected item)</t>
  </si>
  <si>
    <t>S13: $65mm after tax; pretax grossed up at issuer marginal rate</t>
  </si>
  <si>
    <t>Noninterest expense excl. selected items</t>
  </si>
  <si>
    <t>History = total expense + restructuring (row 161) + legal (row 162), as in Guidance H13; 3Q26E = H116 - H115. 3Q26 guide: ~+2% vs 2Q26 $3.1bn</t>
  </si>
  <si>
    <t>Earnings ($ millions)</t>
  </si>
  <si>
    <t>Pre-provision net revenue (GAAP basis)</t>
  </si>
  <si>
    <t>Provision for income taxes</t>
  </si>
  <si>
    <t>Effective tax rate – core (3Q26E driver)</t>
  </si>
  <si>
    <t>FY26 guide ~14.5% (H2 implied ~15.5%); 1H26 13.4%. History = core ETR (excl. selected items); GAAP ETR in row 132</t>
  </si>
  <si>
    <t>Effective tax rate – GAAP</t>
  </si>
  <si>
    <t>Memo: selected items pretax in PBT (3Q26E)</t>
  </si>
  <si>
    <t>Memo: selected items after tax (3Q26E)</t>
  </si>
  <si>
    <t>Net income</t>
  </si>
  <si>
    <t>Preferred stock dividends and other</t>
  </si>
  <si>
    <t>3Q26E: $114mm per 2Q26 deck slide A-3 (semi-annual Series N/Q + first Series S dividend)</t>
  </si>
  <si>
    <t>Net income available to common – GAAP</t>
  </si>
  <si>
    <t>Per share</t>
  </si>
  <si>
    <t>Weighted average basic shares (m)</t>
  </si>
  <si>
    <t>Weighted average diluted shares (m)</t>
  </si>
  <si>
    <t>EPS – GAAP basic</t>
  </si>
  <si>
    <t>EPS – GAAP diluted</t>
  </si>
  <si>
    <t>F151/G151 base = rebuilt unrounded 1Q25/2Q25 EPS (Inputs NIAC build / diluted shares C140/D140), same basis as H151 and row 152; reported rounded $0.87/$0.90 base would give 25.0%/36.2%</t>
  </si>
  <si>
    <t>Check: GAAP EPS – NIAC / diluted shares</t>
  </si>
  <si>
    <t>Memo: GAAP diluted EPS as reported</t>
  </si>
  <si>
    <t>Check: ROUND(model EPS,2) – reported</t>
  </si>
  <si>
    <t>Memo: CapIQ GAAP EPS actual / 3Q26E consensus</t>
  </si>
  <si>
    <t>GAAP to normalized (consensus-basis) bridge</t>
  </si>
  <si>
    <t>GAAP net income available to common</t>
  </si>
  <si>
    <t>Selected items, pretax – favorable / (unfavorable):</t>
  </si>
  <si>
    <t xml:space="preserve">   Restructuring charges (severance etc.)</t>
  </si>
  <si>
    <t>3Q26E: not forecast (blank; treated as nil in H167, no sourced amount) – would move GAAP EPS only, not normalized EPS</t>
  </si>
  <si>
    <t xml:space="preserve">   Legal accrual (Bickerstaff settlement)</t>
  </si>
  <si>
    <t xml:space="preserve">   Securities gains (losses) on sales</t>
  </si>
  <si>
    <t xml:space="preserve">   RAC loan loss reserve recapture</t>
  </si>
  <si>
    <t xml:space="preserve">   RAC transaction-related costs</t>
  </si>
  <si>
    <t xml:space="preserve">   AFS repositioning loss</t>
  </si>
  <si>
    <t>Total selected items, pretax</t>
  </si>
  <si>
    <t>Tax effect of selected items</t>
  </si>
  <si>
    <t>History: issuer after-tax amounts (QPS Selected Items); 3Q26E: issuer after-tax amounts (S13)</t>
  </si>
  <si>
    <t>Total selected items, after tax</t>
  </si>
  <si>
    <t>Adjusted net income available to common</t>
  </si>
  <si>
    <t>EPS – normalized diluted (consensus basis)</t>
  </si>
  <si>
    <t>Check: normalized EPS – adjusted NIAC / diluted shares</t>
  </si>
  <si>
    <t>Memo: CapIQ normalized EPS actual / 3Q26E consensus</t>
  </si>
  <si>
    <t>Check: ROUND(model normalized EPS,2) – CapIQ actual</t>
  </si>
  <si>
    <t>3Q26E variance vs frozen consensus ($/sh)</t>
  </si>
  <si>
    <t>Growth, margin and return metrics</t>
  </si>
  <si>
    <t>Efficiency ratio – GAAP (expense / GAAP revenue)</t>
  </si>
  <si>
    <t>PPNR margin (PPNR / GAAP revenue)</t>
  </si>
  <si>
    <t>Pretax margin (PBT / GAAP revenue)</t>
  </si>
  <si>
    <t>Net income margin (NI / GAAP revenue)</t>
  </si>
  <si>
    <t>Operating leverage Y/Y (TE revenue – expense growth)</t>
  </si>
  <si>
    <t>All columns: TE revenue growth (row 74) less GAAP noninterest expense growth (row 117)</t>
  </si>
  <si>
    <t>3Q26E selected-item assumptions (RAC exit; S13 9/15/26 8-K, S14 H.8)</t>
  </si>
  <si>
    <t>RAC reserve recapture – pretax</t>
  </si>
  <si>
    <t>S13 footnote 2</t>
  </si>
  <si>
    <t>RAC reserve recapture – after tax</t>
  </si>
  <si>
    <t>S13 footnote 3</t>
  </si>
  <si>
    <t>Implied marginal tax rate on selected items</t>
  </si>
  <si>
    <t>RAC transaction-related costs – after tax</t>
  </si>
  <si>
    <t>RAC transaction-related costs – pretax (grossed up)</t>
  </si>
  <si>
    <t>AFS repositioning loss – after tax (scenario; base 0)</t>
  </si>
  <si>
    <t>If executed in 3Q26 the illustrative size is ~945 (S13); excluded from normalized EPS either way</t>
  </si>
  <si>
    <t>AFS repositioning loss – pretax</t>
  </si>
  <si>
    <t>Tracked metric cells (core basis, 3Q26E)</t>
  </si>
  <si>
    <t>Pretax income excl. selected items</t>
  </si>
  <si>
    <t>Core pretax margin (on GAAP revenue)</t>
  </si>
  <si>
    <t>Balance Sheet – period end, as reported</t>
  </si>
  <si>
    <t>$ millions</t>
  </si>
  <si>
    <t>Assets</t>
  </si>
  <si>
    <t>Cash and due from banks</t>
  </si>
  <si>
    <t>3Q26E held flat</t>
  </si>
  <si>
    <t>Interest-bearing deposits with banks</t>
  </si>
  <si>
    <t>3Q26E: balancing item (cash) – RAC proceeds used to repay wholesale borrowings</t>
  </si>
  <si>
    <t>Securities borrowed / purchased under resale</t>
  </si>
  <si>
    <t>Trading assets at fair value</t>
  </si>
  <si>
    <t>AFS securities at fair value</t>
  </si>
  <si>
    <t>3Q26E held flat; AOCI held flat</t>
  </si>
  <si>
    <t>HTM securities at amortized cost</t>
  </si>
  <si>
    <t>3Q26E: paydowns assumption</t>
  </si>
  <si>
    <t>Loans and leases HFI:</t>
  </si>
  <si>
    <t xml:space="preserve">   Commercial and industrial</t>
  </si>
  <si>
    <t xml:space="preserve">      % Q/Q (forecast driver)</t>
  </si>
  <si>
    <t xml:space="preserve">      % Y/Y</t>
  </si>
  <si>
    <t xml:space="preserve">      Q/Q change ($)</t>
  </si>
  <si>
    <t xml:space="preserve">   CRE</t>
  </si>
  <si>
    <t xml:space="preserve">   Commercial construction</t>
  </si>
  <si>
    <t xml:space="preserve">   Residential mortgage</t>
  </si>
  <si>
    <t xml:space="preserve">   Home equity</t>
  </si>
  <si>
    <t xml:space="preserve">   Indirect auto</t>
  </si>
  <si>
    <t>3Q26E: less $5.5bn RAC loans sold</t>
  </si>
  <si>
    <t xml:space="preserve">      % Q/Q (forecast driver, ex RAC)</t>
  </si>
  <si>
    <t xml:space="preserve">   Other consumer</t>
  </si>
  <si>
    <t xml:space="preserve">   Credit card</t>
  </si>
  <si>
    <t>Allowance for loan and lease losses</t>
  </si>
  <si>
    <t>3Q26E from ACL roll-forward below</t>
  </si>
  <si>
    <t>Premises and equipment</t>
  </si>
  <si>
    <t>Goodwill</t>
  </si>
  <si>
    <t>Core deposit and other intangibles</t>
  </si>
  <si>
    <t>Loan servicing rights at fair value</t>
  </si>
  <si>
    <t>Other assets</t>
  </si>
  <si>
    <t>Total assets</t>
  </si>
  <si>
    <t>Liabilities</t>
  </si>
  <si>
    <t xml:space="preserve">   Noninterest-bearing deposits</t>
  </si>
  <si>
    <t xml:space="preserve">   Interest checking</t>
  </si>
  <si>
    <t xml:space="preserve">   Money market and savings</t>
  </si>
  <si>
    <t xml:space="preserve">   Time deposits</t>
  </si>
  <si>
    <t>Total deposits</t>
  </si>
  <si>
    <t>3Q26E: RAC net proceeds repay wholesale borrowings (S13)</t>
  </si>
  <si>
    <t xml:space="preserve">   Memo: LTD redeemed in quarter (3Q26E)</t>
  </si>
  <si>
    <t>$850mm sub notes redeemed 9/30/26 (S23)</t>
  </si>
  <si>
    <t>Other liabilities</t>
  </si>
  <si>
    <t>Total liabilities</t>
  </si>
  <si>
    <t>Shareholders' equity</t>
  </si>
  <si>
    <t>Preferred stock</t>
  </si>
  <si>
    <t>Common stock ($5 par)</t>
  </si>
  <si>
    <t>Additional paid-in capital</t>
  </si>
  <si>
    <t>3Q26E: less buyback above par, plus equity comp</t>
  </si>
  <si>
    <t>Retained earnings</t>
  </si>
  <si>
    <t>Accumulated other comprehensive loss</t>
  </si>
  <si>
    <t>3Q26E held flat (assumption)</t>
  </si>
  <si>
    <t>Total shareholders’ equity</t>
  </si>
  <si>
    <t>Total liabilities and equity</t>
  </si>
  <si>
    <t>Check: assets – liabilities – equity (= 0)</t>
  </si>
  <si>
    <t>Historical columns: reported balance sheet ties. 3Q26E: identity by construction (H12 interest-bearing deposits is the balancing plug via H116)</t>
  </si>
  <si>
    <t>Memo: total assets as reported</t>
  </si>
  <si>
    <t>Check: model total assets – reported</t>
  </si>
  <si>
    <t>Allowance roll-forward and 3Q26E balance sheet assumptions</t>
  </si>
  <si>
    <t>ALLL, beginning (positive)</t>
  </si>
  <si>
    <t>Plus: provision – GAAP (incl. RAC recapture)</t>
  </si>
  <si>
    <t>Assumption: full ACL-level GAAP provision (incl. RAC recapture) is applied to ALLL; no change in the reserve for unfunded commitments (RUFC) is assumed – ACL/RUFC split not sourced (history: 2Q26 ΔALLL –43 vs provision – NCO –19). Effect lands only in the H12 cash plug; no EPS effect</t>
  </si>
  <si>
    <t>Less: core net charge-offs</t>
  </si>
  <si>
    <t>RAC loans sold (carrying amount)</t>
  </si>
  <si>
    <t>S13: $5.5bn</t>
  </si>
  <si>
    <t>RAC net proceeds</t>
  </si>
  <si>
    <t>S13: $5.2bn net proceeds</t>
  </si>
  <si>
    <t>Less: RAC write-down charged to ALLL at transfer</t>
  </si>
  <si>
    <t>Purchase price below par; reserve ($835mm ≈ H.8 -$0.9bn) covers write-down + $535mm recapture</t>
  </si>
  <si>
    <t>ALLL, ending (positive)</t>
  </si>
  <si>
    <t>ALLL / loans HFI</t>
  </si>
  <si>
    <t>HTM paydowns (assumption)</t>
  </si>
  <si>
    <t>Equity-based compensation (non-cash, assumption)</t>
  </si>
  <si>
    <t>Common stock par value ($ per share)</t>
  </si>
  <si>
    <t>Truist common stock $5 par (10-Q cover)</t>
  </si>
  <si>
    <t>Common dividends declared</t>
  </si>
  <si>
    <t>3Q26E: $0.52 DPS × weighted-average basic shares (original convention retained; record-date shares would give ~621–635)</t>
  </si>
  <si>
    <t>Memo: interest-bearing deposits with banks (balancing)</t>
  </si>
  <si>
    <t>Cash and cash equivalents (cash + IB deposits)</t>
  </si>
  <si>
    <t>Cash Flow Statement – quarterly (derived from YTD filings)</t>
  </si>
  <si>
    <t>Operating activities</t>
  </si>
  <si>
    <t>Quarterly = YTD differences (Inputs §E); 3Q26E from model</t>
  </si>
  <si>
    <t>Provision for credit losses</t>
  </si>
  <si>
    <t>Depreciation</t>
  </si>
  <si>
    <t>3Q26E assumption ≈ 1H26 run-rate</t>
  </si>
  <si>
    <t>Other operating items, net (derived)</t>
  </si>
  <si>
    <t>History: reported CFO less items above; 3Q26E: working-capital lines held flat + equity comp</t>
  </si>
  <si>
    <t>Net cash from operating activities</t>
  </si>
  <si>
    <t>Investing activities</t>
  </si>
  <si>
    <t>Proceeds from sales of AFS securities</t>
  </si>
  <si>
    <t>net in row 22</t>
  </si>
  <si>
    <t>AFS maturities/paydowns less purchases (3Q26E net)</t>
  </si>
  <si>
    <t>History: AFS maturities, calls and paydowns only (gross). 3Q26E: net AFS balance change (maturities less purchases); gross sales/purchases not forecast – H21/H23 show 'net in row 22', not zero activity</t>
  </si>
  <si>
    <t>Purchases of AFS securities</t>
  </si>
  <si>
    <t>Maturities/paydowns of HTM securities</t>
  </si>
  <si>
    <t>Purchases of HTM securities</t>
  </si>
  <si>
    <t>net in row 24</t>
  </si>
  <si>
    <t>Originations of loans, net of principal collected</t>
  </si>
  <si>
    <t>Purchases of loans and leases</t>
  </si>
  <si>
    <t>net in row 26</t>
  </si>
  <si>
    <t>Sales of loans and leases</t>
  </si>
  <si>
    <t>3Q26E: RAC net proceeds $5.2bn</t>
  </si>
  <si>
    <t>Securities borrowed / resale agreements, net</t>
  </si>
  <si>
    <t>Other investing, net (derived)</t>
  </si>
  <si>
    <t>3Q26E: assumes premises &amp; equipment purchases = depreciation (128; P&amp;E held flat) inside Other investing; tracked capex line stays Not disclosed</t>
  </si>
  <si>
    <t>Net cash from investing activities</t>
  </si>
  <si>
    <t>Financing activities</t>
  </si>
  <si>
    <t>Net change in deposits</t>
  </si>
  <si>
    <t>Net change in short-term borrowings</t>
  </si>
  <si>
    <t>Proceeds from issuance of long-term debt</t>
  </si>
  <si>
    <t>net in row 37</t>
  </si>
  <si>
    <t>Repayment of long-term debt (3Q26E net change)</t>
  </si>
  <si>
    <t>History: gross LTD repayments. 3Q26E: net long-term debt change; gross issuance not forecast – H36 shows 'net in row 37', not zero issuance</t>
  </si>
  <si>
    <t>Repurchase of common stock</t>
  </si>
  <si>
    <t>Preferred stock issued (redeemed), net</t>
  </si>
  <si>
    <t>Cash dividends paid on common stock</t>
  </si>
  <si>
    <t>Cash dividends paid on preferred stock</t>
  </si>
  <si>
    <t>Other financing, net (derived; 3Q26E assumed nil)</t>
  </si>
  <si>
    <t>Net cash from financing activities</t>
  </si>
  <si>
    <t>Cash reconciliation</t>
  </si>
  <si>
    <t>Net change in cash and cash equivalents</t>
  </si>
  <si>
    <t>Cash and equivalents, beginning</t>
  </si>
  <si>
    <t>Cash and equivalents, end</t>
  </si>
  <si>
    <t>Balance Sheet cash + interest-bearing deposits with banks</t>
  </si>
  <si>
    <t>Check: cash flow ending cash – Balance Sheet (= 0)</t>
  </si>
  <si>
    <t>History: reported cash-flow vs balance-sheet tie. 3Q26E: mapping-completeness reconciliation only – every forecast flow derives from Balance Sheet deltas, Income Statement, Share Count or stated assumptions, and BS cash + IB deposits (H12 via H116) is the plug, so H50 = 0 shows all lines are mapped; it is not independent forecast validation</t>
  </si>
  <si>
    <t>Memo: net change as reported (YTD differences)</t>
  </si>
  <si>
    <t>Check: derived net change – reported</t>
  </si>
  <si>
    <t>Free cash flow (tracked metric)</t>
  </si>
  <si>
    <t>Capital expenditures</t>
  </si>
  <si>
    <t>Truist cash flow statement has no separate capex line (premises purchases sit in "Other, net"); unavailable</t>
  </si>
  <si>
    <t>Issuer-defined free cash flow</t>
  </si>
  <si>
    <t>Not applicable</t>
  </si>
  <si>
    <t>Truist does not define FCF; bank CFO is not a meaningful earnings proxy</t>
  </si>
  <si>
    <t>Share count – weighted basic/diluted shares, buybacks and forecast share base</t>
  </si>
  <si>
    <t>Shares in millions; $ millions; $ per share</t>
  </si>
  <si>
    <t>Common shares</t>
  </si>
  <si>
    <t>End-of-period shares outstanding</t>
  </si>
  <si>
    <t>QPS financial highlights</t>
  </si>
  <si>
    <t xml:space="preserve">   Q/Q change (m)</t>
  </si>
  <si>
    <t>Common stock repurchased ($ millions, cash)</t>
  </si>
  <si>
    <t>History: cash flow statement. 3Q26E: remaining 2026 target split evenly over 3Q/4Q</t>
  </si>
  <si>
    <t>FY2026 buyback target ($ millions)</t>
  </si>
  <si>
    <t>Guidance tab: ~$5bn (reaffirmed 9/15/26)</t>
  </si>
  <si>
    <t>Quarters remaining in FY26 after 2Q26 (assumption: even pacing)</t>
  </si>
  <si>
    <t xml:space="preserve">   Q/Q change ($ millions)</t>
  </si>
  <si>
    <t>Shares repurchased (m)</t>
  </si>
  <si>
    <t>FY25 59.477m (10-K equity stmt); 9M25 42.6m (3Q25 10-Q) → 4Q25 16.9m; 1Q26 22.2m; 1H26 46.6m (10-Qs). 3Q25 not separately disclosed</t>
  </si>
  <si>
    <t>Average repurchase price ($/share)</t>
  </si>
  <si>
    <t>3Q26E assumption: TFC traded ~$45–53 in 3Q26 (S20, S21)</t>
  </si>
  <si>
    <t xml:space="preserve">   Q/Q change ($/share)</t>
  </si>
  <si>
    <t>Shares issued, net (equity awards) (m)</t>
  </si>
  <si>
    <t>Weighted average shares</t>
  </si>
  <si>
    <t>Weighted average basic shares</t>
  </si>
  <si>
    <t>Buyback timing weight (share of net reduction in weighted basic)</t>
  </si>
  <si>
    <t>History derived; 3Q26E = 4-quarter average (front-loaded execution)</t>
  </si>
  <si>
    <t>Dilutive securities (m)</t>
  </si>
  <si>
    <t>3Q26E assumption near 2Q26 (14.2m)</t>
  </si>
  <si>
    <t>Weighted average diluted shares</t>
  </si>
  <si>
    <t>Check: basic + dilutive – diluted</t>
  </si>
  <si>
    <t>Forecast EPS share base</t>
  </si>
  <si>
    <t>Diluted shares behind 3Q26E EPS (m)</t>
  </si>
  <si>
    <t>3Q26E normalized diluted EPS (Income Statement)</t>
  </si>
  <si>
    <t>Sensitivity: change in diluted shares (m)</t>
  </si>
  <si>
    <t>EPS sensitivity to the share change above ($/sh)</t>
  </si>
  <si>
    <t>Common dividend declared per share</t>
  </si>
  <si>
    <t>3Q26E: $0.52 declared (S22)</t>
  </si>
  <si>
    <t>Guidance – management outlook vs. actuals</t>
  </si>
  <si>
    <t>Growth in %, $ millions where stated</t>
  </si>
  <si>
    <t>Period header not applicable (one row per guidance item); see statement tabs for period labels, end dates and days.</t>
  </si>
  <si>
    <t>In-line tolerance – growth/ratio guidance (± decimal)</t>
  </si>
  <si>
    <t>In-line tolerance – $ guidance (± % of midpoint)</t>
  </si>
  <si>
    <t>Date given</t>
  </si>
  <si>
    <t>Low</t>
  </si>
  <si>
    <t>High</t>
  </si>
  <si>
    <t>Midpoint</t>
  </si>
  <si>
    <t>Actual / model</t>
  </si>
  <si>
    <t>Beat / miss</t>
  </si>
  <si>
    <t>Basis</t>
  </si>
  <si>
    <t>4Q25</t>
  </si>
  <si>
    <t>Revenue Q/Q growth</t>
  </si>
  <si>
    <t>Revenue-TE vs 3Q25</t>
  </si>
  <si>
    <t>Net interest income Q/Q growth</t>
  </si>
  <si>
    <t>NII-TE</t>
  </si>
  <si>
    <t>Noninterest income Q/Q growth</t>
  </si>
  <si>
    <t>"relatively stable"</t>
  </si>
  <si>
    <t>Adjusted expense Q/Q growth</t>
  </si>
  <si>
    <t>Adjusted expense (ex restructuring/legal; QPS recon)</t>
  </si>
  <si>
    <t>1Q26</t>
  </si>
  <si>
    <t>Revenue-TE vs 4Q25</t>
  </si>
  <si>
    <t>GAAP noninterest expense Q/Q growth</t>
  </si>
  <si>
    <t>GAAP</t>
  </si>
  <si>
    <t>2Q26</t>
  </si>
  <si>
    <t>~1%</t>
  </si>
  <si>
    <t>~-1%</t>
  </si>
  <si>
    <t>Share repurchases ($ millions)</t>
  </si>
  <si>
    <t>3Q26</t>
  </si>
  <si>
    <t>Pending (model shown)</t>
  </si>
  <si>
    <t>Model 3Q26E (excl. strategic actions)</t>
  </si>
  <si>
    <t>Model 3Q26E</t>
  </si>
  <si>
    <t>Noninterest expense Q/Q growth</t>
  </si>
  <si>
    <t>Model 3Q26E core</t>
  </si>
  <si>
    <t>FY26</t>
  </si>
  <si>
    <t>Revenue growth</t>
  </si>
  <si>
    <t>Pending (FY26)</t>
  </si>
  <si>
    <t>Revenue-TE; reaffirmed 9/15/26</t>
  </si>
  <si>
    <t>Net interest income growth</t>
  </si>
  <si>
    <t>reaffirmed 9/15/26</t>
  </si>
  <si>
    <t>Noninterest income growth</t>
  </si>
  <si>
    <t>~10%</t>
  </si>
  <si>
    <t>GAAP noninterest expense growth</t>
  </si>
  <si>
    <t>~1.75%</t>
  </si>
  <si>
    <t>Net charge-off ratio</t>
  </si>
  <si>
    <t>~55bp</t>
  </si>
  <si>
    <t>Effective tax rate (GAAP)</t>
  </si>
  <si>
    <t>~14.5% (16.5% FTE)</t>
  </si>
  <si>
    <t>~$5bn; reaffirmed 9/15/26</t>
  </si>
  <si>
    <t>RAC reserve recapture ($ millions, pretax)</t>
  </si>
  <si>
    <t>Selected item; excluded from normalized</t>
  </si>
  <si>
    <t>RAC transaction costs ($ millions, after tax)</t>
  </si>
  <si>
    <t>Selected item</t>
  </si>
  <si>
    <t>Guidance-implied 3Q26 EPS (management midpoints, before strategic actions)</t>
  </si>
  <si>
    <t>Revenue – TE (2Q26 × (1 + guide))</t>
  </si>
  <si>
    <t>Less: TE adjustment (model)</t>
  </si>
  <si>
    <t>Less: noninterest expense (2Q26 × (1 + guide))</t>
  </si>
  <si>
    <t>Less: provision = FY NCO guide × model avg loans HFI</t>
  </si>
  <si>
    <t>Pretax income</t>
  </si>
  <si>
    <t>Less: tax at FY26 guide rate</t>
  </si>
  <si>
    <t>Less: preferred dividends (2Q26 deck A-3)</t>
  </si>
  <si>
    <t>Net income to common – guidance-implied</t>
  </si>
  <si>
    <t>Diluted shares (model)</t>
  </si>
  <si>
    <t>Guidance-implied normalized EPS</t>
  </si>
  <si>
    <t>Inputs – S&amp;P Capital IQ snapshot, prior-year quarters and YTD source data</t>
  </si>
  <si>
    <t>A. CapIQ consensus summary row (TFC_consensus.json → summary_row; complete, blanks preserved)</t>
  </si>
  <si>
    <t>Field</t>
  </si>
  <si>
    <t>Value</t>
  </si>
  <si>
    <t>Source note</t>
  </si>
  <si>
    <t>ticker</t>
  </si>
  <si>
    <t>CapIQ snapshot 2026-10-11</t>
  </si>
  <si>
    <t>company_name</t>
  </si>
  <si>
    <t>exchange_ticker</t>
  </si>
  <si>
    <t>NYSE:TFC</t>
  </si>
  <si>
    <t>capiq_company_id</t>
  </si>
  <si>
    <t>sp500_member</t>
  </si>
  <si>
    <t>Y</t>
  </si>
  <si>
    <t>market_cap_usd_m</t>
  </si>
  <si>
    <t>blank in source (unavailable)</t>
  </si>
  <si>
    <t>fiscal_quarter</t>
  </si>
  <si>
    <t>FQ3 2026 - Sep 2026</t>
  </si>
  <si>
    <t>quarter_end_date</t>
  </si>
  <si>
    <t>expected_report_date</t>
  </si>
  <si>
    <t>fiscal_year_end</t>
  </si>
  <si>
    <t>Dec-31</t>
  </si>
  <si>
    <t>analysts_covering</t>
  </si>
  <si>
    <t>eps_normalized_mean</t>
  </si>
  <si>
    <t>eps_normalized_median</t>
  </si>
  <si>
    <t>eps_normalized_high</t>
  </si>
  <si>
    <t>eps_normalized_low</t>
  </si>
  <si>
    <t>eps_normalized_std_dev</t>
  </si>
  <si>
    <t>eps_normalized_n_est</t>
  </si>
  <si>
    <t>eps_normalized_guidance</t>
  </si>
  <si>
    <t>eps_normalized_guidance_low</t>
  </si>
  <si>
    <t>eps_normalized_guidance_high</t>
  </si>
  <si>
    <t>eps_gaap_mean</t>
  </si>
  <si>
    <t>eps_gaap_median</t>
  </si>
  <si>
    <t>eps_gaap_high</t>
  </si>
  <si>
    <t>eps_gaap_low</t>
  </si>
  <si>
    <t>eps_gaap_std_dev</t>
  </si>
  <si>
    <t>eps_gaap_n_est</t>
  </si>
  <si>
    <t>eps_gaap_guidance</t>
  </si>
  <si>
    <t>revenue_m_mean</t>
  </si>
  <si>
    <t>revenue_m_median</t>
  </si>
  <si>
    <t>revenue_m_high</t>
  </si>
  <si>
    <t>revenue_m_low</t>
  </si>
  <si>
    <t>revenue_m_std_dev</t>
  </si>
  <si>
    <t>revenue_m_n_est</t>
  </si>
  <si>
    <t>revenue_m_guidance</t>
  </si>
  <si>
    <t>revenue_m_guidance_low</t>
  </si>
  <si>
    <t>revenue_m_guidance_high</t>
  </si>
  <si>
    <t>ebitda_m</t>
  </si>
  <si>
    <t>ebit_m</t>
  </si>
  <si>
    <t>ebt_excl_excep_m</t>
  </si>
  <si>
    <t>ebt_gaap_m</t>
  </si>
  <si>
    <t>net_income_excl_excep_m</t>
  </si>
  <si>
    <t>net_income_gaap_m</t>
  </si>
  <si>
    <t>gross_margin_pct</t>
  </si>
  <si>
    <t>effective_tax_rate_pct</t>
  </si>
  <si>
    <t>d_and_a_m</t>
  </si>
  <si>
    <t>capex_m</t>
  </si>
  <si>
    <t>cfo_m</t>
  </si>
  <si>
    <t>fcf_m</t>
  </si>
  <si>
    <t>interest_expense_m</t>
  </si>
  <si>
    <t>net_debt_m</t>
  </si>
  <si>
    <t>cfps</t>
  </si>
  <si>
    <t>bvps</t>
  </si>
  <si>
    <t>dps</t>
  </si>
  <si>
    <t>nav_m</t>
  </si>
  <si>
    <t>navps</t>
  </si>
  <si>
    <t>roe_pct</t>
  </si>
  <si>
    <t>target_price_mean</t>
  </si>
  <si>
    <t>target_price_median</t>
  </si>
  <si>
    <t>target_price_high</t>
  </si>
  <si>
    <t>target_price_low</t>
  </si>
  <si>
    <t>target_price_std_dev</t>
  </si>
  <si>
    <t>target_price_n_est</t>
  </si>
  <si>
    <t>recommendation</t>
  </si>
  <si>
    <t>Hold</t>
  </si>
  <si>
    <t>recommendation_score</t>
  </si>
  <si>
    <t>last_close_price</t>
  </si>
  <si>
    <t>wk52_high_low</t>
  </si>
  <si>
    <t>56.20/40.79</t>
  </si>
  <si>
    <t>currency</t>
  </si>
  <si>
    <t>units</t>
  </si>
  <si>
    <t>per-share in USD; revenue and income in USD millions</t>
  </si>
  <si>
    <t>estimates_captured_at</t>
  </si>
  <si>
    <t>notes</t>
  </si>
  <si>
    <t>B. CapIQ consensus metadata (TFC_consensus.json)</t>
  </si>
  <si>
    <t>source</t>
  </si>
  <si>
    <t>S&amp;P Capital IQ</t>
  </si>
  <si>
    <t>fiscal_period</t>
  </si>
  <si>
    <t>period_end_date</t>
  </si>
  <si>
    <t>as_of_date</t>
  </si>
  <si>
    <t>analyst_count</t>
  </si>
  <si>
    <t>consensus_eps</t>
  </si>
  <si>
    <t>eps_basis</t>
  </si>
  <si>
    <t>Normalized diluted EPS per common share, USD; verify issuer adjustments</t>
  </si>
  <si>
    <t>consensus_revenue_m</t>
  </si>
  <si>
    <t>summary_sha256</t>
  </si>
  <si>
    <t>edbf949d984075e582c0427440965f3f2b24f43d8e9ef3ba40bd5d158b8c8d16</t>
  </si>
  <si>
    <t>captured_precision</t>
  </si>
  <si>
    <t>date only, user confirmed</t>
  </si>
  <si>
    <t>C. CapIQ history (TFC_history.csv; all six rows, raw)</t>
  </si>
  <si>
    <t>report_date</t>
  </si>
  <si>
    <t>eps_normalized_consensus</t>
  </si>
  <si>
    <t>eps_normalized_actual</t>
  </si>
  <si>
    <t>eps_gaap_consensus</t>
  </si>
  <si>
    <t>eps_gaap_actual</t>
  </si>
  <si>
    <t>revenue_m_consensus</t>
  </si>
  <si>
    <t>revenue_m_actual</t>
  </si>
  <si>
    <t>strict beat (normalized)</t>
  </si>
  <si>
    <t>surprise ($/sh)</t>
  </si>
  <si>
    <t>D. Prior-year quarter flows used for FY25 build and Y/Y (issuer QPS; $ millions)</t>
  </si>
  <si>
    <t>Line</t>
  </si>
  <si>
    <t>1Q25A</t>
  </si>
  <si>
    <t>2Q25A</t>
  </si>
  <si>
    <t>Interest and fees on loans</t>
  </si>
  <si>
    <t>S5 4Q25 QPS p.2/6 (1Q25); S3 2Q26 QPS p.2/6 (2Q25)</t>
  </si>
  <si>
    <t>Net charge-offs</t>
  </si>
  <si>
    <t>Selected item: restructuring (pretax)</t>
  </si>
  <si>
    <t>S5 4Q25 QPS p.12 Selected Items</t>
  </si>
  <si>
    <t>Selected item: restructuring (after tax)</t>
  </si>
  <si>
    <t>Selected item: legal accrual (pretax)</t>
  </si>
  <si>
    <t>Selected item: legal accrual (after tax)</t>
  </si>
  <si>
    <t>Selected item: securities loss (pretax)</t>
  </si>
  <si>
    <t>Selected item: securities loss (after tax)</t>
  </si>
  <si>
    <t>Days in quarter</t>
  </si>
  <si>
    <t>Calendar</t>
  </si>
  <si>
    <t>Weighted avg basic shares (m)</t>
  </si>
  <si>
    <t>S5 4Q25 QPS p.1</t>
  </si>
  <si>
    <t>Weighted avg diluted shares (m)</t>
  </si>
  <si>
    <t>End-of-period shares (m)</t>
  </si>
  <si>
    <t>GAAP diluted EPS</t>
  </si>
  <si>
    <t>Avg balance – sec</t>
  </si>
  <si>
    <t>S6 1Q26 QPS p.4 (1Q25); S3 2Q26 QPS p.4 (2Q25)</t>
  </si>
  <si>
    <t>Avg yield/rate – sec</t>
  </si>
  <si>
    <t>same</t>
  </si>
  <si>
    <t>Income/expense TE – sec</t>
  </si>
  <si>
    <t>Avg balance – ci</t>
  </si>
  <si>
    <t>Avg yield/rate – ci</t>
  </si>
  <si>
    <t>Income/expense TE – ci</t>
  </si>
  <si>
    <t>Avg balance – cre</t>
  </si>
  <si>
    <t>Avg yield/rate – cre</t>
  </si>
  <si>
    <t>Income/expense TE – cre</t>
  </si>
  <si>
    <t>Avg balance – con</t>
  </si>
  <si>
    <t>Avg yield/rate – con</t>
  </si>
  <si>
    <t>Income/expense TE – con</t>
  </si>
  <si>
    <t>Avg balance – resi</t>
  </si>
  <si>
    <t>Avg yield/rate – resi</t>
  </si>
  <si>
    <t>Income/expense TE – resi</t>
  </si>
  <si>
    <t>Avg balance – he</t>
  </si>
  <si>
    <t>Avg yield/rate – he</t>
  </si>
  <si>
    <t>Income/expense TE – he</t>
  </si>
  <si>
    <t>Avg balance – auto</t>
  </si>
  <si>
    <t>Avg yield/rate – auto</t>
  </si>
  <si>
    <t>Income/expense TE – auto</t>
  </si>
  <si>
    <t>Avg balance – ocons</t>
  </si>
  <si>
    <t>Avg yield/rate – ocons</t>
  </si>
  <si>
    <t>Income/expense TE – ocons</t>
  </si>
  <si>
    <t>Avg balance – card</t>
  </si>
  <si>
    <t>Avg yield/rate – card</t>
  </si>
  <si>
    <t>Income/expense TE – card</t>
  </si>
  <si>
    <t>Avg balance – lhfs</t>
  </si>
  <si>
    <t>Avg yield/rate – lhfs</t>
  </si>
  <si>
    <t>Income/expense TE – lhfs</t>
  </si>
  <si>
    <t>Avg balance – trad</t>
  </si>
  <si>
    <t>Avg yield/rate – trad</t>
  </si>
  <si>
    <t>Income/expense TE – trad</t>
  </si>
  <si>
    <t>Avg balance – oea</t>
  </si>
  <si>
    <t>Avg yield/rate – oea</t>
  </si>
  <si>
    <t>Income/expense TE – oea</t>
  </si>
  <si>
    <t>Avg balance – ic</t>
  </si>
  <si>
    <t>Avg yield/rate – ic</t>
  </si>
  <si>
    <t>Income/expense TE – ic</t>
  </si>
  <si>
    <t>Avg balance – mms</t>
  </si>
  <si>
    <t>Avg yield/rate – mms</t>
  </si>
  <si>
    <t>Income/expense TE – mms</t>
  </si>
  <si>
    <t>Avg balance – time</t>
  </si>
  <si>
    <t>Avg yield/rate – time</t>
  </si>
  <si>
    <t>Income/expense TE – time</t>
  </si>
  <si>
    <t>Avg balance – stb</t>
  </si>
  <si>
    <t>Avg yield/rate – stb</t>
  </si>
  <si>
    <t>Income/expense TE – stb</t>
  </si>
  <si>
    <t>Avg balance – ltd</t>
  </si>
  <si>
    <t>Avg yield/rate – ltd</t>
  </si>
  <si>
    <t>Income/expense TE – ltd</t>
  </si>
  <si>
    <t>Avg balance – nib</t>
  </si>
  <si>
    <t>CSBB nii_ext</t>
  </si>
  <si>
    <t>S6 1Q26 QPS p.7 (1Q25 recast); S3 2Q26 QPS p.8 (2Q25)</t>
  </si>
  <si>
    <t>CSBB ftp</t>
  </si>
  <si>
    <t>CSBB prov</t>
  </si>
  <si>
    <t>CSBB nonii</t>
  </si>
  <si>
    <t>CSBB pers</t>
  </si>
  <si>
    <t>CSBB amort</t>
  </si>
  <si>
    <t>CSBB odir</t>
  </si>
  <si>
    <t>CSBB alloc</t>
  </si>
  <si>
    <t>CSBB tax</t>
  </si>
  <si>
    <t>CSBB average loans HFI ($bn)</t>
  </si>
  <si>
    <t>Derived from S7/S4 deck A-1/A-2 rounded deltas</t>
  </si>
  <si>
    <t>CSBB average deposits ($bn)</t>
  </si>
  <si>
    <t>WB nii_ext</t>
  </si>
  <si>
    <t>WB ftp</t>
  </si>
  <si>
    <t>WB prov</t>
  </si>
  <si>
    <t>WB nonii</t>
  </si>
  <si>
    <t>WB pers</t>
  </si>
  <si>
    <t>WB amort</t>
  </si>
  <si>
    <t>WB odir</t>
  </si>
  <si>
    <t>WB alloc</t>
  </si>
  <si>
    <t>WB tax</t>
  </si>
  <si>
    <t>WB average loans HFI ($bn)</t>
  </si>
  <si>
    <t>WB average deposits ($bn)</t>
  </si>
  <si>
    <t>OTC nii_ext</t>
  </si>
  <si>
    <t>OTC ftp</t>
  </si>
  <si>
    <t>OTC prov</t>
  </si>
  <si>
    <t>OTC nonii</t>
  </si>
  <si>
    <t>OTC pers</t>
  </si>
  <si>
    <t>OTC amort</t>
  </si>
  <si>
    <t>OTC odir</t>
  </si>
  <si>
    <t>OTC alloc</t>
  </si>
  <si>
    <t>OTC tax</t>
  </si>
  <si>
    <t>E. Cash flow statement – year-to-date as reported ($ millions)</t>
  </si>
  <si>
    <t>6M25</t>
  </si>
  <si>
    <t>9M25</t>
  </si>
  <si>
    <t>FY25</t>
  </si>
  <si>
    <t>3M26</t>
  </si>
  <si>
    <t>6M26</t>
  </si>
  <si>
    <t>S8 2Q26 10-Q (6M25, 6M26); S10 3Q25 10-Q (9M25); S11 2025 10-K (FY25); S9 1Q26 10-Q (3M26)</t>
  </si>
  <si>
    <t>Maturities/calls/paydowns of AFS</t>
  </si>
  <si>
    <t>Maturities/paydowns of HTM</t>
  </si>
  <si>
    <t>Purchases of loans</t>
  </si>
  <si>
    <t>Sales of loans</t>
  </si>
  <si>
    <t>Net securities borrowed / resale agreements</t>
  </si>
  <si>
    <t>Proceeds from long-term debt</t>
  </si>
  <si>
    <t>Repayment of long-term debt</t>
  </si>
  <si>
    <t>Cash dividends on common stock</t>
  </si>
  <si>
    <t>Cash dividends on preferred stock</t>
  </si>
  <si>
    <t>F. Size-aware starting probability (forecasting playbook §7)</t>
  </si>
  <si>
    <t>Last close price (CapIQ last_close_price)</t>
  </si>
  <si>
    <t>Common shares outstanding 6/30/26 (m)</t>
  </si>
  <si>
    <t>Link: Share Count 2Q26 EOP shares (S3/S8: 1,221,626,188)</t>
  </si>
  <si>
    <t>Market cap ($ millions) = price × shares</t>
  </si>
  <si>
    <t>Computed: CapIQ last close (snapshot 2026-10-11) × common shares outstanding at 6/30/26 (latest reported; date mismatch does not change bucket); CapIQ market_cap_usd_m blank in export</t>
  </si>
  <si>
    <t>Size bucket</t>
  </si>
  <si>
    <t>large (&gt; $10bn)</t>
  </si>
  <si>
    <t>Playbook: large includes mega above $10bn</t>
  </si>
  <si>
    <t>S&amp;P 500 member</t>
  </si>
  <si>
    <t>CapIQ sp500_member = Y</t>
  </si>
  <si>
    <t>Cohort prior</t>
  </si>
  <si>
    <t>Large OR S&amp;P 500 → 0.78 (applied once); source S30 saved forecasting playbook §7 (sha256 1f08987c…)</t>
  </si>
  <si>
    <t>Pseudo-count</t>
  </si>
  <si>
    <t>Fixed experimental regularization weight (S30 saved forecasting playbook §7: eight pseudo-observations)</t>
  </si>
  <si>
    <t>Strict beats b (normalized EPS, 6 pairs)</t>
  </si>
  <si>
    <t>Valid pairs n</t>
  </si>
  <si>
    <t>Count of valid numeric consensus/actual pairs (J95:J100); all six on same normalized basis; none excluded</t>
  </si>
  <si>
    <t>Starting P(beat) = (8×prior + b)/(8 + n)</t>
  </si>
  <si>
    <t>Mean historical surprise ($/sh)</t>
  </si>
  <si>
    <t>Quarter-specific adjustment (decimal; −0.35 = −35pp)</t>
  </si>
  <si>
    <t>Judgmental (not independently verifiable): model EPS below frozen consensus; heavy preferred quarter; consensus mean skewed by RAC-inclusive estimates (see Cover notes)</t>
  </si>
  <si>
    <t>Final P(beat consensus EPS)</t>
  </si>
  <si>
    <t>Sources – documents and data used (all published before the 2026-10-11 22:24 UTC cutoff)</t>
  </si>
  <si>
    <t>Period header not applicable (source register). Retrieved = date fetched for this run (UTC date only; 2026-10-12, after the 2026-10-11 22:24 UTC cutoff). All publication dates are on/before the cutoff; no archived snapshot was captured, so live-page content as of the cutoff is unverified (documented limitation; not a post-cutoff source).</t>
  </si>
  <si>
    <t>ID</t>
  </si>
  <si>
    <t>Publication date</t>
  </si>
  <si>
    <t>Publisher</t>
  </si>
  <si>
    <t>URL or file</t>
  </si>
  <si>
    <t>Feeds</t>
  </si>
  <si>
    <t>Retrieved</t>
  </si>
  <si>
    <t>S1</t>
  </si>
  <si>
    <t>S&amp;P Capital IQ (supplied)</t>
  </si>
  <si>
    <t>workspace/TFC_consensus.json</t>
  </si>
  <si>
    <t>Inputs §A/§B; Cover consensus; prior calibration</t>
  </si>
  <si>
    <t>supplied</t>
  </si>
  <si>
    <t>S2</t>
  </si>
  <si>
    <t>workspace/TFC_history.csv</t>
  </si>
  <si>
    <t>Inputs §C; beat history; CapIQ actual check rows</t>
  </si>
  <si>
    <t>S3</t>
  </si>
  <si>
    <t>Truist (SEC 8-K Ex. 99.2)</t>
  </si>
  <si>
    <t>https://www.sec.gov/Archives/edgar/data/92230/000009223026000096/ex992-qpsx2q26.htm</t>
  </si>
  <si>
    <t>2Q25–2Q26 income statement, balance sheet, average balances, segments, credit</t>
  </si>
  <si>
    <t>S4</t>
  </si>
  <si>
    <t>Truist (SEC 8-K Ex. 99.3)</t>
  </si>
  <si>
    <t>https://www.sec.gov/Archives/edgar/data/92230/000009223026000096/ex993-earningsdeck2q26.htm</t>
  </si>
  <si>
    <t>3Q26/FY26 outlook slide; preferred dividend estimate $114m (A-3); segment balances</t>
  </si>
  <si>
    <t>S5</t>
  </si>
  <si>
    <t>https://www.sec.gov/Archives/edgar/data/92230/000009223026000023/ex992-qpsx4q25.htm</t>
  </si>
  <si>
    <t>1Q25 flows, FY25 totals and averages, selected items</t>
  </si>
  <si>
    <t>S6</t>
  </si>
  <si>
    <t>https://www.sec.gov/Archives/edgar/data/92230/000009223026000039/ex992-qpsx1q26.htm</t>
  </si>
  <si>
    <t>1Q25 recast segments and average balances</t>
  </si>
  <si>
    <t>S7</t>
  </si>
  <si>
    <t>https://www.sec.gov/Archives/edgar/data/92230/000009223026000039/ex993-earningsdeck1q26.htm</t>
  </si>
  <si>
    <t>Segment average loans/deposits (A-1, A-2)</t>
  </si>
  <si>
    <t>S8</t>
  </si>
  <si>
    <t>Truist 2Q26 Form 10-Q</t>
  </si>
  <si>
    <t>https://www.sec.gov/Archives/edgar/data/92230/000009223026000099/tfc-20260630.htm</t>
  </si>
  <si>
    <t>6M26/6M25 cash flows; preferred dividends; shares; buybacks</t>
  </si>
  <si>
    <t>S9</t>
  </si>
  <si>
    <t>Truist 1Q26 Form 10-Q</t>
  </si>
  <si>
    <t>https://www.sec.gov/Archives/edgar/data/92230/000009223026000062/tfc-20260331.htm</t>
  </si>
  <si>
    <t>3M26 cash flows; 1Q26 buyback shares</t>
  </si>
  <si>
    <t>S10</t>
  </si>
  <si>
    <t>Truist 3Q25 Form 10-Q</t>
  </si>
  <si>
    <t>https://www.sec.gov/Archives/edgar/data/92230/000009223025000157/tfc-20250930.htm</t>
  </si>
  <si>
    <t>9M25 cash flows; 9M25 buyback shares</t>
  </si>
  <si>
    <t>S11</t>
  </si>
  <si>
    <t>Truist 2025 Form 10-K</t>
  </si>
  <si>
    <t>https://www.sec.gov/Archives/edgar/data/92230/000009223026000030/R8.htm</t>
  </si>
  <si>
    <t>FY25 cash flows; FY25 equity roll-forward (R7); no geographic split disclosed</t>
  </si>
  <si>
    <t>S12</t>
  </si>
  <si>
    <t>Truist (SEC 8-K Ex. 99.1)</t>
  </si>
  <si>
    <t>https://www.sec.gov/Archives/edgar/data/92230/000009223026000096/ex991-pr2q26.htm</t>
  </si>
  <si>
    <t>2Q26 commentary: NII, fees, expense, tax drivers</t>
  </si>
  <si>
    <t>S13</t>
  </si>
  <si>
    <t>Truist (SEC 8-K, Reg FD)</t>
  </si>
  <si>
    <t>https://www.sec.gov/Archives/edgar/data/92230/000009223026000105/tfc-20260915.htm</t>
  </si>
  <si>
    <t>RAC sale: $5.5bn loans, $5.2bn proceeds, $535m recapture, $65m AT costs, 3Q26 outlook affirmed</t>
  </si>
  <si>
    <t>S14</t>
  </si>
  <si>
    <t>Federal Reserve Board (H.8 notes)</t>
  </si>
  <si>
    <t>https://www.federalreserve.gov/releases/h8/h8notes.htm</t>
  </si>
  <si>
    <t>$5.2bn auto loans divested w/e 2026-09-30 (RAC closing in 3Q26)</t>
  </si>
  <si>
    <t>S15</t>
  </si>
  <si>
    <t>Quartr via StockAnalysis</t>
  </si>
  <si>
    <t>https://stockanalysis.com/stocks/tfc/transcripts/650938-q2-2026/</t>
  </si>
  <si>
    <t>3Q26 guidance (revenue +1%, NII +1.5%, fees stable, expense +2%); FY26 outlook</t>
  </si>
  <si>
    <t>S16</t>
  </si>
  <si>
    <t>https://stockanalysis.com/stocks/tfc/transcripts/740243-barclays-24th-annual-global-financial-services-conference/</t>
  </si>
  <si>
    <t>Quarter tracking as expected; NII +1.5% affirmed; NCO ~55bp; $5bn buyback</t>
  </si>
  <si>
    <t>S17</t>
  </si>
  <si>
    <t>The Motley Fool</t>
  </si>
  <si>
    <t>https://www.fool.com/earnings/call-transcripts/2026/04/17/truist-tfc-q1-2026-earnings-call-transcript/</t>
  </si>
  <si>
    <t>2Q26 guidance and FY26 tax/buyback outlook (Guidance tab)</t>
  </si>
  <si>
    <t>S18</t>
  </si>
  <si>
    <t>https://stockanalysis.com/stocks/tfc/transcripts/367654-q4-2025/</t>
  </si>
  <si>
    <t>1Q26 guidance (Guidance tab)</t>
  </si>
  <si>
    <t>S19</t>
  </si>
  <si>
    <t>AlphaSpread</t>
  </si>
  <si>
    <t>https://www.alphaspread.com/security/nyse/tfc/investor-relations/earnings-call/q3-2025</t>
  </si>
  <si>
    <t>4Q25 guidance (Guidance tab)</t>
  </si>
  <si>
    <t>S20</t>
  </si>
  <si>
    <t>Earnings Whispers</t>
  </si>
  <si>
    <t>https://secure.earningswhispers.com/article/TFC/20354</t>
  </si>
  <si>
    <t>Newer consensus $1.17 / whisper $1.16 (recorded, not used for scoring); share price context</t>
  </si>
  <si>
    <t>S21</t>
  </si>
  <si>
    <t>Benzinga / AlphaPilot</t>
  </si>
  <si>
    <t>https://www.alphapilot.tech/discover/truist-q3-earnings-preview-1-07-eps-seen-on-oct-16-as-targets-get-cut</t>
  </si>
  <si>
    <t>Alternative consensus $1.07 (recorded only); price-target revisions</t>
  </si>
  <si>
    <t>S22</t>
  </si>
  <si>
    <t>Truist newsroom</t>
  </si>
  <si>
    <t>https://ir.truist.com/2026-09-18-Truist-announces-third-quarter-2026-earnings-call-details</t>
  </si>
  <si>
    <t>Report date 2026-10-16 before market open; dividend $0.52</t>
  </si>
  <si>
    <t>S23</t>
  </si>
  <si>
    <t>https://media.truist.com/2026-09-17-Truist-announces-redemption-of-subordinated-notes-due-October-2026</t>
  </si>
  <si>
    <t>$850m subordinated notes redeemed 2026-09-30</t>
  </si>
  <si>
    <t>S24</t>
  </si>
  <si>
    <t>Federal Reserve Board</t>
  </si>
  <si>
    <t>https://www.federalreserve.gov/newsevents/pressreleases/monetary20260916a.htm</t>
  </si>
  <si>
    <t>Fed funds +25bp to 3.75–4.00% effective 9/17/26 (yield/rate drivers)</t>
  </si>
  <si>
    <t>S25</t>
  </si>
  <si>
    <t>Reuters / MarketBeat</t>
  </si>
  <si>
    <t>https://www.marketbeat.com/instant-alerts/event-jpmorgan-chase-sees-mid-teens-growth-in-q3-banking-fees-and-markets-revenue-2026-09-15/</t>
  </si>
  <si>
    <t>Peer capital-markets read-across for IB &amp; trading</t>
  </si>
  <si>
    <t>S26</t>
  </si>
  <si>
    <t>American Banker</t>
  </si>
  <si>
    <t>https://www.americanbanker.com/news/the-impact-of-higher-rates-will-dominate-banks-3q-earnings</t>
  </si>
  <si>
    <t>Deposit-cost pressure read-across</t>
  </si>
  <si>
    <t>S27</t>
  </si>
  <si>
    <t>Bloomberg</t>
  </si>
  <si>
    <t>https://www.bloomberg.com/news/articles/2026-09-15/apollo-scoops-up-5-5-billion-of-truist-s-near-prime-car-loans</t>
  </si>
  <si>
    <t>RAC buyer (Apollo); deal terms</t>
  </si>
  <si>
    <t>S28</t>
  </si>
  <si>
    <t>Defense World (Benzinga feed)</t>
  </si>
  <si>
    <t>https://www.defenseworld.net/2026/10/03/truist-financial-nysetfc-stock-price-target-lowered-at-jpmorgan-chase-co.html</t>
  </si>
  <si>
    <t>Sell-side revisions context</t>
  </si>
  <si>
    <t>S29</t>
  </si>
  <si>
    <t>undated (pre-2Q26 snapshot)</t>
  </si>
  <si>
    <t>Yahoo Finance</t>
  </si>
  <si>
    <t>https://finance.yahoo.com/quote/TFC/analysis/</t>
  </si>
  <si>
    <t>Older Sep-2026 quarter EPS estimate $1.14 (recorded only)</t>
  </si>
  <si>
    <t>S30</t>
  </si>
  <si>
    <t>Forecasting playbook / metric targets (supplied)</t>
  </si>
  <si>
    <t>workspace/forecasting-playbook.md; workspace/metric-targets.json</t>
  </si>
  <si>
    <t>Method; prior calibration; tracked metrics</t>
  </si>
  <si>
    <t>Omitted tab: Geo – Truist reports no geographic revenue split (checked 2025 Form 10-K, S11, and 2Q26 Form 10-Q, S8); effectively all revenue is U.S.</t>
  </si>
  <si>
    <t>Actual 3Q26 results: not available before the cutoff and not used (saw_actual_results = false).</t>
  </si>
</sst>
</file>

<file path=xl/styles.xml><?xml version="1.0" encoding="utf-8"?>
<styleSheet xmlns="http://schemas.openxmlformats.org/spreadsheetml/2006/main">
  <numFmts count="14">
    <numFmt numFmtId="164" formatCode="#,##0.0_);(#,##0.0);–_)"/>
    <numFmt numFmtId="165" formatCode="$0.00"/>
    <numFmt numFmtId="166" formatCode="yyyy-mm-dd"/>
    <numFmt numFmtId="167" formatCode="0.0%_);(0.0%);–_)"/>
    <numFmt numFmtId="168" formatCode="0.00"/>
    <numFmt numFmtId="169" formatCode="General"/>
    <numFmt numFmtId="170" formatCode="0.00%_);(0.00%);–_)"/>
    <numFmt numFmtId="171" formatCode="#,##0_);(#,##0);–_)"/>
    <numFmt numFmtId="172" formatCode="0"/>
    <numFmt numFmtId="173" formatCode="0.0%"/>
    <numFmt numFmtId="174" formatCode="$0.00_);($0.00)"/>
    <numFmt numFmtId="175" formatCode="#,##0.0_);(#,##0.0);0.0_)"/>
    <numFmt numFmtId="176" formatCode="0.0%_);(0.0%);0.0%_)"/>
    <numFmt numFmtId="177" formatCode="#,##0_);(#,##0);0_)"/>
  </numFmts>
  <fonts count="29">
    <font>
      <sz val="11"/>
      <name val="Calibri"/>
    </font>
    <font>
      <b val="0"/>
      <i val="0"/>
      <strike val="0"/>
      <sz val="10"/>
      <color rgb="FF000000"/>
      <name val="Arial"/>
    </font>
    <font>
      <b val="0"/>
      <i val="0"/>
      <strike val="0"/>
      <sz val="10"/>
      <color rgb="FF006100"/>
      <name val="Arial"/>
    </font>
    <font>
      <b/>
      <i val="0"/>
      <strike val="0"/>
      <u/>
      <sz val="10"/>
      <color rgb="FF000000"/>
      <name val="Arial"/>
    </font>
    <font>
      <b val="0"/>
      <i val="0"/>
      <strike val="0"/>
      <sz val="10"/>
      <color rgb="FF0000FF"/>
      <name val="Arial"/>
    </font>
    <font>
      <b val="0"/>
      <i/>
      <strike val="0"/>
      <sz val="10"/>
      <color rgb="FF000000"/>
      <name val="Arial"/>
    </font>
    <font>
      <b/>
      <i val="0"/>
      <strike val="0"/>
      <sz val="10"/>
      <color rgb="FF000000"/>
      <name val="Arial"/>
    </font>
    <font>
      <b val="0"/>
      <i/>
      <strike val="0"/>
      <sz val="10"/>
      <color rgb="FF006100"/>
      <name val="Arial"/>
    </font>
    <font>
      <b/>
      <i val="0"/>
      <strike val="0"/>
      <sz val="10"/>
      <color rgb="FF006100"/>
      <name val="Arial"/>
    </font>
    <font>
      <b/>
      <i val="0"/>
      <strike val="0"/>
      <sz val="12"/>
      <color rgb="FF000000"/>
      <name val="Arial"/>
    </font>
    <font>
      <b val="0"/>
      <i/>
      <strike val="0"/>
      <sz val="10"/>
      <color rgb="FF0000FF"/>
      <name val="Arial"/>
    </font>
    <font>
      <b/>
      <i val="0"/>
      <strike val="0"/>
      <sz val="10"/>
      <color rgb="FF0000FF"/>
      <name val="Arial"/>
    </font>
    <font>
      <b/>
      <i val="0"/>
      <strike val="0"/>
      <sz val="14"/>
      <color rgb="FF000000"/>
      <name val="Arial"/>
    </font>
    <font>
      <b/>
      <i/>
      <strike val="0"/>
      <sz val="10"/>
      <color rgb="FF000000"/>
      <name val="Arial"/>
    </font>
    <font>
      <b/>
      <i val="0"/>
      <strike val="0"/>
      <sz val="10"/>
      <color rgb="FF000000"/>
      <name val="Arial"/>
    </font>
    <font>
      <b val="0"/>
      <i val="0"/>
      <strike val="0"/>
      <sz val="10"/>
      <color rgb="FF000000"/>
      <name val="Arial"/>
    </font>
    <font>
      <b val="0"/>
      <i val="0"/>
      <strike val="0"/>
      <sz val="10"/>
      <color rgb="FF006100"/>
      <name val="Arial"/>
    </font>
    <font>
      <b val="0"/>
      <i/>
      <strike val="0"/>
      <sz val="10"/>
      <color rgb="FF000000"/>
      <name val="Arial"/>
    </font>
    <font>
      <b val="0"/>
      <i/>
      <strike val="0"/>
      <sz val="10"/>
      <color rgb="FF006100"/>
      <name val="Arial"/>
    </font>
    <font>
      <b val="0"/>
      <i val="0"/>
      <strike val="0"/>
      <sz val="10"/>
      <color rgb="FF000000"/>
      <name val="Arial"/>
    </font>
    <font>
      <b val="0"/>
      <i val="0"/>
      <strike val="0"/>
      <sz val="10"/>
      <color rgb="FF0000FF"/>
      <name val="Arial"/>
    </font>
    <font>
      <b val="0"/>
      <i val="0"/>
      <strike val="0"/>
      <sz val="10"/>
      <color rgb="FF000000"/>
      <name val="Arial"/>
    </font>
    <font>
      <b val="0"/>
      <i val="0"/>
      <strike val="0"/>
      <sz val="10"/>
      <color rgb="FF0000FF"/>
      <name val="Arial"/>
    </font>
    <font>
      <b val="0"/>
      <i/>
      <strike val="0"/>
      <sz val="10"/>
      <color rgb="FF000000"/>
      <name val="Arial"/>
    </font>
    <font>
      <b val="0"/>
      <i/>
      <strike val="0"/>
      <sz val="10"/>
      <color rgb="FF0000FF"/>
      <name val="Arial"/>
    </font>
    <font>
      <b val="0"/>
      <i val="0"/>
      <strike val="0"/>
      <sz val="10"/>
      <color rgb="FF000000"/>
      <name val="Arial"/>
    </font>
    <font>
      <b val="0"/>
      <i/>
      <strike val="0"/>
      <sz val="10"/>
      <color rgb="FF0000FF"/>
      <name val="Arial"/>
    </font>
    <font>
      <b val="0"/>
      <i/>
      <strike val="0"/>
      <sz val="10"/>
      <color rgb="FF000000"/>
      <name val="Arial"/>
    </font>
    <font>
      <b val="0"/>
      <i val="0"/>
      <strike val="0"/>
      <sz val="10"/>
      <color rgb="FF0000FF"/>
      <name val="Arial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EEF3FA"/>
      </patternFill>
    </fill>
  </fills>
  <borders count="5">
    <border>
      <left/>
      <right/>
      <top/>
      <bottom/>
      <diagonal/>
    </border>
    <border>
      <top style="thin">
        <color rgb="FF808080"/>
      </top>
      <bottom style="thin">
        <color rgb="FF808080"/>
      </bottom>
    </border>
    <border>
      <top style="thin">
        <color rgb="FF808080"/>
      </top>
    </border>
    <border>
      <bottom style="thin">
        <color rgb="FF808080"/>
      </bottom>
    </border>
    <border>
      <top style="thin">
        <color rgb="FF000000"/>
      </top>
    </border>
  </borders>
  <cellStyleXfs count="1">
    <xf numFmtId="0" fontId="0" fillId="0" borderId="0"/>
  </cellStyleXfs>
  <cellXfs count="114">
    <xf numFmtId="0" fontId="0" fillId="0" borderId="0" xfId="0"/>
    <xf numFmtId="0" fontId="1" fillId="0" borderId="0" xfId="0" applyFont="1" applyFill="1" applyAlignment="1" applyProtection="1">
      <alignment horizontal="general" vertical="bottom"/>
      <protection locked="1" hidden="0"/>
    </xf>
    <xf numFmtId="164" fontId="2" fillId="0" borderId="0" xfId="0" applyNumberFormat="1" applyFont="1" applyFill="1" applyAlignment="1" applyProtection="1">
      <alignment horizontal="right" vertical="bottom"/>
      <protection locked="1" hidden="0"/>
    </xf>
    <xf numFmtId="165" fontId="2" fillId="0" borderId="0" xfId="0" applyNumberFormat="1" applyFont="1" applyFill="1" applyAlignment="1" applyProtection="1">
      <alignment horizontal="right" vertical="bottom"/>
      <protection locked="1" hidden="0"/>
    </xf>
    <xf numFmtId="0" fontId="3" fillId="0" borderId="0" xfId="0" applyFont="1" applyFill="1" applyAlignment="1" applyProtection="1">
      <alignment horizontal="general" vertical="bottom"/>
      <protection locked="1" hidden="0"/>
    </xf>
    <xf numFmtId="166" fontId="4" fillId="0" borderId="0" xfId="0" applyNumberFormat="1" applyFont="1" applyFill="1" applyAlignment="1" applyProtection="1">
      <alignment horizontal="general" vertical="bottom"/>
      <protection locked="1" hidden="0"/>
    </xf>
    <xf numFmtId="165" fontId="1" fillId="0" borderId="0" xfId="0" applyNumberFormat="1" applyFont="1" applyFill="1" applyAlignment="1" applyProtection="1">
      <alignment horizontal="right" vertical="bottom"/>
      <protection locked="1" hidden="0"/>
    </xf>
    <xf numFmtId="167" fontId="5" fillId="0" borderId="0" xfId="0" applyNumberFormat="1" applyFont="1" applyFill="1" applyAlignment="1" applyProtection="1">
      <alignment horizontal="right" vertical="bottom"/>
      <protection locked="1" hidden="0"/>
    </xf>
    <xf numFmtId="0" fontId="5" fillId="0" borderId="0" xfId="0" applyFont="1" applyFill="1" applyAlignment="1" applyProtection="1">
      <alignment horizontal="general" vertical="bottom"/>
      <protection locked="1" hidden="0"/>
    </xf>
    <xf numFmtId="165" fontId="4" fillId="0" borderId="0" xfId="0" applyNumberFormat="1" applyFont="1" applyFill="1" applyAlignment="1" applyProtection="1">
      <alignment horizontal="right" vertical="bottom"/>
      <protection locked="1" hidden="0"/>
    </xf>
    <xf numFmtId="0" fontId="6" fillId="2" borderId="1" xfId="0" applyFont="1" applyFill="1" applyBorder="1" applyAlignment="1" applyProtection="1">
      <alignment horizontal="general" vertical="top" wrapText="1"/>
      <protection locked="1" hidden="0"/>
    </xf>
    <xf numFmtId="164" fontId="1" fillId="0" borderId="0" xfId="0" applyNumberFormat="1" applyFont="1" applyFill="1" applyAlignment="1" applyProtection="1">
      <alignment horizontal="right" vertical="bottom"/>
      <protection locked="1" hidden="0"/>
    </xf>
    <xf numFmtId="0" fontId="6" fillId="0" borderId="0" xfId="0" applyFont="1" applyFill="1" applyAlignment="1" applyProtection="1">
      <alignment horizontal="general" vertical="bottom"/>
      <protection locked="1" hidden="0"/>
    </xf>
    <xf numFmtId="166" fontId="4" fillId="0" borderId="0" xfId="0" applyNumberFormat="1" applyFont="1" applyFill="1" applyAlignment="1" applyProtection="1">
      <alignment horizontal="right" vertical="bottom"/>
      <protection locked="1" hidden="0"/>
    </xf>
    <xf numFmtId="0" fontId="4" fillId="0" borderId="0" xfId="0" applyFont="1" applyFill="1" applyAlignment="1" applyProtection="1">
      <alignment horizontal="right" vertical="bottom"/>
      <protection locked="1" hidden="0"/>
    </xf>
    <xf numFmtId="167" fontId="7" fillId="0" borderId="0" xfId="0" applyNumberFormat="1" applyFont="1" applyFill="1" applyAlignment="1" applyProtection="1">
      <alignment horizontal="right" vertical="bottom"/>
      <protection locked="1" hidden="0"/>
    </xf>
    <xf numFmtId="168" fontId="1" fillId="0" borderId="0" xfId="0" applyNumberFormat="1" applyFont="1" applyFill="1" applyAlignment="1" applyProtection="1">
      <alignment horizontal="right" vertical="bottom"/>
      <protection locked="1" hidden="0"/>
    </xf>
    <xf numFmtId="0" fontId="6" fillId="2" borderId="2" xfId="0" applyFont="1" applyFill="1" applyBorder="1" applyAlignment="1" applyProtection="1">
      <alignment horizontal="right" vertical="bottom"/>
      <protection locked="1" hidden="0"/>
    </xf>
    <xf numFmtId="0" fontId="1" fillId="0" borderId="0" xfId="0" applyFont="1" applyFill="1" applyAlignment="1" applyProtection="1">
      <alignment horizontal="right" vertical="bottom"/>
      <protection locked="1" hidden="0"/>
    </xf>
    <xf numFmtId="0" fontId="5" fillId="0" borderId="0" xfId="0" applyFont="1" applyFill="1" applyAlignment="1" applyProtection="1">
      <alignment horizontal="general" vertical="top" wrapText="1"/>
      <protection locked="1" hidden="0"/>
    </xf>
    <xf numFmtId="0" fontId="6" fillId="2" borderId="1" xfId="0" applyFont="1" applyFill="1" applyBorder="1" applyAlignment="1" applyProtection="1">
      <alignment horizontal="general" vertical="bottom"/>
      <protection locked="1" hidden="0"/>
    </xf>
    <xf numFmtId="169" fontId="8" fillId="0" borderId="0" xfId="0" applyNumberFormat="1" applyFont="1" applyFill="1" applyAlignment="1" applyProtection="1">
      <alignment horizontal="right" vertical="bottom"/>
      <protection locked="1" hidden="0"/>
    </xf>
    <xf numFmtId="164" fontId="4" fillId="0" borderId="0" xfId="0" applyNumberFormat="1" applyFont="1" applyFill="1" applyAlignment="1" applyProtection="1">
      <alignment horizontal="right" vertical="bottom"/>
      <protection locked="1" hidden="0"/>
    </xf>
    <xf numFmtId="0" fontId="9" fillId="0" borderId="0" xfId="0" applyFont="1" applyFill="1" applyAlignment="1" applyProtection="1">
      <alignment horizontal="general" vertical="bottom"/>
      <protection locked="1" hidden="0"/>
    </xf>
    <xf numFmtId="170" fontId="10" fillId="0" borderId="0" xfId="0" applyNumberFormat="1" applyFont="1" applyFill="1" applyAlignment="1" applyProtection="1">
      <alignment horizontal="right" vertical="bottom"/>
      <protection locked="1" hidden="0"/>
    </xf>
    <xf numFmtId="167" fontId="10" fillId="0" borderId="0" xfId="0" applyNumberFormat="1" applyFont="1" applyFill="1" applyAlignment="1" applyProtection="1">
      <alignment horizontal="right" vertical="bottom"/>
      <protection locked="1" hidden="0"/>
    </xf>
    <xf numFmtId="171" fontId="1" fillId="0" borderId="0" xfId="0" applyNumberFormat="1" applyFont="1" applyFill="1" applyAlignment="1" applyProtection="1">
      <alignment horizontal="right" vertical="bottom"/>
      <protection locked="1" hidden="0"/>
    </xf>
    <xf numFmtId="172" fontId="6" fillId="2" borderId="3" xfId="0" applyNumberFormat="1" applyFont="1" applyFill="1" applyBorder="1" applyAlignment="1" applyProtection="1">
      <alignment horizontal="right" vertical="bottom"/>
      <protection locked="1" hidden="0"/>
    </xf>
    <xf numFmtId="164" fontId="6" fillId="3" borderId="0" xfId="0" applyNumberFormat="1" applyFont="1" applyFill="1" applyAlignment="1" applyProtection="1">
      <alignment horizontal="right" vertical="bottom"/>
      <protection locked="1" hidden="0"/>
    </xf>
    <xf numFmtId="164" fontId="1" fillId="3" borderId="0" xfId="0" applyNumberFormat="1" applyFont="1" applyFill="1" applyAlignment="1" applyProtection="1">
      <alignment horizontal="right" vertical="bottom"/>
      <protection locked="1" hidden="0"/>
    </xf>
    <xf numFmtId="0" fontId="1" fillId="2" borderId="0" xfId="0" applyFont="1" applyFill="1" applyAlignment="1" applyProtection="1">
      <alignment horizontal="general" vertical="bottom"/>
      <protection locked="1" hidden="0"/>
    </xf>
    <xf numFmtId="167" fontId="5" fillId="3" borderId="0" xfId="0" applyNumberFormat="1" applyFont="1" applyFill="1" applyAlignment="1" applyProtection="1">
      <alignment horizontal="right" vertical="bottom"/>
      <protection locked="1" hidden="0"/>
    </xf>
    <xf numFmtId="0" fontId="6" fillId="0" borderId="0" xfId="0" applyFont="1" applyFill="1" applyAlignment="1" applyProtection="1">
      <alignment horizontal="right" vertical="bottom"/>
      <protection locked="1" hidden="0"/>
    </xf>
    <xf numFmtId="0" fontId="1" fillId="0" borderId="0" xfId="0" applyFont="1" applyFill="1" applyAlignment="1" applyProtection="1">
      <alignment horizontal="general" vertical="top" wrapText="1"/>
      <protection locked="1" hidden="0"/>
    </xf>
    <xf numFmtId="0" fontId="6" fillId="2" borderId="1" xfId="0" applyFont="1" applyFill="1" applyBorder="1" applyAlignment="1" applyProtection="1">
      <alignment horizontal="right" vertical="bottom"/>
      <protection locked="1" hidden="0"/>
    </xf>
    <xf numFmtId="164" fontId="6" fillId="0" borderId="0" xfId="0" applyNumberFormat="1" applyFont="1" applyFill="1" applyAlignment="1" applyProtection="1">
      <alignment horizontal="right" vertical="bottom"/>
      <protection locked="1" hidden="0"/>
    </xf>
    <xf numFmtId="164" fontId="11" fillId="0" borderId="4" xfId="0" applyNumberFormat="1" applyFont="1" applyFill="1" applyBorder="1" applyAlignment="1" applyProtection="1">
      <alignment horizontal="right" vertical="bottom"/>
      <protection locked="1" hidden="0"/>
    </xf>
    <xf numFmtId="166" fontId="6" fillId="2" borderId="0" xfId="0" applyNumberFormat="1" applyFont="1" applyFill="1" applyAlignment="1" applyProtection="1">
      <alignment horizontal="right" vertical="bottom"/>
      <protection locked="1" hidden="0"/>
    </xf>
    <xf numFmtId="164" fontId="5" fillId="0" borderId="0" xfId="0" applyNumberFormat="1" applyFont="1" applyFill="1" applyAlignment="1" applyProtection="1">
      <alignment horizontal="right" vertical="bottom"/>
      <protection locked="1" hidden="0"/>
    </xf>
    <xf numFmtId="164" fontId="8" fillId="0" borderId="4" xfId="0" applyNumberFormat="1" applyFont="1" applyFill="1" applyBorder="1" applyAlignment="1" applyProtection="1">
      <alignment horizontal="right" vertical="bottom"/>
      <protection locked="1" hidden="0"/>
    </xf>
    <xf numFmtId="0" fontId="6" fillId="2" borderId="3" xfId="0" applyFont="1" applyFill="1" applyBorder="1" applyAlignment="1" applyProtection="1">
      <alignment horizontal="general" vertical="bottom"/>
      <protection locked="1" hidden="0"/>
    </xf>
    <xf numFmtId="164" fontId="2" fillId="3" borderId="0" xfId="0" applyNumberFormat="1" applyFont="1" applyFill="1" applyAlignment="1" applyProtection="1">
      <alignment horizontal="right" vertical="bottom"/>
      <protection locked="1" hidden="0"/>
    </xf>
    <xf numFmtId="165" fontId="1" fillId="3" borderId="0" xfId="0" applyNumberFormat="1" applyFont="1" applyFill="1" applyAlignment="1" applyProtection="1">
      <alignment horizontal="right" vertical="bottom"/>
      <protection locked="1" hidden="0"/>
    </xf>
    <xf numFmtId="164" fontId="11" fillId="0" borderId="0" xfId="0" applyNumberFormat="1" applyFont="1" applyFill="1" applyAlignment="1" applyProtection="1">
      <alignment horizontal="right" vertical="bottom"/>
      <protection locked="1" hidden="0"/>
    </xf>
    <xf numFmtId="168" fontId="2" fillId="0" borderId="0" xfId="0" applyNumberFormat="1" applyFont="1" applyFill="1" applyAlignment="1" applyProtection="1">
      <alignment horizontal="right" vertical="bottom"/>
      <protection locked="1" hidden="0"/>
    </xf>
    <xf numFmtId="0" fontId="1" fillId="3" borderId="0" xfId="0" applyFont="1" applyFill="1" applyAlignment="1" applyProtection="1">
      <alignment horizontal="right" vertical="bottom"/>
      <protection locked="1" hidden="0"/>
    </xf>
    <xf numFmtId="170" fontId="5" fillId="0" borderId="0" xfId="0" applyNumberFormat="1" applyFont="1" applyFill="1" applyAlignment="1" applyProtection="1">
      <alignment horizontal="right" vertical="bottom"/>
      <protection locked="1" hidden="0"/>
    </xf>
    <xf numFmtId="164" fontId="4" fillId="3" borderId="0" xfId="0" applyNumberFormat="1" applyFont="1" applyFill="1" applyAlignment="1" applyProtection="1">
      <alignment horizontal="right" vertical="bottom"/>
      <protection locked="1" hidden="0"/>
    </xf>
    <xf numFmtId="0" fontId="6" fillId="0" borderId="0" xfId="0" applyFont="1" applyFill="1" applyAlignment="1" applyProtection="1">
      <alignment horizontal="general" vertical="top" wrapText="1"/>
      <protection locked="1" hidden="0"/>
    </xf>
    <xf numFmtId="0" fontId="6" fillId="2" borderId="2" xfId="0" applyFont="1" applyFill="1" applyBorder="1" applyAlignment="1" applyProtection="1">
      <alignment horizontal="general" vertical="bottom"/>
      <protection locked="1" hidden="0"/>
    </xf>
    <xf numFmtId="164" fontId="6" fillId="0" borderId="4" xfId="0" applyNumberFormat="1" applyFont="1" applyFill="1" applyBorder="1" applyAlignment="1" applyProtection="1">
      <alignment horizontal="right" vertical="bottom"/>
      <protection locked="1" hidden="0"/>
    </xf>
    <xf numFmtId="0" fontId="12" fillId="0" borderId="0" xfId="0" applyFont="1" applyFill="1" applyAlignment="1" applyProtection="1">
      <alignment horizontal="general" vertical="bottom"/>
      <protection locked="1" hidden="0"/>
    </xf>
    <xf numFmtId="173" fontId="7" fillId="0" borderId="0" xfId="0" applyNumberFormat="1" applyFont="1" applyFill="1" applyAlignment="1" applyProtection="1">
      <alignment horizontal="right" vertical="bottom"/>
      <protection locked="1" hidden="0"/>
    </xf>
    <xf numFmtId="168" fontId="1" fillId="3" borderId="0" xfId="0" applyNumberFormat="1" applyFont="1" applyFill="1" applyAlignment="1" applyProtection="1">
      <alignment horizontal="right" vertical="bottom"/>
      <protection locked="1" hidden="0"/>
    </xf>
    <xf numFmtId="0" fontId="6" fillId="2" borderId="0" xfId="0" applyFont="1" applyFill="1" applyAlignment="1" applyProtection="1">
      <alignment horizontal="general" vertical="bottom"/>
      <protection locked="1" hidden="0"/>
    </xf>
    <xf numFmtId="165" fontId="2" fillId="3" borderId="0" xfId="0" applyNumberFormat="1" applyFont="1" applyFill="1" applyAlignment="1" applyProtection="1">
      <alignment horizontal="right" vertical="bottom"/>
      <protection locked="1" hidden="0"/>
    </xf>
    <xf numFmtId="171" fontId="2" fillId="0" borderId="0" xfId="0" applyNumberFormat="1" applyFont="1" applyFill="1" applyAlignment="1" applyProtection="1">
      <alignment horizontal="right" vertical="bottom"/>
      <protection locked="1" hidden="0"/>
    </xf>
    <xf numFmtId="0" fontId="3" fillId="0" borderId="0" xfId="0" applyFont="1" applyFill="1" applyAlignment="1" applyProtection="1">
      <alignment horizontal="general" vertical="top" wrapText="1"/>
      <protection locked="1" hidden="0"/>
    </xf>
    <xf numFmtId="0" fontId="1" fillId="2" borderId="3" xfId="0" applyFont="1" applyFill="1" applyBorder="1" applyAlignment="1" applyProtection="1">
      <alignment horizontal="general" vertical="bottom"/>
      <protection locked="1" hidden="0"/>
    </xf>
    <xf numFmtId="164" fontId="5" fillId="3" borderId="0" xfId="0" applyNumberFormat="1" applyFont="1" applyFill="1" applyAlignment="1" applyProtection="1">
      <alignment horizontal="right" vertical="bottom"/>
      <protection locked="1" hidden="0"/>
    </xf>
    <xf numFmtId="171" fontId="1" fillId="3" borderId="0" xfId="0" applyNumberFormat="1" applyFont="1" applyFill="1" applyAlignment="1" applyProtection="1">
      <alignment horizontal="right" vertical="bottom"/>
      <protection locked="1" hidden="0"/>
    </xf>
    <xf numFmtId="164" fontId="6" fillId="3" borderId="4" xfId="0" applyNumberFormat="1" applyFont="1" applyFill="1" applyBorder="1" applyAlignment="1" applyProtection="1">
      <alignment horizontal="right" vertical="bottom"/>
      <protection locked="1" hidden="0"/>
    </xf>
    <xf numFmtId="171" fontId="4" fillId="3" borderId="0" xfId="0" applyNumberFormat="1" applyFont="1" applyFill="1" applyAlignment="1" applyProtection="1">
      <alignment horizontal="right" vertical="bottom"/>
      <protection locked="1" hidden="0"/>
    </xf>
    <xf numFmtId="165" fontId="4" fillId="3" borderId="0" xfId="0" applyNumberFormat="1" applyFont="1" applyFill="1" applyAlignment="1" applyProtection="1">
      <alignment horizontal="right" vertical="bottom"/>
      <protection locked="1" hidden="0"/>
    </xf>
    <xf numFmtId="165" fontId="6" fillId="0" borderId="0" xfId="0" applyNumberFormat="1" applyFont="1" applyFill="1" applyAlignment="1" applyProtection="1">
      <alignment horizontal="right" vertical="bottom"/>
      <protection locked="1" hidden="0"/>
    </xf>
    <xf numFmtId="167" fontId="10" fillId="3" borderId="0" xfId="0" applyNumberFormat="1" applyFont="1" applyFill="1" applyAlignment="1" applyProtection="1">
      <alignment horizontal="right" vertical="bottom"/>
      <protection locked="1" hidden="0"/>
    </xf>
    <xf numFmtId="164" fontId="13" fillId="0" borderId="0" xfId="0" applyNumberFormat="1" applyFont="1" applyFill="1" applyAlignment="1" applyProtection="1">
      <alignment horizontal="right" vertical="bottom"/>
      <protection locked="1" hidden="0"/>
    </xf>
    <xf numFmtId="170" fontId="5" fillId="3" borderId="0" xfId="0" applyNumberFormat="1" applyFont="1" applyFill="1" applyAlignment="1" applyProtection="1">
      <alignment horizontal="right" vertical="bottom"/>
      <protection locked="1" hidden="0"/>
    </xf>
    <xf numFmtId="0" fontId="13" fillId="0" borderId="0" xfId="0" applyFont="1" applyFill="1" applyAlignment="1" applyProtection="1">
      <alignment horizontal="general" vertical="top" wrapText="1"/>
      <protection locked="1" hidden="0"/>
    </xf>
    <xf numFmtId="164" fontId="13" fillId="3" borderId="0" xfId="0" applyNumberFormat="1" applyFont="1" applyFill="1" applyAlignment="1" applyProtection="1">
      <alignment horizontal="right" vertical="bottom"/>
      <protection locked="1" hidden="0"/>
    </xf>
    <xf numFmtId="165" fontId="5" fillId="0" borderId="0" xfId="0" applyNumberFormat="1" applyFont="1" applyFill="1" applyAlignment="1" applyProtection="1">
      <alignment horizontal="right" vertical="bottom"/>
      <protection locked="1" hidden="0"/>
    </xf>
    <xf numFmtId="164" fontId="7" fillId="0" borderId="0" xfId="0" applyNumberFormat="1" applyFont="1" applyFill="1" applyAlignment="1" applyProtection="1">
      <alignment horizontal="right" vertical="bottom"/>
      <protection locked="1" hidden="0"/>
    </xf>
    <xf numFmtId="165" fontId="6" fillId="3" borderId="0" xfId="0" applyNumberFormat="1" applyFont="1" applyFill="1" applyAlignment="1" applyProtection="1">
      <alignment horizontal="right" vertical="bottom"/>
      <protection locked="1" hidden="0"/>
    </xf>
    <xf numFmtId="166" fontId="4" fillId="0" borderId="0" xfId="0" applyNumberFormat="1" applyFont="1" applyFill="1" applyAlignment="1" applyProtection="1">
      <alignment horizontal="general" vertical="top" wrapText="1"/>
      <protection locked="1" hidden="0"/>
    </xf>
    <xf numFmtId="170" fontId="10" fillId="3" borderId="0" xfId="0" applyNumberFormat="1" applyFont="1" applyFill="1" applyAlignment="1" applyProtection="1">
      <alignment horizontal="right" vertical="bottom"/>
      <protection locked="1" hidden="0"/>
    </xf>
    <xf numFmtId="165" fontId="5" fillId="3" borderId="0" xfId="0" applyNumberFormat="1" applyFont="1" applyFill="1" applyAlignment="1" applyProtection="1">
      <alignment horizontal="right" vertical="bottom"/>
      <protection locked="1" hidden="0"/>
    </xf>
    <xf numFmtId="171" fontId="4" fillId="0" borderId="0" xfId="0" applyNumberFormat="1" applyFont="1" applyFill="1" applyAlignment="1" applyProtection="1">
      <alignment horizontal="right" vertical="bottom"/>
      <protection locked="1" hidden="0"/>
    </xf>
    <xf numFmtId="170" fontId="7" fillId="0" borderId="0" xfId="0" applyNumberFormat="1" applyFont="1" applyFill="1" applyAlignment="1" applyProtection="1">
      <alignment horizontal="right" vertical="bottom"/>
      <protection locked="1" hidden="0"/>
    </xf>
    <xf numFmtId="168" fontId="4" fillId="0" borderId="0" xfId="0" applyNumberFormat="1" applyFont="1" applyFill="1" applyAlignment="1" applyProtection="1">
      <alignment horizontal="right" vertical="bottom"/>
      <protection locked="1" hidden="0"/>
    </xf>
    <xf numFmtId="164" fontId="8" fillId="3" borderId="4" xfId="0" applyNumberFormat="1" applyFont="1" applyFill="1" applyBorder="1" applyAlignment="1" applyProtection="1">
      <alignment horizontal="right" vertical="bottom"/>
      <protection locked="1" hidden="0"/>
    </xf>
    <xf numFmtId="172" fontId="4" fillId="0" borderId="0" xfId="0" applyNumberFormat="1" applyFont="1" applyFill="1" applyAlignment="1" applyProtection="1">
      <alignment horizontal="right" vertical="bottom"/>
      <protection locked="1" hidden="0"/>
    </xf>
    <xf numFmtId="164" fontId="7" fillId="3" borderId="0" xfId="0" applyNumberFormat="1" applyFont="1" applyFill="1" applyAlignment="1" applyProtection="1">
      <alignment horizontal="right" vertical="bottom"/>
      <protection locked="1" hidden="0"/>
    </xf>
    <xf numFmtId="169" fontId="14" fillId="2" borderId="1" xfId="0" applyNumberFormat="1" applyFont="1" applyFill="1" applyBorder="1" applyAlignment="1" applyProtection="1">
      <alignment horizontal="right" vertical="top" textRotation="0" wrapText="1" indent="0" readingOrder="0"/>
      <protection locked="1" hidden="0"/>
    </xf>
    <xf numFmtId="174" fontId="15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4" fontId="16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9" fontId="15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9" fontId="14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9" fontId="17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69" fontId="14" fillId="2" borderId="1" xfId="0" applyNumberFormat="1" applyFont="1" applyFill="1" applyBorder="1" applyAlignment="1" applyProtection="1">
      <alignment horizontal="right" vertical="bottom" textRotation="0" indent="0" readingOrder="0"/>
      <protection locked="1" hidden="0"/>
    </xf>
    <xf numFmtId="174" fontId="16" fillId="3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4" fontId="15" fillId="3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7" fontId="18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9" fontId="15" fillId="0" borderId="0" xfId="0" applyNumberFormat="1" applyFont="1" applyFill="1" applyAlignment="1" applyProtection="1">
      <alignment horizontal="left" vertical="bottom" textRotation="0" indent="0" readingOrder="0"/>
      <protection locked="1" hidden="0"/>
    </xf>
    <xf numFmtId="169" fontId="15" fillId="0" borderId="0" xfId="0" applyNumberFormat="1" applyFont="1" applyFill="1" applyAlignment="1" applyProtection="1">
      <alignment horizontal="left" vertical="bottom" textRotation="0" wrapText="1" indent="0" readingOrder="0"/>
      <protection locked="1" hidden="0"/>
    </xf>
    <xf numFmtId="169" fontId="14" fillId="0" borderId="0" xfId="0" applyNumberFormat="1" applyFont="1" applyFill="1" applyAlignment="1" applyProtection="1">
      <alignment horizontal="right" vertical="top" textRotation="0" wrapText="1" indent="0" readingOrder="0"/>
      <protection locked="1" hidden="0"/>
    </xf>
    <xf numFmtId="169" fontId="14" fillId="0" borderId="0" xfId="0" applyNumberFormat="1" applyFont="1" applyFill="1" applyAlignment="1" applyProtection="1">
      <alignment horizontal="left" vertical="bottom" textRotation="0" indent="0" readingOrder="0"/>
      <protection locked="1" hidden="0"/>
    </xf>
    <xf numFmtId="169" fontId="19" fillId="0" borderId="0" xfId="0" applyNumberFormat="1" applyFont="1" applyFill="1" applyAlignment="1" applyProtection="1">
      <alignment horizontal="general" vertical="top" textRotation="0" wrapText="1" indent="0" readingOrder="0"/>
      <protection locked="1" hidden="0"/>
    </xf>
    <xf numFmtId="169" fontId="19" fillId="0" borderId="0" xfId="0" applyNumberFormat="1" applyFont="1" applyFill="1" applyAlignment="1" applyProtection="1">
      <alignment horizontal="general" vertical="top" textRotation="0" indent="0" readingOrder="0"/>
      <protection locked="1" hidden="0"/>
    </xf>
    <xf numFmtId="166" fontId="20" fillId="0" borderId="0" xfId="0" applyNumberFormat="1" applyFont="1" applyFill="1" applyAlignment="1" applyProtection="1">
      <alignment horizontal="right" vertical="top" textRotation="0" indent="0" readingOrder="0"/>
      <protection locked="1" hidden="0"/>
    </xf>
    <xf numFmtId="169" fontId="19" fillId="0" borderId="0" xfId="0" applyNumberFormat="1" applyFont="1" applyFill="1" applyAlignment="1" applyProtection="1">
      <alignment horizontal="right" vertical="bottom" textRotation="0" wrapText="1" indent="0" readingOrder="0"/>
      <protection locked="1" hidden="0"/>
    </xf>
    <xf numFmtId="169" fontId="21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69" fontId="3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75" fontId="22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6" fontId="23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6" fontId="24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5" fontId="22" fillId="3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7" fontId="22" fillId="3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6" fontId="24" fillId="3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9" fontId="21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5" fontId="25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9" fontId="25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0" fontId="26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0" fontId="27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6" fontId="28" fillId="0" borderId="0" xfId="0" applyNumberFormat="1" applyFont="1" applyFill="1" applyAlignment="1" applyProtection="1">
      <alignment horizontal="right" vertical="top" textRotation="0" wrapText="1" indent="0" readingOrder="0"/>
      <protection locked="1" hidden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theme" Target="theme/theme1.xml"/><Relationship Id="rId15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1</xdr:col>
      <xdr:colOff>57150</xdr:colOff>
      <xdr:row>0</xdr:row>
      <xdr:rowOff>19050</xdr:rowOff>
    </xdr:from>
    <xdr:ext cx="571500" cy="571500"/>
    <xdr:pic>
      <xdr:nvPicPr>
        <xdr:cNvPr id="2" name="Shortcut logo"/>
        <xdr:cNvPicPr>
          <a:picLocks noChangeAspect="1"/>
        </xdr:cNvPicPr>
      </xdr:nvPicPr>
      <xdr:blipFill>
        <a:blip r:embed="rId1"/>
      </xdr:blipFill>
      <xdr:spPr>
        <a:xfrm>
          <a:off x="0" y="0"/>
          <a:ext cx="571500" cy="5715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Malgun Gothic"/>
        <a:font script="Hans" typeface="DengXian Light"/>
        <a:font script="Hant" typeface="Microsoft JhengHei Light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</a:majorFont>
      <a:minorFont>
        <a:latin typeface="Calibri" panose="020F0502020204030204"/>
        <a:ea typeface=""/>
        <a:cs typeface=""/>
        <a:font script="Jpan" typeface="Yu Gothic"/>
        <a:font script="Hang" typeface="Malgun Gothic"/>
        <a:font script="Hans" typeface="DengXian"/>
        <a:font script="Hant" typeface="Microsoft JhengHei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comments" Target="../comments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0"/>
  <sheetViews>
    <sheetView showGridLines="0" tabSelected="1" workbookViewId="0"/>
  </sheetViews>
  <sheetFormatPr defaultColWidth="8.42578125" defaultRowHeight="15"/>
  <cols>
    <col min="1" max="1" width="2" customWidth="1"/>
    <col min="2" max="2" width="32" customWidth="1"/>
    <col min="3" max="3" width="16" customWidth="1"/>
    <col min="4" max="4" width="18" customWidth="1"/>
    <col min="5" max="6" width="12" customWidth="1"/>
    <col min="7" max="8" width="14" customWidth="1"/>
    <col min="9" max="9" width="12" customWidth="1"/>
  </cols>
  <sheetData>
    <row r="1" ht="48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>
      <c r="A2" s="1"/>
      <c r="B2" s="23" t="s">
        <v>0</v>
      </c>
      <c r="C2" s="23"/>
      <c r="D2" s="1"/>
      <c r="E2" s="1"/>
      <c r="F2" s="1"/>
      <c r="G2" s="1"/>
      <c r="H2" s="1"/>
      <c r="I2" s="1"/>
      <c r="J2" s="1"/>
      <c r="K2" s="1"/>
      <c r="L2" s="1"/>
    </row>
    <row r="3">
      <c r="A3" s="1"/>
      <c r="B3" s="51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>
      <c r="A4" s="1"/>
      <c r="B4" s="8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>
      <c r="A6" s="1"/>
      <c r="B6" s="1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</row>
    <row r="7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>
      <c r="A8" s="1"/>
      <c r="B8" s="1" t="s">
        <v>4</v>
      </c>
      <c r="C8" s="1" t="s">
        <v>5</v>
      </c>
      <c r="D8" s="1"/>
      <c r="E8" s="1"/>
      <c r="F8" s="1"/>
      <c r="G8" s="1"/>
      <c r="H8" s="1"/>
      <c r="I8" s="1"/>
      <c r="J8" s="1"/>
      <c r="K8" s="1"/>
      <c r="L8" s="1"/>
    </row>
    <row r="9">
      <c r="A9" s="1"/>
      <c r="B9" s="1" t="s">
        <v>6</v>
      </c>
      <c r="C9" s="1" t="s">
        <v>7</v>
      </c>
      <c r="D9" s="1"/>
      <c r="E9" s="1"/>
      <c r="F9" s="1"/>
      <c r="G9" s="1"/>
      <c r="H9" s="1"/>
      <c r="I9" s="1"/>
      <c r="J9" s="1"/>
      <c r="K9" s="1"/>
      <c r="L9" s="1"/>
    </row>
    <row r="10" ht="14.624267578125">
      <c r="A10" s="1"/>
      <c r="B10" s="1" t="s">
        <v>8</v>
      </c>
      <c r="C10" s="1" t="s">
        <v>9</v>
      </c>
      <c r="D10" s="1"/>
      <c r="E10" s="1"/>
      <c r="F10" s="1"/>
      <c r="G10" s="1"/>
      <c r="H10" s="1"/>
      <c r="I10" s="1"/>
      <c r="J10" s="1"/>
      <c r="K10" s="1"/>
      <c r="L10" s="1"/>
    </row>
    <row r="11" ht="14.624267578125">
      <c r="A11" s="1"/>
      <c r="B11" s="1" t="s">
        <v>10</v>
      </c>
      <c r="C11" s="1" t="s">
        <v>11</v>
      </c>
      <c r="D11" s="1"/>
      <c r="E11" s="1"/>
      <c r="F11" s="1"/>
      <c r="G11" s="1"/>
      <c r="H11" s="1"/>
      <c r="I11" s="1"/>
      <c r="J11" s="1"/>
      <c r="K11" s="1"/>
      <c r="L11" s="1"/>
    </row>
    <row r="12" ht="14.624267578125">
      <c r="A12" s="1"/>
      <c r="B12" s="1" t="s">
        <v>12</v>
      </c>
      <c r="C12" s="1" t="s">
        <v>13</v>
      </c>
      <c r="D12" s="1"/>
      <c r="E12" s="1"/>
      <c r="F12" s="1"/>
      <c r="G12" s="1"/>
      <c r="H12" s="1"/>
      <c r="I12" s="1"/>
      <c r="J12" s="1"/>
      <c r="K12" s="1"/>
      <c r="L12" s="1"/>
    </row>
    <row r="13" ht="14.624267578125">
      <c r="A13" s="1"/>
      <c r="B13" s="1" t="s">
        <v>14</v>
      </c>
      <c r="C13" s="1" t="s">
        <v>15</v>
      </c>
      <c r="D13" s="1"/>
      <c r="E13" s="1"/>
      <c r="F13" s="1"/>
      <c r="G13" s="1"/>
      <c r="H13" s="1"/>
      <c r="I13" s="1"/>
      <c r="J13" s="1"/>
      <c r="K13" s="1"/>
      <c r="L13" s="1"/>
    </row>
    <row r="14" ht="14.624267578125">
      <c r="A14" s="1"/>
      <c r="B14" s="1" t="s">
        <v>16</v>
      </c>
      <c r="C14" s="1" t="s">
        <v>17</v>
      </c>
      <c r="D14" s="1"/>
      <c r="E14" s="1"/>
      <c r="F14" s="1"/>
      <c r="G14" s="1"/>
      <c r="H14" s="1"/>
      <c r="I14" s="1"/>
      <c r="J14" s="1"/>
      <c r="K14" s="1"/>
      <c r="L14" s="1"/>
    </row>
    <row r="15" ht="14.624267578125">
      <c r="A15" s="1"/>
      <c r="B15" s="1" t="s">
        <v>18</v>
      </c>
      <c r="C15" s="1" t="s">
        <v>19</v>
      </c>
      <c r="D15" s="1"/>
      <c r="E15" s="1"/>
      <c r="F15" s="1"/>
      <c r="G15" s="1"/>
      <c r="H15" s="1"/>
      <c r="I15" s="1"/>
      <c r="J15" s="1"/>
      <c r="K15" s="1"/>
      <c r="L15" s="1"/>
    </row>
    <row r="16" ht="14.624267578125">
      <c r="A16" s="1"/>
      <c r="B16" s="1" t="s">
        <v>20</v>
      </c>
      <c r="C16" s="1" t="s">
        <v>21</v>
      </c>
      <c r="D16" s="1"/>
      <c r="E16" s="1"/>
      <c r="F16" s="1"/>
      <c r="G16" s="1"/>
      <c r="H16" s="1"/>
      <c r="I16" s="1"/>
      <c r="J16" s="1"/>
      <c r="K16" s="1"/>
      <c r="L16" s="1"/>
    </row>
    <row r="17" ht="14.624267578125">
      <c r="A17" s="1"/>
      <c r="B17" s="1" t="s">
        <v>22</v>
      </c>
      <c r="C17" s="1" t="s">
        <v>23</v>
      </c>
      <c r="D17" s="1"/>
      <c r="E17" s="1"/>
      <c r="F17" s="1"/>
      <c r="G17" s="1"/>
      <c r="H17" s="1"/>
      <c r="I17" s="1"/>
      <c r="J17" s="1"/>
      <c r="K17" s="1"/>
      <c r="L17" s="1"/>
    </row>
    <row r="18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ht="14.624267578125">
      <c r="A19" s="1"/>
      <c r="B19" s="4" t="s">
        <v>24</v>
      </c>
      <c r="C19" s="1"/>
      <c r="D19" s="1"/>
      <c r="E19" s="1"/>
      <c r="F19" s="1"/>
      <c r="G19" s="1"/>
      <c r="H19" s="1"/>
      <c r="I19" s="1"/>
      <c r="J19" s="1"/>
      <c r="K19" s="1"/>
      <c r="L19" s="1"/>
    </row>
    <row r="20" ht="33">
      <c r="A20" s="1"/>
      <c r="B20" s="10" t="s">
        <v>25</v>
      </c>
      <c r="C20" s="82" t="s">
        <v>26</v>
      </c>
      <c r="D20" s="82" t="s">
        <v>27</v>
      </c>
      <c r="E20" s="82" t="s">
        <v>28</v>
      </c>
      <c r="F20" s="82" t="s">
        <v>29</v>
      </c>
      <c r="G20" s="82" t="s">
        <v>30</v>
      </c>
      <c r="H20" s="82" t="s">
        <v>31</v>
      </c>
      <c r="I20" s="1"/>
      <c r="J20" s="1"/>
      <c r="K20" s="1"/>
      <c r="L20" s="1"/>
    </row>
    <row r="21" ht="14.624267578125">
      <c r="A21" s="1"/>
      <c r="B21" s="1" t="s">
        <v>32</v>
      </c>
      <c r="C21" s="2">
        <f>'Income Statement'!H73</f>
        <v>5362.211185972201</v>
      </c>
      <c r="D21" s="2">
        <f>Inputs!C35</f>
        <v>5359.23</v>
      </c>
      <c r="E21" s="11">
        <f>IFERROR(C21-D21,"n/a")</f>
        <v>2.981185972201274</v>
      </c>
      <c r="F21" s="7">
        <f>IFERROR(C21/D21-1,"n/a")</f>
        <v>0.000556271324836155</v>
      </c>
      <c r="G21" s="2">
        <f>Guidance!H38</f>
        <v>5364.11</v>
      </c>
      <c r="H21" s="11">
        <f>IFERROR(C21-G21,"n/a")</f>
        <v>-1.898814027798835</v>
      </c>
      <c r="I21" s="1"/>
      <c r="J21" s="1"/>
      <c r="K21" s="1"/>
      <c r="L21" s="1"/>
    </row>
    <row r="22" ht="14.624267578125">
      <c r="A22" s="1"/>
      <c r="B22" s="1" t="s">
        <v>33</v>
      </c>
      <c r="C22" s="2">
        <f>'Income Statement'!H170</f>
        <v>1403.010601062672</v>
      </c>
      <c r="D22" s="2">
        <f>Inputs!C48</f>
        <v>1421.77</v>
      </c>
      <c r="E22" s="11">
        <f>IFERROR(C22-D22,"n/a")</f>
        <v>-18.759398937327887</v>
      </c>
      <c r="F22" s="7">
        <f>IFERROR(C22/D22-1,"n/a")</f>
        <v>-0.013194397783979017</v>
      </c>
      <c r="G22" s="2">
        <f>Guidance!H45</f>
        <v>1377.1010917101369</v>
      </c>
      <c r="H22" s="11">
        <f>IFERROR(C22-G22,"n/a")</f>
        <v>25.909509352535224</v>
      </c>
      <c r="I22" s="1"/>
      <c r="J22" s="1"/>
      <c r="K22" s="1"/>
      <c r="L22" s="1"/>
    </row>
    <row r="23" ht="14.624267578125">
      <c r="A23" s="1"/>
      <c r="B23" s="1" t="s">
        <v>34</v>
      </c>
      <c r="C23" s="84">
        <f>'Income Statement'!H173</f>
        <v>1.1556954599033273</v>
      </c>
      <c r="D23" s="84">
        <f>Inputs!C19</f>
        <v>1.17</v>
      </c>
      <c r="E23" s="83">
        <f>IFERROR(C23-D23,"n/a")</f>
        <v>-0.014304540096672591</v>
      </c>
      <c r="F23" s="7">
        <f>IFERROR(C23/D23-1,"n/a")</f>
        <v>-0.012226102646728743</v>
      </c>
      <c r="G23" s="84">
        <f>Guidance!H47</f>
        <v>1.1343531391080546</v>
      </c>
      <c r="H23" s="83">
        <f>IFERROR(C23-G23,"n/a")</f>
        <v>0.021342320795272762</v>
      </c>
      <c r="I23" s="100" t="s">
        <v>35</v>
      </c>
      <c r="J23" s="1"/>
      <c r="K23" s="1"/>
      <c r="L23" s="1"/>
    </row>
    <row r="24" ht="14.624267578125">
      <c r="A24" s="1"/>
      <c r="B24" s="1" t="s">
        <v>36</v>
      </c>
      <c r="C24" s="84">
        <f>'Income Statement'!H150</f>
        <v>1.4398807207735247</v>
      </c>
      <c r="D24" s="84">
        <f>Inputs!C28</f>
        <v>1.05</v>
      </c>
      <c r="E24" s="83" t="s">
        <v>37</v>
      </c>
      <c r="F24" s="7" t="s">
        <v>37</v>
      </c>
      <c r="G24" s="6" t="s">
        <v>38</v>
      </c>
      <c r="H24" s="6" t="str">
        <f>IFERROR(C24-G24,"n/a")</f>
        <v>n/a</v>
      </c>
      <c r="I24" s="1" t="s">
        <v>39</v>
      </c>
      <c r="J24" s="1"/>
      <c r="K24" s="1"/>
      <c r="L24" s="1"/>
    </row>
    <row r="25" ht="14.624267578125">
      <c r="A25" s="1"/>
      <c r="B25" s="1" t="s">
        <v>40</v>
      </c>
      <c r="C25" s="2">
        <f>'Income Statement'!H142</f>
        <v>1748.010601062672</v>
      </c>
      <c r="D25" s="2">
        <f>Inputs!C49</f>
        <v>1445.03</v>
      </c>
      <c r="E25" s="11" t="s">
        <v>37</v>
      </c>
      <c r="F25" s="7" t="s">
        <v>37</v>
      </c>
      <c r="G25" s="11" t="s">
        <v>38</v>
      </c>
      <c r="H25" s="11" t="str">
        <f>IFERROR(C25-G25,"n/a")</f>
        <v>n/a</v>
      </c>
      <c r="I25" s="1" t="s">
        <v>39</v>
      </c>
      <c r="J25" s="1"/>
      <c r="K25" s="1"/>
      <c r="L25" s="1"/>
    </row>
    <row r="26" ht="14.624267578125">
      <c r="A26" s="1"/>
      <c r="B26" s="12" t="s">
        <v>41</v>
      </c>
      <c r="C26" s="21" t="str">
        <f>IF(AND((SUMIF('Revenue summary'!C75:H75,"&gt;0")-SUMIF('Revenue summary'!C75:H75,"&lt;0")+0*SUM('Revenue summary'!C75:H75))&lt;=0.5,(SUMIF('Revenue summary'!C59:G59,"&gt;0")-SUMIF('Revenue summary'!C59:G59,"&lt;0")+0*SUM('Revenue summary'!C59:G59))&lt;=0.5,(SUMIF('Revenue summary'!C320:G320,"&gt;0")-SUMIF('Revenue summary'!C320:G320,"&lt;0")+0*SUM('Revenue summary'!C320:G320))&lt;=0.5,(SUMIF('Revenue summary'!C403:G403,"&gt;0")-SUMIF('Revenue summary'!C403:G403,"&lt;0")+0*SUM('Revenue summary'!C403:G403))&lt;=0.5,(SUMIF('Income Statement'!C40:H40,"&gt;0")-SUMIF('Income Statement'!C40:H40,"&lt;0")+0*SUM('Income Statement'!C40:H40))&lt;=0.5,(SUMIF('Income Statement'!C76:H76,"&gt;0")-SUMIF('Income Statement'!C76:H76,"&lt;0")+0*SUM('Income Statement'!C76:H76))&lt;=0.5,(SUMIF('Income Statement'!C155:G155,"&gt;0")-SUMIF('Income Statement'!C155:G155,"&lt;0")+0*SUM('Income Statement'!C155:G155))&lt;=0.006,(SUMIF('Income Statement'!C178:G178,"&gt;0")-SUMIF('Income Statement'!C178:G178,"&lt;0")+0*SUM('Income Statement'!C178:G178))&lt;=0.006,(SUMIF('Balance Sheet'!C98:H98,"&gt;0")-SUMIF('Balance Sheet'!C98:H98,"&lt;0")+0*SUM('Balance Sheet'!C98:H98))&lt;=0.5,(SUMIF('Balance Sheet'!C100:G100,"&gt;0")-SUMIF('Balance Sheet'!C100:G100,"&lt;0")+0*SUM('Balance Sheet'!C100:G100))&lt;=0.5,(SUMIF('Cash Flow Statement'!C50:H50,"&gt;0")-SUMIF('Cash Flow Statement'!C50:H50,"&lt;0")+0*SUM('Cash Flow Statement'!C50:H50))&lt;=0.5,(SUMIF('Cash Flow Statement'!C52:G52,"&gt;0")-SUMIF('Cash Flow Statement'!C52:G52,"&lt;0")+0*SUM('Cash Flow Statement'!C52:G52))&lt;=0.5,(SUMIF('Share Count'!C35:H35,"&gt;0")-SUMIF('Share Count'!C35:H35,"&lt;0")+0*SUM('Share Count'!C35:H35))&lt;=0.01,(SUMIF('Segment - CSBB'!C102:G102,"&gt;0")-SUMIF('Segment - CSBB'!C102:G102,"&lt;0")+0*SUM('Segment - CSBB'!C102:G102))&lt;=0.5,(SUMIF('Segment - Wholesale'!C102:G102,"&gt;0")-SUMIF('Segment - Wholesale'!C102:G102,"&lt;0")+0*SUM('Segment - Wholesale'!C102:G102))&lt;=0.5,(SUMIF('Segment - OT&amp;C'!C81:G81,"&gt;0")-SUMIF('Segment - OT&amp;C'!C81:G81,"&lt;0")+0*SUM('Segment - OT&amp;C'!C81:G81))&lt;=0.5,ABS(C23-'Income Statement'!H170/'Share Count'!H32)&lt;0.000001,(SUMIF('Income Statement'!C153:H153,"&gt;0")-SUMIF('Income Statement'!C153:H153,"&lt;0")+0*SUM('Income Statement'!C153:H153))&lt;=0.000000001,(SUMIF('Income Statement'!C176:H176,"&gt;0")-SUMIF('Income Statement'!C176:H176,"&lt;0")+0*SUM('Income Statement'!C176:H176))&lt;=0.000000001,ABS(C31)&lt;0.000001,ABS(C32)&lt;0.000001,ABS(C33)&lt;0.000001,ABS(C34)&lt;0.000001,ABS(C35)&lt;0.000001),"PASS","FAIL")</f>
        <v>PASS</v>
      </c>
      <c r="D26" s="87" t="s">
        <v>42</v>
      </c>
      <c r="E26" s="1"/>
      <c r="F26" s="1"/>
      <c r="G26" s="1"/>
      <c r="H26" s="1"/>
      <c r="I26" s="1"/>
      <c r="J26" s="1"/>
      <c r="K26" s="1"/>
      <c r="L26" s="1"/>
    </row>
    <row r="27" ht="14.624267578125">
      <c r="A27" s="1"/>
      <c r="B27" s="8" t="s">
        <v>43</v>
      </c>
      <c r="C27" s="52">
        <f>Inputs!C270</f>
        <v>0.45285714285714285</v>
      </c>
      <c r="D27" s="1"/>
      <c r="E27" s="1"/>
      <c r="F27" s="1"/>
      <c r="G27" s="1"/>
      <c r="H27" s="1"/>
      <c r="I27" s="1"/>
      <c r="J27" s="1"/>
      <c r="K27" s="1"/>
      <c r="L27" s="1"/>
    </row>
    <row r="28" ht="14.624267578125">
      <c r="A28" s="1"/>
      <c r="B28" s="1" t="s">
        <v>44</v>
      </c>
      <c r="C28" s="14" t="s">
        <v>45</v>
      </c>
      <c r="D28" s="1"/>
      <c r="E28" s="1"/>
      <c r="F28" s="1"/>
      <c r="G28" s="1"/>
      <c r="H28" s="1"/>
      <c r="I28" s="1"/>
      <c r="J28" s="1"/>
      <c r="K28" s="1"/>
      <c r="L28" s="1"/>
    </row>
    <row r="29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ht="14.624267578125">
      <c r="A30" s="1"/>
      <c r="B30" s="4" t="s">
        <v>46</v>
      </c>
      <c r="C30" s="1"/>
      <c r="D30" s="1"/>
      <c r="E30" s="1"/>
      <c r="F30" s="1"/>
      <c r="G30" s="1"/>
      <c r="H30" s="1"/>
      <c r="I30" s="1"/>
      <c r="J30" s="1"/>
      <c r="K30" s="1"/>
      <c r="L30" s="1"/>
    </row>
    <row r="31" ht="14.624267578125">
      <c r="A31" s="1"/>
      <c r="B31" s="1" t="s">
        <v>47</v>
      </c>
      <c r="C31" s="2">
        <f>C21-'Income Statement'!H73</f>
        <v>0</v>
      </c>
      <c r="D31" s="1"/>
      <c r="E31" s="1"/>
      <c r="F31" s="1"/>
      <c r="G31" s="1"/>
      <c r="H31" s="1"/>
      <c r="I31" s="1"/>
      <c r="J31" s="1"/>
      <c r="K31" s="1"/>
      <c r="L31" s="1"/>
    </row>
    <row r="32" ht="14.624267578125">
      <c r="A32" s="1"/>
      <c r="B32" s="1" t="s">
        <v>48</v>
      </c>
      <c r="C32" s="2">
        <f>C22-'Income Statement'!H170</f>
        <v>0</v>
      </c>
      <c r="D32" s="1"/>
      <c r="E32" s="1"/>
      <c r="F32" s="1"/>
      <c r="G32" s="1"/>
      <c r="H32" s="1"/>
      <c r="I32" s="1"/>
      <c r="J32" s="1"/>
      <c r="K32" s="1"/>
      <c r="L32" s="1"/>
    </row>
    <row r="33" ht="14.624267578125">
      <c r="A33" s="1"/>
      <c r="B33" s="1" t="s">
        <v>49</v>
      </c>
      <c r="C33" s="3">
        <f>C23-'Income Statement'!H173</f>
        <v>0</v>
      </c>
      <c r="D33" s="1"/>
      <c r="E33" s="1"/>
      <c r="F33" s="1"/>
      <c r="G33" s="1"/>
      <c r="H33" s="1"/>
      <c r="I33" s="1"/>
      <c r="J33" s="1"/>
      <c r="K33" s="1"/>
      <c r="L33" s="1"/>
    </row>
    <row r="34" ht="14.624267578125">
      <c r="A34" s="1"/>
      <c r="B34" s="1" t="s">
        <v>50</v>
      </c>
      <c r="C34" s="3">
        <f>C24-'Income Statement'!H150</f>
        <v>0</v>
      </c>
      <c r="D34" s="1"/>
      <c r="E34" s="1"/>
      <c r="F34" s="1"/>
      <c r="G34" s="1"/>
      <c r="H34" s="1"/>
      <c r="I34" s="1"/>
      <c r="J34" s="1"/>
      <c r="K34" s="1"/>
      <c r="L34" s="1"/>
    </row>
    <row r="35" ht="14.624267578125">
      <c r="A35" s="1"/>
      <c r="B35" s="1" t="s">
        <v>51</v>
      </c>
      <c r="C35" s="2">
        <f>C25-'Income Statement'!H142</f>
        <v>0</v>
      </c>
      <c r="D35" s="1"/>
      <c r="E35" s="1"/>
      <c r="F35" s="1"/>
      <c r="G35" s="1"/>
      <c r="H35" s="1"/>
      <c r="I35" s="1"/>
      <c r="J35" s="1"/>
      <c r="K35" s="1"/>
      <c r="L35" s="1"/>
    </row>
    <row r="3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ht="14.624267578125">
      <c r="A37" s="1"/>
      <c r="B37" s="4" t="s">
        <v>52</v>
      </c>
      <c r="C37" s="1"/>
      <c r="D37" s="1"/>
      <c r="E37" s="1"/>
      <c r="F37" s="1"/>
      <c r="G37" s="1"/>
      <c r="H37" s="1"/>
      <c r="I37" s="1"/>
      <c r="J37" s="1"/>
      <c r="K37" s="1"/>
      <c r="L37" s="1"/>
    </row>
    <row r="38" ht="14.624267578125">
      <c r="A38" s="1"/>
      <c r="B38" s="12" t="s">
        <v>53</v>
      </c>
      <c r="C38" s="86" t="s">
        <v>54</v>
      </c>
      <c r="D38" s="86" t="s">
        <v>55</v>
      </c>
      <c r="E38" s="1"/>
      <c r="F38" s="1"/>
      <c r="G38" s="1"/>
      <c r="H38" s="1"/>
      <c r="I38" s="1"/>
      <c r="J38" s="1"/>
      <c r="K38" s="1"/>
      <c r="L38" s="1"/>
    </row>
    <row r="39" ht="14.624267578125">
      <c r="A39" s="1"/>
      <c r="B39" s="1" t="s">
        <v>56</v>
      </c>
      <c r="C39" s="3">
        <f>Inputs!C20</f>
        <v>1.12</v>
      </c>
      <c r="D39" s="5">
        <v>46306</v>
      </c>
      <c r="E39" s="1"/>
      <c r="F39" s="1"/>
      <c r="G39" s="1"/>
      <c r="H39" s="1"/>
      <c r="I39" s="1"/>
      <c r="J39" s="1"/>
      <c r="K39" s="1"/>
      <c r="L39" s="1"/>
    </row>
    <row r="40" ht="14.624267578125">
      <c r="A40" s="1"/>
      <c r="B40" s="1" t="s">
        <v>57</v>
      </c>
      <c r="C40" s="3" t="str">
        <f>TEXT(Inputs!C21,"$0.00")&amp;" / "&amp;TEXT(Inputs!C22,"$0.00")</f>
        <v>$1.52 / $0.64</v>
      </c>
      <c r="D40" s="5">
        <v>46306</v>
      </c>
      <c r="E40" s="1"/>
      <c r="F40" s="1"/>
      <c r="G40" s="1"/>
      <c r="H40" s="1"/>
      <c r="I40" s="1"/>
      <c r="J40" s="1"/>
      <c r="K40" s="1"/>
      <c r="L40" s="1"/>
    </row>
    <row r="41" ht="14.624267578125">
      <c r="A41" s="1"/>
      <c r="B41" s="1" t="s">
        <v>58</v>
      </c>
      <c r="C41" s="9">
        <v>1.17</v>
      </c>
      <c r="D41" s="5">
        <v>46303</v>
      </c>
      <c r="E41" s="1"/>
      <c r="F41" s="1"/>
      <c r="G41" s="1"/>
      <c r="H41" s="1"/>
      <c r="I41" s="1"/>
      <c r="J41" s="1"/>
      <c r="K41" s="1"/>
      <c r="L41" s="1"/>
    </row>
    <row r="42" ht="14.624267578125">
      <c r="A42" s="1"/>
      <c r="B42" s="1" t="s">
        <v>59</v>
      </c>
      <c r="C42" s="9">
        <v>1.16</v>
      </c>
      <c r="D42" s="5">
        <v>46303</v>
      </c>
      <c r="E42" s="1"/>
      <c r="F42" s="1"/>
      <c r="G42" s="1"/>
      <c r="H42" s="1"/>
      <c r="I42" s="1"/>
      <c r="J42" s="1"/>
      <c r="K42" s="1"/>
      <c r="L42" s="1"/>
    </row>
    <row r="43" ht="14.624267578125">
      <c r="A43" s="1"/>
      <c r="B43" s="1" t="s">
        <v>60</v>
      </c>
      <c r="C43" s="9">
        <v>1.07</v>
      </c>
      <c r="D43" s="5">
        <v>46303</v>
      </c>
      <c r="E43" s="1"/>
      <c r="F43" s="1"/>
      <c r="G43" s="1"/>
      <c r="H43" s="1"/>
      <c r="I43" s="1"/>
      <c r="J43" s="1"/>
      <c r="K43" s="1"/>
      <c r="L43" s="1"/>
    </row>
    <row r="44" ht="14.624267578125">
      <c r="A44" s="1"/>
      <c r="B44" s="1" t="s">
        <v>61</v>
      </c>
      <c r="C44" s="9">
        <v>1.14</v>
      </c>
      <c r="D44" s="85" t="s">
        <v>62</v>
      </c>
      <c r="E44" s="1"/>
      <c r="F44" s="1"/>
      <c r="G44" s="1"/>
      <c r="H44" s="1"/>
      <c r="I44" s="1"/>
      <c r="J44" s="1"/>
      <c r="K44" s="1"/>
      <c r="L44" s="1"/>
    </row>
    <row r="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ht="14.624267578125">
      <c r="A46" s="1"/>
      <c r="B46" s="4" t="s">
        <v>63</v>
      </c>
      <c r="C46" s="1"/>
      <c r="D46" s="1"/>
      <c r="E46" s="1"/>
      <c r="F46" s="1"/>
      <c r="G46" s="1"/>
      <c r="H46" s="1"/>
      <c r="I46" s="1"/>
      <c r="J46" s="1"/>
      <c r="K46" s="1"/>
      <c r="L46" s="1"/>
    </row>
    <row r="47" ht="14.624267578125">
      <c r="A47" s="1"/>
      <c r="B47" s="1" t="s">
        <v>64</v>
      </c>
      <c r="C47" s="1"/>
      <c r="D47" s="1"/>
      <c r="E47" s="1"/>
      <c r="F47" s="1"/>
      <c r="G47" s="1"/>
      <c r="H47" s="1"/>
      <c r="I47" s="1"/>
      <c r="J47" s="1"/>
      <c r="K47" s="1"/>
      <c r="L47" s="1"/>
    </row>
    <row r="48" ht="14.624267578125">
      <c r="A48" s="1"/>
      <c r="B48" s="1" t="s">
        <v>65</v>
      </c>
      <c r="C48" s="1"/>
      <c r="D48" s="1"/>
      <c r="E48" s="1"/>
      <c r="F48" s="1"/>
      <c r="G48" s="1"/>
      <c r="H48" s="1"/>
      <c r="I48" s="1"/>
      <c r="J48" s="1"/>
      <c r="K48" s="1"/>
      <c r="L48" s="1"/>
    </row>
    <row r="49" ht="14.624267578125">
      <c r="A49" s="1"/>
      <c r="B49" s="1" t="s">
        <v>66</v>
      </c>
      <c r="C49" s="1"/>
      <c r="D49" s="1"/>
      <c r="E49" s="1"/>
      <c r="F49" s="1"/>
      <c r="G49" s="1"/>
      <c r="H49" s="1"/>
      <c r="I49" s="1"/>
      <c r="J49" s="1"/>
      <c r="K49" s="1"/>
      <c r="L49" s="1"/>
    </row>
    <row r="50" ht="14.624267578125">
      <c r="A50" s="1"/>
      <c r="B50" s="1" t="s">
        <v>67</v>
      </c>
      <c r="C50" s="1"/>
      <c r="D50" s="1"/>
      <c r="E50" s="1"/>
      <c r="F50" s="1"/>
      <c r="G50" s="1"/>
      <c r="H50" s="1"/>
      <c r="I50" s="1"/>
      <c r="J50" s="1"/>
      <c r="K50" s="1"/>
      <c r="L50" s="1"/>
    </row>
    <row r="5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>
      <c r="A52" s="1"/>
      <c r="B52" s="101" t="s">
        <v>68</v>
      </c>
      <c r="C52" s="1"/>
      <c r="D52" s="1"/>
      <c r="E52" s="1"/>
      <c r="F52" s="1"/>
      <c r="G52" s="1"/>
      <c r="H52" s="1"/>
      <c r="I52" s="1"/>
      <c r="J52" s="1"/>
      <c r="K52" s="1"/>
      <c r="L52" s="1"/>
    </row>
    <row r="53">
      <c r="A53" s="1"/>
      <c r="B53" s="100" t="s">
        <v>69</v>
      </c>
      <c r="C53" s="1"/>
      <c r="D53" s="1"/>
      <c r="E53" s="1"/>
      <c r="F53" s="1"/>
      <c r="G53" s="1"/>
      <c r="H53" s="1"/>
      <c r="I53" s="1"/>
      <c r="J53" s="1"/>
      <c r="K53" s="1"/>
      <c r="L53" s="1"/>
    </row>
    <row r="54">
      <c r="A54" s="1"/>
      <c r="B54" s="100" t="s">
        <v>70</v>
      </c>
      <c r="C54" s="1"/>
      <c r="D54" s="1"/>
      <c r="E54" s="1"/>
      <c r="F54" s="1"/>
      <c r="G54" s="1"/>
      <c r="H54" s="1"/>
      <c r="I54" s="1"/>
      <c r="J54" s="1"/>
      <c r="K54" s="1"/>
      <c r="L54" s="1"/>
    </row>
    <row r="55">
      <c r="A55" s="1"/>
      <c r="B55" s="100" t="s">
        <v>71</v>
      </c>
      <c r="C55" s="1"/>
      <c r="D55" s="1"/>
      <c r="E55" s="1"/>
      <c r="F55" s="1"/>
      <c r="G55" s="1"/>
      <c r="H55" s="1"/>
      <c r="I55" s="1"/>
      <c r="J55" s="1"/>
      <c r="K55" s="1"/>
      <c r="L55" s="1"/>
    </row>
    <row r="56">
      <c r="A56" s="1"/>
      <c r="B56" s="100" t="str">
        <f>"   Model keeps issuer adjusted basis (excl. RAC); RAC-inclusive basis adds $"&amp;TEXT('Income Statement'!H169/'Income Statement'!H148,"0.000")&amp;"/sh (GAAP $"&amp;TEXT('Income Statement'!H150,"0.00")&amp;"). Unresolved; no basis change."</f>
        <v>   Model keeps issuer adjusted basis (excl. RAC); RAC-inclusive basis adds $0.284/sh (GAAP $1.44). Unresolved; no basis change.</v>
      </c>
      <c r="C56" s="1"/>
      <c r="D56" s="1"/>
      <c r="E56" s="1"/>
      <c r="F56" s="1"/>
      <c r="G56" s="1"/>
      <c r="H56" s="1"/>
      <c r="I56" s="1"/>
      <c r="J56" s="1"/>
      <c r="K56" s="1"/>
      <c r="L56" s="1"/>
    </row>
    <row r="57">
      <c r="A57" s="1"/>
      <c r="B57" s="100" t="s">
        <v>72</v>
      </c>
      <c r="C57" s="1"/>
      <c r="D57" s="1"/>
      <c r="E57" s="1"/>
      <c r="F57" s="1"/>
      <c r="G57" s="1"/>
      <c r="H57" s="1"/>
      <c r="I57" s="1"/>
      <c r="J57" s="1"/>
      <c r="K57" s="1"/>
      <c r="L57" s="1"/>
    </row>
    <row r="58">
      <c r="A58" s="1"/>
      <c r="B58" s="100" t="s">
        <v>73</v>
      </c>
      <c r="C58" s="1"/>
      <c r="D58" s="1"/>
      <c r="E58" s="1"/>
      <c r="F58" s="1"/>
      <c r="G58" s="1"/>
      <c r="H58" s="1"/>
      <c r="I58" s="1"/>
      <c r="J58" s="1"/>
      <c r="K58" s="1"/>
      <c r="L58" s="1"/>
    </row>
    <row r="59">
      <c r="A59" s="1"/>
      <c r="B59" s="100" t="s">
        <v>74</v>
      </c>
      <c r="C59" s="1"/>
      <c r="D59" s="1"/>
      <c r="E59" s="1"/>
      <c r="F59" s="1"/>
      <c r="G59" s="1"/>
      <c r="H59" s="1"/>
      <c r="I59" s="1"/>
      <c r="J59" s="1"/>
      <c r="K59" s="1"/>
      <c r="L59" s="1"/>
    </row>
    <row r="60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</sheetData>
  <drawing r:id="rId1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16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8" width="12" customWidth="1"/>
    <col min="9" max="9" width="7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>
      <c r="A2" s="1"/>
      <c r="B2" s="2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>
      <c r="A3" s="1"/>
      <c r="B3" s="12" t="s">
        <v>75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>
      <c r="A4" s="1"/>
      <c r="B4" s="8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>
      <c r="A6" s="1"/>
      <c r="B6" s="49" t="s">
        <v>76</v>
      </c>
      <c r="C6" s="17" t="s">
        <v>77</v>
      </c>
      <c r="D6" s="17" t="s">
        <v>78</v>
      </c>
      <c r="E6" s="17" t="s">
        <v>79</v>
      </c>
      <c r="F6" s="17" t="s">
        <v>80</v>
      </c>
      <c r="G6" s="17" t="s">
        <v>81</v>
      </c>
      <c r="H6" s="17" t="s">
        <v>82</v>
      </c>
      <c r="I6" s="49" t="s">
        <v>83</v>
      </c>
      <c r="J6" s="1"/>
      <c r="K6" s="1"/>
      <c r="L6" s="1"/>
    </row>
    <row r="7">
      <c r="A7" s="1"/>
      <c r="B7" s="54" t="s">
        <v>84</v>
      </c>
      <c r="C7" s="37">
        <f>DATE(2025,9,30)</f>
        <v>45930</v>
      </c>
      <c r="D7" s="37">
        <f>DATE(2025,12,31)</f>
        <v>46022</v>
      </c>
      <c r="E7" s="37">
        <f>DATE(2025,12,31)</f>
        <v>46022</v>
      </c>
      <c r="F7" s="37">
        <f>DATE(2026,3,31)</f>
        <v>46112</v>
      </c>
      <c r="G7" s="37">
        <f>DATE(2026,6,30)</f>
        <v>46203</v>
      </c>
      <c r="H7" s="37">
        <f>DATE(2026,9,30)</f>
        <v>46295</v>
      </c>
      <c r="I7" s="30"/>
      <c r="J7" s="1"/>
      <c r="K7" s="1"/>
      <c r="L7" s="1"/>
    </row>
    <row r="8">
      <c r="A8" s="1"/>
      <c r="B8" s="40" t="s">
        <v>85</v>
      </c>
      <c r="C8" s="27">
        <f>C7-DATE(2025,6,30)</f>
        <v>92</v>
      </c>
      <c r="D8" s="27">
        <f>D7-DATE(2025,9,30)</f>
        <v>92</v>
      </c>
      <c r="E8" s="27">
        <f>E7-DATE(2024,12,31)</f>
        <v>365</v>
      </c>
      <c r="F8" s="27">
        <f>F7-DATE(2025,12,31)</f>
        <v>90</v>
      </c>
      <c r="G8" s="27">
        <f>G7-DATE(2026,3,31)</f>
        <v>91</v>
      </c>
      <c r="H8" s="27">
        <f>H7-DATE(2026,6,30)</f>
        <v>92</v>
      </c>
      <c r="I8" s="58"/>
      <c r="J8" s="1"/>
      <c r="K8" s="1"/>
      <c r="L8" s="1"/>
    </row>
    <row r="9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ht="14.624267578125">
      <c r="A10" s="1"/>
      <c r="B10" s="57" t="s">
        <v>86</v>
      </c>
      <c r="C10" s="18"/>
      <c r="D10" s="18"/>
      <c r="E10" s="18"/>
      <c r="F10" s="18"/>
      <c r="G10" s="18"/>
      <c r="H10" s="45"/>
      <c r="I10" s="1"/>
      <c r="J10" s="1"/>
      <c r="K10" s="1"/>
      <c r="L10" s="1"/>
    </row>
    <row r="11" ht="14.624267578125">
      <c r="A11" s="1"/>
      <c r="B11" s="33" t="s">
        <v>87</v>
      </c>
      <c r="C11" s="2">
        <f>'Segment - CSBB'!C43</f>
        <v>2951</v>
      </c>
      <c r="D11" s="2">
        <f>'Segment - CSBB'!D43</f>
        <v>3006</v>
      </c>
      <c r="E11" s="2">
        <f>'Segment - CSBB'!E43</f>
        <v>11551</v>
      </c>
      <c r="F11" s="2">
        <f>'Segment - CSBB'!F43</f>
        <v>3022</v>
      </c>
      <c r="G11" s="2">
        <f>'Segment - CSBB'!G43</f>
        <v>3134</v>
      </c>
      <c r="H11" s="41">
        <f>'Segment - CSBB'!H43</f>
        <v>3201.9908273972605</v>
      </c>
      <c r="I11" s="1" t="s">
        <v>88</v>
      </c>
      <c r="J11" s="1"/>
      <c r="K11" s="1"/>
      <c r="L11" s="1"/>
    </row>
    <row r="12" ht="14.624267578125">
      <c r="A12" s="1"/>
      <c r="B12" s="19" t="s">
        <v>89</v>
      </c>
      <c r="C12" s="7"/>
      <c r="D12" s="7"/>
      <c r="E12" s="7"/>
      <c r="F12" s="15">
        <f>IFERROR(IF((Inputs!C195+Inputs!C196+Inputs!C198)&lt;=0,"n.m.",F11/(Inputs!C195+Inputs!C196+Inputs!C198)-1),"")</f>
        <v>0.09850963286077796</v>
      </c>
      <c r="G12" s="15">
        <f>IFERROR(IF((Inputs!D195+Inputs!D196+Inputs!D198)&lt;=0,"n.m.",G11/(Inputs!D195+Inputs!D196+Inputs!D198)-1),"")</f>
        <v>0.10235666549419631</v>
      </c>
      <c r="H12" s="31">
        <f>IFERROR(IF(C11&lt;=0,"n.m.",H11/C11-1),"")</f>
        <v>0.0850528049465471</v>
      </c>
      <c r="I12" s="1" t="s">
        <v>90</v>
      </c>
      <c r="J12" s="1"/>
      <c r="K12" s="1"/>
      <c r="L12" s="1"/>
    </row>
    <row r="13" ht="14.624267578125">
      <c r="A13" s="1"/>
      <c r="B13" s="19" t="s">
        <v>91</v>
      </c>
      <c r="C13" s="15">
        <f>IFERROR(IF((Inputs!D195+Inputs!D196+Inputs!D198)&lt;=0,"n.m.",C11/(Inputs!D195+Inputs!D196+Inputs!D198)-1),"")</f>
        <v>0.037988040801969714</v>
      </c>
      <c r="D13" s="7">
        <f>IFERROR(IF(C11&lt;=0,"n.m.",D11/C11-1),"")</f>
        <v>0.018637749915282997</v>
      </c>
      <c r="E13" s="7"/>
      <c r="F13" s="7">
        <f>IFERROR(IF(D11&lt;=0,"n.m.",F11/D11-1),"")</f>
        <v>0.005322687957418415</v>
      </c>
      <c r="G13" s="7">
        <f>IFERROR(IF(F11&lt;=0,"n.m.",G11/F11-1),"")</f>
        <v>0.037061548643282594</v>
      </c>
      <c r="H13" s="31">
        <f>IFERROR(IF(G11&lt;=0,"n.m.",H11/G11-1),"")</f>
        <v>0.0216945843641545</v>
      </c>
      <c r="I13" s="1"/>
      <c r="J13" s="1"/>
      <c r="K13" s="1"/>
      <c r="L13" s="1"/>
    </row>
    <row r="14" ht="14.624267578125">
      <c r="A14" s="1"/>
      <c r="B14" s="33" t="s">
        <v>92</v>
      </c>
      <c r="C14" s="2">
        <f>'Segment - Wholesale'!C43</f>
        <v>2720</v>
      </c>
      <c r="D14" s="2">
        <f>'Segment - Wholesale'!D43</f>
        <v>2750</v>
      </c>
      <c r="E14" s="2">
        <f>'Segment - Wholesale'!E43</f>
        <v>10426</v>
      </c>
      <c r="F14" s="2">
        <f>'Segment - Wholesale'!F43</f>
        <v>2577</v>
      </c>
      <c r="G14" s="2">
        <f>'Segment - Wholesale'!G43</f>
        <v>2689</v>
      </c>
      <c r="H14" s="41">
        <f>'Segment - Wholesale'!H43</f>
        <v>2699.901104761905</v>
      </c>
      <c r="I14" s="1" t="s">
        <v>93</v>
      </c>
      <c r="J14" s="1"/>
      <c r="K14" s="1"/>
      <c r="L14" s="1"/>
    </row>
    <row r="15" ht="14.624267578125">
      <c r="A15" s="1"/>
      <c r="B15" s="19" t="s">
        <v>89</v>
      </c>
      <c r="C15" s="7"/>
      <c r="D15" s="7"/>
      <c r="E15" s="7"/>
      <c r="F15" s="15">
        <f>IFERROR(IF((Inputs!C206+Inputs!C207+Inputs!C209)&lt;=0,"n.m.",F14/(Inputs!C206+Inputs!C207+Inputs!C209)-1),"")</f>
        <v>0.0522662311147406</v>
      </c>
      <c r="G15" s="15">
        <f>IFERROR(IF((Inputs!D206+Inputs!D207+Inputs!D209)&lt;=0,"n.m.",G14/(Inputs!D206+Inputs!D207+Inputs!D209)-1),"")</f>
        <v>0.07259672915835669</v>
      </c>
      <c r="H15" s="31">
        <f>IFERROR(IF(C14&lt;=0,"n.m.",H14/C14-1),"")</f>
        <v>-0.007389299719887776</v>
      </c>
      <c r="I15" s="1"/>
      <c r="J15" s="1"/>
      <c r="K15" s="1"/>
      <c r="L15" s="1"/>
    </row>
    <row r="16" ht="14.624267578125">
      <c r="A16" s="1"/>
      <c r="B16" s="19" t="s">
        <v>91</v>
      </c>
      <c r="C16" s="15">
        <f>IFERROR(IF((Inputs!D206+Inputs!D207+Inputs!D209)&lt;=0,"n.m.",C14/(Inputs!D206+Inputs!D207+Inputs!D209)-1),"")</f>
        <v>0.08496210610291177</v>
      </c>
      <c r="D16" s="7">
        <f>IFERROR(IF(C14&lt;=0,"n.m.",D14/C14-1),"")</f>
        <v>0.011029411764705843</v>
      </c>
      <c r="E16" s="7"/>
      <c r="F16" s="7">
        <f>IFERROR(IF(D14&lt;=0,"n.m.",F14/D14-1),"")</f>
        <v>-0.06290909090909091</v>
      </c>
      <c r="G16" s="7">
        <f>IFERROR(IF(F14&lt;=0,"n.m.",G14/F14-1),"")</f>
        <v>0.04346138921226239</v>
      </c>
      <c r="H16" s="31">
        <f>IFERROR(IF(G14&lt;=0,"n.m.",H14/G14-1),"")</f>
        <v>0.004053962351024509</v>
      </c>
      <c r="I16" s="1"/>
      <c r="J16" s="1"/>
      <c r="K16" s="1"/>
      <c r="L16" s="1"/>
    </row>
    <row r="17" ht="14.624267578125">
      <c r="A17" s="1"/>
      <c r="B17" s="33" t="s">
        <v>94</v>
      </c>
      <c r="C17" s="2">
        <f>'Segment - OT&amp;C'!C28</f>
        <v>-484</v>
      </c>
      <c r="D17" s="2">
        <f>'Segment - OT&amp;C'!D28</f>
        <v>-510</v>
      </c>
      <c r="E17" s="2">
        <f>'Segment - OT&amp;C'!E28</f>
        <v>-1658</v>
      </c>
      <c r="F17" s="2">
        <f>'Segment - OT&amp;C'!F28</f>
        <v>-447</v>
      </c>
      <c r="G17" s="2">
        <f>'Segment - OT&amp;C'!G28</f>
        <v>-558</v>
      </c>
      <c r="H17" s="41">
        <f>'Segment - OT&amp;C'!H28</f>
        <v>-585.6807461869653</v>
      </c>
      <c r="I17" s="1" t="s">
        <v>95</v>
      </c>
      <c r="J17" s="1"/>
      <c r="K17" s="1"/>
      <c r="L17" s="1"/>
    </row>
    <row r="18" ht="14.624267578125">
      <c r="A18" s="1"/>
      <c r="B18" s="19" t="s">
        <v>89</v>
      </c>
      <c r="C18" s="7"/>
      <c r="D18" s="7"/>
      <c r="E18" s="7"/>
      <c r="F18" s="15" t="str">
        <f>IFERROR(IF((Inputs!C217+Inputs!C218+Inputs!C220)&lt;=0,"n.m.",F17/(Inputs!C217+Inputs!C218+Inputs!C220)-1),"")</f>
        <v>n.m.</v>
      </c>
      <c r="G18" s="15" t="str">
        <f>IFERROR(IF((Inputs!D217+Inputs!D218+Inputs!D220)&lt;=0,"n.m.",G17/(Inputs!D217+Inputs!D218+Inputs!D220)-1),"")</f>
        <v>n.m.</v>
      </c>
      <c r="H18" s="31" t="str">
        <f>IFERROR(IF(C17&lt;=0,"n.m.",H17/C17-1),"")</f>
        <v>n.m.</v>
      </c>
      <c r="I18" s="1"/>
      <c r="J18" s="1"/>
      <c r="K18" s="1"/>
      <c r="L18" s="1"/>
    </row>
    <row r="19" ht="14.624267578125">
      <c r="A19" s="1"/>
      <c r="B19" s="19" t="s">
        <v>91</v>
      </c>
      <c r="C19" s="15" t="str">
        <f>IFERROR(IF((Inputs!D217+Inputs!D218+Inputs!D220)&lt;=0,"n.m.",C17/(Inputs!D217+Inputs!D218+Inputs!D220)-1),"")</f>
        <v>n.m.</v>
      </c>
      <c r="D19" s="7" t="str">
        <f>IFERROR(IF(C17&lt;=0,"n.m.",D17/C17-1),"")</f>
        <v>n.m.</v>
      </c>
      <c r="E19" s="7"/>
      <c r="F19" s="7" t="str">
        <f>IFERROR(IF(D17&lt;=0,"n.m.",F17/D17-1),"")</f>
        <v>n.m.</v>
      </c>
      <c r="G19" s="7" t="str">
        <f>IFERROR(IF(F17&lt;=0,"n.m.",G17/F17-1),"")</f>
        <v>n.m.</v>
      </c>
      <c r="H19" s="31" t="str">
        <f>IFERROR(IF(G17&lt;=0,"n.m.",H17/G17-1),"")</f>
        <v>n.m.</v>
      </c>
      <c r="I19" s="1"/>
      <c r="J19" s="1"/>
      <c r="K19" s="1"/>
      <c r="L19" s="1"/>
    </row>
    <row r="20" ht="14.624267578125">
      <c r="A20" s="1"/>
      <c r="B20" s="48" t="s">
        <v>96</v>
      </c>
      <c r="C20" s="50">
        <f>C11+C14+C17</f>
        <v>5187</v>
      </c>
      <c r="D20" s="50">
        <f>D11+D14+D17</f>
        <v>5246</v>
      </c>
      <c r="E20" s="50">
        <f>E11+E14+E17</f>
        <v>20319</v>
      </c>
      <c r="F20" s="50">
        <f>F11+F14+F17</f>
        <v>5152</v>
      </c>
      <c r="G20" s="50">
        <f>G11+G14+G17</f>
        <v>5265</v>
      </c>
      <c r="H20" s="61">
        <f>H11+H14+H17</f>
        <v>5316.211185972201</v>
      </c>
      <c r="I20" s="1"/>
      <c r="J20" s="1"/>
      <c r="K20" s="1"/>
      <c r="L20" s="1"/>
    </row>
    <row r="21" ht="14.624267578125">
      <c r="A21" s="1"/>
      <c r="B21" s="19" t="s">
        <v>89</v>
      </c>
      <c r="C21" s="7"/>
      <c r="D21" s="7"/>
      <c r="E21" s="7"/>
      <c r="F21" s="15">
        <f>IFERROR(IF((Inputs!C104+Inputs!C105+Inputs!C106-Inputs!C107-Inputs!C108-Inputs!C109+Inputs!C112+Inputs!C113+Inputs!C114+Inputs!C115+Inputs!C116+Inputs!C117+Inputs!C118+Inputs!C119)&lt;=0,"n.m.",F20/(Inputs!C104+Inputs!C105+Inputs!C106-Inputs!C107-Inputs!C108-Inputs!C109+Inputs!C112+Inputs!C113+Inputs!C114+Inputs!C115+Inputs!C116+Inputs!C117+Inputs!C118+Inputs!C119)-1),"")</f>
        <v>0.05164319248826299</v>
      </c>
      <c r="G21" s="15">
        <f>IFERROR(IF((Inputs!D104+Inputs!D105+Inputs!D106-Inputs!D107-Inputs!D108-Inputs!D109+Inputs!D112+Inputs!D113+Inputs!D114+Inputs!D115+Inputs!D116+Inputs!D117+Inputs!D118+Inputs!D119)&lt;=0,"n.m.",G20/(Inputs!D104+Inputs!D105+Inputs!D106-Inputs!D107-Inputs!D108-Inputs!D109+Inputs!D112+Inputs!D113+Inputs!D114+Inputs!D115+Inputs!D116+Inputs!D117+Inputs!D118+Inputs!D119)-1),"")</f>
        <v>0.055744936835772974</v>
      </c>
      <c r="H21" s="31">
        <f>IFERROR(IF(C20&lt;=0,"n.m.",H20/C20-1),"")</f>
        <v>0.024910581448274627</v>
      </c>
      <c r="I21" s="1"/>
      <c r="J21" s="1"/>
      <c r="K21" s="1"/>
      <c r="L21" s="1"/>
    </row>
    <row r="22" ht="14.624267578125">
      <c r="A22" s="1"/>
      <c r="B22" s="19" t="s">
        <v>91</v>
      </c>
      <c r="C22" s="91">
        <f>IFERROR(IF((Inputs!D104+Inputs!D105+Inputs!D106-Inputs!D107-Inputs!D108-Inputs!D109+Inputs!D112+Inputs!D113+Inputs!D114+Inputs!D115+Inputs!D116+Inputs!D117+Inputs!D118+Inputs!D119)&lt;=0,"n.m.",C20/(Inputs!D104+Inputs!D105+Inputs!D106-Inputs!D107-Inputs!D108-Inputs!D109+Inputs!D112+Inputs!D113+Inputs!D114+Inputs!D115+Inputs!D116+Inputs!D117+Inputs!D118+Inputs!D119)-1),"")</f>
        <v>0.04010427110487269</v>
      </c>
      <c r="D22" s="7">
        <f>IFERROR(IF(C20&lt;=0,"n.m.",D20/C20-1),"")</f>
        <v>0.011374590321958644</v>
      </c>
      <c r="E22" s="7"/>
      <c r="F22" s="7">
        <f>IFERROR(IF(D20&lt;=0,"n.m.",F20/D20-1),"")</f>
        <v>-0.01791841402973693</v>
      </c>
      <c r="G22" s="7">
        <f>IFERROR(IF(F20&lt;=0,"n.m.",G20/F20-1),"")</f>
        <v>0.021933229813664523</v>
      </c>
      <c r="H22" s="31">
        <f>IFERROR(IF(G20&lt;=0,"n.m.",H20/G20-1),"")</f>
        <v>0.00972672098237437</v>
      </c>
      <c r="I22" s="1"/>
      <c r="J22" s="1"/>
      <c r="K22" s="1"/>
      <c r="L22" s="1"/>
    </row>
    <row r="23">
      <c r="A23" s="1"/>
      <c r="B23" s="33"/>
      <c r="C23" s="18"/>
      <c r="D23" s="18"/>
      <c r="E23" s="18"/>
      <c r="F23" s="18"/>
      <c r="G23" s="18"/>
      <c r="H23" s="45"/>
      <c r="I23" s="1"/>
      <c r="J23" s="1"/>
      <c r="K23" s="1"/>
      <c r="L23" s="1"/>
    </row>
    <row r="24" ht="14.624267578125">
      <c r="A24" s="1"/>
      <c r="B24" s="57" t="s">
        <v>97</v>
      </c>
      <c r="C24" s="18"/>
      <c r="D24" s="18"/>
      <c r="E24" s="18"/>
      <c r="F24" s="18"/>
      <c r="G24" s="18"/>
      <c r="H24" s="45"/>
      <c r="I24" s="1"/>
      <c r="J24" s="1"/>
      <c r="K24" s="1"/>
      <c r="L24" s="1"/>
    </row>
    <row r="25" ht="14.624267578125">
      <c r="A25" s="1"/>
      <c r="B25" s="19" t="s">
        <v>98</v>
      </c>
      <c r="C25" s="7">
        <f>IFERROR(C11/C20,"")</f>
        <v>0.568922305764411</v>
      </c>
      <c r="D25" s="7">
        <f>IFERROR(D11/D20,"")</f>
        <v>0.5730080060998857</v>
      </c>
      <c r="E25" s="7">
        <f>IFERROR(E11/E20,"")</f>
        <v>0.5684827009203208</v>
      </c>
      <c r="F25" s="7">
        <f>IFERROR(F11/F20,"")</f>
        <v>0.5865683229813664</v>
      </c>
      <c r="G25" s="7">
        <f>IFERROR(G11/G20,"")</f>
        <v>0.5952516619183286</v>
      </c>
      <c r="H25" s="31">
        <f>IFERROR(H11/H20,"")</f>
        <v>0.6023069278824553</v>
      </c>
      <c r="I25" s="1"/>
      <c r="J25" s="1"/>
      <c r="K25" s="1"/>
      <c r="L25" s="1"/>
    </row>
    <row r="26" ht="14.624267578125">
      <c r="A26" s="1"/>
      <c r="B26" s="33" t="s">
        <v>99</v>
      </c>
      <c r="C26" s="26"/>
      <c r="D26" s="26">
        <f>IFERROR((D25-C25)*10000,"")</f>
        <v>40.85700335474618</v>
      </c>
      <c r="E26" s="26"/>
      <c r="F26" s="26">
        <f>IFERROR((F25-D25)*10000,"")</f>
        <v>135.6031688148074</v>
      </c>
      <c r="G26" s="26">
        <f>IFERROR((G25-F25)*10000,"")</f>
        <v>86.8333893696216</v>
      </c>
      <c r="H26" s="60">
        <f>IFERROR((H25-G25)*10000,"")</f>
        <v>70.55265964126755</v>
      </c>
      <c r="I26" s="1"/>
      <c r="J26" s="1"/>
      <c r="K26" s="1"/>
      <c r="L26" s="1"/>
    </row>
    <row r="27" ht="14.624267578125">
      <c r="A27" s="1"/>
      <c r="B27" s="19" t="s">
        <v>100</v>
      </c>
      <c r="C27" s="7">
        <f>IFERROR(C14/C20,"")</f>
        <v>0.5243878928089455</v>
      </c>
      <c r="D27" s="7">
        <f>IFERROR(D14/D20,"")</f>
        <v>0.5242089210827297</v>
      </c>
      <c r="E27" s="7">
        <f>IFERROR(E14/E20,"")</f>
        <v>0.5131158029430583</v>
      </c>
      <c r="F27" s="7">
        <f>IFERROR(F14/F20,"")</f>
        <v>0.500194099378882</v>
      </c>
      <c r="G27" s="7">
        <f>IFERROR(G14/G20,"")</f>
        <v>0.5107312440645774</v>
      </c>
      <c r="H27" s="31">
        <f>IFERROR(H14/H20,"")</f>
        <v>0.5078618983169987</v>
      </c>
      <c r="I27" s="1"/>
      <c r="J27" s="1"/>
      <c r="K27" s="1"/>
      <c r="L27" s="1"/>
    </row>
    <row r="28" ht="14.624267578125">
      <c r="A28" s="1"/>
      <c r="B28" s="33" t="s">
        <v>99</v>
      </c>
      <c r="C28" s="26"/>
      <c r="D28" s="26">
        <f>IFERROR((D27-C27)*10000,"")</f>
        <v>-1.7897172621583746</v>
      </c>
      <c r="E28" s="26"/>
      <c r="F28" s="26">
        <f>IFERROR((F27-D27)*10000,"")</f>
        <v>-240.1482170384761</v>
      </c>
      <c r="G28" s="26">
        <f>IFERROR((G27-F27)*10000,"")</f>
        <v>105.37144685695333</v>
      </c>
      <c r="H28" s="60">
        <f>IFERROR((H27-G27)*10000,"")</f>
        <v>-28.693457475786886</v>
      </c>
      <c r="I28" s="1"/>
      <c r="J28" s="1"/>
      <c r="K28" s="1"/>
      <c r="L28" s="1"/>
    </row>
    <row r="29" ht="14.624267578125">
      <c r="A29" s="1"/>
      <c r="B29" s="19" t="s">
        <v>101</v>
      </c>
      <c r="C29" s="7">
        <f>IFERROR(C17/C20,"")</f>
        <v>-0.09331019857335647</v>
      </c>
      <c r="D29" s="7">
        <f>IFERROR(D17/D20,"")</f>
        <v>-0.09721692718261532</v>
      </c>
      <c r="E29" s="7">
        <f>IFERROR(E17/E20,"")</f>
        <v>-0.08159850386337911</v>
      </c>
      <c r="F29" s="7">
        <f>IFERROR(F17/F20,"")</f>
        <v>-0.08676242236024845</v>
      </c>
      <c r="G29" s="7">
        <f>IFERROR(G17/G20,"")</f>
        <v>-0.10598290598290598</v>
      </c>
      <c r="H29" s="31">
        <f>IFERROR(H17/H20,"")</f>
        <v>-0.11016882619945412</v>
      </c>
      <c r="I29" s="1"/>
      <c r="J29" s="1"/>
      <c r="K29" s="1"/>
      <c r="L29" s="1"/>
    </row>
    <row r="30" ht="14.624267578125">
      <c r="A30" s="1"/>
      <c r="B30" s="33" t="s">
        <v>99</v>
      </c>
      <c r="C30" s="26"/>
      <c r="D30" s="26">
        <f>IFERROR((D29-C29)*10000,"")</f>
        <v>-39.067286092588496</v>
      </c>
      <c r="E30" s="26"/>
      <c r="F30" s="26">
        <f>IFERROR((F29-D29)*10000,"")</f>
        <v>104.54504822366873</v>
      </c>
      <c r="G30" s="26">
        <f>IFERROR((G29-F29)*10000,"")</f>
        <v>-192.20483622657534</v>
      </c>
      <c r="H30" s="60">
        <f>IFERROR((H29-G29)*10000,"")</f>
        <v>-41.85920216548136</v>
      </c>
      <c r="I30" s="1"/>
      <c r="J30" s="1"/>
      <c r="K30" s="1"/>
      <c r="L30" s="1"/>
    </row>
    <row r="31">
      <c r="A31" s="1"/>
      <c r="B31" s="33"/>
      <c r="C31" s="18"/>
      <c r="D31" s="18"/>
      <c r="E31" s="18"/>
      <c r="F31" s="18"/>
      <c r="G31" s="18"/>
      <c r="H31" s="45"/>
      <c r="I31" s="1"/>
      <c r="J31" s="1"/>
      <c r="K31" s="1"/>
      <c r="L31" s="1"/>
    </row>
    <row r="32" ht="14.624267578125">
      <c r="A32" s="1"/>
      <c r="B32" s="57" t="s">
        <v>102</v>
      </c>
      <c r="C32" s="18"/>
      <c r="D32" s="18"/>
      <c r="E32" s="18"/>
      <c r="F32" s="18"/>
      <c r="G32" s="18"/>
      <c r="H32" s="45"/>
      <c r="I32" s="1"/>
      <c r="J32" s="1"/>
      <c r="K32" s="1"/>
      <c r="L32" s="1"/>
    </row>
    <row r="33" ht="14.624267578125">
      <c r="A33" s="1"/>
      <c r="B33" s="33" t="s">
        <v>103</v>
      </c>
      <c r="C33" s="18"/>
      <c r="D33" s="18"/>
      <c r="E33" s="18"/>
      <c r="F33" s="18"/>
      <c r="G33" s="18"/>
      <c r="H33" s="45"/>
      <c r="I33" s="1"/>
      <c r="J33" s="1"/>
      <c r="K33" s="1"/>
      <c r="L33" s="1"/>
    </row>
    <row r="34" ht="14.624267578125">
      <c r="A34" s="1"/>
      <c r="B34" s="19" t="s">
        <v>104</v>
      </c>
      <c r="C34" s="38" t="s">
        <v>105</v>
      </c>
      <c r="D34" s="38" t="s">
        <v>105</v>
      </c>
      <c r="E34" s="38" t="s">
        <v>105</v>
      </c>
      <c r="F34" s="38" t="s">
        <v>105</v>
      </c>
      <c r="G34" s="38" t="s">
        <v>105</v>
      </c>
      <c r="H34" s="59" t="s">
        <v>105</v>
      </c>
      <c r="I34" s="1" t="s">
        <v>106</v>
      </c>
      <c r="J34" s="1"/>
      <c r="K34" s="1"/>
      <c r="L34" s="1"/>
    </row>
    <row r="35" ht="14.624267578125">
      <c r="A35" s="1"/>
      <c r="B35" s="19" t="s">
        <v>107</v>
      </c>
      <c r="C35" s="38" t="s">
        <v>105</v>
      </c>
      <c r="D35" s="38" t="s">
        <v>105</v>
      </c>
      <c r="E35" s="38" t="s">
        <v>105</v>
      </c>
      <c r="F35" s="38" t="s">
        <v>105</v>
      </c>
      <c r="G35" s="38" t="s">
        <v>105</v>
      </c>
      <c r="H35" s="59" t="s">
        <v>105</v>
      </c>
      <c r="I35" s="1" t="s">
        <v>108</v>
      </c>
      <c r="J35" s="1"/>
      <c r="K35" s="1"/>
      <c r="L35" s="1"/>
    </row>
    <row r="36" ht="14.624267578125">
      <c r="A36" s="1"/>
      <c r="B36" s="19" t="s">
        <v>109</v>
      </c>
      <c r="C36" s="38" t="s">
        <v>110</v>
      </c>
      <c r="D36" s="38" t="s">
        <v>110</v>
      </c>
      <c r="E36" s="38" t="s">
        <v>110</v>
      </c>
      <c r="F36" s="38" t="s">
        <v>110</v>
      </c>
      <c r="G36" s="38" t="s">
        <v>110</v>
      </c>
      <c r="H36" s="59" t="s">
        <v>110</v>
      </c>
      <c r="I36" s="1" t="s">
        <v>111</v>
      </c>
      <c r="J36" s="1"/>
      <c r="K36" s="1"/>
      <c r="L36" s="1"/>
    </row>
    <row r="37" ht="14.624267578125">
      <c r="A37" s="1"/>
      <c r="B37" s="19" t="s">
        <v>112</v>
      </c>
      <c r="C37" s="7"/>
      <c r="D37" s="7"/>
      <c r="E37" s="7"/>
      <c r="F37" s="7">
        <f>IF(F12="","",F12)</f>
        <v>0.09850963286077796</v>
      </c>
      <c r="G37" s="7">
        <f>IF(G12="","",G12)</f>
        <v>0.10235666549419631</v>
      </c>
      <c r="H37" s="31">
        <f>IF(H12="","",H12)</f>
        <v>0.0850528049465471</v>
      </c>
      <c r="I37" s="1"/>
      <c r="J37" s="1"/>
      <c r="K37" s="1"/>
      <c r="L37" s="1"/>
    </row>
    <row r="38" ht="14.624267578125">
      <c r="A38" s="1"/>
      <c r="B38" s="33" t="s">
        <v>113</v>
      </c>
      <c r="C38" s="18"/>
      <c r="D38" s="18"/>
      <c r="E38" s="18"/>
      <c r="F38" s="18"/>
      <c r="G38" s="18"/>
      <c r="H38" s="45"/>
      <c r="I38" s="1"/>
      <c r="J38" s="1"/>
      <c r="K38" s="1"/>
      <c r="L38" s="1"/>
    </row>
    <row r="39" ht="14.624267578125">
      <c r="A39" s="1"/>
      <c r="B39" s="19" t="s">
        <v>104</v>
      </c>
      <c r="C39" s="38" t="s">
        <v>105</v>
      </c>
      <c r="D39" s="38" t="s">
        <v>105</v>
      </c>
      <c r="E39" s="38" t="s">
        <v>105</v>
      </c>
      <c r="F39" s="38" t="s">
        <v>105</v>
      </c>
      <c r="G39" s="38" t="s">
        <v>105</v>
      </c>
      <c r="H39" s="59" t="s">
        <v>105</v>
      </c>
      <c r="I39" s="1" t="s">
        <v>106</v>
      </c>
      <c r="J39" s="1"/>
      <c r="K39" s="1"/>
      <c r="L39" s="1"/>
    </row>
    <row r="40" ht="14.624267578125">
      <c r="A40" s="1"/>
      <c r="B40" s="19" t="s">
        <v>107</v>
      </c>
      <c r="C40" s="38" t="s">
        <v>105</v>
      </c>
      <c r="D40" s="38" t="s">
        <v>105</v>
      </c>
      <c r="E40" s="38" t="s">
        <v>105</v>
      </c>
      <c r="F40" s="38" t="s">
        <v>105</v>
      </c>
      <c r="G40" s="38" t="s">
        <v>105</v>
      </c>
      <c r="H40" s="59" t="s">
        <v>105</v>
      </c>
      <c r="I40" s="1" t="s">
        <v>108</v>
      </c>
      <c r="J40" s="1"/>
      <c r="K40" s="1"/>
      <c r="L40" s="1"/>
    </row>
    <row r="41" ht="14.624267578125">
      <c r="A41" s="1"/>
      <c r="B41" s="19" t="s">
        <v>109</v>
      </c>
      <c r="C41" s="38" t="s">
        <v>110</v>
      </c>
      <c r="D41" s="38" t="s">
        <v>110</v>
      </c>
      <c r="E41" s="38" t="s">
        <v>110</v>
      </c>
      <c r="F41" s="38" t="s">
        <v>110</v>
      </c>
      <c r="G41" s="38" t="s">
        <v>110</v>
      </c>
      <c r="H41" s="59" t="s">
        <v>110</v>
      </c>
      <c r="I41" s="1" t="s">
        <v>111</v>
      </c>
      <c r="J41" s="1"/>
      <c r="K41" s="1"/>
      <c r="L41" s="1"/>
    </row>
    <row r="42" ht="14.624267578125">
      <c r="A42" s="1"/>
      <c r="B42" s="19" t="s">
        <v>112</v>
      </c>
      <c r="C42" s="7"/>
      <c r="D42" s="7"/>
      <c r="E42" s="7"/>
      <c r="F42" s="7">
        <f>IF(F15="","",F15)</f>
        <v>0.0522662311147406</v>
      </c>
      <c r="G42" s="7">
        <f>IF(G15="","",G15)</f>
        <v>0.07259672915835669</v>
      </c>
      <c r="H42" s="31">
        <f>IF(H15="","",H15)</f>
        <v>-0.007389299719887776</v>
      </c>
      <c r="I42" s="1"/>
      <c r="J42" s="1"/>
      <c r="K42" s="1"/>
      <c r="L42" s="1"/>
    </row>
    <row r="43" ht="14.624267578125">
      <c r="A43" s="1"/>
      <c r="B43" s="33" t="s">
        <v>114</v>
      </c>
      <c r="C43" s="18"/>
      <c r="D43" s="18"/>
      <c r="E43" s="18"/>
      <c r="F43" s="18"/>
      <c r="G43" s="18"/>
      <c r="H43" s="45"/>
      <c r="I43" s="1"/>
      <c r="J43" s="1"/>
      <c r="K43" s="1"/>
      <c r="L43" s="1"/>
    </row>
    <row r="44" ht="14.624267578125">
      <c r="A44" s="1"/>
      <c r="B44" s="19" t="s">
        <v>104</v>
      </c>
      <c r="C44" s="38" t="s">
        <v>105</v>
      </c>
      <c r="D44" s="38" t="s">
        <v>105</v>
      </c>
      <c r="E44" s="38" t="s">
        <v>105</v>
      </c>
      <c r="F44" s="38" t="s">
        <v>105</v>
      </c>
      <c r="G44" s="38" t="s">
        <v>105</v>
      </c>
      <c r="H44" s="59" t="s">
        <v>105</v>
      </c>
      <c r="I44" s="1" t="s">
        <v>106</v>
      </c>
      <c r="J44" s="1"/>
      <c r="K44" s="1"/>
      <c r="L44" s="1"/>
    </row>
    <row r="45" ht="14.624267578125">
      <c r="A45" s="1"/>
      <c r="B45" s="19" t="s">
        <v>107</v>
      </c>
      <c r="C45" s="38" t="s">
        <v>105</v>
      </c>
      <c r="D45" s="38" t="s">
        <v>105</v>
      </c>
      <c r="E45" s="38" t="s">
        <v>105</v>
      </c>
      <c r="F45" s="38" t="s">
        <v>105</v>
      </c>
      <c r="G45" s="38" t="s">
        <v>105</v>
      </c>
      <c r="H45" s="59" t="s">
        <v>105</v>
      </c>
      <c r="I45" s="1" t="s">
        <v>108</v>
      </c>
      <c r="J45" s="1"/>
      <c r="K45" s="1"/>
      <c r="L45" s="1"/>
    </row>
    <row r="46" ht="14.624267578125">
      <c r="A46" s="1"/>
      <c r="B46" s="19" t="s">
        <v>109</v>
      </c>
      <c r="C46" s="38" t="s">
        <v>110</v>
      </c>
      <c r="D46" s="38" t="s">
        <v>110</v>
      </c>
      <c r="E46" s="38" t="s">
        <v>110</v>
      </c>
      <c r="F46" s="38" t="s">
        <v>110</v>
      </c>
      <c r="G46" s="38" t="s">
        <v>110</v>
      </c>
      <c r="H46" s="59" t="s">
        <v>110</v>
      </c>
      <c r="I46" s="1" t="s">
        <v>111</v>
      </c>
      <c r="J46" s="1"/>
      <c r="K46" s="1"/>
      <c r="L46" s="1"/>
    </row>
    <row r="47" ht="14.624267578125">
      <c r="A47" s="1"/>
      <c r="B47" s="19" t="s">
        <v>112</v>
      </c>
      <c r="C47" s="7"/>
      <c r="D47" s="7"/>
      <c r="E47" s="7"/>
      <c r="F47" s="7" t="str">
        <f>IF(F18="","",F18)</f>
        <v>n.m.</v>
      </c>
      <c r="G47" s="7" t="str">
        <f>IF(G18="","",G18)</f>
        <v>n.m.</v>
      </c>
      <c r="H47" s="31" t="str">
        <f>IF(H18="","",H18)</f>
        <v>n.m.</v>
      </c>
      <c r="I47" s="1"/>
      <c r="J47" s="1"/>
      <c r="K47" s="1"/>
      <c r="L47" s="1"/>
    </row>
    <row r="48">
      <c r="A48" s="1"/>
      <c r="B48" s="33"/>
      <c r="C48" s="18"/>
      <c r="D48" s="18"/>
      <c r="E48" s="18"/>
      <c r="F48" s="18"/>
      <c r="G48" s="18"/>
      <c r="H48" s="45"/>
      <c r="I48" s="1"/>
      <c r="J48" s="1"/>
      <c r="K48" s="1"/>
      <c r="L48" s="1"/>
    </row>
    <row r="49" ht="23.24853515625">
      <c r="A49" s="1"/>
      <c r="B49" s="57" t="s">
        <v>115</v>
      </c>
      <c r="C49" s="18"/>
      <c r="D49" s="18"/>
      <c r="E49" s="18"/>
      <c r="F49" s="18"/>
      <c r="G49" s="18"/>
      <c r="H49" s="45"/>
      <c r="I49" s="1"/>
      <c r="J49" s="1"/>
      <c r="K49" s="1"/>
      <c r="L49" s="1"/>
    </row>
    <row r="50" ht="14.624267578125">
      <c r="A50" s="1"/>
      <c r="B50" s="33" t="s">
        <v>116</v>
      </c>
      <c r="C50" s="11">
        <f>C315</f>
        <v>51</v>
      </c>
      <c r="D50" s="11">
        <f>D315</f>
        <v>49</v>
      </c>
      <c r="E50" s="11">
        <f>E315</f>
        <v>196</v>
      </c>
      <c r="F50" s="11">
        <f>F315</f>
        <v>45</v>
      </c>
      <c r="G50" s="11">
        <f>G315</f>
        <v>46</v>
      </c>
      <c r="H50" s="29">
        <f>H315</f>
        <v>46</v>
      </c>
      <c r="I50" s="1" t="s">
        <v>117</v>
      </c>
      <c r="J50" s="1"/>
      <c r="K50" s="1"/>
      <c r="L50" s="1"/>
    </row>
    <row r="51" ht="14.624267578125">
      <c r="A51" s="1"/>
      <c r="B51" s="48" t="s">
        <v>118</v>
      </c>
      <c r="C51" s="50">
        <f>C20+C50</f>
        <v>5238</v>
      </c>
      <c r="D51" s="50">
        <f>D20+D50</f>
        <v>5295</v>
      </c>
      <c r="E51" s="50">
        <f>E20+E50</f>
        <v>20515</v>
      </c>
      <c r="F51" s="50">
        <f>F20+F50</f>
        <v>5197</v>
      </c>
      <c r="G51" s="50">
        <f>G20+G50</f>
        <v>5311</v>
      </c>
      <c r="H51" s="61">
        <f>H20+H50</f>
        <v>5362.211185972201</v>
      </c>
      <c r="I51" s="1" t="s">
        <v>119</v>
      </c>
      <c r="J51" s="1"/>
      <c r="K51" s="1"/>
      <c r="L51" s="1"/>
    </row>
    <row r="52" ht="14.624267578125">
      <c r="A52" s="1"/>
      <c r="B52" s="19" t="s">
        <v>89</v>
      </c>
      <c r="C52" s="7"/>
      <c r="D52" s="7"/>
      <c r="E52" s="7"/>
      <c r="F52" s="15">
        <f>IFERROR(IF(Inputs!I95&lt;=0,"n.m.",F51/Inputs!I95-1),"")</f>
        <v>0.050535678188801336</v>
      </c>
      <c r="G52" s="15">
        <f>IFERROR(IF(Inputs!I96&lt;=0,"n.m.",G51/Inputs!I96-1),"")</f>
        <v>0.054816285998013914</v>
      </c>
      <c r="H52" s="31">
        <f>IFERROR(IF(C51&lt;=0,"n.m.",H51/C51-1),"")</f>
        <v>0.02371347574879734</v>
      </c>
      <c r="I52" s="1"/>
      <c r="J52" s="1"/>
      <c r="K52" s="1"/>
      <c r="L52" s="1"/>
    </row>
    <row r="53" ht="14.624267578125">
      <c r="A53" s="1"/>
      <c r="B53" s="19" t="s">
        <v>91</v>
      </c>
      <c r="C53" s="15">
        <f>IFERROR(IF(Inputs!I96&lt;=0,"n.m.",C51/Inputs!I96-1),"")</f>
        <v>0.04031777557100291</v>
      </c>
      <c r="D53" s="7">
        <f>IFERROR(IF(C51&lt;=0,"n.m.",D51/C51-1),"")</f>
        <v>0.010882016036655173</v>
      </c>
      <c r="E53" s="7"/>
      <c r="F53" s="7">
        <f>IFERROR(IF(D51&lt;=0,"n.m.",F51/D51-1),"")</f>
        <v>-0.018508026440037795</v>
      </c>
      <c r="G53" s="7">
        <f>IFERROR(IF(F51&lt;=0,"n.m.",G51/F51-1),"")</f>
        <v>0.021935732153165244</v>
      </c>
      <c r="H53" s="31">
        <f>IFERROR(IF(G51&lt;=0,"n.m.",H51/G51-1),"")</f>
        <v>0.009642475234833414</v>
      </c>
      <c r="I53" s="1"/>
      <c r="J53" s="1"/>
      <c r="K53" s="1"/>
      <c r="L53" s="1"/>
    </row>
    <row r="54" ht="14.624267578125">
      <c r="A54" s="1"/>
      <c r="B54" s="19" t="s">
        <v>104</v>
      </c>
      <c r="C54" s="38" t="s">
        <v>105</v>
      </c>
      <c r="D54" s="38" t="s">
        <v>105</v>
      </c>
      <c r="E54" s="38" t="s">
        <v>105</v>
      </c>
      <c r="F54" s="38" t="s">
        <v>105</v>
      </c>
      <c r="G54" s="38" t="s">
        <v>105</v>
      </c>
      <c r="H54" s="59" t="s">
        <v>105</v>
      </c>
      <c r="I54" s="1" t="s">
        <v>106</v>
      </c>
      <c r="J54" s="1"/>
      <c r="K54" s="1"/>
      <c r="L54" s="1"/>
    </row>
    <row r="55" ht="14.624267578125">
      <c r="A55" s="1"/>
      <c r="B55" s="19" t="s">
        <v>107</v>
      </c>
      <c r="C55" s="38" t="s">
        <v>105</v>
      </c>
      <c r="D55" s="38" t="s">
        <v>105</v>
      </c>
      <c r="E55" s="38" t="s">
        <v>105</v>
      </c>
      <c r="F55" s="38" t="s">
        <v>105</v>
      </c>
      <c r="G55" s="38" t="s">
        <v>105</v>
      </c>
      <c r="H55" s="59" t="s">
        <v>105</v>
      </c>
      <c r="I55" s="1" t="s">
        <v>108</v>
      </c>
      <c r="J55" s="1"/>
      <c r="K55" s="1"/>
      <c r="L55" s="1"/>
    </row>
    <row r="56" ht="14.624267578125">
      <c r="A56" s="1"/>
      <c r="B56" s="19" t="s">
        <v>109</v>
      </c>
      <c r="C56" s="38" t="s">
        <v>110</v>
      </c>
      <c r="D56" s="38" t="s">
        <v>110</v>
      </c>
      <c r="E56" s="38" t="s">
        <v>110</v>
      </c>
      <c r="F56" s="38" t="s">
        <v>110</v>
      </c>
      <c r="G56" s="38" t="s">
        <v>110</v>
      </c>
      <c r="H56" s="59" t="s">
        <v>110</v>
      </c>
      <c r="I56" s="1" t="s">
        <v>111</v>
      </c>
      <c r="J56" s="1"/>
      <c r="K56" s="1"/>
      <c r="L56" s="1"/>
    </row>
    <row r="57" ht="14.624267578125">
      <c r="A57" s="1"/>
      <c r="B57" s="19" t="s">
        <v>112</v>
      </c>
      <c r="C57" s="7"/>
      <c r="D57" s="7"/>
      <c r="E57" s="7"/>
      <c r="F57" s="7">
        <f>IF(F52="","",F52)</f>
        <v>0.050535678188801336</v>
      </c>
      <c r="G57" s="7">
        <f>IF(G52="","",G52)</f>
        <v>0.054816285998013914</v>
      </c>
      <c r="H57" s="31">
        <f>IF(H52="","",H52)</f>
        <v>0.02371347574879734</v>
      </c>
      <c r="I57" s="1"/>
      <c r="J57" s="1"/>
      <c r="K57" s="1"/>
      <c r="L57" s="1"/>
    </row>
    <row r="58" ht="14.624267578125">
      <c r="A58" s="1"/>
      <c r="B58" s="33" t="s">
        <v>120</v>
      </c>
      <c r="C58" s="2">
        <f>Inputs!I97</f>
        <v>5238</v>
      </c>
      <c r="D58" s="2">
        <f>Inputs!I98</f>
        <v>5295</v>
      </c>
      <c r="E58" s="11"/>
      <c r="F58" s="2">
        <f>Inputs!I99</f>
        <v>5197</v>
      </c>
      <c r="G58" s="2">
        <f>Inputs!I100</f>
        <v>5311</v>
      </c>
      <c r="H58" s="41">
        <f>Inputs!C35</f>
        <v>5359.23</v>
      </c>
      <c r="I58" s="1" t="s">
        <v>121</v>
      </c>
      <c r="J58" s="1"/>
      <c r="K58" s="1"/>
      <c r="L58" s="1"/>
    </row>
    <row r="59" ht="14.624267578125">
      <c r="A59" s="1"/>
      <c r="B59" s="19" t="s">
        <v>122</v>
      </c>
      <c r="C59" s="38">
        <f>C51-C58</f>
        <v>0</v>
      </c>
      <c r="D59" s="38">
        <f>D51-D58</f>
        <v>0</v>
      </c>
      <c r="E59" s="38"/>
      <c r="F59" s="38">
        <f>F51-F58</f>
        <v>0</v>
      </c>
      <c r="G59" s="38">
        <f>G51-G58</f>
        <v>0</v>
      </c>
      <c r="H59" s="59"/>
      <c r="I59" s="1"/>
      <c r="J59" s="1"/>
      <c r="K59" s="1"/>
      <c r="L59" s="1"/>
    </row>
    <row r="60" ht="14.624267578125">
      <c r="A60" s="1"/>
      <c r="B60" s="33" t="s">
        <v>123</v>
      </c>
      <c r="C60" s="11"/>
      <c r="D60" s="11"/>
      <c r="E60" s="11"/>
      <c r="F60" s="11"/>
      <c r="G60" s="11"/>
      <c r="H60" s="29">
        <f>H51-H58</f>
        <v>2.981185972201274</v>
      </c>
      <c r="I60" s="1"/>
      <c r="J60" s="1"/>
      <c r="K60" s="1"/>
      <c r="L60" s="1"/>
    </row>
    <row r="61" ht="14.624267578125">
      <c r="A61" s="1"/>
      <c r="B61" s="33" t="s">
        <v>124</v>
      </c>
      <c r="C61" s="18"/>
      <c r="D61" s="18"/>
      <c r="E61" s="18"/>
      <c r="F61" s="18"/>
      <c r="G61" s="18"/>
      <c r="H61" s="45"/>
      <c r="I61" s="1" t="s">
        <v>125</v>
      </c>
      <c r="J61" s="1"/>
      <c r="K61" s="1"/>
      <c r="L61" s="1"/>
    </row>
    <row r="62">
      <c r="A62" s="1"/>
      <c r="B62" s="33"/>
      <c r="C62" s="18"/>
      <c r="D62" s="18"/>
      <c r="E62" s="18"/>
      <c r="F62" s="18"/>
      <c r="G62" s="18"/>
      <c r="H62" s="45"/>
      <c r="I62" s="1"/>
      <c r="J62" s="1"/>
      <c r="K62" s="1"/>
      <c r="L62" s="1"/>
    </row>
    <row r="63" ht="14.624267578125">
      <c r="A63" s="1"/>
      <c r="B63" s="57" t="s">
        <v>126</v>
      </c>
      <c r="C63" s="18"/>
      <c r="D63" s="18"/>
      <c r="E63" s="18"/>
      <c r="F63" s="18"/>
      <c r="G63" s="18"/>
      <c r="H63" s="45"/>
      <c r="I63" s="1"/>
      <c r="J63" s="1"/>
      <c r="K63" s="1"/>
      <c r="L63" s="1"/>
    </row>
    <row r="64" ht="14.624267578125">
      <c r="A64" s="1"/>
      <c r="B64" s="33" t="s">
        <v>127</v>
      </c>
      <c r="C64" s="11">
        <f>C300</f>
        <v>3680</v>
      </c>
      <c r="D64" s="11">
        <f>D300</f>
        <v>3749</v>
      </c>
      <c r="E64" s="11">
        <f>E300</f>
        <v>14619</v>
      </c>
      <c r="F64" s="11">
        <f>F300</f>
        <v>3644</v>
      </c>
      <c r="G64" s="11">
        <f>G300</f>
        <v>3667</v>
      </c>
      <c r="H64" s="29">
        <f>H300</f>
        <v>3722.9181859722003</v>
      </c>
      <c r="I64" s="1"/>
      <c r="J64" s="1"/>
      <c r="K64" s="1"/>
      <c r="L64" s="1"/>
    </row>
    <row r="65" ht="14.624267578125">
      <c r="A65" s="1"/>
      <c r="B65" s="19" t="s">
        <v>89</v>
      </c>
      <c r="C65" s="7"/>
      <c r="D65" s="7"/>
      <c r="E65" s="7"/>
      <c r="F65" s="15">
        <f>IFERROR(IF((Inputs!C104+Inputs!C105+Inputs!C106-Inputs!C107-Inputs!C108-Inputs!C109+Inputs!C110)&lt;=0,"n.m.",F64/(Inputs!C104+Inputs!C105+Inputs!C106-Inputs!C107-Inputs!C108-Inputs!C109+Inputs!C110)-1),"")</f>
        <v>0.025035161744022538</v>
      </c>
      <c r="G65" s="15">
        <f>IFERROR(IF((Inputs!D104+Inputs!D105+Inputs!D106-Inputs!D107-Inputs!D108-Inputs!D109+Inputs!D110)&lt;=0,"n.m.",G64/(Inputs!D104+Inputs!D105+Inputs!D106-Inputs!D107-Inputs!D108-Inputs!D109+Inputs!D110)-1),"")</f>
        <v>0.008803301237964245</v>
      </c>
      <c r="H65" s="31">
        <f>IFERROR(IF(C64&lt;=0,"n.m.",H64/C64-1),"")</f>
        <v>0.011662550535924021</v>
      </c>
      <c r="I65" s="1"/>
      <c r="J65" s="1"/>
      <c r="K65" s="1"/>
      <c r="L65" s="1"/>
    </row>
    <row r="66" ht="14.624267578125">
      <c r="A66" s="1"/>
      <c r="B66" s="19" t="s">
        <v>91</v>
      </c>
      <c r="C66" s="15">
        <f>IFERROR(IF((Inputs!D104+Inputs!D105+Inputs!D106-Inputs!D107-Inputs!D108-Inputs!D109+Inputs!D110)&lt;=0,"n.m.",C64/(Inputs!D104+Inputs!D105+Inputs!D106-Inputs!D107-Inputs!D108-Inputs!D109+Inputs!D110)-1),"")</f>
        <v>0.012379642365887289</v>
      </c>
      <c r="D66" s="7">
        <f>IFERROR(IF(C64&lt;=0,"n.m.",D64/C64-1),"")</f>
        <v>0.018750000000000044</v>
      </c>
      <c r="E66" s="7"/>
      <c r="F66" s="7">
        <f>IFERROR(IF(D64&lt;=0,"n.m.",F64/D64-1),"")</f>
        <v>-0.02800746865830883</v>
      </c>
      <c r="G66" s="7">
        <f>IFERROR(IF(F64&lt;=0,"n.m.",G64/F64-1),"")</f>
        <v>0.006311745334796948</v>
      </c>
      <c r="H66" s="31">
        <f>IFERROR(IF(G64&lt;=0,"n.m.",H64/G64-1),"")</f>
        <v>0.01524902808077444</v>
      </c>
      <c r="I66" s="1"/>
      <c r="J66" s="1"/>
      <c r="K66" s="1"/>
      <c r="L66" s="1"/>
    </row>
    <row r="67" ht="14.624267578125">
      <c r="A67" s="1"/>
      <c r="B67" s="19" t="s">
        <v>104</v>
      </c>
      <c r="C67" s="38" t="s">
        <v>105</v>
      </c>
      <c r="D67" s="38" t="s">
        <v>105</v>
      </c>
      <c r="E67" s="38" t="s">
        <v>105</v>
      </c>
      <c r="F67" s="38" t="s">
        <v>105</v>
      </c>
      <c r="G67" s="38" t="s">
        <v>105</v>
      </c>
      <c r="H67" s="59" t="s">
        <v>105</v>
      </c>
      <c r="I67" s="1" t="s">
        <v>106</v>
      </c>
      <c r="J67" s="1"/>
      <c r="K67" s="1"/>
      <c r="L67" s="1"/>
    </row>
    <row r="68" ht="14.624267578125">
      <c r="A68" s="1"/>
      <c r="B68" s="19" t="s">
        <v>107</v>
      </c>
      <c r="C68" s="38" t="s">
        <v>105</v>
      </c>
      <c r="D68" s="38" t="s">
        <v>105</v>
      </c>
      <c r="E68" s="38" t="s">
        <v>105</v>
      </c>
      <c r="F68" s="38" t="s">
        <v>105</v>
      </c>
      <c r="G68" s="38" t="s">
        <v>105</v>
      </c>
      <c r="H68" s="59" t="s">
        <v>105</v>
      </c>
      <c r="I68" s="1" t="s">
        <v>108</v>
      </c>
      <c r="J68" s="1"/>
      <c r="K68" s="1"/>
      <c r="L68" s="1"/>
    </row>
    <row r="69" ht="14.624267578125">
      <c r="A69" s="1"/>
      <c r="B69" s="19" t="s">
        <v>109</v>
      </c>
      <c r="C69" s="38" t="s">
        <v>110</v>
      </c>
      <c r="D69" s="38" t="s">
        <v>110</v>
      </c>
      <c r="E69" s="38" t="s">
        <v>110</v>
      </c>
      <c r="F69" s="38" t="s">
        <v>110</v>
      </c>
      <c r="G69" s="38" t="s">
        <v>110</v>
      </c>
      <c r="H69" s="59" t="s">
        <v>110</v>
      </c>
      <c r="I69" s="1" t="s">
        <v>111</v>
      </c>
      <c r="J69" s="1"/>
      <c r="K69" s="1"/>
      <c r="L69" s="1"/>
    </row>
    <row r="70" ht="14.624267578125">
      <c r="A70" s="1"/>
      <c r="B70" s="19" t="s">
        <v>112</v>
      </c>
      <c r="C70" s="7"/>
      <c r="D70" s="7"/>
      <c r="E70" s="7"/>
      <c r="F70" s="7">
        <f>IF(F65="","",F65)</f>
        <v>0.025035161744022538</v>
      </c>
      <c r="G70" s="7">
        <f>IF(G65="","",G65)</f>
        <v>0.008803301237964245</v>
      </c>
      <c r="H70" s="31">
        <f>IF(H65="","",H65)</f>
        <v>0.011662550535924021</v>
      </c>
      <c r="I70" s="1"/>
      <c r="J70" s="1"/>
      <c r="K70" s="1"/>
      <c r="L70" s="1"/>
    </row>
    <row r="71" ht="14.624267578125">
      <c r="A71" s="1"/>
      <c r="B71" s="33" t="s">
        <v>128</v>
      </c>
      <c r="C71" s="11">
        <f>C387</f>
        <v>1558</v>
      </c>
      <c r="D71" s="11">
        <f>D387</f>
        <v>1546</v>
      </c>
      <c r="E71" s="11">
        <f>E387</f>
        <v>5896</v>
      </c>
      <c r="F71" s="11">
        <f>F387</f>
        <v>1553</v>
      </c>
      <c r="G71" s="11">
        <f>G387</f>
        <v>1644</v>
      </c>
      <c r="H71" s="29">
        <f>H387</f>
        <v>1639.293</v>
      </c>
      <c r="I71" s="1"/>
      <c r="J71" s="1"/>
      <c r="K71" s="1"/>
      <c r="L71" s="1"/>
    </row>
    <row r="72" ht="14.624267578125">
      <c r="A72" s="1"/>
      <c r="B72" s="19" t="s">
        <v>89</v>
      </c>
      <c r="C72" s="7"/>
      <c r="D72" s="7"/>
      <c r="E72" s="7"/>
      <c r="F72" s="15">
        <f>IFERROR(IF((Inputs!C112+Inputs!C113+Inputs!C114+Inputs!C115+Inputs!C116+Inputs!C117+Inputs!C118+Inputs!C119)&lt;=0,"n.m.",F71/(Inputs!C112+Inputs!C113+Inputs!C114+Inputs!C115+Inputs!C116+Inputs!C117+Inputs!C118+Inputs!C119)-1),"")</f>
        <v>0.11566091954022983</v>
      </c>
      <c r="G72" s="15">
        <f>IFERROR(IF((Inputs!D112+Inputs!D113+Inputs!D114+Inputs!D115+Inputs!D116+Inputs!D117+Inputs!D118+Inputs!D119)&lt;=0,"n.m.",G71/(Inputs!D112+Inputs!D113+Inputs!D114+Inputs!D115+Inputs!D116+Inputs!D117+Inputs!D118+Inputs!D119)-1),"")</f>
        <v>0.17428571428571438</v>
      </c>
      <c r="H72" s="31">
        <f>IFERROR(IF(C71&lt;=0,"n.m.",H71/C71-1),"")</f>
        <v>0.0521777920410782</v>
      </c>
      <c r="I72" s="1"/>
      <c r="J72" s="1"/>
      <c r="K72" s="1"/>
      <c r="L72" s="1"/>
    </row>
    <row r="73" ht="14.624267578125">
      <c r="A73" s="1"/>
      <c r="B73" s="19" t="s">
        <v>91</v>
      </c>
      <c r="C73" s="15">
        <f>IFERROR(IF((Inputs!D112+Inputs!D113+Inputs!D114+Inputs!D115+Inputs!D116+Inputs!D117+Inputs!D118+Inputs!D119)&lt;=0,"n.m.",C71/(Inputs!D112+Inputs!D113+Inputs!D114+Inputs!D115+Inputs!D116+Inputs!D117+Inputs!D118+Inputs!D119)-1),"")</f>
        <v>0.11285714285714277</v>
      </c>
      <c r="D73" s="7">
        <f>IFERROR(IF(C71&lt;=0,"n.m.",D71/C71-1),"")</f>
        <v>-0.007702182284980763</v>
      </c>
      <c r="E73" s="7"/>
      <c r="F73" s="7">
        <f>IFERROR(IF(D71&lt;=0,"n.m.",F71/D71-1),"")</f>
        <v>0.004527813712807305</v>
      </c>
      <c r="G73" s="7">
        <f>IFERROR(IF(F71&lt;=0,"n.m.",G71/F71-1),"")</f>
        <v>0.05859626529298123</v>
      </c>
      <c r="H73" s="31">
        <f>IFERROR(IF(G71&lt;=0,"n.m.",H71/G71-1),"")</f>
        <v>-0.0028631386861314168</v>
      </c>
      <c r="I73" s="1"/>
      <c r="J73" s="1"/>
      <c r="K73" s="1"/>
      <c r="L73" s="1"/>
    </row>
    <row r="74" ht="14.624267578125">
      <c r="A74" s="1"/>
      <c r="B74" s="48" t="s">
        <v>118</v>
      </c>
      <c r="C74" s="50">
        <f>C64+C71</f>
        <v>5238</v>
      </c>
      <c r="D74" s="50">
        <f>D64+D71</f>
        <v>5295</v>
      </c>
      <c r="E74" s="50">
        <f>E64+E71</f>
        <v>20515</v>
      </c>
      <c r="F74" s="50">
        <f>F64+F71</f>
        <v>5197</v>
      </c>
      <c r="G74" s="50">
        <f>G64+G71</f>
        <v>5311</v>
      </c>
      <c r="H74" s="61">
        <f>H64+H71</f>
        <v>5362.2111859722</v>
      </c>
      <c r="I74" s="1"/>
      <c r="J74" s="1"/>
      <c r="K74" s="1"/>
      <c r="L74" s="1"/>
    </row>
    <row r="75" ht="14.624267578125">
      <c r="A75" s="1"/>
      <c r="B75" s="19" t="s">
        <v>129</v>
      </c>
      <c r="C75" s="38">
        <f>C74-C51</f>
        <v>0</v>
      </c>
      <c r="D75" s="38">
        <f>D74-D51</f>
        <v>0</v>
      </c>
      <c r="E75" s="38">
        <f>E74-E51</f>
        <v>0</v>
      </c>
      <c r="F75" s="38">
        <f>F74-F51</f>
        <v>0</v>
      </c>
      <c r="G75" s="38">
        <f>G74-G51</f>
        <v>0</v>
      </c>
      <c r="H75" s="59">
        <f>H74-H51</f>
        <v>0</v>
      </c>
      <c r="I75" s="1" t="s">
        <v>130</v>
      </c>
      <c r="J75" s="1"/>
      <c r="K75" s="1"/>
      <c r="L75" s="1"/>
    </row>
    <row r="76" ht="14.624267578125">
      <c r="A76" s="1"/>
      <c r="B76" s="19" t="s">
        <v>131</v>
      </c>
      <c r="C76" s="7">
        <f>IFERROR(C71/C74,"")</f>
        <v>0.29744177166857577</v>
      </c>
      <c r="D76" s="7">
        <f>IFERROR(D71/D74,"")</f>
        <v>0.2919735599622285</v>
      </c>
      <c r="E76" s="7">
        <f>IFERROR(E71/E74,"")</f>
        <v>0.2873994638069705</v>
      </c>
      <c r="F76" s="7">
        <f>IFERROR(F71/F74,"")</f>
        <v>0.2988262459111026</v>
      </c>
      <c r="G76" s="7">
        <f>IFERROR(G71/G74,"")</f>
        <v>0.30954622481641875</v>
      </c>
      <c r="H76" s="31">
        <f>IFERROR(H71/H74,"")</f>
        <v>0.30571212940819426</v>
      </c>
      <c r="I76" s="1"/>
      <c r="J76" s="1"/>
      <c r="K76" s="1"/>
      <c r="L76" s="1"/>
    </row>
    <row r="77" ht="14.624267578125">
      <c r="A77" s="1"/>
      <c r="B77" s="33" t="s">
        <v>99</v>
      </c>
      <c r="C77" s="26"/>
      <c r="D77" s="26">
        <f>IFERROR((D76-C76)*10000,"")</f>
        <v>-54.68211706347259</v>
      </c>
      <c r="E77" s="26"/>
      <c r="F77" s="26">
        <f>IFERROR((F76-D76)*10000,"")</f>
        <v>68.5268594887406</v>
      </c>
      <c r="G77" s="26">
        <f>IFERROR((G76-F76)*10000,"")</f>
        <v>107.19978905316174</v>
      </c>
      <c r="H77" s="60">
        <f>IFERROR((H76-G76)*10000,"")</f>
        <v>-38.34095408224491</v>
      </c>
      <c r="I77" s="1"/>
      <c r="J77" s="1"/>
      <c r="K77" s="1"/>
      <c r="L77" s="1"/>
    </row>
    <row r="78" ht="14.624267578125">
      <c r="A78" s="1"/>
      <c r="B78" s="33" t="s">
        <v>132</v>
      </c>
      <c r="C78" s="26"/>
      <c r="D78" s="26"/>
      <c r="E78" s="26"/>
      <c r="F78" s="56">
        <f>IFERROR((F76-((Inputs!C112+Inputs!C113+Inputs!C114+Inputs!C115+Inputs!C116+Inputs!C117+Inputs!C118+Inputs!C119)/((Inputs!C104+Inputs!C105+Inputs!C106-Inputs!C107-Inputs!C108-Inputs!C109+Inputs!C110)+(Inputs!C112+Inputs!C113+Inputs!C114+Inputs!C115+Inputs!C116+Inputs!C117+Inputs!C118+Inputs!C119))))*10000,"")</f>
        <v>174.4358975585697</v>
      </c>
      <c r="G78" s="56">
        <f>IFERROR((G76-((Inputs!D112+Inputs!D113+Inputs!D114+Inputs!D115+Inputs!D116+Inputs!D117+Inputs!D118+Inputs!D119)/((Inputs!D104+Inputs!D105+Inputs!D106-Inputs!D107-Inputs!D108-Inputs!D109+Inputs!D110)+(Inputs!D112+Inputs!D113+Inputs!D114+Inputs!D115+Inputs!D116+Inputs!D117+Inputs!D118+Inputs!D119))))*10000,"")</f>
        <v>314.92600188812</v>
      </c>
      <c r="H78" s="60">
        <f>IFERROR((H76-C76)*10000,"")</f>
        <v>82.70357739618484</v>
      </c>
      <c r="I78" s="1"/>
      <c r="J78" s="1"/>
      <c r="K78" s="1"/>
      <c r="L78" s="1"/>
    </row>
    <row r="79">
      <c r="A79" s="1"/>
      <c r="B79" s="33"/>
      <c r="C79" s="18"/>
      <c r="D79" s="18"/>
      <c r="E79" s="18"/>
      <c r="F79" s="18"/>
      <c r="G79" s="18"/>
      <c r="H79" s="45"/>
      <c r="I79" s="1"/>
      <c r="J79" s="1"/>
      <c r="K79" s="1"/>
      <c r="L79" s="1"/>
    </row>
    <row r="80" ht="14.624267578125">
      <c r="A80" s="1"/>
      <c r="B80" s="57" t="s">
        <v>133</v>
      </c>
      <c r="C80" s="18"/>
      <c r="D80" s="18"/>
      <c r="E80" s="18"/>
      <c r="F80" s="18"/>
      <c r="G80" s="18"/>
      <c r="H80" s="45"/>
      <c r="I80" s="1"/>
      <c r="J80" s="1"/>
      <c r="K80" s="1"/>
      <c r="L80" s="1"/>
    </row>
    <row r="81" ht="14.624267578125">
      <c r="A81" s="1"/>
      <c r="B81" s="33" t="s">
        <v>134</v>
      </c>
      <c r="C81" s="22">
        <v>119180</v>
      </c>
      <c r="D81" s="22">
        <v>117707</v>
      </c>
      <c r="E81" s="22">
        <v>120673</v>
      </c>
      <c r="F81" s="22">
        <v>116118</v>
      </c>
      <c r="G81" s="22">
        <v>118138</v>
      </c>
      <c r="H81" s="29">
        <f>G81*(1+H82)</f>
        <v>119319.38</v>
      </c>
      <c r="I81" s="1" t="s">
        <v>135</v>
      </c>
      <c r="J81" s="1"/>
      <c r="K81" s="1"/>
      <c r="L81" s="1"/>
    </row>
    <row r="82" ht="14.624267578125">
      <c r="A82" s="1"/>
      <c r="B82" s="19" t="s">
        <v>136</v>
      </c>
      <c r="C82" s="15">
        <f>IFERROR(IF(Inputs!D143&lt;=0,"n.m.",C81/Inputs!D143-1),"")</f>
        <v>-0.021743591427328512</v>
      </c>
      <c r="D82" s="7">
        <f>IFERROR(IF(C81&lt;=0,"n.m.",D81/C81-1),"")</f>
        <v>-0.012359456284611547</v>
      </c>
      <c r="E82" s="7"/>
      <c r="F82" s="7">
        <f>IFERROR(IF(D81&lt;=0,"n.m.",F81/D81-1),"")</f>
        <v>-0.013499621942620221</v>
      </c>
      <c r="G82" s="7">
        <f>IFERROR(IF(F81&lt;=0,"n.m.",G81/F81-1),"")</f>
        <v>0.017396097073666406</v>
      </c>
      <c r="H82" s="65">
        <v>0.01</v>
      </c>
      <c r="I82" s="1" t="s">
        <v>137</v>
      </c>
      <c r="J82" s="1"/>
      <c r="K82" s="1"/>
      <c r="L82" s="1"/>
    </row>
    <row r="83" ht="14.624267578125">
      <c r="A83" s="1"/>
      <c r="B83" s="19" t="s">
        <v>138</v>
      </c>
      <c r="C83" s="7"/>
      <c r="D83" s="7"/>
      <c r="E83" s="7"/>
      <c r="F83" s="15">
        <f>IFERROR(IF(Inputs!C143&lt;=0,"n.m.",F81/Inputs!C143-1),"")</f>
        <v>-0.0640249554654565</v>
      </c>
      <c r="G83" s="15">
        <f>IFERROR(IF(Inputs!D143&lt;=0,"n.m.",G81/Inputs!D143-1),"")</f>
        <v>-0.03029656321565477</v>
      </c>
      <c r="H83" s="31">
        <f>IFERROR(IF(C81&lt;=0,"n.m.",H81/C81-1),"")</f>
        <v>0.0011694915254236715</v>
      </c>
      <c r="I83" s="1"/>
      <c r="J83" s="1"/>
      <c r="K83" s="1"/>
      <c r="L83" s="1"/>
    </row>
    <row r="84" ht="14.624267578125">
      <c r="A84" s="1"/>
      <c r="B84" s="33" t="s">
        <v>139</v>
      </c>
      <c r="C84" s="2">
        <f>C81-Inputs!D143</f>
        <v>-2649</v>
      </c>
      <c r="D84" s="11">
        <f>D81-C81</f>
        <v>-1473</v>
      </c>
      <c r="E84" s="11"/>
      <c r="F84" s="11">
        <f>F81-D81</f>
        <v>-1589</v>
      </c>
      <c r="G84" s="11">
        <f>G81-F81</f>
        <v>2020</v>
      </c>
      <c r="H84" s="29">
        <f>H81-G81</f>
        <v>1181.3800000000047</v>
      </c>
      <c r="I84" s="1"/>
      <c r="J84" s="1"/>
      <c r="K84" s="1"/>
      <c r="L84" s="1"/>
    </row>
    <row r="85" ht="14.624267578125">
      <c r="A85" s="1"/>
      <c r="B85" s="33" t="s">
        <v>140</v>
      </c>
      <c r="C85" s="18"/>
      <c r="D85" s="18"/>
      <c r="E85" s="18"/>
      <c r="F85" s="18"/>
      <c r="G85" s="18"/>
      <c r="H85" s="45"/>
      <c r="I85" s="1"/>
      <c r="J85" s="1"/>
      <c r="K85" s="1"/>
      <c r="L85" s="1"/>
    </row>
    <row r="86" ht="14.624267578125">
      <c r="A86" s="1"/>
      <c r="B86" s="33" t="s">
        <v>141</v>
      </c>
      <c r="C86" s="22">
        <v>162207</v>
      </c>
      <c r="D86" s="22">
        <v>163990</v>
      </c>
      <c r="E86" s="22">
        <v>160004</v>
      </c>
      <c r="F86" s="22">
        <v>166636</v>
      </c>
      <c r="G86" s="22">
        <v>168817</v>
      </c>
      <c r="H86" s="29">
        <f>G86*(1+H87)</f>
        <v>170842.804</v>
      </c>
      <c r="I86" s="1" t="s">
        <v>135</v>
      </c>
      <c r="J86" s="1"/>
      <c r="K86" s="1"/>
      <c r="L86" s="1"/>
    </row>
    <row r="87" ht="14.624267578125">
      <c r="A87" s="1"/>
      <c r="B87" s="19" t="s">
        <v>136</v>
      </c>
      <c r="C87" s="15">
        <f>IFERROR(IF(Inputs!D146&lt;=0,"n.m.",C86/Inputs!D146-1),"")</f>
        <v>0.023446126278463764</v>
      </c>
      <c r="D87" s="7">
        <f>IFERROR(IF(C86&lt;=0,"n.m.",D86/C86-1),"")</f>
        <v>0.010992127343456115</v>
      </c>
      <c r="E87" s="7"/>
      <c r="F87" s="7">
        <f>IFERROR(IF(D86&lt;=0,"n.m.",F86/D86-1),"")</f>
        <v>0.01613513019086521</v>
      </c>
      <c r="G87" s="7">
        <f>IFERROR(IF(F86&lt;=0,"n.m.",G86/F86-1),"")</f>
        <v>0.01308840826712121</v>
      </c>
      <c r="H87" s="65">
        <v>0.012</v>
      </c>
      <c r="I87" s="1"/>
      <c r="J87" s="1"/>
      <c r="K87" s="1"/>
      <c r="L87" s="1"/>
    </row>
    <row r="88" ht="14.624267578125">
      <c r="A88" s="1"/>
      <c r="B88" s="19" t="s">
        <v>138</v>
      </c>
      <c r="C88" s="7"/>
      <c r="D88" s="7"/>
      <c r="E88" s="7"/>
      <c r="F88" s="15">
        <f>IFERROR(IF(Inputs!C146&lt;=0,"n.m.",F86/Inputs!C146-1),"")</f>
        <v>0.07358872266676975</v>
      </c>
      <c r="G88" s="15">
        <f>IFERROR(IF(Inputs!D146&lt;=0,"n.m.",G86/Inputs!D146-1),"")</f>
        <v>0.06515196446485927</v>
      </c>
      <c r="H88" s="31">
        <f>IFERROR(IF(C86&lt;=0,"n.m.",H86/C86-1),"")</f>
        <v>0.053239403971468535</v>
      </c>
      <c r="I88" s="1"/>
      <c r="J88" s="1"/>
      <c r="K88" s="1"/>
      <c r="L88" s="1"/>
    </row>
    <row r="89" ht="14.624267578125">
      <c r="A89" s="1"/>
      <c r="B89" s="33" t="s">
        <v>139</v>
      </c>
      <c r="C89" s="2">
        <f>C86-Inputs!D146</f>
        <v>3716</v>
      </c>
      <c r="D89" s="11">
        <f>D86-C86</f>
        <v>1783</v>
      </c>
      <c r="E89" s="11"/>
      <c r="F89" s="11">
        <f>F86-D86</f>
        <v>2646</v>
      </c>
      <c r="G89" s="11">
        <f>G86-F86</f>
        <v>2181</v>
      </c>
      <c r="H89" s="29">
        <f>H86-G86</f>
        <v>2025.8040000000037</v>
      </c>
      <c r="I89" s="1"/>
      <c r="J89" s="1"/>
      <c r="K89" s="1"/>
      <c r="L89" s="1"/>
    </row>
    <row r="90" ht="14.624267578125">
      <c r="A90" s="1"/>
      <c r="B90" s="33" t="s">
        <v>142</v>
      </c>
      <c r="C90" s="22">
        <v>21171</v>
      </c>
      <c r="D90" s="22">
        <v>23205</v>
      </c>
      <c r="E90" s="22">
        <v>20984</v>
      </c>
      <c r="F90" s="22">
        <v>24165</v>
      </c>
      <c r="G90" s="22">
        <v>24938</v>
      </c>
      <c r="H90" s="29">
        <f>G90*(1+H91)</f>
        <v>25436.760000000002</v>
      </c>
      <c r="I90" s="1" t="s">
        <v>135</v>
      </c>
      <c r="J90" s="1"/>
      <c r="K90" s="1"/>
      <c r="L90" s="1"/>
    </row>
    <row r="91" ht="14.624267578125">
      <c r="A91" s="1"/>
      <c r="B91" s="19" t="s">
        <v>136</v>
      </c>
      <c r="C91" s="15">
        <f>IFERROR(IF(Inputs!D149&lt;=0,"n.m.",C90/Inputs!D149-1),"")</f>
        <v>0.07537969218265861</v>
      </c>
      <c r="D91" s="7">
        <f>IFERROR(IF(C90&lt;=0,"n.m.",D90/C90-1),"")</f>
        <v>0.09607481932832651</v>
      </c>
      <c r="E91" s="7"/>
      <c r="F91" s="7">
        <f>IFERROR(IF(D90&lt;=0,"n.m.",F90/D90-1),"")</f>
        <v>0.04137039431157086</v>
      </c>
      <c r="G91" s="7">
        <f>IFERROR(IF(F90&lt;=0,"n.m.",G90/F90-1),"")</f>
        <v>0.03198841299399957</v>
      </c>
      <c r="H91" s="65">
        <v>0.02</v>
      </c>
      <c r="I91" s="1"/>
      <c r="J91" s="1"/>
      <c r="K91" s="1"/>
      <c r="L91" s="1"/>
    </row>
    <row r="92" ht="14.624267578125">
      <c r="A92" s="1"/>
      <c r="B92" s="19" t="s">
        <v>138</v>
      </c>
      <c r="C92" s="7"/>
      <c r="D92" s="7"/>
      <c r="E92" s="7"/>
      <c r="F92" s="15">
        <f>IFERROR(IF(Inputs!C149&lt;=0,"n.m.",F90/Inputs!C149-1),"")</f>
        <v>0.21848527632109715</v>
      </c>
      <c r="G92" s="15">
        <f>IFERROR(IF(Inputs!D149&lt;=0,"n.m.",G90/Inputs!D149-1),"")</f>
        <v>0.266724234266267</v>
      </c>
      <c r="H92" s="31">
        <f>IFERROR(IF(C90&lt;=0,"n.m.",H90/C90-1),"")</f>
        <v>0.20149071843559585</v>
      </c>
      <c r="I92" s="1"/>
      <c r="J92" s="1"/>
      <c r="K92" s="1"/>
      <c r="L92" s="1"/>
    </row>
    <row r="93" ht="14.624267578125">
      <c r="A93" s="1"/>
      <c r="B93" s="33" t="s">
        <v>139</v>
      </c>
      <c r="C93" s="2">
        <f>C90-Inputs!D149</f>
        <v>1484</v>
      </c>
      <c r="D93" s="11">
        <f>D90-C90</f>
        <v>2034</v>
      </c>
      <c r="E93" s="11"/>
      <c r="F93" s="11">
        <f>F90-D90</f>
        <v>960</v>
      </c>
      <c r="G93" s="11">
        <f>G90-F90</f>
        <v>773</v>
      </c>
      <c r="H93" s="29">
        <f>H90-G90</f>
        <v>498.76000000000204</v>
      </c>
      <c r="I93" s="1"/>
      <c r="J93" s="1"/>
      <c r="K93" s="1"/>
      <c r="L93" s="1"/>
    </row>
    <row r="94" ht="14.624267578125">
      <c r="A94" s="1"/>
      <c r="B94" s="33" t="s">
        <v>143</v>
      </c>
      <c r="C94" s="22">
        <v>8258</v>
      </c>
      <c r="D94" s="22">
        <v>8015</v>
      </c>
      <c r="E94" s="22">
        <v>8403</v>
      </c>
      <c r="F94" s="22">
        <v>7845</v>
      </c>
      <c r="G94" s="22">
        <v>7455</v>
      </c>
      <c r="H94" s="29">
        <f>G94*(1+H95)</f>
        <v>7231.349999999999</v>
      </c>
      <c r="I94" s="1" t="s">
        <v>135</v>
      </c>
      <c r="J94" s="1"/>
      <c r="K94" s="1"/>
      <c r="L94" s="1"/>
    </row>
    <row r="95" ht="14.624267578125">
      <c r="A95" s="1"/>
      <c r="B95" s="19" t="s">
        <v>136</v>
      </c>
      <c r="C95" s="15">
        <f>IFERROR(IF(Inputs!D152&lt;=0,"n.m.",C94/Inputs!D152-1),"")</f>
        <v>-0.04121676535469643</v>
      </c>
      <c r="D95" s="7">
        <f>IFERROR(IF(C94&lt;=0,"n.m.",D94/C94-1),"")</f>
        <v>-0.029426011140712083</v>
      </c>
      <c r="E95" s="7"/>
      <c r="F95" s="7">
        <f>IFERROR(IF(D94&lt;=0,"n.m.",F94/D94-1),"")</f>
        <v>-0.021210230817217735</v>
      </c>
      <c r="G95" s="7">
        <f>IFERROR(IF(F94&lt;=0,"n.m.",G94/F94-1),"")</f>
        <v>-0.0497131931166348</v>
      </c>
      <c r="H95" s="65">
        <v>-0.03</v>
      </c>
      <c r="I95" s="1"/>
      <c r="J95" s="1"/>
      <c r="K95" s="1"/>
      <c r="L95" s="1"/>
    </row>
    <row r="96" ht="14.624267578125">
      <c r="A96" s="1"/>
      <c r="B96" s="19" t="s">
        <v>138</v>
      </c>
      <c r="C96" s="7"/>
      <c r="D96" s="7"/>
      <c r="E96" s="7"/>
      <c r="F96" s="15">
        <f>IFERROR(IF(Inputs!C152&lt;=0,"n.m.",F94/Inputs!C152-1),"")</f>
        <v>-0.10178612319670255</v>
      </c>
      <c r="G96" s="15">
        <f>IFERROR(IF(Inputs!D152&lt;=0,"n.m.",G94/Inputs!D152-1),"")</f>
        <v>-0.1344479275513758</v>
      </c>
      <c r="H96" s="31">
        <f>IFERROR(IF(C94&lt;=0,"n.m.",H94/C94-1),"")</f>
        <v>-0.12432186970210712</v>
      </c>
      <c r="I96" s="1"/>
      <c r="J96" s="1"/>
      <c r="K96" s="1"/>
      <c r="L96" s="1"/>
    </row>
    <row r="97" ht="14.624267578125">
      <c r="A97" s="1"/>
      <c r="B97" s="33" t="s">
        <v>139</v>
      </c>
      <c r="C97" s="2">
        <f>C94-Inputs!D152</f>
        <v>-355</v>
      </c>
      <c r="D97" s="11">
        <f>D94-C94</f>
        <v>-243</v>
      </c>
      <c r="E97" s="11"/>
      <c r="F97" s="11">
        <f>F94-D94</f>
        <v>-170</v>
      </c>
      <c r="G97" s="11">
        <f>G94-F94</f>
        <v>-390</v>
      </c>
      <c r="H97" s="29">
        <f>H94-G94</f>
        <v>-223.65000000000055</v>
      </c>
      <c r="I97" s="1"/>
      <c r="J97" s="1"/>
      <c r="K97" s="1"/>
      <c r="L97" s="1"/>
    </row>
    <row r="98" ht="14.624267578125">
      <c r="A98" s="1"/>
      <c r="B98" s="33" t="s">
        <v>144</v>
      </c>
      <c r="C98" s="22">
        <v>57676</v>
      </c>
      <c r="D98" s="22">
        <v>57100</v>
      </c>
      <c r="E98" s="22">
        <v>56812</v>
      </c>
      <c r="F98" s="22">
        <v>56458</v>
      </c>
      <c r="G98" s="22">
        <v>56342</v>
      </c>
      <c r="H98" s="29">
        <f>G98*(1+H99)</f>
        <v>56229.316</v>
      </c>
      <c r="I98" s="1" t="s">
        <v>135</v>
      </c>
      <c r="J98" s="1"/>
      <c r="K98" s="1"/>
      <c r="L98" s="1"/>
    </row>
    <row r="99" ht="14.624267578125">
      <c r="A99" s="1"/>
      <c r="B99" s="19" t="s">
        <v>136</v>
      </c>
      <c r="C99" s="15">
        <f>IFERROR(IF(Inputs!D155&lt;=0,"n.m.",C98/Inputs!D155-1),"")</f>
        <v>0.01561922203243582</v>
      </c>
      <c r="D99" s="7">
        <f>IFERROR(IF(C98&lt;=0,"n.m.",D98/C98-1),"")</f>
        <v>-0.009986822941951634</v>
      </c>
      <c r="E99" s="7"/>
      <c r="F99" s="7">
        <f>IFERROR(IF(D98&lt;=0,"n.m.",F98/D98-1),"")</f>
        <v>-0.011243432574430834</v>
      </c>
      <c r="G99" s="7">
        <f>IFERROR(IF(F98&lt;=0,"n.m.",G98/F98-1),"")</f>
        <v>-0.0020546246767508825</v>
      </c>
      <c r="H99" s="65">
        <v>-0.002</v>
      </c>
      <c r="I99" s="1"/>
      <c r="J99" s="1"/>
      <c r="K99" s="1"/>
      <c r="L99" s="1"/>
    </row>
    <row r="100" ht="14.624267578125">
      <c r="A100" s="1"/>
      <c r="B100" s="19" t="s">
        <v>138</v>
      </c>
      <c r="C100" s="7"/>
      <c r="D100" s="7"/>
      <c r="E100" s="7"/>
      <c r="F100" s="15">
        <f>IFERROR(IF(Inputs!C155&lt;=0,"n.m.",F98/Inputs!C155-1),"")</f>
        <v>0.014373495274713433</v>
      </c>
      <c r="G100" s="15">
        <f>IFERROR(IF(Inputs!D155&lt;=0,"n.m.",G98/Inputs!D155-1),"")</f>
        <v>-0.007871242670235423</v>
      </c>
      <c r="H100" s="31">
        <f>IFERROR(IF(C98&lt;=0,"n.m.",H98/C98-1),"")</f>
        <v>-0.025082946112767845</v>
      </c>
      <c r="I100" s="1"/>
      <c r="J100" s="1"/>
      <c r="K100" s="1"/>
      <c r="L100" s="1"/>
    </row>
    <row r="101" ht="14.624267578125">
      <c r="A101" s="1"/>
      <c r="B101" s="33" t="s">
        <v>139</v>
      </c>
      <c r="C101" s="2">
        <f>C98-Inputs!D155</f>
        <v>887</v>
      </c>
      <c r="D101" s="11">
        <f>D98-C98</f>
        <v>-576</v>
      </c>
      <c r="E101" s="11"/>
      <c r="F101" s="11">
        <f>F98-D98</f>
        <v>-642</v>
      </c>
      <c r="G101" s="11">
        <f>G98-F98</f>
        <v>-116</v>
      </c>
      <c r="H101" s="29">
        <f>H98-G98</f>
        <v>-112.6840000000011</v>
      </c>
      <c r="I101" s="1"/>
      <c r="J101" s="1"/>
      <c r="K101" s="1"/>
      <c r="L101" s="1"/>
    </row>
    <row r="102" ht="14.624267578125">
      <c r="A102" s="1"/>
      <c r="B102" s="33" t="s">
        <v>145</v>
      </c>
      <c r="C102" s="22">
        <v>9588</v>
      </c>
      <c r="D102" s="22">
        <v>9679</v>
      </c>
      <c r="E102" s="22">
        <v>9606</v>
      </c>
      <c r="F102" s="22">
        <v>9666</v>
      </c>
      <c r="G102" s="22">
        <v>9656</v>
      </c>
      <c r="H102" s="29">
        <f>G102*(1+H103)</f>
        <v>9656</v>
      </c>
      <c r="I102" s="1" t="s">
        <v>135</v>
      </c>
      <c r="J102" s="1"/>
      <c r="K102" s="1"/>
      <c r="L102" s="1"/>
    </row>
    <row r="103" ht="14.624267578125">
      <c r="A103" s="1"/>
      <c r="B103" s="19" t="s">
        <v>136</v>
      </c>
      <c r="C103" s="15">
        <f>IFERROR(IF(Inputs!D158&lt;=0,"n.m.",C102/Inputs!D158-1),"")</f>
        <v>0.00020863759649492053</v>
      </c>
      <c r="D103" s="7">
        <f>IFERROR(IF(C102&lt;=0,"n.m.",D102/C102-1),"")</f>
        <v>0.009491030454735094</v>
      </c>
      <c r="E103" s="7"/>
      <c r="F103" s="7">
        <f>IFERROR(IF(D102&lt;=0,"n.m.",F102/D102-1),"")</f>
        <v>-0.0013431139580535323</v>
      </c>
      <c r="G103" s="7">
        <f>IFERROR(IF(F102&lt;=0,"n.m.",G102/F102-1),"")</f>
        <v>-0.001034554107179786</v>
      </c>
      <c r="H103" s="107">
        <v>0</v>
      </c>
      <c r="I103" s="1"/>
      <c r="J103" s="1"/>
      <c r="K103" s="1"/>
      <c r="L103" s="1"/>
    </row>
    <row r="104" ht="14.624267578125">
      <c r="A104" s="1"/>
      <c r="B104" s="19" t="s">
        <v>138</v>
      </c>
      <c r="C104" s="7"/>
      <c r="D104" s="7"/>
      <c r="E104" s="7"/>
      <c r="F104" s="15">
        <f>IFERROR(IF(Inputs!C158&lt;=0,"n.m.",F102/Inputs!C158-1),"")</f>
        <v>0.010136900407566207</v>
      </c>
      <c r="G104" s="15">
        <f>IFERROR(IF(Inputs!D158&lt;=0,"n.m.",G102/Inputs!D158-1),"")</f>
        <v>0.007302315877321108</v>
      </c>
      <c r="H104" s="31">
        <f>IFERROR(IF(C102&lt;=0,"n.m.",H102/C102-1),"")</f>
        <v>0.007092198581560183</v>
      </c>
      <c r="I104" s="1"/>
      <c r="J104" s="1"/>
      <c r="K104" s="1"/>
      <c r="L104" s="1"/>
    </row>
    <row r="105" ht="14.624267578125">
      <c r="A105" s="1"/>
      <c r="B105" s="33" t="s">
        <v>139</v>
      </c>
      <c r="C105" s="2">
        <f>C102-Inputs!D158</f>
        <v>2</v>
      </c>
      <c r="D105" s="11">
        <f>D102-C102</f>
        <v>91</v>
      </c>
      <c r="E105" s="11"/>
      <c r="F105" s="11">
        <f>F102-D102</f>
        <v>-13</v>
      </c>
      <c r="G105" s="11">
        <f>G102-F102</f>
        <v>-10</v>
      </c>
      <c r="H105" s="29">
        <f>H102-G102</f>
        <v>0</v>
      </c>
      <c r="I105" s="1"/>
      <c r="J105" s="1"/>
      <c r="K105" s="1"/>
      <c r="L105" s="1"/>
    </row>
    <row r="106" ht="14.624267578125">
      <c r="A106" s="1"/>
      <c r="B106" s="33" t="s">
        <v>146</v>
      </c>
      <c r="C106" s="22">
        <v>24964</v>
      </c>
      <c r="D106" s="22">
        <v>25639</v>
      </c>
      <c r="E106" s="22">
        <v>24510</v>
      </c>
      <c r="F106" s="22">
        <v>25342</v>
      </c>
      <c r="G106" s="22">
        <v>24430</v>
      </c>
      <c r="H106" s="29">
        <f>G106*(1+H107)</f>
        <v>22964.199999999997</v>
      </c>
      <c r="I106" s="1" t="s">
        <v>147</v>
      </c>
      <c r="J106" s="1"/>
      <c r="K106" s="1"/>
      <c r="L106" s="1"/>
    </row>
    <row r="107" ht="14.624267578125">
      <c r="A107" s="1"/>
      <c r="B107" s="19" t="s">
        <v>136</v>
      </c>
      <c r="C107" s="15">
        <f>IFERROR(IF(Inputs!D161&lt;=0,"n.m.",C106/Inputs!D161-1),"")</f>
        <v>0.033363689047106515</v>
      </c>
      <c r="D107" s="7">
        <f>IFERROR(IF(C106&lt;=0,"n.m.",D106/C106-1),"")</f>
        <v>0.027038936067937724</v>
      </c>
      <c r="E107" s="7"/>
      <c r="F107" s="7">
        <f>IFERROR(IF(D106&lt;=0,"n.m.",F106/D106-1),"")</f>
        <v>-0.011583915129295241</v>
      </c>
      <c r="G107" s="7">
        <f>IFERROR(IF(F106&lt;=0,"n.m.",G106/F106-1),"")</f>
        <v>-0.03598768842238187</v>
      </c>
      <c r="H107" s="65">
        <v>-0.06</v>
      </c>
      <c r="I107" s="1"/>
      <c r="J107" s="1"/>
      <c r="K107" s="1"/>
      <c r="L107" s="1"/>
    </row>
    <row r="108" ht="14.624267578125">
      <c r="A108" s="1"/>
      <c r="B108" s="19" t="s">
        <v>138</v>
      </c>
      <c r="C108" s="7"/>
      <c r="D108" s="7"/>
      <c r="E108" s="7"/>
      <c r="F108" s="15">
        <f>IFERROR(IF(Inputs!C161&lt;=0,"n.m.",F106/Inputs!C161-1),"")</f>
        <v>0.09007226428079829</v>
      </c>
      <c r="G108" s="15">
        <f>IFERROR(IF(Inputs!D161&lt;=0,"n.m.",G106/Inputs!D161-1),"")</f>
        <v>0.01125921019951992</v>
      </c>
      <c r="H108" s="31">
        <f>IFERROR(IF(C106&lt;=0,"n.m.",H106/C106-1),"")</f>
        <v>-0.08010735459061058</v>
      </c>
      <c r="I108" s="1"/>
      <c r="J108" s="1"/>
      <c r="K108" s="1"/>
      <c r="L108" s="1"/>
    </row>
    <row r="109" ht="14.624267578125">
      <c r="A109" s="1"/>
      <c r="B109" s="33" t="s">
        <v>139</v>
      </c>
      <c r="C109" s="2">
        <f>C106-Inputs!D161</f>
        <v>806</v>
      </c>
      <c r="D109" s="11">
        <f>D106-C106</f>
        <v>675</v>
      </c>
      <c r="E109" s="11"/>
      <c r="F109" s="11">
        <f>F106-D106</f>
        <v>-297</v>
      </c>
      <c r="G109" s="11">
        <f>G106-F106</f>
        <v>-912</v>
      </c>
      <c r="H109" s="29">
        <f>H106-G106</f>
        <v>-1465.800000000003</v>
      </c>
      <c r="I109" s="1"/>
      <c r="J109" s="1"/>
      <c r="K109" s="1"/>
      <c r="L109" s="1"/>
    </row>
    <row r="110" ht="14.624267578125">
      <c r="A110" s="1"/>
      <c r="B110" s="33" t="s">
        <v>148</v>
      </c>
      <c r="C110" s="22">
        <v>31714</v>
      </c>
      <c r="D110" s="22">
        <v>32181</v>
      </c>
      <c r="E110" s="22">
        <v>30904</v>
      </c>
      <c r="F110" s="22">
        <v>32053</v>
      </c>
      <c r="G110" s="22">
        <v>32661</v>
      </c>
      <c r="H110" s="29">
        <f>G110*(1+H111)</f>
        <v>33150.91499999999</v>
      </c>
      <c r="I110" s="1" t="s">
        <v>135</v>
      </c>
      <c r="J110" s="1"/>
      <c r="K110" s="1"/>
      <c r="L110" s="1"/>
    </row>
    <row r="111" ht="14.624267578125">
      <c r="A111" s="1"/>
      <c r="B111" s="19" t="s">
        <v>136</v>
      </c>
      <c r="C111" s="15">
        <f>IFERROR(IF(Inputs!D164&lt;=0,"n.m.",C110/Inputs!D164-1),"")</f>
        <v>0.04366999045644526</v>
      </c>
      <c r="D111" s="7">
        <f>IFERROR(IF(C110&lt;=0,"n.m.",D110/C110-1),"")</f>
        <v>0.014725357886107071</v>
      </c>
      <c r="E111" s="7"/>
      <c r="F111" s="7">
        <f>IFERROR(IF(D110&lt;=0,"n.m.",F110/D110-1),"")</f>
        <v>-0.003977502252882181</v>
      </c>
      <c r="G111" s="7">
        <f>IFERROR(IF(F110&lt;=0,"n.m.",G110/F110-1),"")</f>
        <v>0.018968583283935914</v>
      </c>
      <c r="H111" s="65">
        <v>0.015</v>
      </c>
      <c r="I111" s="1"/>
      <c r="J111" s="1"/>
      <c r="K111" s="1"/>
      <c r="L111" s="1"/>
    </row>
    <row r="112" ht="14.624267578125">
      <c r="A112" s="1"/>
      <c r="B112" s="19" t="s">
        <v>138</v>
      </c>
      <c r="C112" s="7"/>
      <c r="D112" s="7"/>
      <c r="E112" s="7"/>
      <c r="F112" s="15">
        <f>IFERROR(IF(Inputs!C164&lt;=0,"n.m.",F110/Inputs!C164-1),"")</f>
        <v>0.09429517599262582</v>
      </c>
      <c r="G112" s="15">
        <f>IFERROR(IF(Inputs!D164&lt;=0,"n.m.",G110/Inputs!D164-1),"")</f>
        <v>0.07483463323131612</v>
      </c>
      <c r="H112" s="31">
        <f>IFERROR(IF(C110&lt;=0,"n.m.",H110/C110-1),"")</f>
        <v>0.04530853881566488</v>
      </c>
      <c r="I112" s="1"/>
      <c r="J112" s="1"/>
      <c r="K112" s="1"/>
      <c r="L112" s="1"/>
    </row>
    <row r="113" ht="14.624267578125">
      <c r="A113" s="1"/>
      <c r="B113" s="33" t="s">
        <v>139</v>
      </c>
      <c r="C113" s="2">
        <f>C110-Inputs!D164</f>
        <v>1327</v>
      </c>
      <c r="D113" s="11">
        <f>D110-C110</f>
        <v>467</v>
      </c>
      <c r="E113" s="11"/>
      <c r="F113" s="11">
        <f>F110-D110</f>
        <v>-128</v>
      </c>
      <c r="G113" s="11">
        <f>G110-F110</f>
        <v>608</v>
      </c>
      <c r="H113" s="29">
        <f>H110-G110</f>
        <v>489.9149999999936</v>
      </c>
      <c r="I113" s="1"/>
      <c r="J113" s="1"/>
      <c r="K113" s="1"/>
      <c r="L113" s="1"/>
    </row>
    <row r="114" ht="14.624267578125">
      <c r="A114" s="1"/>
      <c r="B114" s="33" t="s">
        <v>149</v>
      </c>
      <c r="C114" s="22">
        <v>4915</v>
      </c>
      <c r="D114" s="22">
        <v>4956</v>
      </c>
      <c r="E114" s="22">
        <v>4903</v>
      </c>
      <c r="F114" s="22">
        <v>4857</v>
      </c>
      <c r="G114" s="22">
        <v>4863</v>
      </c>
      <c r="H114" s="29">
        <f>G114*(1+H115)</f>
        <v>4887.315</v>
      </c>
      <c r="I114" s="1" t="s">
        <v>135</v>
      </c>
      <c r="J114" s="1"/>
      <c r="K114" s="1"/>
      <c r="L114" s="1"/>
    </row>
    <row r="115" ht="14.624267578125">
      <c r="A115" s="1"/>
      <c r="B115" s="19" t="s">
        <v>136</v>
      </c>
      <c r="C115" s="15">
        <f>IFERROR(IF(Inputs!D167&lt;=0,"n.m.",C114/Inputs!D167-1),"")</f>
        <v>0.005112474437627856</v>
      </c>
      <c r="D115" s="7">
        <f>IFERROR(IF(C114&lt;=0,"n.m.",D114/C114-1),"")</f>
        <v>0.008341810783316417</v>
      </c>
      <c r="E115" s="7"/>
      <c r="F115" s="7">
        <f>IFERROR(IF(D114&lt;=0,"n.m.",F114/D114-1),"")</f>
        <v>-0.01997578692493951</v>
      </c>
      <c r="G115" s="7">
        <f>IFERROR(IF(F114&lt;=0,"n.m.",G114/F114-1),"")</f>
        <v>0.001235330450895633</v>
      </c>
      <c r="H115" s="65">
        <v>0.005</v>
      </c>
      <c r="I115" s="1"/>
      <c r="J115" s="1"/>
      <c r="K115" s="1"/>
      <c r="L115" s="1"/>
    </row>
    <row r="116" ht="14.624267578125">
      <c r="A116" s="1"/>
      <c r="B116" s="19" t="s">
        <v>138</v>
      </c>
      <c r="C116" s="7"/>
      <c r="D116" s="7"/>
      <c r="E116" s="7"/>
      <c r="F116" s="15">
        <f>IFERROR(IF(Inputs!C167&lt;=0,"n.m.",F114/Inputs!C167-1),"")</f>
        <v>0.0016498247061249582</v>
      </c>
      <c r="G116" s="15">
        <f>IFERROR(IF(Inputs!D167&lt;=0,"n.m.",G114/Inputs!D167-1),"")</f>
        <v>-0.005521472392638005</v>
      </c>
      <c r="H116" s="31">
        <f>IFERROR(IF(C114&lt;=0,"n.m.",H114/C114-1),"")</f>
        <v>-0.0056327568667345895</v>
      </c>
      <c r="I116" s="1"/>
      <c r="J116" s="1"/>
      <c r="K116" s="1"/>
      <c r="L116" s="1"/>
    </row>
    <row r="117" ht="14.624267578125">
      <c r="A117" s="1"/>
      <c r="B117" s="33" t="s">
        <v>139</v>
      </c>
      <c r="C117" s="2">
        <f>C114-Inputs!D167</f>
        <v>25</v>
      </c>
      <c r="D117" s="11">
        <f>D114-C114</f>
        <v>41</v>
      </c>
      <c r="E117" s="11"/>
      <c r="F117" s="11">
        <f>F114-D114</f>
        <v>-99</v>
      </c>
      <c r="G117" s="11">
        <f>G114-F114</f>
        <v>6</v>
      </c>
      <c r="H117" s="29">
        <f>H114-G114</f>
        <v>24.3149999999996</v>
      </c>
      <c r="I117" s="1"/>
      <c r="J117" s="1"/>
      <c r="K117" s="1"/>
      <c r="L117" s="1"/>
    </row>
    <row r="118" ht="14.624267578125">
      <c r="A118" s="1"/>
      <c r="B118" s="48" t="s">
        <v>150</v>
      </c>
      <c r="C118" s="50">
        <f>C86+C90+C94+C98+C102+C106+C110+C114</f>
        <v>320493</v>
      </c>
      <c r="D118" s="50">
        <f>D86+D90+D94+D98+D102+D106+D110+D114</f>
        <v>324765</v>
      </c>
      <c r="E118" s="50">
        <f>E86+E90+E94+E98+E102+E106+E110+E114</f>
        <v>316126</v>
      </c>
      <c r="F118" s="50">
        <f>F86+F90+F94+F98+F102+F106+F110+F114</f>
        <v>327022</v>
      </c>
      <c r="G118" s="50">
        <f>G86+G90+G94+G98+G102+G106+G110+G114</f>
        <v>329162</v>
      </c>
      <c r="H118" s="61">
        <f>H86+H90+H94+H98+H102+H106+H110+H114</f>
        <v>330398.66</v>
      </c>
      <c r="I118" s="1"/>
      <c r="J118" s="1"/>
      <c r="K118" s="1"/>
      <c r="L118" s="1"/>
    </row>
    <row r="119" ht="14.624267578125">
      <c r="A119" s="1"/>
      <c r="B119" s="19" t="s">
        <v>151</v>
      </c>
      <c r="C119" s="15">
        <f>IFERROR(IF((Inputs!D146+Inputs!D149+Inputs!D152+Inputs!D155+Inputs!D158+Inputs!D161+Inputs!D164+Inputs!D167)&lt;=0,"n.m.",C118/(Inputs!D146+Inputs!D149+Inputs!D152+Inputs!D155+Inputs!D158+Inputs!D161+Inputs!D164+Inputs!D167)-1),"")</f>
        <v>0.02524624041509793</v>
      </c>
      <c r="D119" s="7">
        <f>IFERROR(IF(C118&lt;=0,"n.m.",D118/C118-1),"")</f>
        <v>0.013329464294072002</v>
      </c>
      <c r="E119" s="7"/>
      <c r="F119" s="7">
        <f>IFERROR(IF(D118&lt;=0,"n.m.",F118/D118-1),"")</f>
        <v>0.006949640509291255</v>
      </c>
      <c r="G119" s="7">
        <f>IFERROR(IF(F118&lt;=0,"n.m.",G118/F118-1),"")</f>
        <v>0.0065439022451088125</v>
      </c>
      <c r="H119" s="31">
        <f>IFERROR(IF(G118&lt;=0,"n.m.",H118/G118-1),"")</f>
        <v>0.003756995035878896</v>
      </c>
      <c r="I119" s="1"/>
      <c r="J119" s="1"/>
      <c r="K119" s="1"/>
      <c r="L119" s="1"/>
    </row>
    <row r="120" ht="14.624267578125">
      <c r="A120" s="1"/>
      <c r="B120" s="19" t="s">
        <v>138</v>
      </c>
      <c r="C120" s="7"/>
      <c r="D120" s="7"/>
      <c r="E120" s="7"/>
      <c r="F120" s="15">
        <f>IFERROR(IF((Inputs!C146+Inputs!C149+Inputs!C152+Inputs!C155+Inputs!C158+Inputs!C161+Inputs!C164+Inputs!C167)&lt;=0,"n.m.",F118/(Inputs!C146+Inputs!C149+Inputs!C152+Inputs!C155+Inputs!C158+Inputs!C161+Inputs!C164+Inputs!C167)-1),"")</f>
        <v>0.06732159467354237</v>
      </c>
      <c r="G120" s="15">
        <f>IFERROR(IF((Inputs!D146+Inputs!D149+Inputs!D152+Inputs!D155+Inputs!D158+Inputs!D161+Inputs!D164+Inputs!D167)&lt;=0,"n.m.",G118/(Inputs!D146+Inputs!D149+Inputs!D152+Inputs!D155+Inputs!D158+Inputs!D161+Inputs!D164+Inputs!D167)-1),"")</f>
        <v>0.05297807748535677</v>
      </c>
      <c r="H120" s="31">
        <f>IFERROR(IF(C118&lt;=0,"n.m.",H118/C118-1),"")</f>
        <v>0.030907570524161043</v>
      </c>
      <c r="I120" s="1"/>
      <c r="J120" s="1"/>
      <c r="K120" s="1"/>
      <c r="L120" s="1"/>
    </row>
    <row r="121" ht="14.624267578125">
      <c r="A121" s="1"/>
      <c r="B121" s="33" t="s">
        <v>139</v>
      </c>
      <c r="C121" s="2">
        <f>C118-(Inputs!D146+Inputs!D149+Inputs!D152+Inputs!D155+Inputs!D158+Inputs!D161+Inputs!D164+Inputs!D167)</f>
        <v>7892</v>
      </c>
      <c r="D121" s="11">
        <f>D118-C118</f>
        <v>4272</v>
      </c>
      <c r="E121" s="11"/>
      <c r="F121" s="11">
        <f>F118-D118</f>
        <v>2257</v>
      </c>
      <c r="G121" s="11">
        <f>G118-F118</f>
        <v>2140</v>
      </c>
      <c r="H121" s="29">
        <f>H118-G118</f>
        <v>1236.6599999999744</v>
      </c>
      <c r="I121" s="1"/>
      <c r="J121" s="1"/>
      <c r="K121" s="1"/>
      <c r="L121" s="1"/>
    </row>
    <row r="122" ht="14.624267578125">
      <c r="A122" s="1"/>
      <c r="B122" s="33" t="s">
        <v>152</v>
      </c>
      <c r="C122" s="22">
        <v>1577</v>
      </c>
      <c r="D122" s="22">
        <v>1972</v>
      </c>
      <c r="E122" s="22">
        <v>1483</v>
      </c>
      <c r="F122" s="22">
        <v>1950</v>
      </c>
      <c r="G122" s="22">
        <v>2587</v>
      </c>
      <c r="H122" s="29">
        <f>G122*(1+H123)</f>
        <v>3363.1</v>
      </c>
      <c r="I122" s="1" t="s">
        <v>153</v>
      </c>
      <c r="J122" s="1"/>
      <c r="K122" s="1"/>
      <c r="L122" s="1"/>
    </row>
    <row r="123" ht="14.624267578125">
      <c r="A123" s="1"/>
      <c r="B123" s="19" t="s">
        <v>136</v>
      </c>
      <c r="C123" s="15">
        <f>IFERROR(IF(Inputs!D170&lt;=0,"n.m.",C122/Inputs!D170-1),"")</f>
        <v>0.27177419354838706</v>
      </c>
      <c r="D123" s="7">
        <f>IFERROR(IF(C122&lt;=0,"n.m.",D122/C122-1),"")</f>
        <v>0.2504755865567534</v>
      </c>
      <c r="E123" s="7"/>
      <c r="F123" s="7">
        <f>IFERROR(IF(D122&lt;=0,"n.m.",F122/D122-1),"")</f>
        <v>-0.011156186612576113</v>
      </c>
      <c r="G123" s="7">
        <f>IFERROR(IF(F122&lt;=0,"n.m.",G122/F122-1),"")</f>
        <v>0.32666666666666666</v>
      </c>
      <c r="H123" s="65">
        <v>0.3</v>
      </c>
      <c r="I123" s="1"/>
      <c r="J123" s="1"/>
      <c r="K123" s="1"/>
      <c r="L123" s="1"/>
    </row>
    <row r="124" ht="14.624267578125">
      <c r="A124" s="1"/>
      <c r="B124" s="19" t="s">
        <v>138</v>
      </c>
      <c r="C124" s="7"/>
      <c r="D124" s="7"/>
      <c r="E124" s="7"/>
      <c r="F124" s="15">
        <f>IFERROR(IF(Inputs!C170&lt;=0,"n.m.",F122/Inputs!C170-1),"")</f>
        <v>0.7210944395410415</v>
      </c>
      <c r="G124" s="15">
        <f>IFERROR(IF(Inputs!D170&lt;=0,"n.m.",G122/Inputs!D170-1),"")</f>
        <v>1.0862903225806453</v>
      </c>
      <c r="H124" s="31">
        <f>IFERROR(IF(C122&lt;=0,"n.m.",H122/C122-1),"")</f>
        <v>1.132593532022828</v>
      </c>
      <c r="I124" s="1"/>
      <c r="J124" s="1"/>
      <c r="K124" s="1"/>
      <c r="L124" s="1"/>
    </row>
    <row r="125" ht="14.624267578125">
      <c r="A125" s="1"/>
      <c r="B125" s="33" t="s">
        <v>139</v>
      </c>
      <c r="C125" s="2">
        <f>C122-Inputs!D170</f>
        <v>337</v>
      </c>
      <c r="D125" s="11">
        <f>D122-C122</f>
        <v>395</v>
      </c>
      <c r="E125" s="11"/>
      <c r="F125" s="11">
        <f>F122-D122</f>
        <v>-22</v>
      </c>
      <c r="G125" s="11">
        <f>G122-F122</f>
        <v>637</v>
      </c>
      <c r="H125" s="29">
        <f>H122-G122</f>
        <v>776.0999999999999</v>
      </c>
      <c r="I125" s="1"/>
      <c r="J125" s="1"/>
      <c r="K125" s="1"/>
      <c r="L125" s="1"/>
    </row>
    <row r="126" ht="14.624267578125">
      <c r="A126" s="1"/>
      <c r="B126" s="48" t="s">
        <v>154</v>
      </c>
      <c r="C126" s="50">
        <f>C118+C122</f>
        <v>322070</v>
      </c>
      <c r="D126" s="50">
        <f>D118+D122</f>
        <v>326737</v>
      </c>
      <c r="E126" s="50">
        <f>E118+E122</f>
        <v>317609</v>
      </c>
      <c r="F126" s="50">
        <f>F118+F122</f>
        <v>328972</v>
      </c>
      <c r="G126" s="50">
        <f>G118+G122</f>
        <v>331749</v>
      </c>
      <c r="H126" s="61">
        <f>H118+H122</f>
        <v>333761.75999999995</v>
      </c>
      <c r="I126" s="1"/>
      <c r="J126" s="1"/>
      <c r="K126" s="1"/>
      <c r="L126" s="1"/>
    </row>
    <row r="127" ht="14.624267578125">
      <c r="A127" s="1"/>
      <c r="B127" s="19" t="s">
        <v>151</v>
      </c>
      <c r="C127" s="15">
        <f>IFERROR(IF((Inputs!D146+Inputs!D149+Inputs!D152+Inputs!D155+Inputs!D158+Inputs!D161+Inputs!D164+Inputs!D167+Inputs!D170)&lt;=0,"n.m.",C126/(Inputs!D146+Inputs!D149+Inputs!D152+Inputs!D155+Inputs!D158+Inputs!D161+Inputs!D164+Inputs!D167+Inputs!D170)-1),"")</f>
        <v>0.026220283519361676</v>
      </c>
      <c r="D127" s="7">
        <f>IFERROR(IF(C126&lt;=0,"n.m.",D126/C126-1),"")</f>
        <v>0.014490638681032175</v>
      </c>
      <c r="E127" s="7"/>
      <c r="F127" s="7">
        <f>IFERROR(IF(D126&lt;=0,"n.m.",F126/D126-1),"")</f>
        <v>0.006840363962453022</v>
      </c>
      <c r="G127" s="7">
        <f>IFERROR(IF(F126&lt;=0,"n.m.",G126/F126-1),"")</f>
        <v>0.008441447904380839</v>
      </c>
      <c r="H127" s="31">
        <f>IFERROR(IF(G126&lt;=0,"n.m.",H126/G126-1),"")</f>
        <v>0.0060671170071346925</v>
      </c>
      <c r="I127" s="1"/>
      <c r="J127" s="1"/>
      <c r="K127" s="1"/>
      <c r="L127" s="1"/>
    </row>
    <row r="128" ht="14.624267578125">
      <c r="A128" s="1"/>
      <c r="B128" s="19" t="s">
        <v>138</v>
      </c>
      <c r="C128" s="7"/>
      <c r="D128" s="7"/>
      <c r="E128" s="7"/>
      <c r="F128" s="15">
        <f>IFERROR(IF((Inputs!C146+Inputs!C149+Inputs!C152+Inputs!C155+Inputs!C158+Inputs!C161+Inputs!C164+Inputs!C167+Inputs!C170)&lt;=0,"n.m.",F126/(Inputs!C146+Inputs!C149+Inputs!C152+Inputs!C155+Inputs!C158+Inputs!C161+Inputs!C164+Inputs!C167+Inputs!C170)-1),"")</f>
        <v>0.06973023594599526</v>
      </c>
      <c r="G128" s="15">
        <f>IFERROR(IF((Inputs!D146+Inputs!D149+Inputs!D152+Inputs!D155+Inputs!D158+Inputs!D161+Inputs!D164+Inputs!D167+Inputs!D170)&lt;=0,"n.m.",G126/(Inputs!D146+Inputs!D149+Inputs!D152+Inputs!D155+Inputs!D158+Inputs!D161+Inputs!D164+Inputs!D167+Inputs!D170)-1),"")</f>
        <v>0.057060740948442046</v>
      </c>
      <c r="H128" s="31">
        <f>IFERROR(IF(C126&lt;=0,"n.m.",H126/C126-1),"")</f>
        <v>0.036301921942434756</v>
      </c>
      <c r="I128" s="1"/>
      <c r="J128" s="1"/>
      <c r="K128" s="1"/>
      <c r="L128" s="1"/>
    </row>
    <row r="129" ht="14.624267578125">
      <c r="A129" s="1"/>
      <c r="B129" s="33" t="s">
        <v>155</v>
      </c>
      <c r="C129" s="22">
        <v>5991</v>
      </c>
      <c r="D129" s="22">
        <v>6015</v>
      </c>
      <c r="E129" s="22">
        <v>5884</v>
      </c>
      <c r="F129" s="22">
        <v>5807</v>
      </c>
      <c r="G129" s="22">
        <v>5618</v>
      </c>
      <c r="H129" s="29">
        <f>G129*(1+H130)</f>
        <v>5618</v>
      </c>
      <c r="I129" s="1" t="s">
        <v>135</v>
      </c>
      <c r="J129" s="1"/>
      <c r="K129" s="1"/>
      <c r="L129" s="1"/>
    </row>
    <row r="130" ht="14.624267578125">
      <c r="A130" s="1"/>
      <c r="B130" s="19" t="s">
        <v>136</v>
      </c>
      <c r="C130" s="15">
        <f>IFERROR(IF(Inputs!D173&lt;=0,"n.m.",C129/Inputs!D173-1),"")</f>
        <v>0.016112618724559047</v>
      </c>
      <c r="D130" s="7">
        <f>IFERROR(IF(C129&lt;=0,"n.m.",D129/C129-1),"")</f>
        <v>0.0040060090135203286</v>
      </c>
      <c r="E130" s="7"/>
      <c r="F130" s="7">
        <f>IFERROR(IF(D129&lt;=0,"n.m.",F129/D129-1),"")</f>
        <v>-0.03458021612635076</v>
      </c>
      <c r="G130" s="7">
        <f>IFERROR(IF(F129&lt;=0,"n.m.",G129/F129-1),"")</f>
        <v>-0.03254692612364385</v>
      </c>
      <c r="H130" s="107">
        <v>0</v>
      </c>
      <c r="I130" s="1"/>
      <c r="J130" s="1"/>
      <c r="K130" s="1"/>
      <c r="L130" s="1"/>
    </row>
    <row r="131" ht="14.624267578125">
      <c r="A131" s="1"/>
      <c r="B131" s="19" t="s">
        <v>138</v>
      </c>
      <c r="C131" s="7"/>
      <c r="D131" s="7"/>
      <c r="E131" s="7"/>
      <c r="F131" s="15">
        <f>IFERROR(IF(Inputs!C173&lt;=0,"n.m.",F129/Inputs!C173-1),"")</f>
        <v>0.031805259417199805</v>
      </c>
      <c r="G131" s="15">
        <f>IFERROR(IF(Inputs!D173&lt;=0,"n.m.",G129/Inputs!D173-1),"")</f>
        <v>-0.047150610583446384</v>
      </c>
      <c r="H131" s="31">
        <f>IFERROR(IF(C129&lt;=0,"n.m.",H129/C129-1),"")</f>
        <v>-0.06226005675179436</v>
      </c>
      <c r="I131" s="1"/>
      <c r="J131" s="1"/>
      <c r="K131" s="1"/>
      <c r="L131" s="1"/>
    </row>
    <row r="132" ht="14.624267578125">
      <c r="A132" s="1"/>
      <c r="B132" s="33" t="s">
        <v>139</v>
      </c>
      <c r="C132" s="2">
        <f>C129-Inputs!D173</f>
        <v>95</v>
      </c>
      <c r="D132" s="11">
        <f>D129-C129</f>
        <v>24</v>
      </c>
      <c r="E132" s="11"/>
      <c r="F132" s="11">
        <f>F129-D129</f>
        <v>-208</v>
      </c>
      <c r="G132" s="11">
        <f>G129-F129</f>
        <v>-189</v>
      </c>
      <c r="H132" s="29">
        <f>H129-G129</f>
        <v>0</v>
      </c>
      <c r="I132" s="1"/>
      <c r="J132" s="1"/>
      <c r="K132" s="1"/>
      <c r="L132" s="1"/>
    </row>
    <row r="133" ht="14.624267578125">
      <c r="A133" s="1"/>
      <c r="B133" s="33" t="s">
        <v>156</v>
      </c>
      <c r="C133" s="22">
        <v>38765</v>
      </c>
      <c r="D133" s="22">
        <v>34138</v>
      </c>
      <c r="E133" s="22">
        <v>37818</v>
      </c>
      <c r="F133" s="22">
        <v>35457</v>
      </c>
      <c r="G133" s="22">
        <v>36956</v>
      </c>
      <c r="H133" s="29">
        <f>G133*(1+H134)</f>
        <v>36956</v>
      </c>
      <c r="I133" s="1" t="s">
        <v>157</v>
      </c>
      <c r="J133" s="1"/>
      <c r="K133" s="1"/>
      <c r="L133" s="1"/>
    </row>
    <row r="134" ht="14.624267578125">
      <c r="A134" s="1"/>
      <c r="B134" s="19" t="s">
        <v>136</v>
      </c>
      <c r="C134" s="15">
        <f>IFERROR(IF(Inputs!D176&lt;=0,"n.m.",C133/Inputs!D176-1),"")</f>
        <v>-0.016541086333307975</v>
      </c>
      <c r="D134" s="7">
        <f>IFERROR(IF(C133&lt;=0,"n.m.",D133/C133-1),"")</f>
        <v>-0.11936024764607245</v>
      </c>
      <c r="E134" s="7"/>
      <c r="F134" s="7">
        <f>IFERROR(IF(D133&lt;=0,"n.m.",F133/D133-1),"")</f>
        <v>0.038637295682230954</v>
      </c>
      <c r="G134" s="7">
        <f>IFERROR(IF(F133&lt;=0,"n.m.",G133/F133-1),"")</f>
        <v>0.04227656034069427</v>
      </c>
      <c r="H134" s="107">
        <v>0</v>
      </c>
      <c r="I134" s="1"/>
      <c r="J134" s="1"/>
      <c r="K134" s="1"/>
      <c r="L134" s="1"/>
    </row>
    <row r="135" ht="14.624267578125">
      <c r="A135" s="1"/>
      <c r="B135" s="19" t="s">
        <v>138</v>
      </c>
      <c r="C135" s="7"/>
      <c r="D135" s="7"/>
      <c r="E135" s="7"/>
      <c r="F135" s="15">
        <f>IFERROR(IF(Inputs!C176&lt;=0,"n.m.",F133/Inputs!C176-1),"")</f>
        <v>-0.09077621355488885</v>
      </c>
      <c r="G135" s="15">
        <f>IFERROR(IF(Inputs!D176&lt;=0,"n.m.",G133/Inputs!D176-1),"")</f>
        <v>-0.062434989978943145</v>
      </c>
      <c r="H135" s="31">
        <f>IFERROR(IF(C133&lt;=0,"n.m.",H133/C133-1),"")</f>
        <v>-0.04666580678447052</v>
      </c>
      <c r="I135" s="1"/>
      <c r="J135" s="1"/>
      <c r="K135" s="1"/>
      <c r="L135" s="1"/>
    </row>
    <row r="136" ht="14.624267578125">
      <c r="A136" s="1"/>
      <c r="B136" s="33" t="s">
        <v>139</v>
      </c>
      <c r="C136" s="2">
        <f>C133-Inputs!D176</f>
        <v>-652</v>
      </c>
      <c r="D136" s="11">
        <f>D133-C133</f>
        <v>-4627</v>
      </c>
      <c r="E136" s="11"/>
      <c r="F136" s="11">
        <f>F133-D133</f>
        <v>1319</v>
      </c>
      <c r="G136" s="11">
        <f>G133-F133</f>
        <v>1499</v>
      </c>
      <c r="H136" s="29">
        <f>H133-G133</f>
        <v>0</v>
      </c>
      <c r="I136" s="1"/>
      <c r="J136" s="1"/>
      <c r="K136" s="1"/>
      <c r="L136" s="1"/>
    </row>
    <row r="137" ht="14.624267578125">
      <c r="A137" s="1"/>
      <c r="B137" s="48" t="s">
        <v>158</v>
      </c>
      <c r="C137" s="50">
        <f>C81+C126+C129+C133</f>
        <v>486006</v>
      </c>
      <c r="D137" s="50">
        <f>D81+D126+D129+D133</f>
        <v>484597</v>
      </c>
      <c r="E137" s="50">
        <f>E81+E126+E129+E133</f>
        <v>481984</v>
      </c>
      <c r="F137" s="50">
        <f>F81+F126+F129+F133</f>
        <v>486354</v>
      </c>
      <c r="G137" s="50">
        <f>G81+G126+G129+G133</f>
        <v>492461</v>
      </c>
      <c r="H137" s="61">
        <f>H81+H126+H129+H133</f>
        <v>495655.13999999996</v>
      </c>
      <c r="I137" s="1"/>
      <c r="J137" s="1"/>
      <c r="K137" s="1"/>
      <c r="L137" s="1"/>
    </row>
    <row r="138" ht="14.624267578125">
      <c r="A138" s="1"/>
      <c r="B138" s="19" t="s">
        <v>151</v>
      </c>
      <c r="C138" s="15">
        <f>IFERROR(IF((Inputs!D143+Inputs!D146+Inputs!D149+Inputs!D152+Inputs!D155+Inputs!D158+Inputs!D161+Inputs!D164+Inputs!D167+Inputs!D170+Inputs!D173+Inputs!D176)&lt;=0,"n.m.",C137/(Inputs!D143+Inputs!D146+Inputs!D149+Inputs!D152+Inputs!D155+Inputs!D158+Inputs!D161+Inputs!D164+Inputs!D167+Inputs!D170+Inputs!D173+Inputs!D176)-1),"")</f>
        <v>0.010443196537091692</v>
      </c>
      <c r="D138" s="7">
        <f>IFERROR(IF(C137&lt;=0,"n.m.",D137/C137-1),"")</f>
        <v>-0.00289914116286627</v>
      </c>
      <c r="E138" s="7"/>
      <c r="F138" s="7">
        <f>IFERROR(IF(D137&lt;=0,"n.m.",F137/D137-1),"")</f>
        <v>0.003625693101690697</v>
      </c>
      <c r="G138" s="7">
        <f>IFERROR(IF(F137&lt;=0,"n.m.",G137/F137-1),"")</f>
        <v>0.0125566973850324</v>
      </c>
      <c r="H138" s="31">
        <f>IFERROR(IF(G137&lt;=0,"n.m.",H137/G137-1),"")</f>
        <v>0.006486077070062324</v>
      </c>
      <c r="I138" s="1"/>
      <c r="J138" s="1"/>
      <c r="K138" s="1"/>
      <c r="L138" s="1"/>
    </row>
    <row r="139" ht="14.624267578125">
      <c r="A139" s="1"/>
      <c r="B139" s="19" t="s">
        <v>138</v>
      </c>
      <c r="C139" s="7"/>
      <c r="D139" s="7"/>
      <c r="E139" s="7"/>
      <c r="F139" s="15">
        <f>IFERROR(IF((Inputs!C143+Inputs!C146+Inputs!C149+Inputs!C152+Inputs!C155+Inputs!C158+Inputs!C161+Inputs!C164+Inputs!C167+Inputs!C170+Inputs!C173+Inputs!C176)&lt;=0,"n.m.",F137/(Inputs!C143+Inputs!C146+Inputs!C149+Inputs!C152+Inputs!C155+Inputs!C158+Inputs!C161+Inputs!C164+Inputs!C167+Inputs!C170+Inputs!C173+Inputs!C176)-1),"")</f>
        <v>0.021292948128362355</v>
      </c>
      <c r="G139" s="15">
        <f>IFERROR(IF((Inputs!D143+Inputs!D146+Inputs!D149+Inputs!D152+Inputs!D155+Inputs!D158+Inputs!D161+Inputs!D164+Inputs!D167+Inputs!D170+Inputs!D173+Inputs!D176)&lt;=0,"n.m.",G137/(Inputs!D143+Inputs!D146+Inputs!D149+Inputs!D152+Inputs!D155+Inputs!D158+Inputs!D161+Inputs!D164+Inputs!D167+Inputs!D170+Inputs!D173+Inputs!D176)-1),"")</f>
        <v>0.023863629275878706</v>
      </c>
      <c r="H139" s="31">
        <f>IFERROR(IF(C137&lt;=0,"n.m.",H137/C137-1),"")</f>
        <v>0.019853952420340493</v>
      </c>
      <c r="I139" s="1"/>
      <c r="J139" s="1"/>
      <c r="K139" s="1"/>
      <c r="L139" s="1"/>
    </row>
    <row r="140" ht="14.624267578125">
      <c r="A140" s="1"/>
      <c r="B140" s="33" t="s">
        <v>139</v>
      </c>
      <c r="C140" s="2">
        <f>C137-(Inputs!D143+Inputs!D146+Inputs!D149+Inputs!D152+Inputs!D155+Inputs!D158+Inputs!D161+Inputs!D164+Inputs!D167+Inputs!D170+Inputs!D173+Inputs!D176)</f>
        <v>5023</v>
      </c>
      <c r="D140" s="11">
        <f>D137-C137</f>
        <v>-1409</v>
      </c>
      <c r="E140" s="11"/>
      <c r="F140" s="11">
        <f>F137-D137</f>
        <v>1757</v>
      </c>
      <c r="G140" s="11">
        <f>G137-F137</f>
        <v>6107</v>
      </c>
      <c r="H140" s="29">
        <f>H137-G137</f>
        <v>3194.1399999999558</v>
      </c>
      <c r="I140" s="1"/>
      <c r="J140" s="1"/>
      <c r="K140" s="1"/>
      <c r="L140" s="1"/>
    </row>
    <row r="141" ht="14.624267578125">
      <c r="A141" s="1"/>
      <c r="B141" s="33" t="s">
        <v>159</v>
      </c>
      <c r="C141" s="18"/>
      <c r="D141" s="18"/>
      <c r="E141" s="18"/>
      <c r="F141" s="18"/>
      <c r="G141" s="18"/>
      <c r="H141" s="45"/>
      <c r="I141" s="1"/>
      <c r="J141" s="1"/>
      <c r="K141" s="1"/>
      <c r="L141" s="1"/>
    </row>
    <row r="142" ht="14.624267578125">
      <c r="A142" s="1"/>
      <c r="B142" s="33" t="s">
        <v>160</v>
      </c>
      <c r="C142" s="22">
        <v>109244</v>
      </c>
      <c r="D142" s="22">
        <v>112313</v>
      </c>
      <c r="E142" s="22">
        <v>111741</v>
      </c>
      <c r="F142" s="22">
        <v>120110</v>
      </c>
      <c r="G142" s="22">
        <v>123556</v>
      </c>
      <c r="H142" s="29">
        <f>G142*(1+H143)</f>
        <v>125409.33999999998</v>
      </c>
      <c r="I142" s="1" t="s">
        <v>135</v>
      </c>
      <c r="J142" s="1"/>
      <c r="K142" s="1"/>
      <c r="L142" s="1"/>
    </row>
    <row r="143" ht="14.624267578125">
      <c r="A143" s="1"/>
      <c r="B143" s="19" t="s">
        <v>136</v>
      </c>
      <c r="C143" s="15">
        <f>IFERROR(IF(Inputs!D179&lt;=0,"n.m.",C142/Inputs!D179-1),"")</f>
        <v>-0.05980566815556876</v>
      </c>
      <c r="D143" s="7">
        <f>IFERROR(IF(C142&lt;=0,"n.m.",D142/C142-1),"")</f>
        <v>0.028093076049943155</v>
      </c>
      <c r="E143" s="7"/>
      <c r="F143" s="7">
        <f>IFERROR(IF(D142&lt;=0,"n.m.",F142/D142-1),"")</f>
        <v>0.06942206156010444</v>
      </c>
      <c r="G143" s="7">
        <f>IFERROR(IF(F142&lt;=0,"n.m.",G142/F142-1),"")</f>
        <v>0.02869036716343354</v>
      </c>
      <c r="H143" s="65">
        <v>0.015</v>
      </c>
      <c r="I143" s="1"/>
      <c r="J143" s="1"/>
      <c r="K143" s="1"/>
      <c r="L143" s="1"/>
    </row>
    <row r="144" ht="14.624267578125">
      <c r="A144" s="1"/>
      <c r="B144" s="19" t="s">
        <v>138</v>
      </c>
      <c r="C144" s="7"/>
      <c r="D144" s="7"/>
      <c r="E144" s="7"/>
      <c r="F144" s="15">
        <f>IFERROR(IF(Inputs!C179&lt;=0,"n.m.",F142/Inputs!C179-1),"")</f>
        <v>0.09982785143945505</v>
      </c>
      <c r="G144" s="15">
        <f>IFERROR(IF(Inputs!D179&lt;=0,"n.m.",G142/Inputs!D179-1),"")</f>
        <v>0.06336870551582274</v>
      </c>
      <c r="H144" s="31">
        <f>IFERROR(IF(C142&lt;=0,"n.m.",H142/C142-1),"")</f>
        <v>0.14797462560872887</v>
      </c>
      <c r="I144" s="1"/>
      <c r="J144" s="1"/>
      <c r="K144" s="1"/>
      <c r="L144" s="1"/>
    </row>
    <row r="145" ht="14.624267578125">
      <c r="A145" s="1"/>
      <c r="B145" s="33" t="s">
        <v>139</v>
      </c>
      <c r="C145" s="2">
        <f>C142-Inputs!D179</f>
        <v>-6949</v>
      </c>
      <c r="D145" s="11">
        <f>D142-C142</f>
        <v>3069</v>
      </c>
      <c r="E145" s="11"/>
      <c r="F145" s="11">
        <f>F142-D142</f>
        <v>7797</v>
      </c>
      <c r="G145" s="11">
        <f>G142-F142</f>
        <v>3446</v>
      </c>
      <c r="H145" s="29">
        <f>H142-G142</f>
        <v>1853.339999999982</v>
      </c>
      <c r="I145" s="1"/>
      <c r="J145" s="1"/>
      <c r="K145" s="1"/>
      <c r="L145" s="1"/>
    </row>
    <row r="146" ht="14.624267578125">
      <c r="A146" s="1"/>
      <c r="B146" s="33" t="s">
        <v>161</v>
      </c>
      <c r="C146" s="22">
        <v>136515</v>
      </c>
      <c r="D146" s="22">
        <v>138114</v>
      </c>
      <c r="E146" s="22">
        <v>136786</v>
      </c>
      <c r="F146" s="22">
        <v>136106</v>
      </c>
      <c r="G146" s="22">
        <v>136423</v>
      </c>
      <c r="H146" s="29">
        <f>G146*(1+H147)</f>
        <v>137105.115</v>
      </c>
      <c r="I146" s="1" t="s">
        <v>135</v>
      </c>
      <c r="J146" s="1"/>
      <c r="K146" s="1"/>
      <c r="L146" s="1"/>
    </row>
    <row r="147" ht="14.624267578125">
      <c r="A147" s="1"/>
      <c r="B147" s="19" t="s">
        <v>136</v>
      </c>
      <c r="C147" s="15">
        <f>IFERROR(IF(Inputs!D182&lt;=0,"n.m.",C146/Inputs!D182-1),"")</f>
        <v>0.0066958195373394425</v>
      </c>
      <c r="D147" s="7">
        <f>IFERROR(IF(C146&lt;=0,"n.m.",D146/C146-1),"")</f>
        <v>0.011712998571585587</v>
      </c>
      <c r="E147" s="7"/>
      <c r="F147" s="7">
        <f>IFERROR(IF(D146&lt;=0,"n.m.",F146/D146-1),"")</f>
        <v>-0.01453871439535459</v>
      </c>
      <c r="G147" s="7">
        <f>IFERROR(IF(F146&lt;=0,"n.m.",G146/F146-1),"")</f>
        <v>0.002329067050681033</v>
      </c>
      <c r="H147" s="65">
        <v>0.005</v>
      </c>
      <c r="I147" s="1"/>
      <c r="J147" s="1"/>
      <c r="K147" s="1"/>
      <c r="L147" s="1"/>
    </row>
    <row r="148" ht="14.624267578125">
      <c r="A148" s="1"/>
      <c r="B148" s="19" t="s">
        <v>138</v>
      </c>
      <c r="C148" s="7"/>
      <c r="D148" s="7"/>
      <c r="E148" s="7"/>
      <c r="F148" s="15">
        <f>IFERROR(IF(Inputs!C182&lt;=0,"n.m.",F146/Inputs!C182-1),"")</f>
        <v>-0.005778066721695896</v>
      </c>
      <c r="G148" s="15">
        <f>IFERROR(IF(Inputs!D182&lt;=0,"n.m.",G146/Inputs!D182-1),"")</f>
        <v>0.006017388482895347</v>
      </c>
      <c r="H148" s="31">
        <f>IFERROR(IF(C146&lt;=0,"n.m.",H146/C146-1),"")</f>
        <v>0.0043227117899131695</v>
      </c>
      <c r="I148" s="1"/>
      <c r="J148" s="1"/>
      <c r="K148" s="1"/>
      <c r="L148" s="1"/>
    </row>
    <row r="149" ht="14.624267578125">
      <c r="A149" s="1"/>
      <c r="B149" s="33" t="s">
        <v>139</v>
      </c>
      <c r="C149" s="2">
        <f>C146-Inputs!D182</f>
        <v>908</v>
      </c>
      <c r="D149" s="11">
        <f>D146-C146</f>
        <v>1599</v>
      </c>
      <c r="E149" s="11"/>
      <c r="F149" s="11">
        <f>F146-D146</f>
        <v>-2008</v>
      </c>
      <c r="G149" s="11">
        <f>G146-F146</f>
        <v>317</v>
      </c>
      <c r="H149" s="29">
        <f>H146-G146</f>
        <v>682.1149999999907</v>
      </c>
      <c r="I149" s="1"/>
      <c r="J149" s="1"/>
      <c r="K149" s="1"/>
      <c r="L149" s="1"/>
    </row>
    <row r="150" ht="14.624267578125">
      <c r="A150" s="1"/>
      <c r="B150" s="33" t="s">
        <v>162</v>
      </c>
      <c r="C150" s="22">
        <v>45090</v>
      </c>
      <c r="D150" s="22">
        <v>40031</v>
      </c>
      <c r="E150" s="22">
        <v>41839</v>
      </c>
      <c r="F150" s="22">
        <v>39337</v>
      </c>
      <c r="G150" s="22">
        <v>41270</v>
      </c>
      <c r="H150" s="29">
        <f>G150*(1+H151)</f>
        <v>41682.7</v>
      </c>
      <c r="I150" s="1" t="s">
        <v>135</v>
      </c>
      <c r="J150" s="1"/>
      <c r="K150" s="1"/>
      <c r="L150" s="1"/>
    </row>
    <row r="151" ht="14.624267578125">
      <c r="A151" s="1"/>
      <c r="B151" s="19" t="s">
        <v>136</v>
      </c>
      <c r="C151" s="15">
        <f>IFERROR(IF(Inputs!D185&lt;=0,"n.m.",C150/Inputs!D185-1),"")</f>
        <v>0.07364811772269442</v>
      </c>
      <c r="D151" s="7">
        <f>IFERROR(IF(C150&lt;=0,"n.m.",D150/C150-1),"")</f>
        <v>-0.11219782656908406</v>
      </c>
      <c r="E151" s="7"/>
      <c r="F151" s="7">
        <f>IFERROR(IF(D150&lt;=0,"n.m.",F150/D150-1),"")</f>
        <v>-0.01733656416277385</v>
      </c>
      <c r="G151" s="7">
        <f>IFERROR(IF(F150&lt;=0,"n.m.",G150/F150-1),"")</f>
        <v>0.04913948699697479</v>
      </c>
      <c r="H151" s="65">
        <v>0.01</v>
      </c>
      <c r="I151" s="1"/>
      <c r="J151" s="1"/>
      <c r="K151" s="1"/>
      <c r="L151" s="1"/>
    </row>
    <row r="152" ht="14.624267578125">
      <c r="A152" s="1"/>
      <c r="B152" s="19" t="s">
        <v>138</v>
      </c>
      <c r="C152" s="7"/>
      <c r="D152" s="7"/>
      <c r="E152" s="7"/>
      <c r="F152" s="15">
        <f>IFERROR(IF(Inputs!C185&lt;=0,"n.m.",F150/Inputs!C185-1),"")</f>
        <v>-0.02156501840612879</v>
      </c>
      <c r="G152" s="15">
        <f>IFERROR(IF(Inputs!D185&lt;=0,"n.m.",G150/Inputs!D185-1),"")</f>
        <v>-0.01731076029240186</v>
      </c>
      <c r="H152" s="31">
        <f>IFERROR(IF(C150&lt;=0,"n.m.",H150/C150-1),"")</f>
        <v>-0.07556664448880024</v>
      </c>
      <c r="I152" s="1"/>
      <c r="J152" s="1"/>
      <c r="K152" s="1"/>
      <c r="L152" s="1"/>
    </row>
    <row r="153" ht="14.624267578125">
      <c r="A153" s="1"/>
      <c r="B153" s="33" t="s">
        <v>139</v>
      </c>
      <c r="C153" s="2">
        <f>C150-Inputs!D185</f>
        <v>3093</v>
      </c>
      <c r="D153" s="11">
        <f>D150-C150</f>
        <v>-5059</v>
      </c>
      <c r="E153" s="11"/>
      <c r="F153" s="11">
        <f>F150-D150</f>
        <v>-694</v>
      </c>
      <c r="G153" s="11">
        <f>G150-F150</f>
        <v>1933</v>
      </c>
      <c r="H153" s="29">
        <f>H150-G150</f>
        <v>412.6999999999971</v>
      </c>
      <c r="I153" s="1"/>
      <c r="J153" s="1"/>
      <c r="K153" s="1"/>
      <c r="L153" s="1"/>
    </row>
    <row r="154" ht="14.624267578125">
      <c r="A154" s="1"/>
      <c r="B154" s="48" t="s">
        <v>163</v>
      </c>
      <c r="C154" s="50">
        <f>C142+C146+C150</f>
        <v>290849</v>
      </c>
      <c r="D154" s="50">
        <f>D142+D146+D150</f>
        <v>290458</v>
      </c>
      <c r="E154" s="50">
        <f>E142+E146+E150</f>
        <v>290366</v>
      </c>
      <c r="F154" s="50">
        <f>F142+F146+F150</f>
        <v>295553</v>
      </c>
      <c r="G154" s="50">
        <f>G142+G146+G150</f>
        <v>301249</v>
      </c>
      <c r="H154" s="61">
        <f>H142+H146+H150</f>
        <v>304197.15499999997</v>
      </c>
      <c r="I154" s="1"/>
      <c r="J154" s="1"/>
      <c r="K154" s="1"/>
      <c r="L154" s="1"/>
    </row>
    <row r="155" ht="14.624267578125">
      <c r="A155" s="1"/>
      <c r="B155" s="19" t="s">
        <v>151</v>
      </c>
      <c r="C155" s="15">
        <f>IFERROR(IF((Inputs!D179+Inputs!D182+Inputs!D185)&lt;=0,"n.m.",C154/(Inputs!D179+Inputs!D182+Inputs!D185)-1),"")</f>
        <v>-0.0100341392185761</v>
      </c>
      <c r="D155" s="7">
        <f>IFERROR(IF(C154&lt;=0,"n.m.",D154/C154-1),"")</f>
        <v>-0.001344340190270521</v>
      </c>
      <c r="E155" s="7"/>
      <c r="F155" s="7">
        <f>IFERROR(IF(D154&lt;=0,"n.m.",F154/D154-1),"")</f>
        <v>0.01754126242004017</v>
      </c>
      <c r="G155" s="7">
        <f>IFERROR(IF(F154&lt;=0,"n.m.",G154/F154-1),"")</f>
        <v>0.019272347091722875</v>
      </c>
      <c r="H155" s="31">
        <f>IFERROR(IF(G154&lt;=0,"n.m.",H154/G154-1),"")</f>
        <v>0.009786439125109014</v>
      </c>
      <c r="I155" s="1"/>
      <c r="J155" s="1"/>
      <c r="K155" s="1"/>
      <c r="L155" s="1"/>
    </row>
    <row r="156" ht="14.624267578125">
      <c r="A156" s="1"/>
      <c r="B156" s="19" t="s">
        <v>138</v>
      </c>
      <c r="C156" s="7"/>
      <c r="D156" s="7"/>
      <c r="E156" s="7"/>
      <c r="F156" s="15">
        <f>IFERROR(IF((Inputs!C179+Inputs!C182+Inputs!C185)&lt;=0,"n.m.",F154/(Inputs!C179+Inputs!C182+Inputs!C185)-1),"")</f>
        <v>0.0322867950361323</v>
      </c>
      <c r="G156" s="15">
        <f>IFERROR(IF((Inputs!D179+Inputs!D182+Inputs!D185)&lt;=0,"n.m.",G154/(Inputs!D179+Inputs!D182+Inputs!D185)-1),"")</f>
        <v>0.025364452325925768</v>
      </c>
      <c r="H156" s="31">
        <f>IFERROR(IF(C154&lt;=0,"n.m.",H154/C154-1),"")</f>
        <v>0.045893762742866384</v>
      </c>
      <c r="I156" s="1"/>
      <c r="J156" s="1"/>
      <c r="K156" s="1"/>
      <c r="L156" s="1"/>
    </row>
    <row r="157" ht="14.624267578125">
      <c r="A157" s="1"/>
      <c r="B157" s="33" t="s">
        <v>164</v>
      </c>
      <c r="C157" s="22">
        <v>26796</v>
      </c>
      <c r="D157" s="22">
        <v>29128</v>
      </c>
      <c r="E157" s="22">
        <v>28117</v>
      </c>
      <c r="F157" s="22">
        <v>30669</v>
      </c>
      <c r="G157" s="22">
        <v>28893</v>
      </c>
      <c r="H157" s="29">
        <f>G157*(1+H158)</f>
        <v>28026.21</v>
      </c>
      <c r="I157" s="1" t="s">
        <v>135</v>
      </c>
      <c r="J157" s="1"/>
      <c r="K157" s="1"/>
      <c r="L157" s="1"/>
    </row>
    <row r="158" ht="14.624267578125">
      <c r="A158" s="1"/>
      <c r="B158" s="19" t="s">
        <v>136</v>
      </c>
      <c r="C158" s="15">
        <f>IFERROR(IF(Inputs!D188&lt;=0,"n.m.",C157/Inputs!D188-1),"")</f>
        <v>0.02115010860866584</v>
      </c>
      <c r="D158" s="7">
        <f>IFERROR(IF(C157&lt;=0,"n.m.",D157/C157-1),"")</f>
        <v>0.08702791461412152</v>
      </c>
      <c r="E158" s="7"/>
      <c r="F158" s="7">
        <f>IFERROR(IF(D157&lt;=0,"n.m.",F157/D157-1),"")</f>
        <v>0.05290442186212574</v>
      </c>
      <c r="G158" s="7">
        <f>IFERROR(IF(F157&lt;=0,"n.m.",G157/F157-1),"")</f>
        <v>-0.05790863738628582</v>
      </c>
      <c r="H158" s="65">
        <v>-0.03</v>
      </c>
      <c r="I158" s="1"/>
      <c r="J158" s="1"/>
      <c r="K158" s="1"/>
      <c r="L158" s="1"/>
    </row>
    <row r="159" ht="14.624267578125">
      <c r="A159" s="1"/>
      <c r="B159" s="19" t="s">
        <v>138</v>
      </c>
      <c r="C159" s="7"/>
      <c r="D159" s="7"/>
      <c r="E159" s="7"/>
      <c r="F159" s="15">
        <f>IFERROR(IF(Inputs!C188&lt;=0,"n.m.",F157/Inputs!C188-1),"")</f>
        <v>0.011110378478174754</v>
      </c>
      <c r="G159" s="15">
        <f>IFERROR(IF(Inputs!D188&lt;=0,"n.m.",G157/Inputs!D188-1),"")</f>
        <v>0.10106322167600323</v>
      </c>
      <c r="H159" s="31">
        <f>IFERROR(IF(C157&lt;=0,"n.m.",H157/C157-1),"")</f>
        <v>0.045910210479175984</v>
      </c>
      <c r="I159" s="1"/>
      <c r="J159" s="1"/>
      <c r="K159" s="1"/>
      <c r="L159" s="1"/>
    </row>
    <row r="160" ht="14.624267578125">
      <c r="A160" s="1"/>
      <c r="B160" s="33" t="s">
        <v>139</v>
      </c>
      <c r="C160" s="2">
        <f>C157-Inputs!D188</f>
        <v>555</v>
      </c>
      <c r="D160" s="11">
        <f>D157-C157</f>
        <v>2332</v>
      </c>
      <c r="E160" s="11"/>
      <c r="F160" s="11">
        <f>F157-D157</f>
        <v>1541</v>
      </c>
      <c r="G160" s="11">
        <f>G157-F157</f>
        <v>-1776</v>
      </c>
      <c r="H160" s="29">
        <f>H157-G157</f>
        <v>-866.7900000000009</v>
      </c>
      <c r="I160" s="1"/>
      <c r="J160" s="1"/>
      <c r="K160" s="1"/>
      <c r="L160" s="1"/>
    </row>
    <row r="161" ht="14.624267578125">
      <c r="A161" s="1"/>
      <c r="B161" s="33" t="s">
        <v>165</v>
      </c>
      <c r="C161" s="22">
        <v>41458</v>
      </c>
      <c r="D161" s="22">
        <v>39138</v>
      </c>
      <c r="E161" s="22">
        <v>36838</v>
      </c>
      <c r="F161" s="22">
        <v>37141</v>
      </c>
      <c r="G161" s="22">
        <v>40640</v>
      </c>
      <c r="H161" s="29">
        <f>G161*(1+H162)</f>
        <v>41046.4</v>
      </c>
      <c r="I161" s="1" t="s">
        <v>135</v>
      </c>
      <c r="J161" s="1"/>
      <c r="K161" s="1"/>
      <c r="L161" s="1"/>
    </row>
    <row r="162" ht="14.624267578125">
      <c r="A162" s="1"/>
      <c r="B162" s="19" t="s">
        <v>136</v>
      </c>
      <c r="C162" s="15">
        <f>IFERROR(IF(Inputs!D191&lt;=0,"n.m.",C161/Inputs!D191-1),"")</f>
        <v>0.21176161108350633</v>
      </c>
      <c r="D162" s="7">
        <f>IFERROR(IF(C161&lt;=0,"n.m.",D161/C161-1),"")</f>
        <v>-0.055960248926624545</v>
      </c>
      <c r="E162" s="7"/>
      <c r="F162" s="7">
        <f>IFERROR(IF(D161&lt;=0,"n.m.",F161/D161-1),"")</f>
        <v>-0.05102457969237062</v>
      </c>
      <c r="G162" s="7">
        <f>IFERROR(IF(F161&lt;=0,"n.m.",G161/F161-1),"")</f>
        <v>0.09420855658167526</v>
      </c>
      <c r="H162" s="65">
        <v>0.01</v>
      </c>
      <c r="I162" s="1"/>
      <c r="J162" s="1"/>
      <c r="K162" s="1"/>
      <c r="L162" s="1"/>
    </row>
    <row r="163" ht="14.624267578125">
      <c r="A163" s="1"/>
      <c r="B163" s="19" t="s">
        <v>138</v>
      </c>
      <c r="C163" s="7"/>
      <c r="D163" s="7"/>
      <c r="E163" s="7"/>
      <c r="F163" s="15">
        <f>IFERROR(IF(Inputs!C191&lt;=0,"n.m.",F161/Inputs!C191-1),"")</f>
        <v>0.14569066567956068</v>
      </c>
      <c r="G163" s="15">
        <f>IFERROR(IF(Inputs!D191&lt;=0,"n.m.",G161/Inputs!D191-1),"")</f>
        <v>0.1878525706602754</v>
      </c>
      <c r="H163" s="31">
        <f>IFERROR(IF(C161&lt;=0,"n.m.",H161/C161-1),"")</f>
        <v>-0.009928120025085585</v>
      </c>
      <c r="I163" s="1"/>
      <c r="J163" s="1"/>
      <c r="K163" s="1"/>
      <c r="L163" s="1"/>
    </row>
    <row r="164" ht="14.624267578125">
      <c r="A164" s="1"/>
      <c r="B164" s="33" t="s">
        <v>139</v>
      </c>
      <c r="C164" s="2">
        <f>C161-Inputs!D191</f>
        <v>7245</v>
      </c>
      <c r="D164" s="11">
        <f>D161-C161</f>
        <v>-2320</v>
      </c>
      <c r="E164" s="11"/>
      <c r="F164" s="11">
        <f>F161-D161</f>
        <v>-1997</v>
      </c>
      <c r="G164" s="11">
        <f>G161-F161</f>
        <v>3499</v>
      </c>
      <c r="H164" s="29">
        <f>H161-G161</f>
        <v>406.40000000000146</v>
      </c>
      <c r="I164" s="1"/>
      <c r="J164" s="1"/>
      <c r="K164" s="1"/>
      <c r="L164" s="1"/>
    </row>
    <row r="165" ht="14.624267578125">
      <c r="A165" s="1"/>
      <c r="B165" s="48" t="s">
        <v>166</v>
      </c>
      <c r="C165" s="50">
        <f>C154+C157+C161</f>
        <v>359103</v>
      </c>
      <c r="D165" s="50">
        <f>D154+D157+D161</f>
        <v>358724</v>
      </c>
      <c r="E165" s="50">
        <f>E154+E157+E161</f>
        <v>355321</v>
      </c>
      <c r="F165" s="50">
        <f>F154+F157+F161</f>
        <v>363363</v>
      </c>
      <c r="G165" s="50">
        <f>G154+G157+G161</f>
        <v>370782</v>
      </c>
      <c r="H165" s="61">
        <f>H154+H157+H161</f>
        <v>373269.765</v>
      </c>
      <c r="I165" s="1"/>
      <c r="J165" s="1"/>
      <c r="K165" s="1"/>
      <c r="L165" s="1"/>
    </row>
    <row r="166" ht="14.624267578125">
      <c r="A166" s="1"/>
      <c r="B166" s="19" t="s">
        <v>151</v>
      </c>
      <c r="C166" s="15">
        <f>IFERROR(IF((Inputs!D179+Inputs!D182+Inputs!D185+Inputs!D188+Inputs!D191)&lt;=0,"n.m.",C165/(Inputs!D179+Inputs!D182+Inputs!D185+Inputs!D188+Inputs!D191)-1),"")</f>
        <v>0.01369650332673733</v>
      </c>
      <c r="D166" s="7">
        <f>IFERROR(IF(C165&lt;=0,"n.m.",D165/C165-1),"")</f>
        <v>-0.0010554075014689301</v>
      </c>
      <c r="E166" s="7"/>
      <c r="F166" s="7">
        <f>IFERROR(IF(D165&lt;=0,"n.m.",F165/D165-1),"")</f>
        <v>0.012931947681225742</v>
      </c>
      <c r="G166" s="7">
        <f>IFERROR(IF(F165&lt;=0,"n.m.",G165/F165-1),"")</f>
        <v>0.02041759892999573</v>
      </c>
      <c r="H166" s="31">
        <f>IFERROR(IF(G165&lt;=0,"n.m.",H165/G165-1),"")</f>
        <v>0.006709508552195098</v>
      </c>
      <c r="I166" s="1"/>
      <c r="J166" s="1"/>
      <c r="K166" s="1"/>
      <c r="L166" s="1"/>
    </row>
    <row r="167" ht="14.624267578125">
      <c r="A167" s="1"/>
      <c r="B167" s="19" t="s">
        <v>138</v>
      </c>
      <c r="C167" s="7"/>
      <c r="D167" s="7"/>
      <c r="E167" s="7"/>
      <c r="F167" s="15">
        <f>IFERROR(IF((Inputs!C179+Inputs!C182+Inputs!C185+Inputs!C188+Inputs!C191)&lt;=0,"n.m.",F165/(Inputs!C179+Inputs!C182+Inputs!C185+Inputs!C188+Inputs!C191)-1),"")</f>
        <v>0.04097874571347537</v>
      </c>
      <c r="G167" s="15">
        <f>IFERROR(IF((Inputs!D179+Inputs!D182+Inputs!D185+Inputs!D188+Inputs!D191)&lt;=0,"n.m.",G165/(Inputs!D179+Inputs!D182+Inputs!D185+Inputs!D188+Inputs!D191)-1),"")</f>
        <v>0.04666465302850242</v>
      </c>
      <c r="H167" s="31">
        <f>IFERROR(IF(C165&lt;=0,"n.m.",H165/C165-1),"")</f>
        <v>0.0394504223022365</v>
      </c>
      <c r="I167" s="1"/>
      <c r="J167" s="1"/>
      <c r="K167" s="1"/>
      <c r="L167" s="1"/>
    </row>
    <row r="168" ht="14.624267578125">
      <c r="A168" s="1"/>
      <c r="B168" s="33" t="s">
        <v>167</v>
      </c>
      <c r="C168" s="22">
        <v>105751</v>
      </c>
      <c r="D168" s="22">
        <v>105552</v>
      </c>
      <c r="E168" s="22">
        <v>105969</v>
      </c>
      <c r="F168" s="22">
        <v>103371</v>
      </c>
      <c r="G168" s="22">
        <v>103620</v>
      </c>
      <c r="H168" s="29">
        <f>G168*(1+H169)</f>
        <v>103101.9</v>
      </c>
      <c r="I168" s="1" t="s">
        <v>135</v>
      </c>
      <c r="J168" s="1"/>
      <c r="K168" s="1"/>
      <c r="L168" s="1"/>
    </row>
    <row r="169" ht="14.624267578125">
      <c r="A169" s="1"/>
      <c r="B169" s="19" t="s">
        <v>136</v>
      </c>
      <c r="C169" s="15">
        <f>IFERROR(IF(Inputs!D194&lt;=0,"n.m.",C168/Inputs!D194-1),"")</f>
        <v>-0.008764036518381091</v>
      </c>
      <c r="D169" s="7">
        <f>IFERROR(IF(C168&lt;=0,"n.m.",D168/C168-1),"")</f>
        <v>-0.0018817788957078418</v>
      </c>
      <c r="E169" s="7"/>
      <c r="F169" s="7">
        <f>IFERROR(IF(D168&lt;=0,"n.m.",F168/D168-1),"")</f>
        <v>-0.020662801273305997</v>
      </c>
      <c r="G169" s="7">
        <f>IFERROR(IF(F168&lt;=0,"n.m.",G168/F168-1),"")</f>
        <v>0.0024087993731316537</v>
      </c>
      <c r="H169" s="65">
        <v>-0.005</v>
      </c>
      <c r="I169" s="1"/>
      <c r="J169" s="1"/>
      <c r="K169" s="1"/>
      <c r="L169" s="1"/>
    </row>
    <row r="170" ht="14.624267578125">
      <c r="A170" s="1"/>
      <c r="B170" s="19" t="s">
        <v>138</v>
      </c>
      <c r="C170" s="7"/>
      <c r="D170" s="7"/>
      <c r="E170" s="7"/>
      <c r="F170" s="15">
        <f>IFERROR(IF(Inputs!C194&lt;=0,"n.m.",F168/Inputs!C194-1),"")</f>
        <v>-0.023834930827706713</v>
      </c>
      <c r="G170" s="15">
        <f>IFERROR(IF(Inputs!D194&lt;=0,"n.m.",G168/Inputs!D194-1),"")</f>
        <v>-0.028738541139418428</v>
      </c>
      <c r="H170" s="31">
        <f>IFERROR(IF(C168&lt;=0,"n.m.",H168/C168-1),"")</f>
        <v>-0.025050354133767105</v>
      </c>
      <c r="I170" s="1"/>
      <c r="J170" s="1"/>
      <c r="K170" s="1"/>
      <c r="L170" s="1"/>
    </row>
    <row r="171" ht="14.624267578125">
      <c r="A171" s="1"/>
      <c r="B171" s="33" t="s">
        <v>139</v>
      </c>
      <c r="C171" s="2">
        <f>C168-Inputs!D194</f>
        <v>-935</v>
      </c>
      <c r="D171" s="11">
        <f>D168-C168</f>
        <v>-199</v>
      </c>
      <c r="E171" s="11"/>
      <c r="F171" s="11">
        <f>F168-D168</f>
        <v>-2181</v>
      </c>
      <c r="G171" s="11">
        <f>G168-F168</f>
        <v>249</v>
      </c>
      <c r="H171" s="29">
        <f>H168-G168</f>
        <v>-518.1000000000058</v>
      </c>
      <c r="I171" s="1"/>
      <c r="J171" s="1"/>
      <c r="K171" s="1"/>
      <c r="L171" s="1"/>
    </row>
    <row r="172" ht="14.624267578125">
      <c r="A172" s="1"/>
      <c r="B172" s="48" t="s">
        <v>168</v>
      </c>
      <c r="C172" s="50">
        <f>C154+C168</f>
        <v>396600</v>
      </c>
      <c r="D172" s="50">
        <f>D154+D168</f>
        <v>396010</v>
      </c>
      <c r="E172" s="50">
        <f>E154+E168</f>
        <v>396335</v>
      </c>
      <c r="F172" s="50">
        <f>F154+F168</f>
        <v>398924</v>
      </c>
      <c r="G172" s="50">
        <f>G154+G168</f>
        <v>404869</v>
      </c>
      <c r="H172" s="61">
        <f>H154+H168</f>
        <v>407299.05499999993</v>
      </c>
      <c r="I172" s="1"/>
      <c r="J172" s="1"/>
      <c r="K172" s="1"/>
      <c r="L172" s="1"/>
    </row>
    <row r="173" ht="14.624267578125">
      <c r="A173" s="1"/>
      <c r="B173" s="19" t="s">
        <v>151</v>
      </c>
      <c r="C173" s="15">
        <f>IFERROR(IF((Inputs!D179+Inputs!D182+Inputs!D185+Inputs!D194)&lt;=0,"n.m.",C172/(Inputs!D179+Inputs!D182+Inputs!D185+Inputs!D194)-1),"")</f>
        <v>-0.009695792330760566</v>
      </c>
      <c r="D173" s="7">
        <f>IFERROR(IF(C172&lt;=0,"n.m.",D172/C172-1),"")</f>
        <v>-0.0014876449823499893</v>
      </c>
      <c r="E173" s="7"/>
      <c r="F173" s="7">
        <f>IFERROR(IF(D172&lt;=0,"n.m.",F172/D172-1),"")</f>
        <v>0.0073584000404030014</v>
      </c>
      <c r="G173" s="7">
        <f>IFERROR(IF(F172&lt;=0,"n.m.",G172/F172-1),"")</f>
        <v>0.014902587961616698</v>
      </c>
      <c r="H173" s="31">
        <f>IFERROR(IF(G172&lt;=0,"n.m.",H172/G172-1),"")</f>
        <v>0.006002077215099044</v>
      </c>
      <c r="I173" s="1"/>
      <c r="J173" s="1"/>
      <c r="K173" s="1"/>
      <c r="L173" s="1"/>
    </row>
    <row r="174" ht="14.624267578125">
      <c r="A174" s="1"/>
      <c r="B174" s="19" t="s">
        <v>138</v>
      </c>
      <c r="C174" s="7"/>
      <c r="D174" s="7"/>
      <c r="E174" s="7"/>
      <c r="F174" s="15">
        <f>IFERROR(IF((Inputs!C179+Inputs!C182+Inputs!C185+Inputs!C194)&lt;=0,"n.m.",F172/(Inputs!C179+Inputs!C182+Inputs!C185+Inputs!C194)-1),"")</f>
        <v>0.017133940500351885</v>
      </c>
      <c r="G174" s="15">
        <f>IFERROR(IF((Inputs!D179+Inputs!D182+Inputs!D185+Inputs!D194)&lt;=0,"n.m.",G172/(Inputs!D179+Inputs!D182+Inputs!D185+Inputs!D194)-1),"")</f>
        <v>0.01095177573080508</v>
      </c>
      <c r="H174" s="31">
        <f>IFERROR(IF(C172&lt;=0,"n.m.",H172/C172-1),"")</f>
        <v>0.02697694150277341</v>
      </c>
      <c r="I174" s="1"/>
      <c r="J174" s="1"/>
      <c r="K174" s="1"/>
      <c r="L174" s="1"/>
    </row>
    <row r="175" ht="14.624267578125">
      <c r="A175" s="1"/>
      <c r="B175" s="33" t="s">
        <v>139</v>
      </c>
      <c r="C175" s="2">
        <f>C172-(Inputs!D179+Inputs!D182+Inputs!D185+Inputs!D194)</f>
        <v>-3883</v>
      </c>
      <c r="D175" s="11">
        <f>D172-C172</f>
        <v>-590</v>
      </c>
      <c r="E175" s="11"/>
      <c r="F175" s="11">
        <f>F172-D172</f>
        <v>2914</v>
      </c>
      <c r="G175" s="11">
        <f>G172-F172</f>
        <v>5945</v>
      </c>
      <c r="H175" s="29">
        <f>H172-G172</f>
        <v>2430.054999999935</v>
      </c>
      <c r="I175" s="1"/>
      <c r="J175" s="1"/>
      <c r="K175" s="1"/>
      <c r="L175" s="1"/>
    </row>
    <row r="176" ht="14.624267578125">
      <c r="A176" s="1"/>
      <c r="B176" s="19" t="s">
        <v>169</v>
      </c>
      <c r="C176" s="7">
        <f>IFERROR(C168/C172,"")</f>
        <v>0.2666439737771054</v>
      </c>
      <c r="D176" s="7">
        <f>IFERROR(D168/D172,"")</f>
        <v>0.2665387237696018</v>
      </c>
      <c r="E176" s="7">
        <f>IFERROR(E168/E172,"")</f>
        <v>0.267372298686717</v>
      </c>
      <c r="F176" s="7">
        <f>IFERROR(F168/F172,"")</f>
        <v>0.25912454502612026</v>
      </c>
      <c r="G176" s="7">
        <f>IFERROR(G168/G172,"")</f>
        <v>0.25593463564757984</v>
      </c>
      <c r="H176" s="31">
        <f>IFERROR(H168/H172,"")</f>
        <v>0.2531356229147156</v>
      </c>
      <c r="I176" s="1"/>
      <c r="J176" s="1"/>
      <c r="K176" s="1"/>
      <c r="L176" s="1"/>
    </row>
    <row r="177" ht="14.624267578125">
      <c r="A177" s="1"/>
      <c r="B177" s="33" t="s">
        <v>99</v>
      </c>
      <c r="C177" s="26"/>
      <c r="D177" s="26">
        <f>IFERROR((D176-C176)*10000,"")</f>
        <v>-1.0525000750361002</v>
      </c>
      <c r="E177" s="26"/>
      <c r="F177" s="26">
        <f>IFERROR((F176-D176)*10000,"")</f>
        <v>-74.14178743481547</v>
      </c>
      <c r="G177" s="26">
        <f>IFERROR((G176-F176)*10000,"")</f>
        <v>-31.89909378540412</v>
      </c>
      <c r="H177" s="60">
        <f>IFERROR((H176-G176)*10000,"")</f>
        <v>-27.99012732864259</v>
      </c>
      <c r="I177" s="1"/>
      <c r="J177" s="1"/>
      <c r="K177" s="1"/>
      <c r="L177" s="1"/>
    </row>
    <row r="178" ht="14.624267578125">
      <c r="A178" s="1"/>
      <c r="B178" s="33" t="s">
        <v>132</v>
      </c>
      <c r="C178" s="26"/>
      <c r="D178" s="26"/>
      <c r="E178" s="26"/>
      <c r="F178" s="56">
        <f>IFERROR((F176-(Inputs!C194/(Inputs!C179+Inputs!C182+Inputs!C185+Inputs!C194)))*10000,"")</f>
        <v>-108.7525099839759</v>
      </c>
      <c r="G178" s="56">
        <f>IFERROR((G176-(Inputs!D194/(Inputs!D179+Inputs!D182+Inputs!D185+Inputs!D194)))*10000,"")</f>
        <v>-104.58694406379976</v>
      </c>
      <c r="H178" s="60">
        <f>IFERROR((H176-C176)*10000,"")</f>
        <v>-135.0835086238983</v>
      </c>
      <c r="I178" s="1"/>
      <c r="J178" s="1"/>
      <c r="K178" s="1"/>
      <c r="L178" s="1"/>
    </row>
    <row r="179" ht="14.624267578125">
      <c r="A179" s="1"/>
      <c r="B179" s="19" t="s">
        <v>170</v>
      </c>
      <c r="C179" s="7">
        <f>IFERROR(C118/C172,"")</f>
        <v>0.8081013615733736</v>
      </c>
      <c r="D179" s="7">
        <f>IFERROR(D118/D172,"")</f>
        <v>0.8200929269462892</v>
      </c>
      <c r="E179" s="7">
        <f>IFERROR(E118/E172,"")</f>
        <v>0.7976232227787099</v>
      </c>
      <c r="F179" s="7">
        <f>IFERROR(F118/F172,"")</f>
        <v>0.8197601548164563</v>
      </c>
      <c r="G179" s="7">
        <f>IFERROR(G118/G172,"")</f>
        <v>0.8130086521813229</v>
      </c>
      <c r="H179" s="31">
        <f>IFERROR(H118/H172,"")</f>
        <v>0.8111942710007025</v>
      </c>
      <c r="I179" s="1"/>
      <c r="J179" s="1"/>
      <c r="K179" s="1"/>
      <c r="L179" s="1"/>
    </row>
    <row r="180" ht="14.624267578125">
      <c r="A180" s="1"/>
      <c r="B180" s="33" t="s">
        <v>99</v>
      </c>
      <c r="C180" s="26"/>
      <c r="D180" s="26">
        <f>IFERROR((D179-C179)*10000,"")</f>
        <v>119.9156537291557</v>
      </c>
      <c r="E180" s="26"/>
      <c r="F180" s="26">
        <f>IFERROR((F179-D179)*10000,"")</f>
        <v>-3.327721298329589</v>
      </c>
      <c r="G180" s="26">
        <f>IFERROR((G179-F179)*10000,"")</f>
        <v>-67.51502635133355</v>
      </c>
      <c r="H180" s="60">
        <f>IFERROR((H179-G179)*10000,"")</f>
        <v>-18.143811806203836</v>
      </c>
      <c r="I180" s="1"/>
      <c r="J180" s="1"/>
      <c r="K180" s="1"/>
      <c r="L180" s="1"/>
    </row>
    <row r="181" ht="14.624267578125">
      <c r="A181" s="1"/>
      <c r="B181" s="33" t="s">
        <v>132</v>
      </c>
      <c r="C181" s="26"/>
      <c r="D181" s="26"/>
      <c r="E181" s="26"/>
      <c r="F181" s="56">
        <f>IFERROR((F179-((Inputs!C146+Inputs!C149+Inputs!C152+Inputs!C155+Inputs!C158+Inputs!C161+Inputs!C164+Inputs!C167)/(Inputs!C179+Inputs!C182+Inputs!C185+Inputs!C194)))*10000,"")</f>
        <v>385.468066609046</v>
      </c>
      <c r="G181" s="56">
        <f>IFERROR((G179-((Inputs!D146+Inputs!D149+Inputs!D152+Inputs!D155+Inputs!D158+Inputs!D161+Inputs!D164+Inputs!D167)/(Inputs!D179+Inputs!D182+Inputs!D185+Inputs!D194)))*10000,"")</f>
        <v>324.48678349724537</v>
      </c>
      <c r="H181" s="60">
        <f>IFERROR((H179-C179)*10000,"")</f>
        <v>30.929094273288715</v>
      </c>
      <c r="I181" s="1"/>
      <c r="J181" s="1"/>
      <c r="K181" s="1"/>
      <c r="L181" s="1"/>
    </row>
    <row r="182">
      <c r="A182" s="1"/>
      <c r="B182" s="33"/>
      <c r="C182" s="18"/>
      <c r="D182" s="18"/>
      <c r="E182" s="18"/>
      <c r="F182" s="18"/>
      <c r="G182" s="18"/>
      <c r="H182" s="45"/>
      <c r="I182" s="1"/>
      <c r="J182" s="1"/>
      <c r="K182" s="1"/>
      <c r="L182" s="1"/>
    </row>
    <row r="183" ht="14.624267578125">
      <c r="A183" s="1"/>
      <c r="B183" s="57" t="s">
        <v>171</v>
      </c>
      <c r="C183" s="18"/>
      <c r="D183" s="18"/>
      <c r="E183" s="18"/>
      <c r="F183" s="18"/>
      <c r="G183" s="18"/>
      <c r="H183" s="45"/>
      <c r="I183" s="1"/>
      <c r="J183" s="1"/>
      <c r="K183" s="1"/>
      <c r="L183" s="1"/>
    </row>
    <row r="184" ht="14.624267578125">
      <c r="A184" s="1"/>
      <c r="B184" s="19" t="s">
        <v>134</v>
      </c>
      <c r="C184" s="24">
        <v>0.0316</v>
      </c>
      <c r="D184" s="24">
        <v>0.0304</v>
      </c>
      <c r="E184" s="24">
        <v>0.0313</v>
      </c>
      <c r="F184" s="24">
        <v>0.029300000000000003</v>
      </c>
      <c r="G184" s="24">
        <v>0.0296</v>
      </c>
      <c r="H184" s="67">
        <f>G184+H185/10000</f>
        <v>0.030000000000000002</v>
      </c>
      <c r="I184" s="1"/>
      <c r="J184" s="1"/>
      <c r="K184" s="1"/>
      <c r="L184" s="1"/>
    </row>
    <row r="185" ht="14.624267578125">
      <c r="A185" s="1"/>
      <c r="B185" s="33" t="s">
        <v>172</v>
      </c>
      <c r="C185" s="56">
        <f>IFERROR((C184-Inputs!D144)*10000,"")</f>
        <v>0</v>
      </c>
      <c r="D185" s="26">
        <f>IFERROR((D184-C184)*10000,"")</f>
        <v>-12.000000000000032</v>
      </c>
      <c r="E185" s="26"/>
      <c r="F185" s="26">
        <f>IFERROR((F184-D184)*10000,"")</f>
        <v>-10.999999999999968</v>
      </c>
      <c r="G185" s="26">
        <f>IFERROR((G184-F184)*10000,"")</f>
        <v>2.999999999999982</v>
      </c>
      <c r="H185" s="62">
        <v>4</v>
      </c>
      <c r="I185" s="1"/>
      <c r="J185" s="1"/>
      <c r="K185" s="1"/>
      <c r="L185" s="1"/>
    </row>
    <row r="186" ht="14.624267578125">
      <c r="A186" s="1"/>
      <c r="B186" s="33" t="s">
        <v>132</v>
      </c>
      <c r="C186" s="26"/>
      <c r="D186" s="26"/>
      <c r="E186" s="26"/>
      <c r="F186" s="56">
        <f>IFERROR((F184-Inputs!C144)*10000,"")</f>
        <v>-23</v>
      </c>
      <c r="G186" s="56">
        <f>IFERROR((G184-Inputs!D144)*10000,"")</f>
        <v>-20.000000000000018</v>
      </c>
      <c r="H186" s="60">
        <f>IFERROR((H184-C184)*10000,"")</f>
        <v>-16.000000000000007</v>
      </c>
      <c r="I186" s="1"/>
      <c r="J186" s="1"/>
      <c r="K186" s="1"/>
      <c r="L186" s="1"/>
    </row>
    <row r="187" ht="14.624267578125">
      <c r="A187" s="1"/>
      <c r="B187" s="19" t="s">
        <v>141</v>
      </c>
      <c r="C187" s="24">
        <v>0.0566</v>
      </c>
      <c r="D187" s="24">
        <v>0.0549</v>
      </c>
      <c r="E187" s="24">
        <v>0.0564</v>
      </c>
      <c r="F187" s="24">
        <v>0.053</v>
      </c>
      <c r="G187" s="24">
        <v>0.0525</v>
      </c>
      <c r="H187" s="67">
        <f>G187+H188/10000</f>
        <v>0.052399999999999995</v>
      </c>
      <c r="I187" s="1"/>
      <c r="J187" s="1"/>
      <c r="K187" s="1"/>
      <c r="L187" s="1"/>
    </row>
    <row r="188" ht="14.624267578125">
      <c r="A188" s="1"/>
      <c r="B188" s="33" t="s">
        <v>172</v>
      </c>
      <c r="C188" s="56">
        <f>IFERROR((C187-Inputs!D147)*10000,"")</f>
        <v>-6.000000000000033</v>
      </c>
      <c r="D188" s="26">
        <f>IFERROR((D187-C187)*10000,"")</f>
        <v>-17</v>
      </c>
      <c r="E188" s="26"/>
      <c r="F188" s="26">
        <f>IFERROR((F187-D187)*10000,"")</f>
        <v>-18.99999999999999</v>
      </c>
      <c r="G188" s="26">
        <f>IFERROR((G187-F187)*10000,"")</f>
        <v>-5.000000000000004</v>
      </c>
      <c r="H188" s="62">
        <v>-1</v>
      </c>
      <c r="I188" s="1"/>
      <c r="J188" s="1"/>
      <c r="K188" s="1"/>
      <c r="L188" s="1"/>
    </row>
    <row r="189" ht="14.624267578125">
      <c r="A189" s="1"/>
      <c r="B189" s="33" t="s">
        <v>132</v>
      </c>
      <c r="C189" s="26"/>
      <c r="D189" s="26"/>
      <c r="E189" s="26"/>
      <c r="F189" s="56">
        <f>IFERROR((F187-Inputs!C147)*10000,"")</f>
        <v>-40.000000000000036</v>
      </c>
      <c r="G189" s="56">
        <f>IFERROR((G187-Inputs!D147)*10000,"")</f>
        <v>-47.00000000000003</v>
      </c>
      <c r="H189" s="60">
        <f>IFERROR((H187-C187)*10000,"")</f>
        <v>-42.00000000000002</v>
      </c>
      <c r="I189" s="1"/>
      <c r="J189" s="1"/>
      <c r="K189" s="1"/>
      <c r="L189" s="1"/>
    </row>
    <row r="190" ht="14.624267578125">
      <c r="A190" s="1"/>
      <c r="B190" s="19" t="s">
        <v>142</v>
      </c>
      <c r="C190" s="24">
        <v>0.0625</v>
      </c>
      <c r="D190" s="24">
        <v>0.0599</v>
      </c>
      <c r="E190" s="24">
        <v>0.0614</v>
      </c>
      <c r="F190" s="24">
        <v>0.0564</v>
      </c>
      <c r="G190" s="24">
        <v>0.0556</v>
      </c>
      <c r="H190" s="67">
        <f>G190+H191/10000</f>
        <v>0.0554</v>
      </c>
      <c r="I190" s="1"/>
      <c r="J190" s="1"/>
      <c r="K190" s="1"/>
      <c r="L190" s="1"/>
    </row>
    <row r="191" ht="14.624267578125">
      <c r="A191" s="1"/>
      <c r="B191" s="33" t="s">
        <v>172</v>
      </c>
      <c r="C191" s="56">
        <f>IFERROR((C190-Inputs!D150)*10000,"")</f>
        <v>3.0000000000000164</v>
      </c>
      <c r="D191" s="26">
        <f>IFERROR((D190-C190)*10000,"")</f>
        <v>-25.999999999999982</v>
      </c>
      <c r="E191" s="26"/>
      <c r="F191" s="26">
        <f>IFERROR((F190-D190)*10000,"")</f>
        <v>-35.00000000000003</v>
      </c>
      <c r="G191" s="26">
        <f>IFERROR((G190-F190)*10000,"")</f>
        <v>-8.000000000000021</v>
      </c>
      <c r="H191" s="62">
        <v>-2</v>
      </c>
      <c r="I191" s="1"/>
      <c r="J191" s="1"/>
      <c r="K191" s="1"/>
      <c r="L191" s="1"/>
    </row>
    <row r="192" ht="14.624267578125">
      <c r="A192" s="1"/>
      <c r="B192" s="33" t="s">
        <v>132</v>
      </c>
      <c r="C192" s="26"/>
      <c r="D192" s="26"/>
      <c r="E192" s="26"/>
      <c r="F192" s="56">
        <f>IFERROR((F190-Inputs!C150)*10000,"")</f>
        <v>-47.999999999999986</v>
      </c>
      <c r="G192" s="56">
        <f>IFERROR((G190-Inputs!D150)*10000,"")</f>
        <v>-66.00000000000001</v>
      </c>
      <c r="H192" s="60">
        <f>IFERROR((H190-C190)*10000,"")</f>
        <v>-71.00000000000003</v>
      </c>
      <c r="I192" s="1"/>
      <c r="J192" s="1"/>
      <c r="K192" s="1"/>
      <c r="L192" s="1"/>
    </row>
    <row r="193" ht="14.624267578125">
      <c r="A193" s="1"/>
      <c r="B193" s="19" t="s">
        <v>143</v>
      </c>
      <c r="C193" s="24">
        <v>0.0684</v>
      </c>
      <c r="D193" s="24">
        <v>0.0652</v>
      </c>
      <c r="E193" s="24">
        <v>0.0676</v>
      </c>
      <c r="F193" s="24">
        <v>0.0621</v>
      </c>
      <c r="G193" s="24">
        <v>0.061799999999999994</v>
      </c>
      <c r="H193" s="67">
        <f>G193+H194/10000</f>
        <v>0.061599999999999995</v>
      </c>
      <c r="I193" s="1"/>
      <c r="J193" s="1"/>
      <c r="K193" s="1"/>
      <c r="L193" s="1"/>
    </row>
    <row r="194" ht="14.624267578125">
      <c r="A194" s="1"/>
      <c r="B194" s="33" t="s">
        <v>172</v>
      </c>
      <c r="C194" s="56">
        <f>IFERROR((C193-Inputs!D153)*10000,"")</f>
        <v>-0.9999999999998899</v>
      </c>
      <c r="D194" s="26">
        <f>IFERROR((D193-C193)*10000,"")</f>
        <v>-32.000000000000085</v>
      </c>
      <c r="E194" s="26"/>
      <c r="F194" s="26">
        <f>IFERROR((F193-D193)*10000,"")</f>
        <v>-30.999999999999915</v>
      </c>
      <c r="G194" s="26">
        <f>IFERROR((G193-F193)*10000,"")</f>
        <v>-3.000000000000086</v>
      </c>
      <c r="H194" s="62">
        <v>-2</v>
      </c>
      <c r="I194" s="1"/>
      <c r="J194" s="1"/>
      <c r="K194" s="1"/>
      <c r="L194" s="1"/>
    </row>
    <row r="195" ht="14.624267578125">
      <c r="A195" s="1"/>
      <c r="B195" s="33" t="s">
        <v>132</v>
      </c>
      <c r="C195" s="26"/>
      <c r="D195" s="26"/>
      <c r="E195" s="26"/>
      <c r="F195" s="56">
        <f>IFERROR((F193-Inputs!C153)*10000,"")</f>
        <v>-63</v>
      </c>
      <c r="G195" s="56">
        <f>IFERROR((G193-Inputs!D153)*10000,"")</f>
        <v>-66.99999999999997</v>
      </c>
      <c r="H195" s="60">
        <f>IFERROR((H193-C193)*10000,"")</f>
        <v>-68.00000000000007</v>
      </c>
      <c r="I195" s="1"/>
      <c r="J195" s="1"/>
      <c r="K195" s="1"/>
      <c r="L195" s="1"/>
    </row>
    <row r="196" ht="14.624267578125">
      <c r="A196" s="1"/>
      <c r="B196" s="19" t="s">
        <v>144</v>
      </c>
      <c r="C196" s="24">
        <v>0.0415</v>
      </c>
      <c r="D196" s="24">
        <v>0.0413</v>
      </c>
      <c r="E196" s="24">
        <v>0.040999999999999995</v>
      </c>
      <c r="F196" s="24">
        <v>0.0413</v>
      </c>
      <c r="G196" s="24">
        <v>0.0415</v>
      </c>
      <c r="H196" s="67">
        <f>G196+H197/10000</f>
        <v>0.0417</v>
      </c>
      <c r="I196" s="1"/>
      <c r="J196" s="1"/>
      <c r="K196" s="1"/>
      <c r="L196" s="1"/>
    </row>
    <row r="197" ht="14.624267578125">
      <c r="A197" s="1"/>
      <c r="B197" s="33" t="s">
        <v>172</v>
      </c>
      <c r="C197" s="56">
        <f>IFERROR((C196-Inputs!D156)*10000,"")</f>
        <v>6.999999999999992</v>
      </c>
      <c r="D197" s="26">
        <f>IFERROR((D196-C196)*10000,"")</f>
        <v>-1.999999999999988</v>
      </c>
      <c r="E197" s="26"/>
      <c r="F197" s="26">
        <f>IFERROR((F196-D196)*10000,"")</f>
        <v>0</v>
      </c>
      <c r="G197" s="26">
        <f>IFERROR((G196-F196)*10000,"")</f>
        <v>1.999999999999988</v>
      </c>
      <c r="H197" s="62">
        <v>2</v>
      </c>
      <c r="I197" s="1"/>
      <c r="J197" s="1"/>
      <c r="K197" s="1"/>
      <c r="L197" s="1"/>
    </row>
    <row r="198" ht="14.624267578125">
      <c r="A198" s="1"/>
      <c r="B198" s="33" t="s">
        <v>132</v>
      </c>
      <c r="C198" s="26"/>
      <c r="D198" s="26"/>
      <c r="E198" s="26"/>
      <c r="F198" s="56">
        <f>IFERROR((F196-Inputs!C156)*10000,"")</f>
        <v>9.00000000000005</v>
      </c>
      <c r="G198" s="56">
        <f>IFERROR((G196-Inputs!D156)*10000,"")</f>
        <v>6.999999999999992</v>
      </c>
      <c r="H198" s="60">
        <f>IFERROR((H196-C196)*10000,"")</f>
        <v>1.999999999999988</v>
      </c>
      <c r="I198" s="1"/>
      <c r="J198" s="1"/>
      <c r="K198" s="1"/>
      <c r="L198" s="1"/>
    </row>
    <row r="199" ht="14.624267578125">
      <c r="A199" s="1"/>
      <c r="B199" s="19" t="s">
        <v>145</v>
      </c>
      <c r="C199" s="24">
        <v>0.0751</v>
      </c>
      <c r="D199" s="24">
        <v>0.0724</v>
      </c>
      <c r="E199" s="24">
        <v>0.0742</v>
      </c>
      <c r="F199" s="24">
        <v>0.0699</v>
      </c>
      <c r="G199" s="24">
        <v>0.0702</v>
      </c>
      <c r="H199" s="67">
        <f>G199+H200/10000</f>
        <v>0.0703</v>
      </c>
      <c r="I199" s="1"/>
      <c r="J199" s="1"/>
      <c r="K199" s="1"/>
      <c r="L199" s="1"/>
    </row>
    <row r="200" ht="14.624267578125">
      <c r="A200" s="1"/>
      <c r="B200" s="33" t="s">
        <v>172</v>
      </c>
      <c r="C200" s="56">
        <f>IFERROR((C199-Inputs!D159)*10000,"")</f>
        <v>3.999999999999976</v>
      </c>
      <c r="D200" s="26">
        <f>IFERROR((D199-C199)*10000,"")</f>
        <v>-26.99999999999994</v>
      </c>
      <c r="E200" s="26"/>
      <c r="F200" s="26">
        <f>IFERROR((F199-D199)*10000,"")</f>
        <v>-25.00000000000002</v>
      </c>
      <c r="G200" s="26">
        <f>IFERROR((G199-F199)*10000,"")</f>
        <v>2.999999999999947</v>
      </c>
      <c r="H200" s="62">
        <v>1</v>
      </c>
      <c r="I200" s="1"/>
      <c r="J200" s="1"/>
      <c r="K200" s="1"/>
      <c r="L200" s="1"/>
    </row>
    <row r="201" ht="14.624267578125">
      <c r="A201" s="1"/>
      <c r="B201" s="33" t="s">
        <v>132</v>
      </c>
      <c r="C201" s="26"/>
      <c r="D201" s="26"/>
      <c r="E201" s="26"/>
      <c r="F201" s="56">
        <f>IFERROR((F199-Inputs!C159)*10000,"")</f>
        <v>-49.000000000000014</v>
      </c>
      <c r="G201" s="56">
        <f>IFERROR((G199-Inputs!D159)*10000,"")</f>
        <v>-45.00000000000004</v>
      </c>
      <c r="H201" s="60">
        <f>IFERROR((H199-C199)*10000,"")</f>
        <v>-47.999999999999986</v>
      </c>
      <c r="I201" s="1"/>
      <c r="J201" s="1"/>
      <c r="K201" s="1"/>
      <c r="L201" s="1"/>
    </row>
    <row r="202" ht="14.624267578125">
      <c r="A202" s="1"/>
      <c r="B202" s="19" t="s">
        <v>146</v>
      </c>
      <c r="C202" s="24">
        <v>0.0729</v>
      </c>
      <c r="D202" s="24">
        <v>0.0727</v>
      </c>
      <c r="E202" s="24">
        <v>0.0727</v>
      </c>
      <c r="F202" s="24">
        <v>0.0708</v>
      </c>
      <c r="G202" s="24">
        <v>0.0706</v>
      </c>
      <c r="H202" s="67">
        <f>G202+H203/10000</f>
        <v>0.0701</v>
      </c>
      <c r="I202" s="1"/>
      <c r="J202" s="1"/>
      <c r="K202" s="1"/>
      <c r="L202" s="1"/>
    </row>
    <row r="203" ht="14.624267578125">
      <c r="A203" s="1"/>
      <c r="B203" s="33" t="s">
        <v>172</v>
      </c>
      <c r="C203" s="56">
        <f>IFERROR((C202-Inputs!D162)*10000,"")</f>
        <v>-2.999999999999947</v>
      </c>
      <c r="D203" s="26">
        <f>IFERROR((D202-C202)*10000,"")</f>
        <v>-2.0000000000000573</v>
      </c>
      <c r="E203" s="26"/>
      <c r="F203" s="26">
        <f>IFERROR((F202-D202)*10000,"")</f>
        <v>-18.99999999999999</v>
      </c>
      <c r="G203" s="26">
        <f>IFERROR((G202-F202)*10000,"")</f>
        <v>-2.0000000000000573</v>
      </c>
      <c r="H203" s="62">
        <v>-5</v>
      </c>
      <c r="I203" s="1"/>
      <c r="J203" s="1"/>
      <c r="K203" s="1"/>
      <c r="L203" s="1"/>
    </row>
    <row r="204" ht="14.624267578125">
      <c r="A204" s="1"/>
      <c r="B204" s="33" t="s">
        <v>132</v>
      </c>
      <c r="C204" s="26"/>
      <c r="D204" s="26"/>
      <c r="E204" s="26"/>
      <c r="F204" s="56">
        <f>IFERROR((F202-Inputs!C162)*10000,"")</f>
        <v>-11.000000000000037</v>
      </c>
      <c r="G204" s="56">
        <f>IFERROR((G202-Inputs!D162)*10000,"")</f>
        <v>-26.00000000000005</v>
      </c>
      <c r="H204" s="60">
        <f>IFERROR((H202-C202)*10000,"")</f>
        <v>-28.000000000000107</v>
      </c>
      <c r="I204" s="1"/>
      <c r="J204" s="1"/>
      <c r="K204" s="1"/>
      <c r="L204" s="1"/>
    </row>
    <row r="205" ht="14.624267578125">
      <c r="A205" s="1"/>
      <c r="B205" s="19" t="s">
        <v>148</v>
      </c>
      <c r="C205" s="24">
        <v>0.0836</v>
      </c>
      <c r="D205" s="24">
        <v>0.08349999999999999</v>
      </c>
      <c r="E205" s="24">
        <v>0.08349999999999999</v>
      </c>
      <c r="F205" s="24">
        <v>0.08380000000000001</v>
      </c>
      <c r="G205" s="24">
        <v>0.0833</v>
      </c>
      <c r="H205" s="67">
        <f>G205+H206/10000</f>
        <v>0.0833</v>
      </c>
      <c r="I205" s="1"/>
      <c r="J205" s="1"/>
      <c r="K205" s="1"/>
      <c r="L205" s="1"/>
    </row>
    <row r="206" ht="14.624267578125">
      <c r="A206" s="1"/>
      <c r="B206" s="33" t="s">
        <v>172</v>
      </c>
      <c r="C206" s="56">
        <f>IFERROR((C205-Inputs!D165)*10000,"")</f>
        <v>-1.0000000000000286</v>
      </c>
      <c r="D206" s="26">
        <f>IFERROR((D205-C205)*10000,"")</f>
        <v>-1.0000000000000286</v>
      </c>
      <c r="E206" s="26"/>
      <c r="F206" s="26">
        <f>IFERROR((F205-D205)*10000,"")</f>
        <v>3.0000000000002247</v>
      </c>
      <c r="G206" s="26">
        <f>IFERROR((G205-F205)*10000,"")</f>
        <v>-5.000000000000143</v>
      </c>
      <c r="H206" s="106">
        <v>0</v>
      </c>
      <c r="I206" s="1"/>
      <c r="J206" s="1"/>
      <c r="K206" s="1"/>
      <c r="L206" s="1"/>
    </row>
    <row r="207" ht="14.624267578125">
      <c r="A207" s="1"/>
      <c r="B207" s="33" t="s">
        <v>132</v>
      </c>
      <c r="C207" s="26"/>
      <c r="D207" s="26"/>
      <c r="E207" s="26"/>
      <c r="F207" s="56">
        <f>IFERROR((F205-Inputs!C165)*10000,"")</f>
        <v>5.000000000000143</v>
      </c>
      <c r="G207" s="56">
        <f>IFERROR((G205-Inputs!D165)*10000,"")</f>
        <v>-3.999999999999976</v>
      </c>
      <c r="H207" s="60">
        <f>IFERROR((H205-C205)*10000,"")</f>
        <v>-2.999999999999947</v>
      </c>
      <c r="I207" s="1"/>
      <c r="J207" s="1"/>
      <c r="K207" s="1"/>
      <c r="L207" s="1"/>
    </row>
    <row r="208" ht="14.624267578125">
      <c r="A208" s="1"/>
      <c r="B208" s="19" t="s">
        <v>149</v>
      </c>
      <c r="C208" s="24">
        <v>0.1174</v>
      </c>
      <c r="D208" s="24">
        <v>0.1089</v>
      </c>
      <c r="E208" s="24">
        <v>0.1139</v>
      </c>
      <c r="F208" s="24">
        <v>0.1079</v>
      </c>
      <c r="G208" s="24">
        <v>0.1093</v>
      </c>
      <c r="H208" s="67">
        <f>G208+H209/10000</f>
        <v>0.1093</v>
      </c>
      <c r="I208" s="1"/>
      <c r="J208" s="1"/>
      <c r="K208" s="1"/>
      <c r="L208" s="1"/>
    </row>
    <row r="209" ht="14.624267578125">
      <c r="A209" s="1"/>
      <c r="B209" s="33" t="s">
        <v>172</v>
      </c>
      <c r="C209" s="56">
        <f>IFERROR((C208-Inputs!D168)*10000,"")</f>
        <v>39.00000000000001</v>
      </c>
      <c r="D209" s="26">
        <f>IFERROR((D208-C208)*10000,"")</f>
        <v>-85.00000000000007</v>
      </c>
      <c r="E209" s="26"/>
      <c r="F209" s="26">
        <f>IFERROR((F208-D208)*10000,"")</f>
        <v>-10.000000000000009</v>
      </c>
      <c r="G209" s="26">
        <f>IFERROR((G208-F208)*10000,"")</f>
        <v>13.999999999999984</v>
      </c>
      <c r="H209" s="106">
        <v>0</v>
      </c>
      <c r="I209" s="1"/>
      <c r="J209" s="1"/>
      <c r="K209" s="1"/>
      <c r="L209" s="1"/>
    </row>
    <row r="210" ht="14.624267578125">
      <c r="A210" s="1"/>
      <c r="B210" s="33" t="s">
        <v>132</v>
      </c>
      <c r="C210" s="26"/>
      <c r="D210" s="26"/>
      <c r="E210" s="26"/>
      <c r="F210" s="56">
        <f>IFERROR((F208-Inputs!C168)*10000,"")</f>
        <v>-81.0000000000001</v>
      </c>
      <c r="G210" s="56">
        <f>IFERROR((G208-Inputs!D168)*10000,"")</f>
        <v>-42.00000000000009</v>
      </c>
      <c r="H210" s="60">
        <f>IFERROR((H208-C208)*10000,"")</f>
        <v>-81.0000000000001</v>
      </c>
      <c r="I210" s="1"/>
      <c r="J210" s="1"/>
      <c r="K210" s="1"/>
      <c r="L210" s="1"/>
    </row>
    <row r="211" ht="14.624267578125">
      <c r="A211" s="1"/>
      <c r="B211" s="19" t="s">
        <v>152</v>
      </c>
      <c r="C211" s="24">
        <v>0.061799999999999994</v>
      </c>
      <c r="D211" s="24">
        <v>0.0564</v>
      </c>
      <c r="E211" s="24">
        <v>0.0594</v>
      </c>
      <c r="F211" s="24">
        <v>0.0524</v>
      </c>
      <c r="G211" s="24">
        <v>0.0554</v>
      </c>
      <c r="H211" s="67">
        <f>G211+H212/10000</f>
        <v>0.07039999999999999</v>
      </c>
      <c r="I211" s="1"/>
      <c r="J211" s="1"/>
      <c r="K211" s="1"/>
      <c r="L211" s="1"/>
    </row>
    <row r="212" ht="14.624267578125">
      <c r="A212" s="1"/>
      <c r="B212" s="33" t="s">
        <v>172</v>
      </c>
      <c r="C212" s="56">
        <f>IFERROR((C211-Inputs!D171)*10000,"")</f>
        <v>2.999999999999878</v>
      </c>
      <c r="D212" s="26">
        <f>IFERROR((D211-C211)*10000,"")</f>
        <v>-53.99999999999995</v>
      </c>
      <c r="E212" s="26"/>
      <c r="F212" s="26">
        <f>IFERROR((F211-D211)*10000,"")</f>
        <v>-39.999999999999964</v>
      </c>
      <c r="G212" s="26">
        <f>IFERROR((G211-F211)*10000,"")</f>
        <v>29.999999999999957</v>
      </c>
      <c r="H212" s="62">
        <v>150</v>
      </c>
      <c r="I212" s="1"/>
      <c r="J212" s="1"/>
      <c r="K212" s="1"/>
      <c r="L212" s="1"/>
    </row>
    <row r="213" ht="14.624267578125">
      <c r="A213" s="1"/>
      <c r="B213" s="33" t="s">
        <v>132</v>
      </c>
      <c r="C213" s="26"/>
      <c r="D213" s="26"/>
      <c r="E213" s="26"/>
      <c r="F213" s="56">
        <f>IFERROR((F211-Inputs!C171)*10000,"")</f>
        <v>-68.99999999999996</v>
      </c>
      <c r="G213" s="56">
        <f>IFERROR((G211-Inputs!D171)*10000,"")</f>
        <v>-61.000000000000085</v>
      </c>
      <c r="H213" s="60">
        <f>IFERROR((H211-C211)*10000,"")</f>
        <v>85.99999999999997</v>
      </c>
      <c r="I213" s="1"/>
      <c r="J213" s="1"/>
      <c r="K213" s="1"/>
      <c r="L213" s="1"/>
    </row>
    <row r="214" ht="14.624267578125">
      <c r="A214" s="1"/>
      <c r="B214" s="19" t="s">
        <v>155</v>
      </c>
      <c r="C214" s="24">
        <v>0.057</v>
      </c>
      <c r="D214" s="24">
        <v>0.0538</v>
      </c>
      <c r="E214" s="24">
        <v>0.056900000000000006</v>
      </c>
      <c r="F214" s="24">
        <v>0.0509</v>
      </c>
      <c r="G214" s="24">
        <v>0.0532</v>
      </c>
      <c r="H214" s="67">
        <f>G214+H215/10000</f>
        <v>0.0532</v>
      </c>
      <c r="I214" s="1"/>
      <c r="J214" s="1"/>
      <c r="K214" s="1"/>
      <c r="L214" s="1"/>
    </row>
    <row r="215" ht="14.624267578125">
      <c r="A215" s="1"/>
      <c r="B215" s="33" t="s">
        <v>172</v>
      </c>
      <c r="C215" s="56">
        <f>IFERROR((C214-Inputs!D174)*10000,"")</f>
        <v>-28.00000000000004</v>
      </c>
      <c r="D215" s="26">
        <f>IFERROR((D214-C214)*10000,"")</f>
        <v>-32.000000000000014</v>
      </c>
      <c r="E215" s="26"/>
      <c r="F215" s="26">
        <f>IFERROR((F214-D214)*10000,"")</f>
        <v>-28.999999999999996</v>
      </c>
      <c r="G215" s="26">
        <f>IFERROR((G214-F214)*10000,"")</f>
        <v>22.999999999999964</v>
      </c>
      <c r="H215" s="106">
        <v>0</v>
      </c>
      <c r="I215" s="1"/>
      <c r="J215" s="1"/>
      <c r="K215" s="1"/>
      <c r="L215" s="1"/>
    </row>
    <row r="216" ht="14.624267578125">
      <c r="A216" s="1"/>
      <c r="B216" s="33" t="s">
        <v>132</v>
      </c>
      <c r="C216" s="26"/>
      <c r="D216" s="26"/>
      <c r="E216" s="26"/>
      <c r="F216" s="56">
        <f>IFERROR((F214-Inputs!C174)*10000,"")</f>
        <v>-63</v>
      </c>
      <c r="G216" s="56">
        <f>IFERROR((G214-Inputs!D174)*10000,"")</f>
        <v>-66.00000000000009</v>
      </c>
      <c r="H216" s="60">
        <f>IFERROR((H214-C214)*10000,"")</f>
        <v>-38.00000000000005</v>
      </c>
      <c r="I216" s="1"/>
      <c r="J216" s="1"/>
      <c r="K216" s="1"/>
      <c r="L216" s="1"/>
    </row>
    <row r="217" ht="14.624267578125">
      <c r="A217" s="1"/>
      <c r="B217" s="19" t="s">
        <v>156</v>
      </c>
      <c r="C217" s="24">
        <v>0.045</v>
      </c>
      <c r="D217" s="24">
        <v>0.0413</v>
      </c>
      <c r="E217" s="24">
        <v>0.0442</v>
      </c>
      <c r="F217" s="24">
        <v>0.0377</v>
      </c>
      <c r="G217" s="24">
        <v>0.0389</v>
      </c>
      <c r="H217" s="67">
        <f>G217+H218/10000</f>
        <v>0.0392</v>
      </c>
      <c r="I217" s="1"/>
      <c r="J217" s="1"/>
      <c r="K217" s="1"/>
      <c r="L217" s="1"/>
    </row>
    <row r="218" ht="14.624267578125">
      <c r="A218" s="1"/>
      <c r="B218" s="33" t="s">
        <v>172</v>
      </c>
      <c r="C218" s="56">
        <f>IFERROR((C217-Inputs!D177)*10000,"")</f>
        <v>-1.0000000000000286</v>
      </c>
      <c r="D218" s="26">
        <f>IFERROR((D217-C217)*10000,"")</f>
        <v>-36.99999999999995</v>
      </c>
      <c r="E218" s="26"/>
      <c r="F218" s="26">
        <f>IFERROR((F217-D217)*10000,"")</f>
        <v>-36.00000000000006</v>
      </c>
      <c r="G218" s="26">
        <f>IFERROR((G217-F217)*10000,"")</f>
        <v>11.999999999999996</v>
      </c>
      <c r="H218" s="62">
        <v>3</v>
      </c>
      <c r="I218" s="1"/>
      <c r="J218" s="1"/>
      <c r="K218" s="1"/>
      <c r="L218" s="1"/>
    </row>
    <row r="219" ht="14.624267578125">
      <c r="A219" s="1"/>
      <c r="B219" s="33" t="s">
        <v>132</v>
      </c>
      <c r="C219" s="26"/>
      <c r="D219" s="26"/>
      <c r="E219" s="26"/>
      <c r="F219" s="56">
        <f>IFERROR((F217-Inputs!C177)*10000,"")</f>
        <v>-76.00000000000003</v>
      </c>
      <c r="G219" s="56">
        <f>IFERROR((G217-Inputs!D177)*10000,"")</f>
        <v>-62.00000000000004</v>
      </c>
      <c r="H219" s="60">
        <f>IFERROR((H217-C217)*10000,"")</f>
        <v>-57.99999999999999</v>
      </c>
      <c r="I219" s="1"/>
      <c r="J219" s="1"/>
      <c r="K219" s="1"/>
      <c r="L219" s="1"/>
    </row>
    <row r="220" ht="14.624267578125">
      <c r="A220" s="1"/>
      <c r="B220" s="19" t="s">
        <v>160</v>
      </c>
      <c r="C220" s="24">
        <v>0.0246</v>
      </c>
      <c r="D220" s="24">
        <v>0.0218</v>
      </c>
      <c r="E220" s="24">
        <v>0.0238</v>
      </c>
      <c r="F220" s="24">
        <v>0.0209</v>
      </c>
      <c r="G220" s="24">
        <v>0.0212</v>
      </c>
      <c r="H220" s="67">
        <f>G220+H221/10000</f>
        <v>0.0217</v>
      </c>
      <c r="I220" s="1"/>
      <c r="J220" s="1"/>
      <c r="K220" s="1"/>
      <c r="L220" s="1"/>
    </row>
    <row r="221" ht="14.624267578125">
      <c r="A221" s="1"/>
      <c r="B221" s="33" t="s">
        <v>172</v>
      </c>
      <c r="C221" s="56">
        <f>IFERROR((C220-Inputs!D180)*10000,"")</f>
        <v>-4.99999999999997</v>
      </c>
      <c r="D221" s="26">
        <f>IFERROR((D220-C220)*10000,"")</f>
        <v>-28.000000000000004</v>
      </c>
      <c r="E221" s="26"/>
      <c r="F221" s="26">
        <f>IFERROR((F220-D220)*10000,"")</f>
        <v>-9.000000000000014</v>
      </c>
      <c r="G221" s="26">
        <f>IFERROR((G220-F220)*10000,"")</f>
        <v>3.0000000000000164</v>
      </c>
      <c r="H221" s="62">
        <v>5</v>
      </c>
      <c r="I221" s="1"/>
      <c r="J221" s="1"/>
      <c r="K221" s="1"/>
      <c r="L221" s="1"/>
    </row>
    <row r="222" ht="14.624267578125">
      <c r="A222" s="1"/>
      <c r="B222" s="33" t="s">
        <v>132</v>
      </c>
      <c r="C222" s="26"/>
      <c r="D222" s="26"/>
      <c r="E222" s="26"/>
      <c r="F222" s="56">
        <f>IFERROR((F220-Inputs!C180)*10000,"")</f>
        <v>-28.000000000000004</v>
      </c>
      <c r="G222" s="56">
        <f>IFERROR((G220-Inputs!D180)*10000,"")</f>
        <v>-38.99999999999997</v>
      </c>
      <c r="H222" s="60">
        <f>IFERROR((H220-C220)*10000,"")</f>
        <v>-28.999999999999996</v>
      </c>
      <c r="I222" s="1"/>
      <c r="J222" s="1"/>
      <c r="K222" s="1"/>
      <c r="L222" s="1"/>
    </row>
    <row r="223" ht="14.624267578125">
      <c r="A223" s="1"/>
      <c r="B223" s="19" t="s">
        <v>161</v>
      </c>
      <c r="C223" s="24">
        <v>0.0219</v>
      </c>
      <c r="D223" s="24">
        <v>0.0195</v>
      </c>
      <c r="E223" s="24">
        <v>0.0214</v>
      </c>
      <c r="F223" s="24">
        <v>0.0181</v>
      </c>
      <c r="G223" s="24">
        <v>0.0179</v>
      </c>
      <c r="H223" s="67">
        <f>G223+H224/10000</f>
        <v>0.018099999999999998</v>
      </c>
      <c r="I223" s="1"/>
      <c r="J223" s="1"/>
      <c r="K223" s="1"/>
      <c r="L223" s="1"/>
    </row>
    <row r="224" ht="14.624267578125">
      <c r="A224" s="1"/>
      <c r="B224" s="33" t="s">
        <v>172</v>
      </c>
      <c r="C224" s="56">
        <f>IFERROR((C223-Inputs!D183)*10000,"")</f>
        <v>-3.0000000000000164</v>
      </c>
      <c r="D224" s="26">
        <f>IFERROR((D223-C223)*10000,"")</f>
        <v>-23.999999999999993</v>
      </c>
      <c r="E224" s="26"/>
      <c r="F224" s="26">
        <f>IFERROR((F223-D223)*10000,"")</f>
        <v>-13.999999999999984</v>
      </c>
      <c r="G224" s="26">
        <f>IFERROR((G223-F223)*10000,"")</f>
        <v>-2.0000000000000226</v>
      </c>
      <c r="H224" s="62">
        <v>2</v>
      </c>
      <c r="I224" s="1"/>
      <c r="J224" s="1"/>
      <c r="K224" s="1"/>
      <c r="L224" s="1"/>
    </row>
    <row r="225" ht="14.624267578125">
      <c r="A225" s="1"/>
      <c r="B225" s="33" t="s">
        <v>132</v>
      </c>
      <c r="C225" s="26"/>
      <c r="D225" s="26"/>
      <c r="E225" s="26"/>
      <c r="F225" s="56">
        <f>IFERROR((F223-Inputs!C183)*10000,"")</f>
        <v>-38.99999999999997</v>
      </c>
      <c r="G225" s="56">
        <f>IFERROR((G223-Inputs!D183)*10000,"")</f>
        <v>-43.000000000000014</v>
      </c>
      <c r="H225" s="60">
        <f>IFERROR((H223-C223)*10000,"")</f>
        <v>-38.000000000000014</v>
      </c>
      <c r="I225" s="1"/>
      <c r="J225" s="1"/>
      <c r="K225" s="1"/>
      <c r="L225" s="1"/>
    </row>
    <row r="226" ht="14.624267578125">
      <c r="A226" s="1"/>
      <c r="B226" s="19" t="s">
        <v>162</v>
      </c>
      <c r="C226" s="24">
        <v>0.0354</v>
      </c>
      <c r="D226" s="24">
        <v>0.0335</v>
      </c>
      <c r="E226" s="24">
        <v>0.0349</v>
      </c>
      <c r="F226" s="24">
        <v>0.0306</v>
      </c>
      <c r="G226" s="24">
        <v>0.0306</v>
      </c>
      <c r="H226" s="67">
        <f>G226+H227/10000</f>
        <v>0.030699999999999998</v>
      </c>
      <c r="I226" s="1"/>
      <c r="J226" s="1"/>
      <c r="K226" s="1"/>
      <c r="L226" s="1"/>
    </row>
    <row r="227" ht="14.624267578125">
      <c r="A227" s="1"/>
      <c r="B227" s="33" t="s">
        <v>172</v>
      </c>
      <c r="C227" s="56">
        <f>IFERROR((C226-Inputs!D186)*10000,"")</f>
        <v>3.999999999999976</v>
      </c>
      <c r="D227" s="26">
        <f>IFERROR((D226-C226)*10000,"")</f>
        <v>-18.99999999999999</v>
      </c>
      <c r="E227" s="26"/>
      <c r="F227" s="26">
        <f>IFERROR((F226-D226)*10000,"")</f>
        <v>-29.000000000000032</v>
      </c>
      <c r="G227" s="26">
        <f>IFERROR((G226-F226)*10000,"")</f>
        <v>0</v>
      </c>
      <c r="H227" s="62">
        <v>1</v>
      </c>
      <c r="I227" s="1"/>
      <c r="J227" s="1"/>
      <c r="K227" s="1"/>
      <c r="L227" s="1"/>
    </row>
    <row r="228" ht="14.624267578125">
      <c r="A228" s="1"/>
      <c r="B228" s="33" t="s">
        <v>132</v>
      </c>
      <c r="C228" s="26"/>
      <c r="D228" s="26"/>
      <c r="E228" s="26"/>
      <c r="F228" s="56">
        <f>IFERROR((F226-Inputs!C186)*10000,"")</f>
        <v>-50.00000000000001</v>
      </c>
      <c r="G228" s="56">
        <f>IFERROR((G226-Inputs!D186)*10000,"")</f>
        <v>-44.00000000000004</v>
      </c>
      <c r="H228" s="60">
        <f>IFERROR((H226-C226)*10000,"")</f>
        <v>-47.00000000000003</v>
      </c>
      <c r="I228" s="1"/>
      <c r="J228" s="1"/>
      <c r="K228" s="1"/>
      <c r="L228" s="1"/>
    </row>
    <row r="229" ht="14.624267578125">
      <c r="A229" s="1"/>
      <c r="B229" s="19" t="s">
        <v>164</v>
      </c>
      <c r="C229" s="24">
        <v>0.0442</v>
      </c>
      <c r="D229" s="24">
        <v>0.0408</v>
      </c>
      <c r="E229" s="24">
        <v>0.0436</v>
      </c>
      <c r="F229" s="24">
        <v>0.0378</v>
      </c>
      <c r="G229" s="24">
        <v>0.0397</v>
      </c>
      <c r="H229" s="67">
        <f>G229+H230/10000</f>
        <v>0.0402</v>
      </c>
      <c r="I229" s="1"/>
      <c r="J229" s="1"/>
      <c r="K229" s="1"/>
      <c r="L229" s="1"/>
    </row>
    <row r="230" ht="14.624267578125">
      <c r="A230" s="1"/>
      <c r="B230" s="33" t="s">
        <v>172</v>
      </c>
      <c r="C230" s="56">
        <f>IFERROR((C229-Inputs!D189)*10000,"")</f>
        <v>-4.999999999999935</v>
      </c>
      <c r="D230" s="26">
        <f>IFERROR((D229-C229)*10000,"")</f>
        <v>-34</v>
      </c>
      <c r="E230" s="26"/>
      <c r="F230" s="26">
        <f>IFERROR((F229-D229)*10000,"")</f>
        <v>-30.00000000000003</v>
      </c>
      <c r="G230" s="26">
        <f>IFERROR((G229-F229)*10000,"")</f>
        <v>18.99999999999999</v>
      </c>
      <c r="H230" s="62">
        <v>5</v>
      </c>
      <c r="I230" s="1"/>
      <c r="J230" s="1"/>
      <c r="K230" s="1"/>
      <c r="L230" s="1"/>
    </row>
    <row r="231" ht="14.624267578125">
      <c r="A231" s="1"/>
      <c r="B231" s="33" t="s">
        <v>132</v>
      </c>
      <c r="C231" s="26"/>
      <c r="D231" s="26"/>
      <c r="E231" s="26"/>
      <c r="F231" s="56">
        <f>IFERROR((F229-Inputs!C189)*10000,"")</f>
        <v>-71.00000000000003</v>
      </c>
      <c r="G231" s="56">
        <f>IFERROR((G229-Inputs!D189)*10000,"")</f>
        <v>-49.99999999999997</v>
      </c>
      <c r="H231" s="60">
        <f>IFERROR((H229-C229)*10000,"")</f>
        <v>-40.000000000000036</v>
      </c>
      <c r="I231" s="1"/>
      <c r="J231" s="1"/>
      <c r="K231" s="1"/>
      <c r="L231" s="1"/>
    </row>
    <row r="232" ht="14.624267578125">
      <c r="A232" s="1"/>
      <c r="B232" s="19" t="s">
        <v>165</v>
      </c>
      <c r="C232" s="24">
        <v>0.0504</v>
      </c>
      <c r="D232" s="24">
        <v>0.049100000000000005</v>
      </c>
      <c r="E232" s="24">
        <v>0.0501</v>
      </c>
      <c r="F232" s="24">
        <v>0.048</v>
      </c>
      <c r="G232" s="24">
        <v>0.04769999999999999</v>
      </c>
      <c r="H232" s="67">
        <f>G232+H233/10000</f>
        <v>0.04769999999999999</v>
      </c>
      <c r="I232" s="1"/>
      <c r="J232" s="1"/>
      <c r="K232" s="1"/>
      <c r="L232" s="1"/>
    </row>
    <row r="233" ht="14.624267578125">
      <c r="A233" s="1"/>
      <c r="B233" s="33" t="s">
        <v>172</v>
      </c>
      <c r="C233" s="56">
        <f>IFERROR((C232-Inputs!D192)*10000,"")</f>
        <v>2.0000000000000573</v>
      </c>
      <c r="D233" s="26">
        <f>IFERROR((D232-C232)*10000,"")</f>
        <v>-12.999999999999956</v>
      </c>
      <c r="E233" s="26"/>
      <c r="F233" s="26">
        <f>IFERROR((F232-D232)*10000,"")</f>
        <v>-11.000000000000037</v>
      </c>
      <c r="G233" s="26">
        <f>IFERROR((G232-F232)*10000,"")</f>
        <v>-3.000000000000086</v>
      </c>
      <c r="H233" s="106">
        <v>0</v>
      </c>
      <c r="I233" s="1"/>
      <c r="J233" s="1"/>
      <c r="K233" s="1"/>
      <c r="L233" s="1"/>
    </row>
    <row r="234" ht="14.624267578125">
      <c r="A234" s="1"/>
      <c r="B234" s="33" t="s">
        <v>132</v>
      </c>
      <c r="C234" s="26"/>
      <c r="D234" s="26"/>
      <c r="E234" s="26"/>
      <c r="F234" s="56">
        <f>IFERROR((F232-Inputs!C192)*10000,"")</f>
        <v>-25.00000000000002</v>
      </c>
      <c r="G234" s="56">
        <f>IFERROR((G232-Inputs!D192)*10000,"")</f>
        <v>-25.00000000000002</v>
      </c>
      <c r="H234" s="60">
        <f>IFERROR((H232-C232)*10000,"")</f>
        <v>-27.000000000000078</v>
      </c>
      <c r="I234" s="1"/>
      <c r="J234" s="1"/>
      <c r="K234" s="1"/>
      <c r="L234" s="1"/>
    </row>
    <row r="235">
      <c r="A235" s="1"/>
      <c r="B235" s="33"/>
      <c r="C235" s="18"/>
      <c r="D235" s="18"/>
      <c r="E235" s="18"/>
      <c r="F235" s="18"/>
      <c r="G235" s="18"/>
      <c r="H235" s="45"/>
      <c r="I235" s="1"/>
      <c r="J235" s="1"/>
      <c r="K235" s="1"/>
      <c r="L235" s="1"/>
    </row>
    <row r="236" ht="23.24853515625">
      <c r="A236" s="1"/>
      <c r="B236" s="57" t="s">
        <v>173</v>
      </c>
      <c r="C236" s="18"/>
      <c r="D236" s="18"/>
      <c r="E236" s="18"/>
      <c r="F236" s="18"/>
      <c r="G236" s="18"/>
      <c r="H236" s="45"/>
      <c r="I236" s="1"/>
      <c r="J236" s="1"/>
      <c r="K236" s="1"/>
      <c r="L236" s="1"/>
    </row>
    <row r="237" ht="14.624267578125">
      <c r="A237" s="1"/>
      <c r="B237" s="33" t="s">
        <v>134</v>
      </c>
      <c r="C237" s="22">
        <v>942</v>
      </c>
      <c r="D237" s="22">
        <v>897</v>
      </c>
      <c r="E237" s="2">
        <f>Inputs!C145+Inputs!D145+C237+D237</f>
        <v>3777</v>
      </c>
      <c r="F237" s="22">
        <v>849</v>
      </c>
      <c r="G237" s="22">
        <v>873</v>
      </c>
      <c r="H237" s="29">
        <f>G237*(H81/G81)*(H184/G184)*(H$8/G$8)</f>
        <v>903.465547965548</v>
      </c>
      <c r="I237" s="1" t="s">
        <v>174</v>
      </c>
      <c r="J237" s="1"/>
      <c r="K237" s="1"/>
      <c r="L237" s="1"/>
    </row>
    <row r="238" ht="14.624267578125">
      <c r="A238" s="1"/>
      <c r="B238" s="19" t="s">
        <v>151</v>
      </c>
      <c r="C238" s="15">
        <f>IFERROR(IF(Inputs!D145&lt;=0,"n.m.",C237/Inputs!D145-1),"")</f>
        <v>-0.02079002079002079</v>
      </c>
      <c r="D238" s="7">
        <f>IFERROR(IF(C237&lt;=0,"n.m.",D237/C237-1),"")</f>
        <v>-0.047770700636942665</v>
      </c>
      <c r="E238" s="7"/>
      <c r="F238" s="7">
        <f>IFERROR(IF(D237&lt;=0,"n.m.",F237/D237-1),"")</f>
        <v>-0.05351170568561869</v>
      </c>
      <c r="G238" s="7">
        <f>IFERROR(IF(F237&lt;=0,"n.m.",G237/F237-1),"")</f>
        <v>0.028268551236749095</v>
      </c>
      <c r="H238" s="31">
        <f>IFERROR(IF(G237&lt;=0,"n.m.",H237/G237-1),"")</f>
        <v>0.03489753489753489</v>
      </c>
      <c r="I238" s="1"/>
      <c r="J238" s="1"/>
      <c r="K238" s="1"/>
      <c r="L238" s="1"/>
    </row>
    <row r="239" ht="14.624267578125">
      <c r="A239" s="1"/>
      <c r="B239" s="19" t="s">
        <v>138</v>
      </c>
      <c r="C239" s="7"/>
      <c r="D239" s="7"/>
      <c r="E239" s="7"/>
      <c r="F239" s="15">
        <f>IFERROR(IF(Inputs!C145&lt;=0,"n.m.",F237/Inputs!C145-1),"")</f>
        <v>-0.13012295081967218</v>
      </c>
      <c r="G239" s="15">
        <f>IFERROR(IF(Inputs!D145&lt;=0,"n.m.",G237/Inputs!D145-1),"")</f>
        <v>-0.09251559251559249</v>
      </c>
      <c r="H239" s="31">
        <f>IFERROR(IF(C237&lt;=0,"n.m.",H237/C237-1),"")</f>
        <v>-0.040907061607698525</v>
      </c>
      <c r="I239" s="1"/>
      <c r="J239" s="1"/>
      <c r="K239" s="1"/>
      <c r="L239" s="1"/>
    </row>
    <row r="240" ht="14.624267578125">
      <c r="A240" s="1"/>
      <c r="B240" s="33" t="s">
        <v>141</v>
      </c>
      <c r="C240" s="22">
        <v>2312</v>
      </c>
      <c r="D240" s="22">
        <v>2267</v>
      </c>
      <c r="E240" s="2">
        <f>Inputs!C148+Inputs!D148+C240+D240</f>
        <v>9025</v>
      </c>
      <c r="F240" s="22">
        <v>2179</v>
      </c>
      <c r="G240" s="22">
        <v>2211</v>
      </c>
      <c r="H240" s="29">
        <f>G240*(H86/G86)*(H187/G187)*(H$8/G$8)</f>
        <v>2257.811463233909</v>
      </c>
      <c r="I240" s="1"/>
      <c r="J240" s="1"/>
      <c r="K240" s="1"/>
      <c r="L240" s="1"/>
    </row>
    <row r="241" ht="14.624267578125">
      <c r="A241" s="1"/>
      <c r="B241" s="19" t="s">
        <v>151</v>
      </c>
      <c r="C241" s="15">
        <f>IFERROR(IF(Inputs!D148&lt;=0,"n.m.",C240/Inputs!D148-1),"")</f>
        <v>0.022104332449160102</v>
      </c>
      <c r="D241" s="7">
        <f>IFERROR(IF(C240&lt;=0,"n.m.",D240/C240-1),"")</f>
        <v>-0.019463667820069253</v>
      </c>
      <c r="E241" s="7"/>
      <c r="F241" s="7">
        <f>IFERROR(IF(D240&lt;=0,"n.m.",F240/D240-1),"")</f>
        <v>-0.038817820908689904</v>
      </c>
      <c r="G241" s="7">
        <f>IFERROR(IF(F240&lt;=0,"n.m.",G240/F240-1),"")</f>
        <v>0.014685635612666337</v>
      </c>
      <c r="H241" s="31">
        <f>IFERROR(IF(G240&lt;=0,"n.m.",H240/G240-1),"")</f>
        <v>0.02117207744636307</v>
      </c>
      <c r="I241" s="1"/>
      <c r="J241" s="1"/>
      <c r="K241" s="1"/>
      <c r="L241" s="1"/>
    </row>
    <row r="242" ht="14.624267578125">
      <c r="A242" s="1"/>
      <c r="B242" s="19" t="s">
        <v>138</v>
      </c>
      <c r="C242" s="7"/>
      <c r="D242" s="7"/>
      <c r="E242" s="7"/>
      <c r="F242" s="15">
        <f>IFERROR(IF(Inputs!C148&lt;=0,"n.m.",F240/Inputs!C148-1),"")</f>
        <v>-0.0022893772893772812</v>
      </c>
      <c r="G242" s="15">
        <f>IFERROR(IF(Inputs!D148&lt;=0,"n.m.",G240/Inputs!D148-1),"")</f>
        <v>-0.022546419098143256</v>
      </c>
      <c r="H242" s="31">
        <f>IFERROR(IF(C240&lt;=0,"n.m.",H240/C240-1),"")</f>
        <v>-0.023437948428240096</v>
      </c>
      <c r="I242" s="1"/>
      <c r="J242" s="1"/>
      <c r="K242" s="1"/>
      <c r="L242" s="1"/>
    </row>
    <row r="243" ht="14.624267578125">
      <c r="A243" s="1"/>
      <c r="B243" s="33" t="s">
        <v>142</v>
      </c>
      <c r="C243" s="22">
        <v>336</v>
      </c>
      <c r="D243" s="22">
        <v>354</v>
      </c>
      <c r="E243" s="2">
        <f>Inputs!C151+Inputs!D151+C243+D243</f>
        <v>1300</v>
      </c>
      <c r="F243" s="22">
        <v>339</v>
      </c>
      <c r="G243" s="22">
        <v>349</v>
      </c>
      <c r="H243" s="29">
        <f>G243*(H90/G90)*(H190/G190)*(H$8/G$8)</f>
        <v>358.5972930666456</v>
      </c>
      <c r="I243" s="1"/>
      <c r="J243" s="1"/>
      <c r="K243" s="1"/>
      <c r="L243" s="1"/>
    </row>
    <row r="244" ht="14.624267578125">
      <c r="A244" s="1"/>
      <c r="B244" s="19" t="s">
        <v>151</v>
      </c>
      <c r="C244" s="15">
        <f>IFERROR(IF(Inputs!D151&lt;=0,"n.m.",C243/Inputs!D151-1),"")</f>
        <v>0.09090909090909083</v>
      </c>
      <c r="D244" s="7">
        <f>IFERROR(IF(C243&lt;=0,"n.m.",D243/C243-1),"")</f>
        <v>0.0535714285714286</v>
      </c>
      <c r="E244" s="7"/>
      <c r="F244" s="7">
        <f>IFERROR(IF(D243&lt;=0,"n.m.",F243/D243-1),"")</f>
        <v>-0.0423728813559322</v>
      </c>
      <c r="G244" s="7">
        <f>IFERROR(IF(F243&lt;=0,"n.m.",G243/F243-1),"")</f>
        <v>0.029498525073746285</v>
      </c>
      <c r="H244" s="31">
        <f>IFERROR(IF(G243&lt;=0,"n.m.",H243/G243-1),"")</f>
        <v>0.027499407067752335</v>
      </c>
      <c r="I244" s="1"/>
      <c r="J244" s="1"/>
      <c r="K244" s="1"/>
      <c r="L244" s="1"/>
    </row>
    <row r="245" ht="14.624267578125">
      <c r="A245" s="1"/>
      <c r="B245" s="19" t="s">
        <v>138</v>
      </c>
      <c r="C245" s="7"/>
      <c r="D245" s="7"/>
      <c r="E245" s="7"/>
      <c r="F245" s="15">
        <f>IFERROR(IF(Inputs!C151&lt;=0,"n.m.",F243/Inputs!C151-1),"")</f>
        <v>0.1225165562913908</v>
      </c>
      <c r="G245" s="15">
        <f>IFERROR(IF(Inputs!D151&lt;=0,"n.m.",G243/Inputs!D151-1),"")</f>
        <v>0.1331168831168832</v>
      </c>
      <c r="H245" s="31">
        <f>IFERROR(IF(C243&lt;=0,"n.m.",H243/C243-1),"")</f>
        <v>0.06725384841263571</v>
      </c>
      <c r="I245" s="1"/>
      <c r="J245" s="1"/>
      <c r="K245" s="1"/>
      <c r="L245" s="1"/>
    </row>
    <row r="246" ht="14.624267578125">
      <c r="A246" s="1"/>
      <c r="B246" s="33" t="s">
        <v>143</v>
      </c>
      <c r="C246" s="22">
        <v>139</v>
      </c>
      <c r="D246" s="22">
        <v>129</v>
      </c>
      <c r="E246" s="2">
        <f>Inputs!C154+Inputs!D154+C246+D246</f>
        <v>557</v>
      </c>
      <c r="F246" s="22">
        <v>117</v>
      </c>
      <c r="G246" s="22">
        <v>112</v>
      </c>
      <c r="H246" s="29">
        <f>G246*(H94/G94)*(H193/G193)*(H$8/G$8)</f>
        <v>109.47839681354245</v>
      </c>
      <c r="I246" s="1"/>
      <c r="J246" s="1"/>
      <c r="K246" s="1"/>
      <c r="L246" s="1"/>
    </row>
    <row r="247" ht="14.624267578125">
      <c r="A247" s="1"/>
      <c r="B247" s="19" t="s">
        <v>151</v>
      </c>
      <c r="C247" s="15">
        <f>IFERROR(IF(Inputs!D154&lt;=0,"n.m.",C246/Inputs!D154-1),"")</f>
        <v>-0.03472222222222221</v>
      </c>
      <c r="D247" s="7">
        <f>IFERROR(IF(C246&lt;=0,"n.m.",D246/C246-1),"")</f>
        <v>-0.07194244604316546</v>
      </c>
      <c r="E247" s="7"/>
      <c r="F247" s="7">
        <f>IFERROR(IF(D246&lt;=0,"n.m.",F246/D246-1),"")</f>
        <v>-0.09302325581395354</v>
      </c>
      <c r="G247" s="7">
        <f>IFERROR(IF(F246&lt;=0,"n.m.",G246/F246-1),"")</f>
        <v>-0.042735042735042694</v>
      </c>
      <c r="H247" s="31">
        <f>IFERROR(IF(G246&lt;=0,"n.m.",H246/G246-1),"")</f>
        <v>-0.022514314164799543</v>
      </c>
      <c r="I247" s="1"/>
      <c r="J247" s="1"/>
      <c r="K247" s="1"/>
      <c r="L247" s="1"/>
    </row>
    <row r="248" ht="14.624267578125">
      <c r="A248" s="1"/>
      <c r="B248" s="19" t="s">
        <v>138</v>
      </c>
      <c r="C248" s="7"/>
      <c r="D248" s="7"/>
      <c r="E248" s="7"/>
      <c r="F248" s="15">
        <f>IFERROR(IF(Inputs!C154&lt;=0,"n.m.",F246/Inputs!C154-1),"")</f>
        <v>-0.19310344827586212</v>
      </c>
      <c r="G248" s="15">
        <f>IFERROR(IF(Inputs!D154&lt;=0,"n.m.",G246/Inputs!D154-1),"")</f>
        <v>-0.2222222222222222</v>
      </c>
      <c r="H248" s="31">
        <f>IFERROR(IF(C246&lt;=0,"n.m.",H246/C246-1),"")</f>
        <v>-0.2123856344349464</v>
      </c>
      <c r="I248" s="1"/>
      <c r="J248" s="1"/>
      <c r="K248" s="1"/>
      <c r="L248" s="1"/>
    </row>
    <row r="249" ht="14.624267578125">
      <c r="A249" s="1"/>
      <c r="B249" s="33" t="s">
        <v>144</v>
      </c>
      <c r="C249" s="22">
        <v>598</v>
      </c>
      <c r="D249" s="22">
        <v>589</v>
      </c>
      <c r="E249" s="2">
        <f>Inputs!C157+Inputs!D157+C249+D249</f>
        <v>2328</v>
      </c>
      <c r="F249" s="22">
        <v>582</v>
      </c>
      <c r="G249" s="22">
        <v>585</v>
      </c>
      <c r="H249" s="29">
        <f>G249*(H98/G98)*(H196/G196)*(H$8/G$8)</f>
        <v>593.0902719449225</v>
      </c>
      <c r="I249" s="1"/>
      <c r="J249" s="1"/>
      <c r="K249" s="1"/>
      <c r="L249" s="1"/>
    </row>
    <row r="250" ht="14.624267578125">
      <c r="A250" s="1"/>
      <c r="B250" s="19" t="s">
        <v>151</v>
      </c>
      <c r="C250" s="15">
        <f>IFERROR(IF(Inputs!D157&lt;=0,"n.m.",C249/Inputs!D157-1),"")</f>
        <v>0.032815198618307395</v>
      </c>
      <c r="D250" s="7">
        <f>IFERROR(IF(C249&lt;=0,"n.m.",D249/C249-1),"")</f>
        <v>-0.015050167224080258</v>
      </c>
      <c r="E250" s="7"/>
      <c r="F250" s="7">
        <f>IFERROR(IF(D249&lt;=0,"n.m.",F249/D249-1),"")</f>
        <v>-0.011884550084889645</v>
      </c>
      <c r="G250" s="7">
        <f>IFERROR(IF(F249&lt;=0,"n.m.",G249/F249-1),"")</f>
        <v>0.005154639175257714</v>
      </c>
      <c r="H250" s="31">
        <f>IFERROR(IF(G249&lt;=0,"n.m.",H249/G249-1),"")</f>
        <v>0.013829524692175132</v>
      </c>
      <c r="I250" s="1"/>
      <c r="J250" s="1"/>
      <c r="K250" s="1"/>
      <c r="L250" s="1"/>
    </row>
    <row r="251" ht="14.624267578125">
      <c r="A251" s="1"/>
      <c r="B251" s="19" t="s">
        <v>138</v>
      </c>
      <c r="C251" s="7"/>
      <c r="D251" s="7"/>
      <c r="E251" s="7"/>
      <c r="F251" s="15">
        <f>IFERROR(IF(Inputs!C157&lt;=0,"n.m.",F249/Inputs!C157-1),"")</f>
        <v>0.03558718861209975</v>
      </c>
      <c r="G251" s="15">
        <f>IFERROR(IF(Inputs!D157&lt;=0,"n.m.",G249/Inputs!D157-1),"")</f>
        <v>0.010362694300518172</v>
      </c>
      <c r="H251" s="31">
        <f>IFERROR(IF(C249&lt;=0,"n.m.",H249/C249-1),"")</f>
        <v>-0.00821024758374167</v>
      </c>
      <c r="I251" s="1"/>
      <c r="J251" s="1"/>
      <c r="K251" s="1"/>
      <c r="L251" s="1"/>
    </row>
    <row r="252" ht="14.624267578125">
      <c r="A252" s="1"/>
      <c r="B252" s="33" t="s">
        <v>145</v>
      </c>
      <c r="C252" s="22">
        <v>182</v>
      </c>
      <c r="D252" s="22">
        <v>176</v>
      </c>
      <c r="E252" s="2">
        <f>Inputs!C160+Inputs!D160+C252+D252</f>
        <v>713</v>
      </c>
      <c r="F252" s="22">
        <v>167</v>
      </c>
      <c r="G252" s="22">
        <v>169</v>
      </c>
      <c r="H252" s="29">
        <f>G252*(H102/G102)*(H199/G199)*(H$8/G$8)</f>
        <v>171.10052910052912</v>
      </c>
      <c r="I252" s="1"/>
      <c r="J252" s="1"/>
      <c r="K252" s="1"/>
      <c r="L252" s="1"/>
    </row>
    <row r="253" ht="14.624267578125">
      <c r="A253" s="1"/>
      <c r="B253" s="19" t="s">
        <v>151</v>
      </c>
      <c r="C253" s="15">
        <f>IFERROR(IF(Inputs!D160&lt;=0,"n.m.",C252/Inputs!D160-1),"")</f>
        <v>0.022471910112359605</v>
      </c>
      <c r="D253" s="7">
        <f>IFERROR(IF(C252&lt;=0,"n.m.",D252/C252-1),"")</f>
        <v>-0.03296703296703296</v>
      </c>
      <c r="E253" s="7"/>
      <c r="F253" s="7">
        <f>IFERROR(IF(D252&lt;=0,"n.m.",F252/D252-1),"")</f>
        <v>-0.051136363636363646</v>
      </c>
      <c r="G253" s="7">
        <f>IFERROR(IF(F252&lt;=0,"n.m.",G252/F252-1),"")</f>
        <v>0.011976047904191711</v>
      </c>
      <c r="H253" s="31">
        <f>IFERROR(IF(G252&lt;=0,"n.m.",H252/G252-1),"")</f>
        <v>0.012429166275320203</v>
      </c>
      <c r="I253" s="1"/>
      <c r="J253" s="1"/>
      <c r="K253" s="1"/>
      <c r="L253" s="1"/>
    </row>
    <row r="254" ht="14.624267578125">
      <c r="A254" s="1"/>
      <c r="B254" s="19" t="s">
        <v>138</v>
      </c>
      <c r="C254" s="7"/>
      <c r="D254" s="7"/>
      <c r="E254" s="7"/>
      <c r="F254" s="15">
        <f>IFERROR(IF(Inputs!C160&lt;=0,"n.m.",F252/Inputs!C160-1),"")</f>
        <v>-0.05649717514124297</v>
      </c>
      <c r="G254" s="15">
        <f>IFERROR(IF(Inputs!D160&lt;=0,"n.m.",G252/Inputs!D160-1),"")</f>
        <v>-0.050561797752809</v>
      </c>
      <c r="H254" s="31">
        <f>IFERROR(IF(C252&lt;=0,"n.m.",H252/C252-1),"")</f>
        <v>-0.05988720274434556</v>
      </c>
      <c r="I254" s="1"/>
      <c r="J254" s="1"/>
      <c r="K254" s="1"/>
      <c r="L254" s="1"/>
    </row>
    <row r="255" ht="14.624267578125">
      <c r="A255" s="1"/>
      <c r="B255" s="33" t="s">
        <v>146</v>
      </c>
      <c r="C255" s="22">
        <v>459</v>
      </c>
      <c r="D255" s="22">
        <v>469</v>
      </c>
      <c r="E255" s="2">
        <f>Inputs!C163+Inputs!D163+C255+D255</f>
        <v>1781</v>
      </c>
      <c r="F255" s="22">
        <v>443</v>
      </c>
      <c r="G255" s="22">
        <v>429</v>
      </c>
      <c r="H255" s="29">
        <f>G255*(H106/G106)*(H202/G202)*(H$8/G$8)</f>
        <v>404.8040955078915</v>
      </c>
      <c r="I255" s="1"/>
      <c r="J255" s="1"/>
      <c r="K255" s="1"/>
      <c r="L255" s="1"/>
    </row>
    <row r="256" ht="14.624267578125">
      <c r="A256" s="1"/>
      <c r="B256" s="19" t="s">
        <v>151</v>
      </c>
      <c r="C256" s="15">
        <f>IFERROR(IF(Inputs!D163&lt;=0,"n.m.",C255/Inputs!D163-1),"")</f>
        <v>0.04081632653061229</v>
      </c>
      <c r="D256" s="7">
        <f>IFERROR(IF(C255&lt;=0,"n.m.",D255/C255-1),"")</f>
        <v>0.02178649237472774</v>
      </c>
      <c r="E256" s="7"/>
      <c r="F256" s="7">
        <f>IFERROR(IF(D255&lt;=0,"n.m.",F255/D255-1),"")</f>
        <v>-0.05543710021321957</v>
      </c>
      <c r="G256" s="7">
        <f>IFERROR(IF(F255&lt;=0,"n.m.",G255/F255-1),"")</f>
        <v>-0.03160270880361171</v>
      </c>
      <c r="H256" s="31">
        <f>IFERROR(IF(G255&lt;=0,"n.m.",H255/G255-1),"")</f>
        <v>-0.05640070977181477</v>
      </c>
      <c r="I256" s="1"/>
      <c r="J256" s="1"/>
      <c r="K256" s="1"/>
      <c r="L256" s="1"/>
    </row>
    <row r="257" ht="14.624267578125">
      <c r="A257" s="1"/>
      <c r="B257" s="19" t="s">
        <v>138</v>
      </c>
      <c r="C257" s="7"/>
      <c r="D257" s="7"/>
      <c r="E257" s="7"/>
      <c r="F257" s="15">
        <f>IFERROR(IF(Inputs!C163&lt;=0,"n.m.",F255/Inputs!C163-1),"")</f>
        <v>0.07524271844660202</v>
      </c>
      <c r="G257" s="15">
        <f>IFERROR(IF(Inputs!D163&lt;=0,"n.m.",G255/Inputs!D163-1),"")</f>
        <v>-0.027210884353741527</v>
      </c>
      <c r="H257" s="31">
        <f>IFERROR(IF(C255&lt;=0,"n.m.",H255/C255-1),"")</f>
        <v>-0.1180738659958791</v>
      </c>
      <c r="I257" s="1"/>
      <c r="J257" s="1"/>
      <c r="K257" s="1"/>
      <c r="L257" s="1"/>
    </row>
    <row r="258" ht="14.624267578125">
      <c r="A258" s="1"/>
      <c r="B258" s="33" t="s">
        <v>148</v>
      </c>
      <c r="C258" s="22">
        <v>668</v>
      </c>
      <c r="D258" s="22">
        <v>677</v>
      </c>
      <c r="E258" s="2">
        <f>Inputs!C166+Inputs!D166+C258+D258</f>
        <v>2581</v>
      </c>
      <c r="F258" s="22">
        <v>662</v>
      </c>
      <c r="G258" s="22">
        <v>679</v>
      </c>
      <c r="H258" s="29">
        <f>G258*(H110/G110)*(H205/G205)*(H$8/G$8)</f>
        <v>696.7584615384615</v>
      </c>
      <c r="I258" s="1"/>
      <c r="J258" s="1"/>
      <c r="K258" s="1"/>
      <c r="L258" s="1"/>
    </row>
    <row r="259" ht="14.624267578125">
      <c r="A259" s="1"/>
      <c r="B259" s="19" t="s">
        <v>151</v>
      </c>
      <c r="C259" s="15">
        <f>IFERROR(IF(Inputs!D166&lt;=0,"n.m.",C258/Inputs!D166-1),"")</f>
        <v>0.05362776025236604</v>
      </c>
      <c r="D259" s="7">
        <f>IFERROR(IF(C258&lt;=0,"n.m.",D258/C258-1),"")</f>
        <v>0.013473053892215647</v>
      </c>
      <c r="E259" s="7"/>
      <c r="F259" s="7">
        <f>IFERROR(IF(D258&lt;=0,"n.m.",F258/D258-1),"")</f>
        <v>-0.02215657311669128</v>
      </c>
      <c r="G259" s="7">
        <f>IFERROR(IF(F258&lt;=0,"n.m.",G258/F258-1),"")</f>
        <v>0.025679758308157163</v>
      </c>
      <c r="H259" s="31">
        <f>IFERROR(IF(G258&lt;=0,"n.m.",H258/G258-1),"")</f>
        <v>0.026153846153845972</v>
      </c>
      <c r="I259" s="1"/>
      <c r="J259" s="1"/>
      <c r="K259" s="1"/>
      <c r="L259" s="1"/>
    </row>
    <row r="260" ht="14.624267578125">
      <c r="A260" s="1"/>
      <c r="B260" s="19" t="s">
        <v>138</v>
      </c>
      <c r="C260" s="7"/>
      <c r="D260" s="7"/>
      <c r="E260" s="7"/>
      <c r="F260" s="15">
        <f>IFERROR(IF(Inputs!C166&lt;=0,"n.m.",F258/Inputs!C166-1),"")</f>
        <v>0.09966777408637872</v>
      </c>
      <c r="G260" s="15">
        <f>IFERROR(IF(Inputs!D166&lt;=0,"n.m.",G258/Inputs!D166-1),"")</f>
        <v>0.07097791798107256</v>
      </c>
      <c r="H260" s="31">
        <f>IFERROR(IF(C258&lt;=0,"n.m.",H258/C258-1),"")</f>
        <v>0.04305158912943341</v>
      </c>
      <c r="I260" s="1"/>
      <c r="J260" s="1"/>
      <c r="K260" s="1"/>
      <c r="L260" s="1"/>
    </row>
    <row r="261" ht="14.624267578125">
      <c r="A261" s="1"/>
      <c r="B261" s="33" t="s">
        <v>149</v>
      </c>
      <c r="C261" s="22">
        <v>146</v>
      </c>
      <c r="D261" s="22">
        <v>136</v>
      </c>
      <c r="E261" s="2">
        <f>Inputs!C169+Inputs!D169+C261+D261</f>
        <v>559</v>
      </c>
      <c r="F261" s="22">
        <v>129</v>
      </c>
      <c r="G261" s="22">
        <v>133</v>
      </c>
      <c r="H261" s="29">
        <f>G261*(H114/G114)*(H208/G208)*(H$8/G$8)</f>
        <v>135.13384615384615</v>
      </c>
      <c r="I261" s="1"/>
      <c r="J261" s="1"/>
      <c r="K261" s="1"/>
      <c r="L261" s="1"/>
    </row>
    <row r="262" ht="14.624267578125">
      <c r="A262" s="1"/>
      <c r="B262" s="19" t="s">
        <v>151</v>
      </c>
      <c r="C262" s="15">
        <f>IFERROR(IF(Inputs!D169&lt;=0,"n.m.",C261/Inputs!D169-1),"")</f>
        <v>0.050359712230215736</v>
      </c>
      <c r="D262" s="7">
        <f>IFERROR(IF(C261&lt;=0,"n.m.",D261/C261-1),"")</f>
        <v>-0.06849315068493156</v>
      </c>
      <c r="E262" s="7"/>
      <c r="F262" s="7">
        <f>IFERROR(IF(D261&lt;=0,"n.m.",F261/D261-1),"")</f>
        <v>-0.05147058823529416</v>
      </c>
      <c r="G262" s="7">
        <f>IFERROR(IF(F261&lt;=0,"n.m.",G261/F261-1),"")</f>
        <v>0.03100775193798455</v>
      </c>
      <c r="H262" s="31">
        <f>IFERROR(IF(G261&lt;=0,"n.m.",H261/G261-1),"")</f>
        <v>0.01604395604395603</v>
      </c>
      <c r="I262" s="1"/>
      <c r="J262" s="1"/>
      <c r="K262" s="1"/>
      <c r="L262" s="1"/>
    </row>
    <row r="263" ht="14.624267578125">
      <c r="A263" s="1"/>
      <c r="B263" s="19" t="s">
        <v>138</v>
      </c>
      <c r="C263" s="7"/>
      <c r="D263" s="7"/>
      <c r="E263" s="7"/>
      <c r="F263" s="15">
        <f>IFERROR(IF(Inputs!C169&lt;=0,"n.m.",F261/Inputs!C169-1),"")</f>
        <v>-0.06521739130434778</v>
      </c>
      <c r="G263" s="15">
        <f>IFERROR(IF(Inputs!D169&lt;=0,"n.m.",G261/Inputs!D169-1),"")</f>
        <v>-0.043165467625899234</v>
      </c>
      <c r="H263" s="31">
        <f>IFERROR(IF(C261&lt;=0,"n.m.",H261/C261-1),"")</f>
        <v>-0.0744257112750264</v>
      </c>
      <c r="I263" s="1"/>
      <c r="J263" s="1"/>
      <c r="K263" s="1"/>
      <c r="L263" s="1"/>
    </row>
    <row r="264" ht="14.624267578125">
      <c r="A264" s="1"/>
      <c r="B264" s="48" t="s">
        <v>150</v>
      </c>
      <c r="C264" s="50">
        <f>C240+C243+C246+C249+C252+C255+C258+C261</f>
        <v>4840</v>
      </c>
      <c r="D264" s="50">
        <f>D240+D243+D246+D249+D252+D255+D258+D261</f>
        <v>4797</v>
      </c>
      <c r="E264" s="50">
        <f>E240+E243+E246+E249+E252+E255+E258+E261</f>
        <v>18844</v>
      </c>
      <c r="F264" s="50">
        <f>F240+F243+F246+F249+F252+F255+F258+F261</f>
        <v>4618</v>
      </c>
      <c r="G264" s="50">
        <f>G240+G243+G246+G249+G252+G255+G258+G261</f>
        <v>4667</v>
      </c>
      <c r="H264" s="61">
        <f>H240+H243+H246+H249+H252+H255+H258+H261</f>
        <v>4726.774357359748</v>
      </c>
      <c r="I264" s="1"/>
      <c r="J264" s="1"/>
      <c r="K264" s="1"/>
      <c r="L264" s="1"/>
    </row>
    <row r="265" ht="14.624267578125">
      <c r="A265" s="1"/>
      <c r="B265" s="19" t="s">
        <v>151</v>
      </c>
      <c r="C265" s="15">
        <f>IFERROR(IF((Inputs!D148+Inputs!D151+Inputs!D154+Inputs!D157+Inputs!D160+Inputs!D163+Inputs!D166+Inputs!D169)&lt;=0,"n.m.",C264/(Inputs!D148+Inputs!D151+Inputs!D154+Inputs!D157+Inputs!D160+Inputs!D163+Inputs!D166+Inputs!D169)-1),"")</f>
        <v>0.033084311632870955</v>
      </c>
      <c r="D265" s="7">
        <f>IFERROR(IF(C264&lt;=0,"n.m.",D264/C264-1),"")</f>
        <v>-0.00888429752066111</v>
      </c>
      <c r="E265" s="7"/>
      <c r="F265" s="7">
        <f>IFERROR(IF(D264&lt;=0,"n.m.",F264/D264-1),"")</f>
        <v>-0.03731498853450077</v>
      </c>
      <c r="G265" s="7">
        <f>IFERROR(IF(F264&lt;=0,"n.m.",G264/F264-1),"")</f>
        <v>0.010610653962754402</v>
      </c>
      <c r="H265" s="31">
        <f>IFERROR(IF(G264&lt;=0,"n.m.",H264/G264-1),"")</f>
        <v>0.012807876014516495</v>
      </c>
      <c r="I265" s="1"/>
      <c r="J265" s="1"/>
      <c r="K265" s="1"/>
      <c r="L265" s="1"/>
    </row>
    <row r="266" ht="14.624267578125">
      <c r="A266" s="1"/>
      <c r="B266" s="19" t="s">
        <v>138</v>
      </c>
      <c r="C266" s="7"/>
      <c r="D266" s="7"/>
      <c r="E266" s="7"/>
      <c r="F266" s="15">
        <f>IFERROR(IF((Inputs!C148+Inputs!C151+Inputs!C154+Inputs!C157+Inputs!C160+Inputs!C163+Inputs!C166+Inputs!C169)&lt;=0,"n.m.",F264/(Inputs!C148+Inputs!C151+Inputs!C154+Inputs!C157+Inputs!C160+Inputs!C163+Inputs!C166+Inputs!C169)-1),"")</f>
        <v>0.02122954444935865</v>
      </c>
      <c r="G266" s="15">
        <f>IFERROR(IF((Inputs!D148+Inputs!D151+Inputs!D154+Inputs!D157+Inputs!D160+Inputs!D163+Inputs!D166+Inputs!D169)&lt;=0,"n.m.",G264/(Inputs!D148+Inputs!D151+Inputs!D154+Inputs!D157+Inputs!D160+Inputs!D163+Inputs!D166+Inputs!D169)-1),"")</f>
        <v>-0.0038420490928494644</v>
      </c>
      <c r="H266" s="31">
        <f>IFERROR(IF(C264&lt;=0,"n.m.",H264/C264-1),"")</f>
        <v>-0.0233937278182339</v>
      </c>
      <c r="I266" s="1"/>
      <c r="J266" s="1"/>
      <c r="K266" s="1"/>
      <c r="L266" s="1"/>
    </row>
    <row r="267" ht="14.624267578125">
      <c r="A267" s="1"/>
      <c r="B267" s="33" t="s">
        <v>152</v>
      </c>
      <c r="C267" s="22">
        <v>24</v>
      </c>
      <c r="D267" s="22">
        <v>28</v>
      </c>
      <c r="E267" s="2">
        <f>Inputs!C172+Inputs!D172+C267+D267</f>
        <v>88</v>
      </c>
      <c r="F267" s="22">
        <v>26</v>
      </c>
      <c r="G267" s="22">
        <v>35</v>
      </c>
      <c r="H267" s="29">
        <f>G267*(H122/G122)*(H211/G211)*(H$8/G$8)</f>
        <v>58.45487364620937</v>
      </c>
      <c r="I267" s="1"/>
      <c r="J267" s="1"/>
      <c r="K267" s="1"/>
      <c r="L267" s="1"/>
    </row>
    <row r="268" ht="14.624267578125">
      <c r="A268" s="1"/>
      <c r="B268" s="19" t="s">
        <v>151</v>
      </c>
      <c r="C268" s="15">
        <f>IFERROR(IF(Inputs!D172&lt;=0,"n.m.",C267/Inputs!D172-1),"")</f>
        <v>0.26315789473684204</v>
      </c>
      <c r="D268" s="7">
        <f>IFERROR(IF(C267&lt;=0,"n.m.",D267/C267-1),"")</f>
        <v>0.16666666666666674</v>
      </c>
      <c r="E268" s="7"/>
      <c r="F268" s="7">
        <f>IFERROR(IF(D267&lt;=0,"n.m.",F267/D267-1),"")</f>
        <v>-0.0714285714285714</v>
      </c>
      <c r="G268" s="7">
        <f>IFERROR(IF(F267&lt;=0,"n.m.",G267/F267-1),"")</f>
        <v>0.34615384615384626</v>
      </c>
      <c r="H268" s="31">
        <f>IFERROR(IF(G267&lt;=0,"n.m.",H267/G267-1),"")</f>
        <v>0.6701392470345535</v>
      </c>
      <c r="I268" s="1"/>
      <c r="J268" s="1"/>
      <c r="K268" s="1"/>
      <c r="L268" s="1"/>
    </row>
    <row r="269" ht="14.624267578125">
      <c r="A269" s="1"/>
      <c r="B269" s="19" t="s">
        <v>138</v>
      </c>
      <c r="C269" s="7"/>
      <c r="D269" s="7"/>
      <c r="E269" s="7"/>
      <c r="F269" s="15">
        <f>IFERROR(IF(Inputs!C172&lt;=0,"n.m.",F267/Inputs!C172-1),"")</f>
        <v>0.5294117647058822</v>
      </c>
      <c r="G269" s="15">
        <f>IFERROR(IF(Inputs!D172&lt;=0,"n.m.",G267/Inputs!D172-1),"")</f>
        <v>0.8421052631578947</v>
      </c>
      <c r="H269" s="31">
        <f>IFERROR(IF(C267&lt;=0,"n.m.",H267/C267-1),"")</f>
        <v>1.4356197352587237</v>
      </c>
      <c r="I269" s="1"/>
      <c r="J269" s="1"/>
      <c r="K269" s="1"/>
      <c r="L269" s="1"/>
    </row>
    <row r="270" ht="14.624267578125">
      <c r="A270" s="1"/>
      <c r="B270" s="48" t="s">
        <v>154</v>
      </c>
      <c r="C270" s="50">
        <f>C264+C267</f>
        <v>4864</v>
      </c>
      <c r="D270" s="50">
        <f>D264+D267</f>
        <v>4825</v>
      </c>
      <c r="E270" s="50">
        <f>E264+E267</f>
        <v>18932</v>
      </c>
      <c r="F270" s="50">
        <f>F264+F267</f>
        <v>4644</v>
      </c>
      <c r="G270" s="50">
        <f>G264+G267</f>
        <v>4702</v>
      </c>
      <c r="H270" s="61">
        <f>H264+H267</f>
        <v>4785.229231005957</v>
      </c>
      <c r="I270" s="1"/>
      <c r="J270" s="1"/>
      <c r="K270" s="1"/>
      <c r="L270" s="1"/>
    </row>
    <row r="271" ht="14.624267578125">
      <c r="A271" s="1"/>
      <c r="B271" s="19" t="s">
        <v>151</v>
      </c>
      <c r="C271" s="15">
        <f>IFERROR(IF((Inputs!D148+Inputs!D151+Inputs!D154+Inputs!D157+Inputs!D160+Inputs!D163+Inputs!D166+Inputs!D169+Inputs!D172)&lt;=0,"n.m.",C270/(Inputs!D148+Inputs!D151+Inputs!D154+Inputs!D157+Inputs!D160+Inputs!D163+Inputs!D166+Inputs!D169+Inputs!D172)-1),"")</f>
        <v>0.03401360544217691</v>
      </c>
      <c r="D271" s="7">
        <f>IFERROR(IF(C270&lt;=0,"n.m.",D270/C270-1),"")</f>
        <v>-0.008018092105263164</v>
      </c>
      <c r="E271" s="7"/>
      <c r="F271" s="7">
        <f>IFERROR(IF(D270&lt;=0,"n.m.",F270/D270-1),"")</f>
        <v>-0.037512953367875634</v>
      </c>
      <c r="G271" s="7">
        <f>IFERROR(IF(F270&lt;=0,"n.m.",G270/F270-1),"")</f>
        <v>0.01248923341946595</v>
      </c>
      <c r="H271" s="31">
        <f>IFERROR(IF(G270&lt;=0,"n.m.",H270/G270-1),"")</f>
        <v>0.01770081476094365</v>
      </c>
      <c r="I271" s="1"/>
      <c r="J271" s="1"/>
      <c r="K271" s="1"/>
      <c r="L271" s="1"/>
    </row>
    <row r="272" ht="14.624267578125">
      <c r="A272" s="1"/>
      <c r="B272" s="19" t="s">
        <v>138</v>
      </c>
      <c r="C272" s="7"/>
      <c r="D272" s="7"/>
      <c r="E272" s="7"/>
      <c r="F272" s="15">
        <f>IFERROR(IF((Inputs!C148+Inputs!C151+Inputs!C154+Inputs!C157+Inputs!C160+Inputs!C163+Inputs!C166+Inputs!C169+Inputs!C172)&lt;=0,"n.m.",F270/(Inputs!C148+Inputs!C151+Inputs!C154+Inputs!C157+Inputs!C160+Inputs!C163+Inputs!C166+Inputs!C169+Inputs!C172)-1),"")</f>
        <v>0.02313284864507592</v>
      </c>
      <c r="G272" s="15">
        <f>IFERROR(IF((Inputs!D148+Inputs!D151+Inputs!D154+Inputs!D157+Inputs!D160+Inputs!D163+Inputs!D166+Inputs!D169+Inputs!D172)&lt;=0,"n.m.",G270/(Inputs!D148+Inputs!D151+Inputs!D154+Inputs!D157+Inputs!D160+Inputs!D163+Inputs!D166+Inputs!D169+Inputs!D172)-1),"")</f>
        <v>-0.00042517006802722523</v>
      </c>
      <c r="H272" s="31">
        <f>IFERROR(IF(C270&lt;=0,"n.m.",H270/C270-1),"")</f>
        <v>-0.016194648230683062</v>
      </c>
      <c r="I272" s="1"/>
      <c r="J272" s="1"/>
      <c r="K272" s="1"/>
      <c r="L272" s="1"/>
    </row>
    <row r="273" ht="14.624267578125">
      <c r="A273" s="1"/>
      <c r="B273" s="33" t="s">
        <v>155</v>
      </c>
      <c r="C273" s="22">
        <v>86</v>
      </c>
      <c r="D273" s="22">
        <v>82</v>
      </c>
      <c r="E273" s="2">
        <f>Inputs!C175+Inputs!D175+C273+D273</f>
        <v>336</v>
      </c>
      <c r="F273" s="22">
        <v>74</v>
      </c>
      <c r="G273" s="22">
        <v>75</v>
      </c>
      <c r="H273" s="29">
        <f>G273*(H129/G129)*(H214/G214)*(H$8/G$8)</f>
        <v>75.82417582417582</v>
      </c>
      <c r="I273" s="1"/>
      <c r="J273" s="1"/>
      <c r="K273" s="1"/>
      <c r="L273" s="1"/>
    </row>
    <row r="274" ht="14.624267578125">
      <c r="A274" s="1"/>
      <c r="B274" s="19" t="s">
        <v>151</v>
      </c>
      <c r="C274" s="15">
        <f>IFERROR(IF(Inputs!D175&lt;=0,"n.m.",C273/Inputs!D175-1),"")</f>
        <v>-0.022727272727272707</v>
      </c>
      <c r="D274" s="7">
        <f>IFERROR(IF(C273&lt;=0,"n.m.",D273/C273-1),"")</f>
        <v>-0.046511627906976716</v>
      </c>
      <c r="E274" s="7"/>
      <c r="F274" s="7">
        <f>IFERROR(IF(D273&lt;=0,"n.m.",F273/D273-1),"")</f>
        <v>-0.09756097560975607</v>
      </c>
      <c r="G274" s="7">
        <f>IFERROR(IF(F273&lt;=0,"n.m.",G273/F273-1),"")</f>
        <v>0.013513513513513598</v>
      </c>
      <c r="H274" s="31">
        <f>IFERROR(IF(G273&lt;=0,"n.m.",H273/G273-1),"")</f>
        <v>0.01098901098901095</v>
      </c>
      <c r="I274" s="1"/>
      <c r="J274" s="1"/>
      <c r="K274" s="1"/>
      <c r="L274" s="1"/>
    </row>
    <row r="275" ht="14.624267578125">
      <c r="A275" s="1"/>
      <c r="B275" s="19" t="s">
        <v>138</v>
      </c>
      <c r="C275" s="7"/>
      <c r="D275" s="7"/>
      <c r="E275" s="7"/>
      <c r="F275" s="15">
        <f>IFERROR(IF(Inputs!C175&lt;=0,"n.m.",F273/Inputs!C175-1),"")</f>
        <v>-0.07499999999999996</v>
      </c>
      <c r="G275" s="15">
        <f>IFERROR(IF(Inputs!D175&lt;=0,"n.m.",G273/Inputs!D175-1),"")</f>
        <v>-0.1477272727272727</v>
      </c>
      <c r="H275" s="31">
        <f>IFERROR(IF(C273&lt;=0,"n.m.",H273/C273-1),"")</f>
        <v>-0.11832353692818809</v>
      </c>
      <c r="I275" s="1"/>
      <c r="J275" s="1"/>
      <c r="K275" s="1"/>
      <c r="L275" s="1"/>
    </row>
    <row r="276" ht="14.624267578125">
      <c r="A276" s="1"/>
      <c r="B276" s="33" t="s">
        <v>156</v>
      </c>
      <c r="C276" s="22">
        <v>445</v>
      </c>
      <c r="D276" s="22">
        <v>359</v>
      </c>
      <c r="E276" s="2">
        <f>Inputs!C178+Inputs!D178+C276+D276</f>
        <v>1693</v>
      </c>
      <c r="F276" s="22">
        <v>333</v>
      </c>
      <c r="G276" s="22">
        <v>363</v>
      </c>
      <c r="H276" s="29">
        <f>G276*(H133/G133)*(H217/G217)*(H$8/G$8)</f>
        <v>369.8192604310856</v>
      </c>
      <c r="I276" s="1"/>
      <c r="J276" s="1"/>
      <c r="K276" s="1"/>
      <c r="L276" s="1"/>
    </row>
    <row r="277" ht="14.624267578125">
      <c r="A277" s="1"/>
      <c r="B277" s="19" t="s">
        <v>151</v>
      </c>
      <c r="C277" s="15">
        <f>IFERROR(IF(Inputs!D178&lt;=0,"n.m.",C276/Inputs!D178-1),"")</f>
        <v>-0.006696428571428603</v>
      </c>
      <c r="D277" s="7">
        <f>IFERROR(IF(C276&lt;=0,"n.m.",D276/C276-1),"")</f>
        <v>-0.19325842696629214</v>
      </c>
      <c r="E277" s="7"/>
      <c r="F277" s="7">
        <f>IFERROR(IF(D276&lt;=0,"n.m.",F276/D276-1),"")</f>
        <v>-0.07242339832869082</v>
      </c>
      <c r="G277" s="7">
        <f>IFERROR(IF(F276&lt;=0,"n.m.",G276/F276-1),"")</f>
        <v>0.09009009009009006</v>
      </c>
      <c r="H277" s="31">
        <f>IFERROR(IF(G276&lt;=0,"n.m.",H276/G276-1),"")</f>
        <v>0.018785841407949366</v>
      </c>
      <c r="I277" s="1"/>
      <c r="J277" s="1"/>
      <c r="K277" s="1"/>
      <c r="L277" s="1"/>
    </row>
    <row r="278" ht="14.624267578125">
      <c r="A278" s="1"/>
      <c r="B278" s="19" t="s">
        <v>138</v>
      </c>
      <c r="C278" s="7"/>
      <c r="D278" s="7"/>
      <c r="E278" s="7"/>
      <c r="F278" s="15">
        <f>IFERROR(IF(Inputs!C178&lt;=0,"n.m.",F276/Inputs!C178-1),"")</f>
        <v>-0.24489795918367352</v>
      </c>
      <c r="G278" s="15">
        <f>IFERROR(IF(Inputs!D178&lt;=0,"n.m.",G276/Inputs!D178-1),"")</f>
        <v>-0.1897321428571429</v>
      </c>
      <c r="H278" s="31">
        <f>IFERROR(IF(C276&lt;=0,"n.m.",H276/C276-1),"")</f>
        <v>-0.16894548217733574</v>
      </c>
      <c r="I278" s="1"/>
      <c r="J278" s="1"/>
      <c r="K278" s="1"/>
      <c r="L278" s="1"/>
    </row>
    <row r="279" ht="14.624267578125">
      <c r="A279" s="1"/>
      <c r="B279" s="48" t="s">
        <v>175</v>
      </c>
      <c r="C279" s="50">
        <f>C237+C270+C273+C276</f>
        <v>6337</v>
      </c>
      <c r="D279" s="50">
        <f>D237+D270+D273+D276</f>
        <v>6163</v>
      </c>
      <c r="E279" s="50">
        <f>E237+E270+E273+E276</f>
        <v>24738</v>
      </c>
      <c r="F279" s="50">
        <f>F237+F270+F273+F276</f>
        <v>5900</v>
      </c>
      <c r="G279" s="50">
        <f>G237+G270+G273+G276</f>
        <v>6013</v>
      </c>
      <c r="H279" s="61">
        <f>H237+H270+H273+H276</f>
        <v>6134.338215226766</v>
      </c>
      <c r="I279" s="1"/>
      <c r="J279" s="1"/>
      <c r="K279" s="1"/>
      <c r="L279" s="1"/>
    </row>
    <row r="280" ht="14.624267578125">
      <c r="A280" s="1"/>
      <c r="B280" s="19" t="s">
        <v>151</v>
      </c>
      <c r="C280" s="15">
        <f>IFERROR(IF((Inputs!D145+Inputs!D148+Inputs!D151+Inputs!D154+Inputs!D157+Inputs!D160+Inputs!D163+Inputs!D166+Inputs!D169+Inputs!D172+Inputs!D175+Inputs!D178)&lt;=0,"n.m.",C279/(Inputs!D145+Inputs!D148+Inputs!D151+Inputs!D154+Inputs!D157+Inputs!D160+Inputs!D163+Inputs!D166+Inputs!D169+Inputs!D172+Inputs!D175+Inputs!D178)-1),"")</f>
        <v>0.021767171880038738</v>
      </c>
      <c r="D280" s="7">
        <f>IFERROR(IF(C279&lt;=0,"n.m.",D279/C279-1),"")</f>
        <v>-0.027457787596654515</v>
      </c>
      <c r="E280" s="7"/>
      <c r="F280" s="7">
        <f>IFERROR(IF(D279&lt;=0,"n.m.",F279/D279-1),"")</f>
        <v>-0.04267402239169238</v>
      </c>
      <c r="G280" s="7">
        <f>IFERROR(IF(F279&lt;=0,"n.m.",G279/F279-1),"")</f>
        <v>0.01915254237288133</v>
      </c>
      <c r="H280" s="31">
        <f>IFERROR(IF(G279&lt;=0,"n.m.",H279/G279-1),"")</f>
        <v>0.02017931402407558</v>
      </c>
      <c r="I280" s="1"/>
      <c r="J280" s="1"/>
      <c r="K280" s="1"/>
      <c r="L280" s="1"/>
    </row>
    <row r="281" ht="14.624267578125">
      <c r="A281" s="1"/>
      <c r="B281" s="19" t="s">
        <v>138</v>
      </c>
      <c r="C281" s="7"/>
      <c r="D281" s="7"/>
      <c r="E281" s="7"/>
      <c r="F281" s="15">
        <f>IFERROR(IF((Inputs!C145+Inputs!C148+Inputs!C151+Inputs!C154+Inputs!C157+Inputs!C160+Inputs!C163+Inputs!C166+Inputs!C169+Inputs!C172+Inputs!C175+Inputs!C178)&lt;=0,"n.m.",F279/(Inputs!C145+Inputs!C148+Inputs!C151+Inputs!C154+Inputs!C157+Inputs!C160+Inputs!C163+Inputs!C166+Inputs!C169+Inputs!C172+Inputs!C175+Inputs!C178)-1),"")</f>
        <v>-0.022531477799867417</v>
      </c>
      <c r="G281" s="15">
        <f>IFERROR(IF((Inputs!D145+Inputs!D148+Inputs!D151+Inputs!D154+Inputs!D157+Inputs!D160+Inputs!D163+Inputs!D166+Inputs!D169+Inputs!D172+Inputs!D175+Inputs!D178)&lt;=0,"n.m.",G279/(Inputs!D145+Inputs!D148+Inputs!D151+Inputs!D154+Inputs!D157+Inputs!D160+Inputs!D163+Inputs!D166+Inputs!D169+Inputs!D172+Inputs!D175+Inputs!D178)-1),"")</f>
        <v>-0.030474040632054167</v>
      </c>
      <c r="H281" s="31">
        <f>IFERROR(IF(C279&lt;=0,"n.m.",H279/C279-1),"")</f>
        <v>-0.031980714024496426</v>
      </c>
      <c r="I281" s="1"/>
      <c r="J281" s="1"/>
      <c r="K281" s="1"/>
      <c r="L281" s="1"/>
    </row>
    <row r="282" ht="14.624267578125">
      <c r="A282" s="1"/>
      <c r="B282" s="33" t="s">
        <v>160</v>
      </c>
      <c r="C282" s="22">
        <v>677</v>
      </c>
      <c r="D282" s="22">
        <v>618</v>
      </c>
      <c r="E282" s="2">
        <f>Inputs!C181+Inputs!D181+C282+D282</f>
        <v>2661</v>
      </c>
      <c r="F282" s="22">
        <v>619</v>
      </c>
      <c r="G282" s="22">
        <v>652</v>
      </c>
      <c r="H282" s="29">
        <f>G282*(H142/G142)*(H220/G220)*(H$8/G$8)</f>
        <v>684.8318432510885</v>
      </c>
      <c r="I282" s="1"/>
      <c r="J282" s="1"/>
      <c r="K282" s="1"/>
      <c r="L282" s="1"/>
    </row>
    <row r="283" ht="14.624267578125">
      <c r="A283" s="1"/>
      <c r="B283" s="19" t="s">
        <v>151</v>
      </c>
      <c r="C283" s="15">
        <f>IFERROR(IF(Inputs!D181&lt;=0,"n.m.",C282/Inputs!D181-1),"")</f>
        <v>-0.06749311294765836</v>
      </c>
      <c r="D283" s="7">
        <f>IFERROR(IF(C282&lt;=0,"n.m.",D282/C282-1),"")</f>
        <v>-0.08714918759231904</v>
      </c>
      <c r="E283" s="7"/>
      <c r="F283" s="7">
        <f>IFERROR(IF(D282&lt;=0,"n.m.",F282/D282-1),"")</f>
        <v>0.0016181229773462036</v>
      </c>
      <c r="G283" s="7">
        <f>IFERROR(IF(F282&lt;=0,"n.m.",G282/F282-1),"")</f>
        <v>0.05331179321486279</v>
      </c>
      <c r="H283" s="31">
        <f>IFERROR(IF(G282&lt;=0,"n.m.",H282/G282-1),"")</f>
        <v>0.05035558780841787</v>
      </c>
      <c r="I283" s="1"/>
      <c r="J283" s="1"/>
      <c r="K283" s="1"/>
      <c r="L283" s="1"/>
    </row>
    <row r="284" ht="14.624267578125">
      <c r="A284" s="1"/>
      <c r="B284" s="19" t="s">
        <v>138</v>
      </c>
      <c r="C284" s="7"/>
      <c r="D284" s="7"/>
      <c r="E284" s="7"/>
      <c r="F284" s="15">
        <f>IFERROR(IF(Inputs!C181&lt;=0,"n.m.",F282/Inputs!C181-1),"")</f>
        <v>-0.03281250000000002</v>
      </c>
      <c r="G284" s="15">
        <f>IFERROR(IF(Inputs!D181&lt;=0,"n.m.",G282/Inputs!D181-1),"")</f>
        <v>-0.10192837465564741</v>
      </c>
      <c r="H284" s="31">
        <f>IFERROR(IF(C282&lt;=0,"n.m.",H282/C282-1),"")</f>
        <v>0.011568453842080384</v>
      </c>
      <c r="I284" s="1"/>
      <c r="J284" s="1"/>
      <c r="K284" s="1"/>
      <c r="L284" s="1"/>
    </row>
    <row r="285" ht="14.624267578125">
      <c r="A285" s="1"/>
      <c r="B285" s="33" t="s">
        <v>161</v>
      </c>
      <c r="C285" s="22">
        <v>755</v>
      </c>
      <c r="D285" s="22">
        <v>677</v>
      </c>
      <c r="E285" s="2">
        <f>Inputs!C184+Inputs!D184+C285+D285</f>
        <v>2926</v>
      </c>
      <c r="F285" s="22">
        <v>609</v>
      </c>
      <c r="G285" s="22">
        <v>608</v>
      </c>
      <c r="H285" s="29">
        <f>G285*(H146/G146)*(H223/G223)*(H$8/G$8)</f>
        <v>624.6570127079623</v>
      </c>
      <c r="I285" s="1"/>
      <c r="J285" s="1"/>
      <c r="K285" s="1"/>
      <c r="L285" s="1"/>
    </row>
    <row r="286" ht="14.624267578125">
      <c r="A286" s="1"/>
      <c r="B286" s="19" t="s">
        <v>151</v>
      </c>
      <c r="C286" s="15">
        <f>IFERROR(IF(Inputs!D184&lt;=0,"n.m.",C285/Inputs!D184-1),"")</f>
        <v>0.005326231691078487</v>
      </c>
      <c r="D286" s="7">
        <f>IFERROR(IF(C285&lt;=0,"n.m.",D285/C285-1),"")</f>
        <v>-0.10331125827814569</v>
      </c>
      <c r="E286" s="7"/>
      <c r="F286" s="7">
        <f>IFERROR(IF(D285&lt;=0,"n.m.",F285/D285-1),"")</f>
        <v>-0.10044313146233386</v>
      </c>
      <c r="G286" s="7">
        <f>IFERROR(IF(F285&lt;=0,"n.m.",G285/F285-1),"")</f>
        <v>-0.0016420361247947435</v>
      </c>
      <c r="H286" s="31">
        <f>IFERROR(IF(G285&lt;=0,"n.m.",H285/G285-1),"")</f>
        <v>0.027396402480201143</v>
      </c>
      <c r="I286" s="1"/>
      <c r="J286" s="1"/>
      <c r="K286" s="1"/>
      <c r="L286" s="1"/>
    </row>
    <row r="287" ht="14.624267578125">
      <c r="A287" s="1"/>
      <c r="B287" s="19" t="s">
        <v>138</v>
      </c>
      <c r="C287" s="7"/>
      <c r="D287" s="7"/>
      <c r="E287" s="7"/>
      <c r="F287" s="15">
        <f>IFERROR(IF(Inputs!C184&lt;=0,"n.m.",F285/Inputs!C184-1),"")</f>
        <v>-0.18034993270524902</v>
      </c>
      <c r="G287" s="15">
        <f>IFERROR(IF(Inputs!D184&lt;=0,"n.m.",G285/Inputs!D184-1),"")</f>
        <v>-0.19041278295605857</v>
      </c>
      <c r="H287" s="31">
        <f>IFERROR(IF(C285&lt;=0,"n.m.",H285/C285-1),"")</f>
        <v>-0.1726397182675996</v>
      </c>
      <c r="I287" s="1"/>
      <c r="J287" s="1"/>
      <c r="K287" s="1"/>
      <c r="L287" s="1"/>
    </row>
    <row r="288" ht="14.624267578125">
      <c r="A288" s="1"/>
      <c r="B288" s="33" t="s">
        <v>162</v>
      </c>
      <c r="C288" s="22">
        <v>403</v>
      </c>
      <c r="D288" s="22">
        <v>338</v>
      </c>
      <c r="E288" s="2">
        <f>Inputs!C187+Inputs!D187+C288+D288</f>
        <v>1461</v>
      </c>
      <c r="F288" s="22">
        <v>297</v>
      </c>
      <c r="G288" s="22">
        <v>315</v>
      </c>
      <c r="H288" s="29">
        <f>G288*(H150/G150)*(H226/G226)*(H$8/G$8)</f>
        <v>322.6972850678733</v>
      </c>
      <c r="I288" s="1"/>
      <c r="J288" s="1"/>
      <c r="K288" s="1"/>
      <c r="L288" s="1"/>
    </row>
    <row r="289" ht="14.624267578125">
      <c r="A289" s="1"/>
      <c r="B289" s="19" t="s">
        <v>151</v>
      </c>
      <c r="C289" s="15">
        <f>IFERROR(IF(Inputs!D187&lt;=0,"n.m.",C288/Inputs!D187-1),"")</f>
        <v>0.09809264305177101</v>
      </c>
      <c r="D289" s="7">
        <f>IFERROR(IF(C288&lt;=0,"n.m.",D288/C288-1),"")</f>
        <v>-0.16129032258064513</v>
      </c>
      <c r="E289" s="7"/>
      <c r="F289" s="7">
        <f>IFERROR(IF(D288&lt;=0,"n.m.",F288/D288-1),"")</f>
        <v>-0.12130177514792895</v>
      </c>
      <c r="G289" s="7">
        <f>IFERROR(IF(F288&lt;=0,"n.m.",G288/F288-1),"")</f>
        <v>0.06060606060606055</v>
      </c>
      <c r="H289" s="31">
        <f>IFERROR(IF(G288&lt;=0,"n.m.",H288/G288-1),"")</f>
        <v>0.02443582561229607</v>
      </c>
      <c r="I289" s="1"/>
      <c r="J289" s="1"/>
      <c r="K289" s="1"/>
      <c r="L289" s="1"/>
    </row>
    <row r="290" ht="14.624267578125">
      <c r="A290" s="1"/>
      <c r="B290" s="19" t="s">
        <v>138</v>
      </c>
      <c r="C290" s="7"/>
      <c r="D290" s="7"/>
      <c r="E290" s="7"/>
      <c r="F290" s="15">
        <f>IFERROR(IF(Inputs!C187&lt;=0,"n.m.",F288/Inputs!C187-1),"")</f>
        <v>-0.1586402266288952</v>
      </c>
      <c r="G290" s="15">
        <f>IFERROR(IF(Inputs!D187&lt;=0,"n.m.",G288/Inputs!D187-1),"")</f>
        <v>-0.1416893732970027</v>
      </c>
      <c r="H290" s="31">
        <f>IFERROR(IF(C288&lt;=0,"n.m.",H288/C288-1),"")</f>
        <v>-0.19926231993083554</v>
      </c>
      <c r="I290" s="1"/>
      <c r="J290" s="1"/>
      <c r="K290" s="1"/>
      <c r="L290" s="1"/>
    </row>
    <row r="291" ht="14.624267578125">
      <c r="A291" s="1"/>
      <c r="B291" s="33" t="s">
        <v>164</v>
      </c>
      <c r="C291" s="22">
        <v>299</v>
      </c>
      <c r="D291" s="22">
        <v>300</v>
      </c>
      <c r="E291" s="2">
        <f>Inputs!C190+Inputs!D190+C291+D291</f>
        <v>1227</v>
      </c>
      <c r="F291" s="22">
        <v>286</v>
      </c>
      <c r="G291" s="22">
        <v>286</v>
      </c>
      <c r="H291" s="29">
        <f>G291*(H157/G157)*(H229/G229)*(H$8/G$8)</f>
        <v>284.00092119467433</v>
      </c>
      <c r="I291" s="1"/>
      <c r="J291" s="1"/>
      <c r="K291" s="1"/>
      <c r="L291" s="1"/>
    </row>
    <row r="292" ht="14.624267578125">
      <c r="A292" s="1"/>
      <c r="B292" s="19" t="s">
        <v>151</v>
      </c>
      <c r="C292" s="15">
        <f>IFERROR(IF(Inputs!D190&lt;=0,"n.m.",C291/Inputs!D190-1),"")</f>
        <v>0.023972602739726012</v>
      </c>
      <c r="D292" s="7">
        <f>IFERROR(IF(C291&lt;=0,"n.m.",D291/C291-1),"")</f>
        <v>0.0033444816053511683</v>
      </c>
      <c r="E292" s="7"/>
      <c r="F292" s="7">
        <f>IFERROR(IF(D291&lt;=0,"n.m.",F291/D291-1),"")</f>
        <v>-0.046666666666666634</v>
      </c>
      <c r="G292" s="7">
        <f>IFERROR(IF(F291&lt;=0,"n.m.",G291/F291-1),"")</f>
        <v>0</v>
      </c>
      <c r="H292" s="31">
        <f>IFERROR(IF(G291&lt;=0,"n.m.",H291/G291-1),"")</f>
        <v>-0.006989786032607248</v>
      </c>
      <c r="I292" s="1"/>
      <c r="J292" s="1"/>
      <c r="K292" s="1"/>
      <c r="L292" s="1"/>
    </row>
    <row r="293" ht="14.624267578125">
      <c r="A293" s="1"/>
      <c r="B293" s="19" t="s">
        <v>138</v>
      </c>
      <c r="C293" s="7"/>
      <c r="D293" s="7"/>
      <c r="E293" s="7"/>
      <c r="F293" s="15">
        <f>IFERROR(IF(Inputs!C190&lt;=0,"n.m.",F291/Inputs!C190-1),"")</f>
        <v>-0.14880952380952384</v>
      </c>
      <c r="G293" s="15">
        <f>IFERROR(IF(Inputs!D190&lt;=0,"n.m.",G291/Inputs!D190-1),"")</f>
        <v>-0.020547945205479423</v>
      </c>
      <c r="H293" s="31">
        <f>IFERROR(IF(C291&lt;=0,"n.m.",H291/C291-1),"")</f>
        <v>-0.05016414316162432</v>
      </c>
      <c r="I293" s="1"/>
      <c r="J293" s="1"/>
      <c r="K293" s="1"/>
      <c r="L293" s="1"/>
    </row>
    <row r="294" ht="14.624267578125">
      <c r="A294" s="1"/>
      <c r="B294" s="33" t="s">
        <v>165</v>
      </c>
      <c r="C294" s="22">
        <v>523</v>
      </c>
      <c r="D294" s="22">
        <v>481</v>
      </c>
      <c r="E294" s="2">
        <f>Inputs!C193+Inputs!D193+C294+D294</f>
        <v>1844</v>
      </c>
      <c r="F294" s="22">
        <v>445</v>
      </c>
      <c r="G294" s="22">
        <v>485</v>
      </c>
      <c r="H294" s="29">
        <f>G294*(H161/G161)*(H232/G232)*(H$8/G$8)</f>
        <v>495.23296703296705</v>
      </c>
      <c r="I294" s="1"/>
      <c r="J294" s="1"/>
      <c r="K294" s="1"/>
      <c r="L294" s="1"/>
    </row>
    <row r="295" ht="14.624267578125">
      <c r="A295" s="1"/>
      <c r="B295" s="19" t="s">
        <v>151</v>
      </c>
      <c r="C295" s="15">
        <f>IFERROR(IF(Inputs!D193&lt;=0,"n.m.",C294/Inputs!D193-1),"")</f>
        <v>0.21345707656612523</v>
      </c>
      <c r="D295" s="7">
        <f>IFERROR(IF(C294&lt;=0,"n.m.",D294/C294-1),"")</f>
        <v>-0.08030592734225617</v>
      </c>
      <c r="E295" s="7"/>
      <c r="F295" s="7">
        <f>IFERROR(IF(D294&lt;=0,"n.m.",F294/D294-1),"")</f>
        <v>-0.07484407484407485</v>
      </c>
      <c r="G295" s="7">
        <f>IFERROR(IF(F294&lt;=0,"n.m.",G294/F294-1),"")</f>
        <v>0.0898876404494382</v>
      </c>
      <c r="H295" s="31">
        <f>IFERROR(IF(G294&lt;=0,"n.m.",H294/G294-1),"")</f>
        <v>0.021098901098901113</v>
      </c>
      <c r="I295" s="1"/>
      <c r="J295" s="1"/>
      <c r="K295" s="1"/>
      <c r="L295" s="1"/>
    </row>
    <row r="296" ht="14.624267578125">
      <c r="A296" s="1"/>
      <c r="B296" s="19" t="s">
        <v>138</v>
      </c>
      <c r="C296" s="7"/>
      <c r="D296" s="7"/>
      <c r="E296" s="7"/>
      <c r="F296" s="15">
        <f>IFERROR(IF(Inputs!C193&lt;=0,"n.m.",F294/Inputs!C193-1),"")</f>
        <v>0.08801955990220045</v>
      </c>
      <c r="G296" s="15">
        <f>IFERROR(IF(Inputs!D193&lt;=0,"n.m.",G294/Inputs!D193-1),"")</f>
        <v>0.12529002320185612</v>
      </c>
      <c r="H296" s="31">
        <f>IFERROR(IF(C294&lt;=0,"n.m.",H294/C294-1),"")</f>
        <v>-0.05309184123715671</v>
      </c>
      <c r="I296" s="1"/>
      <c r="J296" s="1"/>
      <c r="K296" s="1"/>
      <c r="L296" s="1"/>
    </row>
    <row r="297" ht="14.624267578125">
      <c r="A297" s="1"/>
      <c r="B297" s="48" t="s">
        <v>176</v>
      </c>
      <c r="C297" s="50">
        <f>C282+C285+C288+C291+C294</f>
        <v>2657</v>
      </c>
      <c r="D297" s="50">
        <f>D282+D285+D288+D291+D294</f>
        <v>2414</v>
      </c>
      <c r="E297" s="50">
        <f>E282+E285+E288+E291+E294</f>
        <v>10119</v>
      </c>
      <c r="F297" s="50">
        <f>F282+F285+F288+F291+F294</f>
        <v>2256</v>
      </c>
      <c r="G297" s="50">
        <f>G282+G285+G288+G291+G294</f>
        <v>2346</v>
      </c>
      <c r="H297" s="61">
        <f>H282+H285+H288+H291+H294</f>
        <v>2411.4200292545656</v>
      </c>
      <c r="I297" s="1"/>
      <c r="J297" s="1"/>
      <c r="K297" s="1"/>
      <c r="L297" s="1"/>
    </row>
    <row r="298" ht="14.624267578125">
      <c r="A298" s="1"/>
      <c r="B298" s="19" t="s">
        <v>151</v>
      </c>
      <c r="C298" s="15">
        <f>IFERROR(IF((Inputs!D181+Inputs!D184+Inputs!D187+Inputs!D190+Inputs!D193)&lt;=0,"n.m.",C297/(Inputs!D181+Inputs!D184+Inputs!D187+Inputs!D190+Inputs!D193)-1),"")</f>
        <v>0.03506038176860149</v>
      </c>
      <c r="D298" s="7">
        <f>IFERROR(IF(C297&lt;=0,"n.m.",D297/C297-1),"")</f>
        <v>-0.09145652992096354</v>
      </c>
      <c r="E298" s="7"/>
      <c r="F298" s="7">
        <f>IFERROR(IF(D297&lt;=0,"n.m.",F297/D297-1),"")</f>
        <v>-0.06545153272576631</v>
      </c>
      <c r="G298" s="7">
        <f>IFERROR(IF(F297&lt;=0,"n.m.",G297/F297-1),"")</f>
        <v>0.039893617021276695</v>
      </c>
      <c r="H298" s="31">
        <f>IFERROR(IF(G297&lt;=0,"n.m.",H297/G297-1),"")</f>
        <v>0.027885775470829266</v>
      </c>
      <c r="I298" s="1"/>
      <c r="J298" s="1"/>
      <c r="K298" s="1"/>
      <c r="L298" s="1"/>
    </row>
    <row r="299" ht="14.624267578125">
      <c r="A299" s="1"/>
      <c r="B299" s="19" t="s">
        <v>138</v>
      </c>
      <c r="C299" s="7"/>
      <c r="D299" s="7"/>
      <c r="E299" s="7"/>
      <c r="F299" s="15">
        <f>IFERROR(IF((Inputs!C181+Inputs!C184+Inputs!C187+Inputs!C190+Inputs!C193)&lt;=0,"n.m.",F297/(Inputs!C181+Inputs!C184+Inputs!C187+Inputs!C190+Inputs!C193)-1),"")</f>
        <v>-0.09068923821039898</v>
      </c>
      <c r="G299" s="15">
        <f>IFERROR(IF((Inputs!D181+Inputs!D184+Inputs!D187+Inputs!D190+Inputs!D193)&lt;=0,"n.m.",G297/(Inputs!D181+Inputs!D184+Inputs!D187+Inputs!D190+Inputs!D193)-1),"")</f>
        <v>-0.08609271523178808</v>
      </c>
      <c r="H299" s="31">
        <f>IFERROR(IF(C297&lt;=0,"n.m.",H297/C297-1),"")</f>
        <v>-0.09242753885789778</v>
      </c>
      <c r="I299" s="1"/>
      <c r="J299" s="1"/>
      <c r="K299" s="1"/>
      <c r="L299" s="1"/>
    </row>
    <row r="300" ht="14.624267578125">
      <c r="A300" s="1"/>
      <c r="B300" s="48" t="s">
        <v>127</v>
      </c>
      <c r="C300" s="50">
        <f>C279-C297</f>
        <v>3680</v>
      </c>
      <c r="D300" s="50">
        <f>D279-D297</f>
        <v>3749</v>
      </c>
      <c r="E300" s="50">
        <f>E279-E297</f>
        <v>14619</v>
      </c>
      <c r="F300" s="50">
        <f>F279-F297</f>
        <v>3644</v>
      </c>
      <c r="G300" s="50">
        <f>G279-G297</f>
        <v>3667</v>
      </c>
      <c r="H300" s="61">
        <f>H279-H297</f>
        <v>3722.9181859722003</v>
      </c>
      <c r="I300" s="1"/>
      <c r="J300" s="1"/>
      <c r="K300" s="1"/>
      <c r="L300" s="1"/>
    </row>
    <row r="301" ht="14.624267578125">
      <c r="A301" s="1"/>
      <c r="B301" s="19" t="s">
        <v>151</v>
      </c>
      <c r="C301" s="15">
        <f>IFERROR(IF(((Inputs!D145+Inputs!D148+Inputs!D151+Inputs!D154+Inputs!D157+Inputs!D160+Inputs!D163+Inputs!D166+Inputs!D169+Inputs!D172+Inputs!D175+Inputs!D178)-(Inputs!D181+Inputs!D184+Inputs!D187+Inputs!D190+Inputs!D193))&lt;=0,"n.m.",C300/((Inputs!D145+Inputs!D148+Inputs!D151+Inputs!D154+Inputs!D157+Inputs!D160+Inputs!D163+Inputs!D166+Inputs!D169+Inputs!D172+Inputs!D175+Inputs!D178)-(Inputs!D181+Inputs!D184+Inputs!D187+Inputs!D190+Inputs!D193))-1),"")</f>
        <v>0.012379642365887289</v>
      </c>
      <c r="D301" s="7">
        <f>IFERROR(IF(C300&lt;=0,"n.m.",D300/C300-1),"")</f>
        <v>0.018750000000000044</v>
      </c>
      <c r="E301" s="7"/>
      <c r="F301" s="7">
        <f>IFERROR(IF(D300&lt;=0,"n.m.",F300/D300-1),"")</f>
        <v>-0.02800746865830883</v>
      </c>
      <c r="G301" s="7">
        <f>IFERROR(IF(F300&lt;=0,"n.m.",G300/F300-1),"")</f>
        <v>0.006311745334796948</v>
      </c>
      <c r="H301" s="31">
        <f>IFERROR(IF(G300&lt;=0,"n.m.",H300/G300-1),"")</f>
        <v>0.01524902808077444</v>
      </c>
      <c r="I301" s="1"/>
      <c r="J301" s="1"/>
      <c r="K301" s="1"/>
      <c r="L301" s="1"/>
    </row>
    <row r="302" ht="14.624267578125">
      <c r="A302" s="1"/>
      <c r="B302" s="19" t="s">
        <v>138</v>
      </c>
      <c r="C302" s="7"/>
      <c r="D302" s="7"/>
      <c r="E302" s="7"/>
      <c r="F302" s="15">
        <f>IFERROR(IF(((Inputs!C145+Inputs!C148+Inputs!C151+Inputs!C154+Inputs!C157+Inputs!C160+Inputs!C163+Inputs!C166+Inputs!C169+Inputs!C172+Inputs!C175+Inputs!C178)-(Inputs!C181+Inputs!C184+Inputs!C187+Inputs!C190+Inputs!C193))&lt;=0,"n.m.",F300/((Inputs!C145+Inputs!C148+Inputs!C151+Inputs!C154+Inputs!C157+Inputs!C160+Inputs!C163+Inputs!C166+Inputs!C169+Inputs!C172+Inputs!C175+Inputs!C178)-(Inputs!C181+Inputs!C184+Inputs!C187+Inputs!C190+Inputs!C193))-1),"")</f>
        <v>0.025035161744022538</v>
      </c>
      <c r="G302" s="15">
        <f>IFERROR(IF(((Inputs!D145+Inputs!D148+Inputs!D151+Inputs!D154+Inputs!D157+Inputs!D160+Inputs!D163+Inputs!D166+Inputs!D169+Inputs!D172+Inputs!D175+Inputs!D178)-(Inputs!D181+Inputs!D184+Inputs!D187+Inputs!D190+Inputs!D193))&lt;=0,"n.m.",G300/((Inputs!D145+Inputs!D148+Inputs!D151+Inputs!D154+Inputs!D157+Inputs!D160+Inputs!D163+Inputs!D166+Inputs!D169+Inputs!D172+Inputs!D175+Inputs!D178)-(Inputs!D181+Inputs!D184+Inputs!D187+Inputs!D190+Inputs!D193))-1),"")</f>
        <v>0.008803301237964245</v>
      </c>
      <c r="H302" s="31">
        <f>IFERROR(IF(C300&lt;=0,"n.m.",H300/C300-1),"")</f>
        <v>0.011662550535924021</v>
      </c>
      <c r="I302" s="1"/>
      <c r="J302" s="1"/>
      <c r="K302" s="1"/>
      <c r="L302" s="1"/>
    </row>
    <row r="303" ht="14.624267578125">
      <c r="A303" s="1"/>
      <c r="B303" s="19" t="s">
        <v>177</v>
      </c>
      <c r="C303" s="46">
        <f>IFERROR(C300/C137*365/C$8,"")</f>
        <v>0.03004078138953017</v>
      </c>
      <c r="D303" s="46">
        <f>IFERROR(D300/D137*365/D$8,"")</f>
        <v>0.030693029465721004</v>
      </c>
      <c r="E303" s="46">
        <f>IFERROR(E300/E137*365/E$8,"")</f>
        <v>0.030330882352941176</v>
      </c>
      <c r="F303" s="46">
        <f>IFERROR(F300/F137*365/F$8,"")</f>
        <v>0.03038618875231713</v>
      </c>
      <c r="G303" s="46">
        <f>IFERROR(G300/G137*365/G$8,"")</f>
        <v>0.029866926930856866</v>
      </c>
      <c r="H303" s="67">
        <f>IFERROR(H300/H137*365/H$8,"")</f>
        <v>0.02979949574985643</v>
      </c>
      <c r="I303" s="1"/>
      <c r="J303" s="1"/>
      <c r="K303" s="1"/>
      <c r="L303" s="1"/>
    </row>
    <row r="304" ht="14.624267578125">
      <c r="A304" s="1"/>
      <c r="B304" s="33" t="s">
        <v>99</v>
      </c>
      <c r="C304" s="56">
        <f>IFERROR((C303-(((Inputs!D145+Inputs!D148+Inputs!D151+Inputs!D154+Inputs!D157+Inputs!D160+Inputs!D163+Inputs!D166+Inputs!D169+Inputs!D172+Inputs!D175+Inputs!D178)-(Inputs!D181+Inputs!D184+Inputs!D187+Inputs!D190+Inputs!D193))/(Inputs!D143+Inputs!D146+Inputs!D149+Inputs!D152+Inputs!D155+Inputs!D158+Inputs!D161+Inputs!D164+Inputs!D167+Inputs!D170+Inputs!D173+Inputs!D176)*365/Inputs!D138))*10000,"")</f>
        <v>-2.7202603806094143</v>
      </c>
      <c r="D304" s="26">
        <f>IFERROR((D303-C303)*10000,"")</f>
        <v>6.522480761908326</v>
      </c>
      <c r="E304" s="26"/>
      <c r="F304" s="26">
        <f>IFERROR((F303-D303)*10000,"")</f>
        <v>-3.0684071340387336</v>
      </c>
      <c r="G304" s="26">
        <f>IFERROR((G303-F303)*10000,"")</f>
        <v>-5.1926182146026445</v>
      </c>
      <c r="H304" s="60">
        <f>IFERROR((H303-G303)*10000,"")</f>
        <v>-0.674311810004366</v>
      </c>
      <c r="I304" s="1"/>
      <c r="J304" s="1"/>
      <c r="K304" s="1"/>
      <c r="L304" s="1"/>
    </row>
    <row r="305" ht="14.624267578125">
      <c r="A305" s="1"/>
      <c r="B305" s="33" t="s">
        <v>132</v>
      </c>
      <c r="C305" s="26"/>
      <c r="D305" s="26"/>
      <c r="E305" s="26"/>
      <c r="F305" s="56">
        <f>IFERROR((F303-(((Inputs!C145+Inputs!C148+Inputs!C151+Inputs!C154+Inputs!C157+Inputs!C160+Inputs!C163+Inputs!C166+Inputs!C169+Inputs!C172+Inputs!C175+Inputs!C178)-(Inputs!C181+Inputs!C184+Inputs!C187+Inputs!C190+Inputs!C193))/(Inputs!C143+Inputs!C146+Inputs!C149+Inputs!C152+Inputs!C155+Inputs!C158+Inputs!C161+Inputs!C164+Inputs!C167+Inputs!C170+Inputs!C173+Inputs!C176)*365/Inputs!C138))*10000,"")</f>
        <v>1.109343498846109</v>
      </c>
      <c r="G305" s="56">
        <f>IFERROR((G303-(((Inputs!D145+Inputs!D148+Inputs!D151+Inputs!D154+Inputs!D157+Inputs!D160+Inputs!D163+Inputs!D166+Inputs!D169+Inputs!D172+Inputs!D175+Inputs!D178)-(Inputs!D181+Inputs!D184+Inputs!D187+Inputs!D190+Inputs!D193))/(Inputs!D143+Inputs!D146+Inputs!D149+Inputs!D152+Inputs!D155+Inputs!D158+Inputs!D161+Inputs!D164+Inputs!D167+Inputs!D170+Inputs!D173+Inputs!D176)*365/Inputs!D138))*10000,"")</f>
        <v>-4.458804967342466</v>
      </c>
      <c r="H305" s="60">
        <f>IFERROR((H303-C303)*10000,"")</f>
        <v>-2.4128563967374186</v>
      </c>
      <c r="I305" s="1"/>
      <c r="J305" s="1"/>
      <c r="K305" s="1"/>
      <c r="L305" s="1"/>
    </row>
    <row r="306" ht="14.624267578125">
      <c r="A306" s="1"/>
      <c r="B306" s="19" t="s">
        <v>178</v>
      </c>
      <c r="C306" s="46">
        <f>IFERROR(C279/C137*365/C$8,"")</f>
        <v>0.051730552083003443</v>
      </c>
      <c r="D306" s="46">
        <f>IFERROR(D279/D137*365/D$8,"")</f>
        <v>0.0504564258728297</v>
      </c>
      <c r="E306" s="46">
        <f>IFERROR(E279/E137*365/E$8,"")</f>
        <v>0.051325355198512806</v>
      </c>
      <c r="F306" s="46">
        <f>IFERROR(F279/F137*365/F$8,"")</f>
        <v>0.0491982748734004</v>
      </c>
      <c r="G306" s="46">
        <f>IFERROR(G279/G137*365/G$8,"")</f>
        <v>0.04897459275572466</v>
      </c>
      <c r="H306" s="67">
        <f>IFERROR(H279/H137*365/H$8,"")</f>
        <v>0.04910131688136884</v>
      </c>
      <c r="I306" s="1"/>
      <c r="J306" s="1"/>
      <c r="K306" s="1"/>
      <c r="L306" s="1"/>
    </row>
    <row r="307" ht="14.624267578125">
      <c r="A307" s="1"/>
      <c r="B307" s="33" t="s">
        <v>99</v>
      </c>
      <c r="C307" s="26"/>
      <c r="D307" s="26">
        <f>IFERROR((D306-C306)*10000,"")</f>
        <v>-12.741262101737469</v>
      </c>
      <c r="E307" s="26"/>
      <c r="F307" s="26">
        <f>IFERROR((F306-D306)*10000,"")</f>
        <v>-12.581509994292958</v>
      </c>
      <c r="G307" s="26">
        <f>IFERROR((G306-F306)*10000,"")</f>
        <v>-2.2368211767574</v>
      </c>
      <c r="H307" s="60">
        <f>IFERROR((H306-G306)*10000,"")</f>
        <v>1.267241256441773</v>
      </c>
      <c r="I307" s="1"/>
      <c r="J307" s="1"/>
      <c r="K307" s="1"/>
      <c r="L307" s="1"/>
    </row>
    <row r="308" ht="14.624267578125">
      <c r="A308" s="1"/>
      <c r="B308" s="33" t="s">
        <v>132</v>
      </c>
      <c r="C308" s="26"/>
      <c r="D308" s="26"/>
      <c r="E308" s="26"/>
      <c r="F308" s="56">
        <f>IFERROR((F306-((Inputs!C145+Inputs!C148+Inputs!C151+Inputs!C154+Inputs!C157+Inputs!C160+Inputs!C163+Inputs!C166+Inputs!C169+Inputs!C172+Inputs!C175+Inputs!C178)/(Inputs!C143+Inputs!C146+Inputs!C149+Inputs!C152+Inputs!C155+Inputs!C158+Inputs!C161+Inputs!C164+Inputs!C167+Inputs!C170+Inputs!C173+Inputs!C176)*365/Inputs!C138))*10000,"")</f>
        <v>-22.05785766004012</v>
      </c>
      <c r="G308" s="56">
        <f>IFERROR((G306-((Inputs!D145+Inputs!D148+Inputs!D151+Inputs!D154+Inputs!D157+Inputs!D160+Inputs!D163+Inputs!D166+Inputs!D169+Inputs!D172+Inputs!D175+Inputs!D178)/(Inputs!D143+Inputs!D146+Inputs!D149+Inputs!D152+Inputs!D155+Inputs!D158+Inputs!D161+Inputs!D164+Inputs!D167+Inputs!D170+Inputs!D173+Inputs!D176)*365/Inputs!D138))*10000,"")</f>
        <v>-27.44810728710016</v>
      </c>
      <c r="H308" s="60">
        <f>IFERROR((H306-C306)*10000,"")</f>
        <v>-26.292352016346054</v>
      </c>
      <c r="I308" s="1"/>
      <c r="J308" s="1"/>
      <c r="K308" s="1"/>
      <c r="L308" s="1"/>
    </row>
    <row r="309" ht="14.624267578125">
      <c r="A309" s="1"/>
      <c r="B309" s="19" t="s">
        <v>179</v>
      </c>
      <c r="C309" s="46">
        <f>IFERROR(C297/C165*365/C$8,"")</f>
        <v>0.02935469404502935</v>
      </c>
      <c r="D309" s="46">
        <f>IFERROR(D297/D165*365/D$8,"")</f>
        <v>0.02669819306401482</v>
      </c>
      <c r="E309" s="46">
        <f>IFERROR(E297/E165*365/E$8,"")</f>
        <v>0.028478474393576512</v>
      </c>
      <c r="F309" s="46">
        <f>IFERROR(F297/F165*365/F$8,"")</f>
        <v>0.02517959542752931</v>
      </c>
      <c r="G309" s="46">
        <f>IFERROR(G297/G165*365/G$8,"")</f>
        <v>0.025378201260525646</v>
      </c>
      <c r="H309" s="67">
        <f>IFERROR(H297/H165*365/H$8,"")</f>
        <v>0.02563038250685732</v>
      </c>
      <c r="I309" s="1"/>
      <c r="J309" s="1"/>
      <c r="K309" s="1"/>
      <c r="L309" s="1"/>
    </row>
    <row r="310" ht="14.624267578125">
      <c r="A310" s="1"/>
      <c r="B310" s="33" t="s">
        <v>99</v>
      </c>
      <c r="C310" s="26"/>
      <c r="D310" s="26">
        <f>IFERROR((D309-C309)*10000,"")</f>
        <v>-26.56500981014529</v>
      </c>
      <c r="E310" s="26"/>
      <c r="F310" s="26">
        <f>IFERROR((F309-D309)*10000,"")</f>
        <v>-15.185976364855101</v>
      </c>
      <c r="G310" s="26">
        <f>IFERROR((G309-F309)*10000,"")</f>
        <v>1.986058329963361</v>
      </c>
      <c r="H310" s="60">
        <f>IFERROR((H309-G309)*10000,"")</f>
        <v>2.5218124633167442</v>
      </c>
      <c r="I310" s="1"/>
      <c r="J310" s="1"/>
      <c r="K310" s="1"/>
      <c r="L310" s="1"/>
    </row>
    <row r="311" ht="14.624267578125">
      <c r="A311" s="1"/>
      <c r="B311" s="33" t="s">
        <v>132</v>
      </c>
      <c r="C311" s="26"/>
      <c r="D311" s="26"/>
      <c r="E311" s="26"/>
      <c r="F311" s="56">
        <f>IFERROR((F309-((Inputs!C181+Inputs!C184+Inputs!C187+Inputs!C190+Inputs!C193)/(Inputs!C179+Inputs!C182+Inputs!C185+Inputs!C188+Inputs!C191)*365/Inputs!C138))*10000,"")</f>
        <v>-36.45999481449783</v>
      </c>
      <c r="G311" s="56">
        <f>IFERROR((G309-((Inputs!D181+Inputs!D184+Inputs!D187+Inputs!D190+Inputs!D193)/(Inputs!D179+Inputs!D182+Inputs!D185+Inputs!D188+Inputs!D191)*365/Inputs!D138))*10000,"")</f>
        <v>-36.865262665915395</v>
      </c>
      <c r="H311" s="60">
        <f>IFERROR((H309-C309)*10000,"")</f>
        <v>-37.24311538172029</v>
      </c>
      <c r="I311" s="1"/>
      <c r="J311" s="1"/>
      <c r="K311" s="1"/>
      <c r="L311" s="1"/>
    </row>
    <row r="312" ht="14.624267578125">
      <c r="A312" s="1"/>
      <c r="B312" s="19" t="s">
        <v>180</v>
      </c>
      <c r="C312" s="46">
        <f>IFERROR((C282+C285+C288)/C172*365/C$8,"")</f>
        <v>0.018356437325966365</v>
      </c>
      <c r="D312" s="46">
        <f>IFERROR((D282+D285+D288)/D172*365/D$8,"")</f>
        <v>0.016360066664983207</v>
      </c>
      <c r="E312" s="46">
        <f>IFERROR((E282+E285+E288)/E172*365/E$8,"")</f>
        <v>0.017782936152497257</v>
      </c>
      <c r="F312" s="46">
        <f>IFERROR((F282+F285+F288)/F172*365/F$8,"")</f>
        <v>0.015503509997448692</v>
      </c>
      <c r="G312" s="46">
        <f>IFERROR((G282+G285+G288)/G172*365/G$8,"")</f>
        <v>0.015603337603787133</v>
      </c>
      <c r="H312" s="67">
        <f>IFERROR((H282+H285+H288)/H172*365/H$8,"")</f>
        <v>0.01589868923950058</v>
      </c>
      <c r="I312" s="1"/>
      <c r="J312" s="1"/>
      <c r="K312" s="1"/>
      <c r="L312" s="1"/>
    </row>
    <row r="313" ht="14.624267578125">
      <c r="A313" s="1"/>
      <c r="B313" s="33" t="s">
        <v>99</v>
      </c>
      <c r="C313" s="26"/>
      <c r="D313" s="26">
        <f>IFERROR((D312-C312)*10000,"")</f>
        <v>-19.96370660983158</v>
      </c>
      <c r="E313" s="26"/>
      <c r="F313" s="26">
        <f>IFERROR((F312-D312)*10000,"")</f>
        <v>-8.565566675345151</v>
      </c>
      <c r="G313" s="26">
        <f>IFERROR((G312-F312)*10000,"")</f>
        <v>0.9982760633844151</v>
      </c>
      <c r="H313" s="60">
        <f>IFERROR((H312-G312)*10000,"")</f>
        <v>2.9535163571344643</v>
      </c>
      <c r="I313" s="1"/>
      <c r="J313" s="1"/>
      <c r="K313" s="1"/>
      <c r="L313" s="1"/>
    </row>
    <row r="314" ht="14.624267578125">
      <c r="A314" s="1"/>
      <c r="B314" s="33" t="s">
        <v>132</v>
      </c>
      <c r="C314" s="26"/>
      <c r="D314" s="26"/>
      <c r="E314" s="26"/>
      <c r="F314" s="56">
        <f>IFERROR((F312-((Inputs!C181+Inputs!C184+Inputs!C187)/(Inputs!C179+Inputs!C182+Inputs!C185+Inputs!C194)*365/Inputs!C138))*10000,"")</f>
        <v>-24.474656286143926</v>
      </c>
      <c r="G314" s="56">
        <f>IFERROR((G312-((Inputs!D181+Inputs!D184+Inputs!D187)/(Inputs!D179+Inputs!D182+Inputs!D185+Inputs!D194)*365/Inputs!D138))*10000,"")</f>
        <v>-28.650211936243306</v>
      </c>
      <c r="H314" s="60">
        <f>IFERROR((H312-C312)*10000,"")</f>
        <v>-24.57748086465785</v>
      </c>
      <c r="I314" s="1"/>
      <c r="J314" s="1"/>
      <c r="K314" s="1"/>
      <c r="L314" s="1"/>
    </row>
    <row r="315" ht="14.624267578125">
      <c r="A315" s="1"/>
      <c r="B315" s="33" t="s">
        <v>116</v>
      </c>
      <c r="C315" s="22">
        <v>51</v>
      </c>
      <c r="D315" s="22">
        <v>49</v>
      </c>
      <c r="E315" s="2">
        <f>Inputs!C110+Inputs!D110+C315+D315</f>
        <v>196</v>
      </c>
      <c r="F315" s="22">
        <v>45</v>
      </c>
      <c r="G315" s="22">
        <v>46</v>
      </c>
      <c r="H315" s="47">
        <v>46</v>
      </c>
      <c r="I315" s="1" t="s">
        <v>181</v>
      </c>
      <c r="J315" s="1"/>
      <c r="K315" s="1"/>
      <c r="L315" s="1"/>
    </row>
    <row r="316" ht="14.624267578125">
      <c r="A316" s="1"/>
      <c r="B316" s="48" t="s">
        <v>182</v>
      </c>
      <c r="C316" s="50">
        <f>C300-C315</f>
        <v>3629</v>
      </c>
      <c r="D316" s="50">
        <f>D300-D315</f>
        <v>3700</v>
      </c>
      <c r="E316" s="50">
        <f>E300-E315</f>
        <v>14423</v>
      </c>
      <c r="F316" s="50">
        <f>F300-F315</f>
        <v>3599</v>
      </c>
      <c r="G316" s="50">
        <f>G300-G315</f>
        <v>3621</v>
      </c>
      <c r="H316" s="61">
        <f>H300-H315</f>
        <v>3676.9181859722003</v>
      </c>
      <c r="I316" s="1"/>
      <c r="J316" s="1"/>
      <c r="K316" s="1"/>
      <c r="L316" s="1"/>
    </row>
    <row r="317" ht="14.624267578125">
      <c r="A317" s="1"/>
      <c r="B317" s="19" t="s">
        <v>151</v>
      </c>
      <c r="C317" s="15">
        <f>IFERROR(IF((((Inputs!D145+Inputs!D148+Inputs!D151+Inputs!D154+Inputs!D157+Inputs!D160+Inputs!D163+Inputs!D166+Inputs!D169+Inputs!D172+Inputs!D175+Inputs!D178)-(Inputs!D181+Inputs!D184+Inputs!D187+Inputs!D190+Inputs!D193))-Inputs!D110)&lt;=0,"n.m.",C316/(((Inputs!D145+Inputs!D148+Inputs!D151+Inputs!D154+Inputs!D157+Inputs!D160+Inputs!D163+Inputs!D166+Inputs!D169+Inputs!D172+Inputs!D175+Inputs!D178)-(Inputs!D181+Inputs!D184+Inputs!D187+Inputs!D190+Inputs!D193))-Inputs!D110)-1),"")</f>
        <v>0.011708948982436684</v>
      </c>
      <c r="D317" s="7">
        <f>IFERROR(IF(C316&lt;=0,"n.m.",D316/C316-1),"")</f>
        <v>0.019564618352163166</v>
      </c>
      <c r="E317" s="7"/>
      <c r="F317" s="7">
        <f>IFERROR(IF(D316&lt;=0,"n.m.",F316/D316-1),"")</f>
        <v>-0.02729729729729735</v>
      </c>
      <c r="G317" s="7">
        <f>IFERROR(IF(F316&lt;=0,"n.m.",G316/F316-1),"")</f>
        <v>0.006112809113642648</v>
      </c>
      <c r="H317" s="31">
        <f>IFERROR(IF(G316&lt;=0,"n.m.",H316/G316-1),"")</f>
        <v>0.01544274674736279</v>
      </c>
      <c r="I317" s="1"/>
      <c r="J317" s="1"/>
      <c r="K317" s="1"/>
      <c r="L317" s="1"/>
    </row>
    <row r="318" ht="14.624267578125">
      <c r="A318" s="1"/>
      <c r="B318" s="19" t="s">
        <v>138</v>
      </c>
      <c r="C318" s="7"/>
      <c r="D318" s="7"/>
      <c r="E318" s="7"/>
      <c r="F318" s="15">
        <f>IFERROR(IF((((Inputs!C145+Inputs!C148+Inputs!C151+Inputs!C154+Inputs!C157+Inputs!C160+Inputs!C163+Inputs!C166+Inputs!C169+Inputs!C172+Inputs!C175+Inputs!C178)-(Inputs!C181+Inputs!C184+Inputs!C187+Inputs!C190+Inputs!C193))-Inputs!C110)&lt;=0,"n.m.",F316/(((Inputs!C145+Inputs!C148+Inputs!C151+Inputs!C154+Inputs!C157+Inputs!C160+Inputs!C163+Inputs!C166+Inputs!C169+Inputs!C172+Inputs!C175+Inputs!C178)-(Inputs!C181+Inputs!C184+Inputs!C187+Inputs!C190+Inputs!C193))-Inputs!C110)-1),"")</f>
        <v>0.026233247790133918</v>
      </c>
      <c r="G318" s="15">
        <f>IFERROR(IF((((Inputs!D145+Inputs!D148+Inputs!D151+Inputs!D154+Inputs!D157+Inputs!D160+Inputs!D163+Inputs!D166+Inputs!D169+Inputs!D172+Inputs!D175+Inputs!D178)-(Inputs!D181+Inputs!D184+Inputs!D187+Inputs!D190+Inputs!D193))-Inputs!D110)&lt;=0,"n.m.",G316/(((Inputs!D145+Inputs!D148+Inputs!D151+Inputs!D154+Inputs!D157+Inputs!D160+Inputs!D163+Inputs!D166+Inputs!D169+Inputs!D172+Inputs!D175+Inputs!D178)-(Inputs!D181+Inputs!D184+Inputs!D187+Inputs!D190+Inputs!D193))-Inputs!D110)-1),"")</f>
        <v>0.009478672985782088</v>
      </c>
      <c r="H318" s="31">
        <f>IFERROR(IF(C316&lt;=0,"n.m.",H316/C316-1),"")</f>
        <v>0.013204239727803824</v>
      </c>
      <c r="I318" s="1"/>
      <c r="J318" s="1"/>
      <c r="K318" s="1"/>
      <c r="L318" s="1"/>
    </row>
    <row r="319" ht="14.624267578125">
      <c r="A319" s="1"/>
      <c r="B319" s="33" t="s">
        <v>183</v>
      </c>
      <c r="C319" s="22">
        <v>3680</v>
      </c>
      <c r="D319" s="22">
        <v>3749</v>
      </c>
      <c r="E319" s="22">
        <v>14619</v>
      </c>
      <c r="F319" s="22">
        <v>3644</v>
      </c>
      <c r="G319" s="22">
        <v>3667</v>
      </c>
      <c r="H319" s="29"/>
      <c r="I319" s="1"/>
      <c r="J319" s="1"/>
      <c r="K319" s="1"/>
      <c r="L319" s="1"/>
    </row>
    <row r="320" ht="14.624267578125">
      <c r="A320" s="1"/>
      <c r="B320" s="19" t="s">
        <v>184</v>
      </c>
      <c r="C320" s="38">
        <f>C300-C319</f>
        <v>0</v>
      </c>
      <c r="D320" s="38">
        <f>D300-D319</f>
        <v>0</v>
      </c>
      <c r="E320" s="38">
        <f>E300-E319</f>
        <v>0</v>
      </c>
      <c r="F320" s="38">
        <f>F300-F319</f>
        <v>0</v>
      </c>
      <c r="G320" s="38">
        <f>G300-G319</f>
        <v>0</v>
      </c>
      <c r="H320" s="59"/>
      <c r="I320" s="1"/>
      <c r="J320" s="1"/>
      <c r="K320" s="1"/>
      <c r="L320" s="1"/>
    </row>
    <row r="321">
      <c r="A321" s="1"/>
      <c r="B321" s="33"/>
      <c r="C321" s="18"/>
      <c r="D321" s="18"/>
      <c r="E321" s="18"/>
      <c r="F321" s="18"/>
      <c r="G321" s="18"/>
      <c r="H321" s="45"/>
      <c r="I321" s="1"/>
      <c r="J321" s="1"/>
      <c r="K321" s="1"/>
      <c r="L321" s="1"/>
    </row>
    <row r="322" ht="14.624267578125">
      <c r="A322" s="1"/>
      <c r="B322" s="57" t="s">
        <v>185</v>
      </c>
      <c r="C322" s="18"/>
      <c r="D322" s="18"/>
      <c r="E322" s="18"/>
      <c r="F322" s="18"/>
      <c r="G322" s="18"/>
      <c r="H322" s="45"/>
      <c r="I322" s="1"/>
      <c r="J322" s="1"/>
      <c r="K322" s="1"/>
      <c r="L322" s="1"/>
    </row>
    <row r="323" ht="14.624267578125">
      <c r="A323" s="1"/>
      <c r="B323" s="33" t="s">
        <v>186</v>
      </c>
      <c r="C323" s="22">
        <v>374</v>
      </c>
      <c r="D323" s="22">
        <v>365</v>
      </c>
      <c r="E323" s="2">
        <f>Inputs!C112+Inputs!D112+C323+D323</f>
        <v>1431</v>
      </c>
      <c r="F323" s="22">
        <v>370</v>
      </c>
      <c r="G323" s="22">
        <v>375</v>
      </c>
      <c r="H323" s="29">
        <f>G323*(1+H324)</f>
        <v>380.62499999999994</v>
      </c>
      <c r="I323" s="1"/>
      <c r="J323" s="1"/>
      <c r="K323" s="1"/>
      <c r="L323" s="1"/>
    </row>
    <row r="324" ht="14.624267578125">
      <c r="A324" s="1"/>
      <c r="B324" s="19" t="s">
        <v>151</v>
      </c>
      <c r="C324" s="15">
        <f>IFERROR(IF(Inputs!D112&lt;=0,"n.m.",C323/Inputs!D112-1),"")</f>
        <v>0.07471264367816088</v>
      </c>
      <c r="D324" s="7">
        <f>IFERROR(IF(C323&lt;=0,"n.m.",D323/C323-1),"")</f>
        <v>-0.024064171122994638</v>
      </c>
      <c r="E324" s="7"/>
      <c r="F324" s="7">
        <f>IFERROR(IF(D323&lt;=0,"n.m.",F323/D323-1),"")</f>
        <v>0.013698630136986356</v>
      </c>
      <c r="G324" s="7">
        <f>IFERROR(IF(F323&lt;=0,"n.m.",G323/F323-1),"")</f>
        <v>0.013513513513513598</v>
      </c>
      <c r="H324" s="65">
        <v>0.015</v>
      </c>
      <c r="I324" s="1"/>
      <c r="J324" s="1"/>
      <c r="K324" s="1"/>
      <c r="L324" s="1"/>
    </row>
    <row r="325" ht="14.624267578125">
      <c r="A325" s="1"/>
      <c r="B325" s="19" t="s">
        <v>138</v>
      </c>
      <c r="C325" s="7"/>
      <c r="D325" s="7"/>
      <c r="E325" s="7"/>
      <c r="F325" s="15">
        <f>IFERROR(IF(Inputs!C112&lt;=0,"n.m.",F323/Inputs!C112-1),"")</f>
        <v>0.07558139534883712</v>
      </c>
      <c r="G325" s="15">
        <f>IFERROR(IF(Inputs!D112&lt;=0,"n.m.",G323/Inputs!D112-1),"")</f>
        <v>0.07758620689655182</v>
      </c>
      <c r="H325" s="31">
        <f>IFERROR(IF(C323&lt;=0,"n.m.",H323/C323-1),"")</f>
        <v>0.017713903743315385</v>
      </c>
      <c r="I325" s="1"/>
      <c r="J325" s="1"/>
      <c r="K325" s="1"/>
      <c r="L325" s="1"/>
    </row>
    <row r="326" ht="14.624267578125">
      <c r="A326" s="1"/>
      <c r="B326" s="33" t="s">
        <v>139</v>
      </c>
      <c r="C326" s="2">
        <f>C323-Inputs!D112</f>
        <v>26</v>
      </c>
      <c r="D326" s="11">
        <f>D323-C323</f>
        <v>-9</v>
      </c>
      <c r="E326" s="11"/>
      <c r="F326" s="11">
        <f>F323-D323</f>
        <v>5</v>
      </c>
      <c r="G326" s="11">
        <f>G323-F323</f>
        <v>5</v>
      </c>
      <c r="H326" s="29">
        <f>H323-G323</f>
        <v>5.624999999999943</v>
      </c>
      <c r="I326" s="1"/>
      <c r="J326" s="1"/>
      <c r="K326" s="1"/>
      <c r="L326" s="1"/>
    </row>
    <row r="327" ht="14.624267578125">
      <c r="A327" s="1"/>
      <c r="B327" s="19" t="s">
        <v>104</v>
      </c>
      <c r="C327" s="38" t="s">
        <v>105</v>
      </c>
      <c r="D327" s="38" t="s">
        <v>105</v>
      </c>
      <c r="E327" s="38" t="s">
        <v>105</v>
      </c>
      <c r="F327" s="38" t="s">
        <v>105</v>
      </c>
      <c r="G327" s="38" t="s">
        <v>105</v>
      </c>
      <c r="H327" s="59" t="s">
        <v>105</v>
      </c>
      <c r="I327" s="1" t="s">
        <v>106</v>
      </c>
      <c r="J327" s="1"/>
      <c r="K327" s="1"/>
      <c r="L327" s="1"/>
    </row>
    <row r="328" ht="14.624267578125">
      <c r="A328" s="1"/>
      <c r="B328" s="19" t="s">
        <v>107</v>
      </c>
      <c r="C328" s="38" t="s">
        <v>105</v>
      </c>
      <c r="D328" s="38" t="s">
        <v>105</v>
      </c>
      <c r="E328" s="38" t="s">
        <v>105</v>
      </c>
      <c r="F328" s="38" t="s">
        <v>105</v>
      </c>
      <c r="G328" s="38" t="s">
        <v>105</v>
      </c>
      <c r="H328" s="59" t="s">
        <v>105</v>
      </c>
      <c r="I328" s="1" t="s">
        <v>108</v>
      </c>
      <c r="J328" s="1"/>
      <c r="K328" s="1"/>
      <c r="L328" s="1"/>
    </row>
    <row r="329" ht="14.624267578125">
      <c r="A329" s="1"/>
      <c r="B329" s="19" t="s">
        <v>109</v>
      </c>
      <c r="C329" s="38" t="s">
        <v>110</v>
      </c>
      <c r="D329" s="38" t="s">
        <v>110</v>
      </c>
      <c r="E329" s="38" t="s">
        <v>110</v>
      </c>
      <c r="F329" s="38" t="s">
        <v>110</v>
      </c>
      <c r="G329" s="38" t="s">
        <v>110</v>
      </c>
      <c r="H329" s="59" t="s">
        <v>110</v>
      </c>
      <c r="I329" s="1" t="s">
        <v>111</v>
      </c>
      <c r="J329" s="1"/>
      <c r="K329" s="1"/>
      <c r="L329" s="1"/>
    </row>
    <row r="330" ht="14.624267578125">
      <c r="A330" s="1"/>
      <c r="B330" s="19" t="s">
        <v>112</v>
      </c>
      <c r="C330" s="7"/>
      <c r="D330" s="7"/>
      <c r="E330" s="7"/>
      <c r="F330" s="7">
        <f>IF(F325="","",F325)</f>
        <v>0.07558139534883712</v>
      </c>
      <c r="G330" s="7">
        <f>IF(G325="","",G325)</f>
        <v>0.07758620689655182</v>
      </c>
      <c r="H330" s="31">
        <f>IF(H325="","",H325)</f>
        <v>0.017713903743315385</v>
      </c>
      <c r="I330" s="1"/>
      <c r="J330" s="1"/>
      <c r="K330" s="1"/>
      <c r="L330" s="1"/>
    </row>
    <row r="331" ht="14.624267578125">
      <c r="A331" s="1"/>
      <c r="B331" s="33" t="s">
        <v>187</v>
      </c>
      <c r="C331" s="22">
        <v>340</v>
      </c>
      <c r="D331" s="22">
        <v>336</v>
      </c>
      <c r="E331" s="2">
        <f>Inputs!C113+Inputs!D113+C331+D331</f>
        <v>1360</v>
      </c>
      <c r="F331" s="22">
        <v>338</v>
      </c>
      <c r="G331" s="22">
        <v>353</v>
      </c>
      <c r="H331" s="29">
        <f>G331*(1+H332)</f>
        <v>360.06</v>
      </c>
      <c r="I331" s="1"/>
      <c r="J331" s="1"/>
      <c r="K331" s="1"/>
      <c r="L331" s="1"/>
    </row>
    <row r="332" ht="14.624267578125">
      <c r="A332" s="1"/>
      <c r="B332" s="19" t="s">
        <v>151</v>
      </c>
      <c r="C332" s="15">
        <f>IFERROR(IF(Inputs!D113&lt;=0,"n.m.",C331/Inputs!D113-1),"")</f>
        <v>-0.031339031339031376</v>
      </c>
      <c r="D332" s="7">
        <f>IFERROR(IF(C331&lt;=0,"n.m.",D331/C331-1),"")</f>
        <v>-0.0117647058823529</v>
      </c>
      <c r="E332" s="7"/>
      <c r="F332" s="7">
        <f>IFERROR(IF(D331&lt;=0,"n.m.",F331/D331-1),"")</f>
        <v>0.005952380952380931</v>
      </c>
      <c r="G332" s="7">
        <f>IFERROR(IF(F331&lt;=0,"n.m.",G331/F331-1),"")</f>
        <v>0.044378698224851965</v>
      </c>
      <c r="H332" s="65">
        <v>0.02</v>
      </c>
      <c r="I332" s="1"/>
      <c r="J332" s="1"/>
      <c r="K332" s="1"/>
      <c r="L332" s="1"/>
    </row>
    <row r="333" ht="14.624267578125">
      <c r="A333" s="1"/>
      <c r="B333" s="19" t="s">
        <v>138</v>
      </c>
      <c r="C333" s="7"/>
      <c r="D333" s="7"/>
      <c r="E333" s="7"/>
      <c r="F333" s="15">
        <f>IFERROR(IF(Inputs!C113&lt;=0,"n.m.",F331/Inputs!C113-1),"")</f>
        <v>0.01501501501501501</v>
      </c>
      <c r="G333" s="15">
        <f>IFERROR(IF(Inputs!D113&lt;=0,"n.m.",G331/Inputs!D113-1),"")</f>
        <v>0.005698005698005604</v>
      </c>
      <c r="H333" s="31">
        <f>IFERROR(IF(C331&lt;=0,"n.m.",H331/C331-1),"")</f>
        <v>0.05899999999999994</v>
      </c>
      <c r="I333" s="1"/>
      <c r="J333" s="1"/>
      <c r="K333" s="1"/>
      <c r="L333" s="1"/>
    </row>
    <row r="334" ht="14.624267578125">
      <c r="A334" s="1"/>
      <c r="B334" s="33" t="s">
        <v>139</v>
      </c>
      <c r="C334" s="2">
        <f>C331-Inputs!D113</f>
        <v>-11</v>
      </c>
      <c r="D334" s="11">
        <f>D331-C331</f>
        <v>-4</v>
      </c>
      <c r="E334" s="11"/>
      <c r="F334" s="11">
        <f>F331-D331</f>
        <v>2</v>
      </c>
      <c r="G334" s="11">
        <f>G331-F331</f>
        <v>15</v>
      </c>
      <c r="H334" s="29">
        <f>H331-G331</f>
        <v>7.060000000000002</v>
      </c>
      <c r="I334" s="1"/>
      <c r="J334" s="1"/>
      <c r="K334" s="1"/>
      <c r="L334" s="1"/>
    </row>
    <row r="335" ht="14.624267578125">
      <c r="A335" s="1"/>
      <c r="B335" s="19" t="s">
        <v>104</v>
      </c>
      <c r="C335" s="38" t="s">
        <v>105</v>
      </c>
      <c r="D335" s="38" t="s">
        <v>105</v>
      </c>
      <c r="E335" s="38" t="s">
        <v>105</v>
      </c>
      <c r="F335" s="38" t="s">
        <v>105</v>
      </c>
      <c r="G335" s="38" t="s">
        <v>105</v>
      </c>
      <c r="H335" s="59" t="s">
        <v>105</v>
      </c>
      <c r="I335" s="1" t="s">
        <v>106</v>
      </c>
      <c r="J335" s="1"/>
      <c r="K335" s="1"/>
      <c r="L335" s="1"/>
    </row>
    <row r="336" ht="14.624267578125">
      <c r="A336" s="1"/>
      <c r="B336" s="19" t="s">
        <v>107</v>
      </c>
      <c r="C336" s="38" t="s">
        <v>105</v>
      </c>
      <c r="D336" s="38" t="s">
        <v>105</v>
      </c>
      <c r="E336" s="38" t="s">
        <v>105</v>
      </c>
      <c r="F336" s="38" t="s">
        <v>105</v>
      </c>
      <c r="G336" s="38" t="s">
        <v>105</v>
      </c>
      <c r="H336" s="59" t="s">
        <v>105</v>
      </c>
      <c r="I336" s="1" t="s">
        <v>108</v>
      </c>
      <c r="J336" s="1"/>
      <c r="K336" s="1"/>
      <c r="L336" s="1"/>
    </row>
    <row r="337" ht="14.624267578125">
      <c r="A337" s="1"/>
      <c r="B337" s="19" t="s">
        <v>109</v>
      </c>
      <c r="C337" s="38" t="s">
        <v>110</v>
      </c>
      <c r="D337" s="38" t="s">
        <v>110</v>
      </c>
      <c r="E337" s="38" t="s">
        <v>110</v>
      </c>
      <c r="F337" s="38" t="s">
        <v>110</v>
      </c>
      <c r="G337" s="38" t="s">
        <v>110</v>
      </c>
      <c r="H337" s="59" t="s">
        <v>110</v>
      </c>
      <c r="I337" s="1" t="s">
        <v>111</v>
      </c>
      <c r="J337" s="1"/>
      <c r="K337" s="1"/>
      <c r="L337" s="1"/>
    </row>
    <row r="338" ht="14.624267578125">
      <c r="A338" s="1"/>
      <c r="B338" s="19" t="s">
        <v>112</v>
      </c>
      <c r="C338" s="7"/>
      <c r="D338" s="7"/>
      <c r="E338" s="7"/>
      <c r="F338" s="7">
        <f>IF(F333="","",F333)</f>
        <v>0.01501501501501501</v>
      </c>
      <c r="G338" s="7">
        <f>IF(G333="","",G333)</f>
        <v>0.005698005698005604</v>
      </c>
      <c r="H338" s="31">
        <f>IF(H333="","",H333)</f>
        <v>0.05899999999999994</v>
      </c>
      <c r="I338" s="1"/>
      <c r="J338" s="1"/>
      <c r="K338" s="1"/>
      <c r="L338" s="1"/>
    </row>
    <row r="339" ht="14.624267578125">
      <c r="A339" s="1"/>
      <c r="B339" s="33" t="s">
        <v>188</v>
      </c>
      <c r="C339" s="22">
        <v>323</v>
      </c>
      <c r="D339" s="22">
        <v>335</v>
      </c>
      <c r="E339" s="2">
        <f>Inputs!C114+Inputs!D114+C339+D339</f>
        <v>1136</v>
      </c>
      <c r="F339" s="22">
        <v>372</v>
      </c>
      <c r="G339" s="22">
        <v>352</v>
      </c>
      <c r="H339" s="29">
        <f>G339*(1+H340)</f>
        <v>349.888</v>
      </c>
      <c r="I339" s="1" t="s">
        <v>189</v>
      </c>
      <c r="J339" s="1"/>
      <c r="K339" s="1"/>
      <c r="L339" s="1"/>
    </row>
    <row r="340" ht="14.624267578125">
      <c r="A340" s="1"/>
      <c r="B340" s="19" t="s">
        <v>151</v>
      </c>
      <c r="C340" s="15">
        <f>IFERROR(IF(Inputs!D114&lt;=0,"n.m.",C339/Inputs!D114-1),"")</f>
        <v>0.575609756097561</v>
      </c>
      <c r="D340" s="7">
        <f>IFERROR(IF(C339&lt;=0,"n.m.",D339/C339-1),"")</f>
        <v>0.037151702786377694</v>
      </c>
      <c r="E340" s="7"/>
      <c r="F340" s="7">
        <f>IFERROR(IF(D339&lt;=0,"n.m.",F339/D339-1),"")</f>
        <v>0.11044776119402977</v>
      </c>
      <c r="G340" s="7">
        <f>IFERROR(IF(F339&lt;=0,"n.m.",G339/F339-1),"")</f>
        <v>-0.053763440860215006</v>
      </c>
      <c r="H340" s="65">
        <v>-0.006</v>
      </c>
      <c r="I340" s="1"/>
      <c r="J340" s="1"/>
      <c r="K340" s="1"/>
      <c r="L340" s="1"/>
    </row>
    <row r="341" ht="14.624267578125">
      <c r="A341" s="1"/>
      <c r="B341" s="19" t="s">
        <v>138</v>
      </c>
      <c r="C341" s="7"/>
      <c r="D341" s="7"/>
      <c r="E341" s="7"/>
      <c r="F341" s="15">
        <f>IFERROR(IF(Inputs!C114&lt;=0,"n.m.",F339/Inputs!C114-1),"")</f>
        <v>0.3626373626373627</v>
      </c>
      <c r="G341" s="15">
        <f>IFERROR(IF(Inputs!D114&lt;=0,"n.m.",G339/Inputs!D114-1),"")</f>
        <v>0.7170731707317073</v>
      </c>
      <c r="H341" s="31">
        <f>IFERROR(IF(C339&lt;=0,"n.m.",H339/C339-1),"")</f>
        <v>0.08324458204334362</v>
      </c>
      <c r="I341" s="1"/>
      <c r="J341" s="1"/>
      <c r="K341" s="1"/>
      <c r="L341" s="1"/>
    </row>
    <row r="342" ht="14.624267578125">
      <c r="A342" s="1"/>
      <c r="B342" s="33" t="s">
        <v>139</v>
      </c>
      <c r="C342" s="2">
        <f>C339-Inputs!D114</f>
        <v>118</v>
      </c>
      <c r="D342" s="11">
        <f>D339-C339</f>
        <v>12</v>
      </c>
      <c r="E342" s="11"/>
      <c r="F342" s="11">
        <f>F339-D339</f>
        <v>37</v>
      </c>
      <c r="G342" s="11">
        <f>G339-F339</f>
        <v>-20</v>
      </c>
      <c r="H342" s="29">
        <f>H339-G339</f>
        <v>-2.112000000000023</v>
      </c>
      <c r="I342" s="1"/>
      <c r="J342" s="1"/>
      <c r="K342" s="1"/>
      <c r="L342" s="1"/>
    </row>
    <row r="343" ht="14.624267578125">
      <c r="A343" s="1"/>
      <c r="B343" s="19" t="s">
        <v>104</v>
      </c>
      <c r="C343" s="38" t="s">
        <v>105</v>
      </c>
      <c r="D343" s="38" t="s">
        <v>105</v>
      </c>
      <c r="E343" s="38" t="s">
        <v>105</v>
      </c>
      <c r="F343" s="38" t="s">
        <v>105</v>
      </c>
      <c r="G343" s="38" t="s">
        <v>105</v>
      </c>
      <c r="H343" s="59" t="s">
        <v>105</v>
      </c>
      <c r="I343" s="1" t="s">
        <v>106</v>
      </c>
      <c r="J343" s="1"/>
      <c r="K343" s="1"/>
      <c r="L343" s="1"/>
    </row>
    <row r="344" ht="14.624267578125">
      <c r="A344" s="1"/>
      <c r="B344" s="19" t="s">
        <v>107</v>
      </c>
      <c r="C344" s="38" t="s">
        <v>105</v>
      </c>
      <c r="D344" s="38" t="s">
        <v>105</v>
      </c>
      <c r="E344" s="38" t="s">
        <v>105</v>
      </c>
      <c r="F344" s="38" t="s">
        <v>105</v>
      </c>
      <c r="G344" s="38" t="s">
        <v>105</v>
      </c>
      <c r="H344" s="59" t="s">
        <v>105</v>
      </c>
      <c r="I344" s="1" t="s">
        <v>108</v>
      </c>
      <c r="J344" s="1"/>
      <c r="K344" s="1"/>
      <c r="L344" s="1"/>
    </row>
    <row r="345" ht="14.624267578125">
      <c r="A345" s="1"/>
      <c r="B345" s="19" t="s">
        <v>109</v>
      </c>
      <c r="C345" s="38" t="s">
        <v>110</v>
      </c>
      <c r="D345" s="38" t="s">
        <v>110</v>
      </c>
      <c r="E345" s="38" t="s">
        <v>110</v>
      </c>
      <c r="F345" s="38" t="s">
        <v>110</v>
      </c>
      <c r="G345" s="38" t="s">
        <v>110</v>
      </c>
      <c r="H345" s="59" t="s">
        <v>110</v>
      </c>
      <c r="I345" s="1" t="s">
        <v>111</v>
      </c>
      <c r="J345" s="1"/>
      <c r="K345" s="1"/>
      <c r="L345" s="1"/>
    </row>
    <row r="346" ht="14.624267578125">
      <c r="A346" s="1"/>
      <c r="B346" s="19" t="s">
        <v>112</v>
      </c>
      <c r="C346" s="7"/>
      <c r="D346" s="7"/>
      <c r="E346" s="7"/>
      <c r="F346" s="7">
        <f>IF(F341="","",F341)</f>
        <v>0.3626373626373627</v>
      </c>
      <c r="G346" s="7">
        <f>IF(G341="","",G341)</f>
        <v>0.7170731707317073</v>
      </c>
      <c r="H346" s="31">
        <f>IF(H341="","",H341)</f>
        <v>0.08324458204334362</v>
      </c>
      <c r="I346" s="1"/>
      <c r="J346" s="1"/>
      <c r="K346" s="1"/>
      <c r="L346" s="1"/>
    </row>
    <row r="347" ht="14.624267578125">
      <c r="A347" s="1"/>
      <c r="B347" s="33" t="s">
        <v>190</v>
      </c>
      <c r="C347" s="22">
        <v>125</v>
      </c>
      <c r="D347" s="22">
        <v>121</v>
      </c>
      <c r="E347" s="2">
        <f>Inputs!C115+Inputs!D115+C347+D347</f>
        <v>471</v>
      </c>
      <c r="F347" s="22">
        <v>120</v>
      </c>
      <c r="G347" s="22">
        <v>120</v>
      </c>
      <c r="H347" s="29">
        <f>G347*(1+H348)</f>
        <v>121.2</v>
      </c>
      <c r="I347" s="1"/>
      <c r="J347" s="1"/>
      <c r="K347" s="1"/>
      <c r="L347" s="1"/>
    </row>
    <row r="348" ht="14.624267578125">
      <c r="A348" s="1"/>
      <c r="B348" s="19" t="s">
        <v>151</v>
      </c>
      <c r="C348" s="15">
        <f>IFERROR(IF(Inputs!D115&lt;=0,"n.m.",C347/Inputs!D115-1),"")</f>
        <v>0.15740740740740744</v>
      </c>
      <c r="D348" s="7">
        <f>IFERROR(IF(C347&lt;=0,"n.m.",D347/C347-1),"")</f>
        <v>-0.03200000000000003</v>
      </c>
      <c r="E348" s="7"/>
      <c r="F348" s="7">
        <f>IFERROR(IF(D347&lt;=0,"n.m.",F347/D347-1),"")</f>
        <v>-0.008264462809917328</v>
      </c>
      <c r="G348" s="7">
        <f>IFERROR(IF(F347&lt;=0,"n.m.",G347/F347-1),"")</f>
        <v>0</v>
      </c>
      <c r="H348" s="65">
        <v>0.01</v>
      </c>
      <c r="I348" s="1"/>
      <c r="J348" s="1"/>
      <c r="K348" s="1"/>
      <c r="L348" s="1"/>
    </row>
    <row r="349" ht="14.624267578125">
      <c r="A349" s="1"/>
      <c r="B349" s="19" t="s">
        <v>138</v>
      </c>
      <c r="C349" s="7"/>
      <c r="D349" s="7"/>
      <c r="E349" s="7"/>
      <c r="F349" s="15">
        <f>IFERROR(IF(Inputs!C115&lt;=0,"n.m.",F347/Inputs!C115-1),"")</f>
        <v>0.02564102564102555</v>
      </c>
      <c r="G349" s="15">
        <f>IFERROR(IF(Inputs!D115&lt;=0,"n.m.",G347/Inputs!D115-1),"")</f>
        <v>0.11111111111111116</v>
      </c>
      <c r="H349" s="31">
        <f>IFERROR(IF(C347&lt;=0,"n.m.",H347/C347-1),"")</f>
        <v>-0.030399999999999983</v>
      </c>
      <c r="I349" s="1"/>
      <c r="J349" s="1"/>
      <c r="K349" s="1"/>
      <c r="L349" s="1"/>
    </row>
    <row r="350" ht="14.624267578125">
      <c r="A350" s="1"/>
      <c r="B350" s="33" t="s">
        <v>139</v>
      </c>
      <c r="C350" s="2">
        <f>C347-Inputs!D115</f>
        <v>17</v>
      </c>
      <c r="D350" s="11">
        <f>D347-C347</f>
        <v>-4</v>
      </c>
      <c r="E350" s="11"/>
      <c r="F350" s="11">
        <f>F347-D347</f>
        <v>-1</v>
      </c>
      <c r="G350" s="11">
        <f>G347-F347</f>
        <v>0</v>
      </c>
      <c r="H350" s="29">
        <f>H347-G347</f>
        <v>1.2000000000000028</v>
      </c>
      <c r="I350" s="1"/>
      <c r="J350" s="1"/>
      <c r="K350" s="1"/>
      <c r="L350" s="1"/>
    </row>
    <row r="351" ht="14.624267578125">
      <c r="A351" s="1"/>
      <c r="B351" s="19" t="s">
        <v>104</v>
      </c>
      <c r="C351" s="38" t="s">
        <v>105</v>
      </c>
      <c r="D351" s="38" t="s">
        <v>105</v>
      </c>
      <c r="E351" s="38" t="s">
        <v>105</v>
      </c>
      <c r="F351" s="38" t="s">
        <v>105</v>
      </c>
      <c r="G351" s="38" t="s">
        <v>105</v>
      </c>
      <c r="H351" s="59" t="s">
        <v>105</v>
      </c>
      <c r="I351" s="1" t="s">
        <v>106</v>
      </c>
      <c r="J351" s="1"/>
      <c r="K351" s="1"/>
      <c r="L351" s="1"/>
    </row>
    <row r="352" ht="14.624267578125">
      <c r="A352" s="1"/>
      <c r="B352" s="19" t="s">
        <v>107</v>
      </c>
      <c r="C352" s="38" t="s">
        <v>105</v>
      </c>
      <c r="D352" s="38" t="s">
        <v>105</v>
      </c>
      <c r="E352" s="38" t="s">
        <v>105</v>
      </c>
      <c r="F352" s="38" t="s">
        <v>105</v>
      </c>
      <c r="G352" s="38" t="s">
        <v>105</v>
      </c>
      <c r="H352" s="59" t="s">
        <v>105</v>
      </c>
      <c r="I352" s="1" t="s">
        <v>108</v>
      </c>
      <c r="J352" s="1"/>
      <c r="K352" s="1"/>
      <c r="L352" s="1"/>
    </row>
    <row r="353" ht="14.624267578125">
      <c r="A353" s="1"/>
      <c r="B353" s="19" t="s">
        <v>109</v>
      </c>
      <c r="C353" s="38" t="s">
        <v>110</v>
      </c>
      <c r="D353" s="38" t="s">
        <v>110</v>
      </c>
      <c r="E353" s="38" t="s">
        <v>110</v>
      </c>
      <c r="F353" s="38" t="s">
        <v>110</v>
      </c>
      <c r="G353" s="38" t="s">
        <v>110</v>
      </c>
      <c r="H353" s="59" t="s">
        <v>110</v>
      </c>
      <c r="I353" s="1" t="s">
        <v>111</v>
      </c>
      <c r="J353" s="1"/>
      <c r="K353" s="1"/>
      <c r="L353" s="1"/>
    </row>
    <row r="354" ht="14.624267578125">
      <c r="A354" s="1"/>
      <c r="B354" s="19" t="s">
        <v>112</v>
      </c>
      <c r="C354" s="7"/>
      <c r="D354" s="7"/>
      <c r="E354" s="7"/>
      <c r="F354" s="7">
        <f>IF(F349="","",F349)</f>
        <v>0.02564102564102555</v>
      </c>
      <c r="G354" s="7">
        <f>IF(G349="","",G349)</f>
        <v>0.11111111111111116</v>
      </c>
      <c r="H354" s="31">
        <f>IF(H349="","",H349)</f>
        <v>-0.030399999999999983</v>
      </c>
      <c r="I354" s="1"/>
      <c r="J354" s="1"/>
      <c r="K354" s="1"/>
      <c r="L354" s="1"/>
    </row>
    <row r="355" ht="14.624267578125">
      <c r="A355" s="1"/>
      <c r="B355" s="33" t="s">
        <v>191</v>
      </c>
      <c r="C355" s="22">
        <v>118</v>
      </c>
      <c r="D355" s="22">
        <v>119</v>
      </c>
      <c r="E355" s="2">
        <f>Inputs!C116+Inputs!D116+C355+D355</f>
        <v>452</v>
      </c>
      <c r="F355" s="22">
        <v>133</v>
      </c>
      <c r="G355" s="22">
        <v>116</v>
      </c>
      <c r="H355" s="29">
        <f>G355*(1+H356)</f>
        <v>112.52</v>
      </c>
      <c r="I355" s="1" t="s">
        <v>192</v>
      </c>
      <c r="J355" s="1"/>
      <c r="K355" s="1"/>
      <c r="L355" s="1"/>
    </row>
    <row r="356" ht="14.624267578125">
      <c r="A356" s="1"/>
      <c r="B356" s="19" t="s">
        <v>151</v>
      </c>
      <c r="C356" s="15">
        <f>IFERROR(IF(Inputs!D116&lt;=0,"n.m.",C355/Inputs!D116-1),"")</f>
        <v>0.10280373831775691</v>
      </c>
      <c r="D356" s="7">
        <f>IFERROR(IF(C355&lt;=0,"n.m.",D355/C355-1),"")</f>
        <v>0.008474576271186418</v>
      </c>
      <c r="E356" s="7"/>
      <c r="F356" s="7">
        <f>IFERROR(IF(D355&lt;=0,"n.m.",F355/D355-1),"")</f>
        <v>0.11764705882352944</v>
      </c>
      <c r="G356" s="7">
        <f>IFERROR(IF(F355&lt;=0,"n.m.",G355/F355-1),"")</f>
        <v>-0.1278195488721805</v>
      </c>
      <c r="H356" s="65">
        <v>-0.03</v>
      </c>
      <c r="I356" s="1"/>
      <c r="J356" s="1"/>
      <c r="K356" s="1"/>
      <c r="L356" s="1"/>
    </row>
    <row r="357" ht="14.624267578125">
      <c r="A357" s="1"/>
      <c r="B357" s="19" t="s">
        <v>138</v>
      </c>
      <c r="C357" s="7"/>
      <c r="D357" s="7"/>
      <c r="E357" s="7"/>
      <c r="F357" s="15">
        <f>IFERROR(IF(Inputs!C116&lt;=0,"n.m.",F355/Inputs!C116-1),"")</f>
        <v>0.2314814814814814</v>
      </c>
      <c r="G357" s="15">
        <f>IFERROR(IF(Inputs!D116&lt;=0,"n.m.",G355/Inputs!D116-1),"")</f>
        <v>0.08411214953271018</v>
      </c>
      <c r="H357" s="31">
        <f>IFERROR(IF(C355&lt;=0,"n.m.",H355/C355-1),"")</f>
        <v>-0.04644067796610174</v>
      </c>
      <c r="I357" s="1"/>
      <c r="J357" s="1"/>
      <c r="K357" s="1"/>
      <c r="L357" s="1"/>
    </row>
    <row r="358" ht="14.624267578125">
      <c r="A358" s="1"/>
      <c r="B358" s="33" t="s">
        <v>139</v>
      </c>
      <c r="C358" s="2">
        <f>C355-Inputs!D116</f>
        <v>11</v>
      </c>
      <c r="D358" s="11">
        <f>D355-C355</f>
        <v>1</v>
      </c>
      <c r="E358" s="11"/>
      <c r="F358" s="11">
        <f>F355-D355</f>
        <v>14</v>
      </c>
      <c r="G358" s="11">
        <f>G355-F355</f>
        <v>-17</v>
      </c>
      <c r="H358" s="29">
        <f>H355-G355</f>
        <v>-3.480000000000004</v>
      </c>
      <c r="I358" s="1"/>
      <c r="J358" s="1"/>
      <c r="K358" s="1"/>
      <c r="L358" s="1"/>
    </row>
    <row r="359" ht="14.624267578125">
      <c r="A359" s="1"/>
      <c r="B359" s="19" t="s">
        <v>104</v>
      </c>
      <c r="C359" s="38" t="s">
        <v>105</v>
      </c>
      <c r="D359" s="38" t="s">
        <v>105</v>
      </c>
      <c r="E359" s="38" t="s">
        <v>105</v>
      </c>
      <c r="F359" s="38" t="s">
        <v>105</v>
      </c>
      <c r="G359" s="38" t="s">
        <v>105</v>
      </c>
      <c r="H359" s="59" t="s">
        <v>105</v>
      </c>
      <c r="I359" s="1" t="s">
        <v>106</v>
      </c>
      <c r="J359" s="1"/>
      <c r="K359" s="1"/>
      <c r="L359" s="1"/>
    </row>
    <row r="360" ht="14.624267578125">
      <c r="A360" s="1"/>
      <c r="B360" s="19" t="s">
        <v>107</v>
      </c>
      <c r="C360" s="38" t="s">
        <v>105</v>
      </c>
      <c r="D360" s="38" t="s">
        <v>105</v>
      </c>
      <c r="E360" s="38" t="s">
        <v>105</v>
      </c>
      <c r="F360" s="38" t="s">
        <v>105</v>
      </c>
      <c r="G360" s="38" t="s">
        <v>105</v>
      </c>
      <c r="H360" s="59" t="s">
        <v>105</v>
      </c>
      <c r="I360" s="1" t="s">
        <v>108</v>
      </c>
      <c r="J360" s="1"/>
      <c r="K360" s="1"/>
      <c r="L360" s="1"/>
    </row>
    <row r="361" ht="14.624267578125">
      <c r="A361" s="1"/>
      <c r="B361" s="19" t="s">
        <v>109</v>
      </c>
      <c r="C361" s="38" t="s">
        <v>110</v>
      </c>
      <c r="D361" s="38" t="s">
        <v>110</v>
      </c>
      <c r="E361" s="38" t="s">
        <v>110</v>
      </c>
      <c r="F361" s="38" t="s">
        <v>110</v>
      </c>
      <c r="G361" s="38" t="s">
        <v>110</v>
      </c>
      <c r="H361" s="59" t="s">
        <v>110</v>
      </c>
      <c r="I361" s="1" t="s">
        <v>111</v>
      </c>
      <c r="J361" s="1"/>
      <c r="K361" s="1"/>
      <c r="L361" s="1"/>
    </row>
    <row r="362" ht="14.624267578125">
      <c r="A362" s="1"/>
      <c r="B362" s="19" t="s">
        <v>112</v>
      </c>
      <c r="C362" s="7"/>
      <c r="D362" s="7"/>
      <c r="E362" s="7"/>
      <c r="F362" s="7">
        <f>IF(F357="","",F357)</f>
        <v>0.2314814814814814</v>
      </c>
      <c r="G362" s="7">
        <f>IF(G357="","",G357)</f>
        <v>0.08411214953271018</v>
      </c>
      <c r="H362" s="31">
        <f>IF(H357="","",H357)</f>
        <v>-0.04644067796610174</v>
      </c>
      <c r="I362" s="1"/>
      <c r="J362" s="1"/>
      <c r="K362" s="1"/>
      <c r="L362" s="1"/>
    </row>
    <row r="363" ht="14.624267578125">
      <c r="A363" s="1"/>
      <c r="B363" s="33" t="s">
        <v>193</v>
      </c>
      <c r="C363" s="22">
        <v>103</v>
      </c>
      <c r="D363" s="22">
        <v>98</v>
      </c>
      <c r="E363" s="2">
        <f>Inputs!C117+Inputs!D117+C363+D363</f>
        <v>395</v>
      </c>
      <c r="F363" s="22">
        <v>118</v>
      </c>
      <c r="G363" s="22">
        <v>120</v>
      </c>
      <c r="H363" s="29">
        <f>G363*(1+H364)</f>
        <v>120</v>
      </c>
      <c r="I363" s="1"/>
      <c r="J363" s="1"/>
      <c r="K363" s="1"/>
      <c r="L363" s="1"/>
    </row>
    <row r="364" ht="14.624267578125">
      <c r="A364" s="1"/>
      <c r="B364" s="19" t="s">
        <v>151</v>
      </c>
      <c r="C364" s="15">
        <f>IFERROR(IF(Inputs!D117&lt;=0,"n.m.",C363/Inputs!D117-1),"")</f>
        <v>0.04040404040404044</v>
      </c>
      <c r="D364" s="7">
        <f>IFERROR(IF(C363&lt;=0,"n.m.",D363/C363-1),"")</f>
        <v>-0.04854368932038833</v>
      </c>
      <c r="E364" s="7"/>
      <c r="F364" s="7">
        <f>IFERROR(IF(D363&lt;=0,"n.m.",F363/D363-1),"")</f>
        <v>0.20408163265306123</v>
      </c>
      <c r="G364" s="7">
        <f>IFERROR(IF(F363&lt;=0,"n.m.",G363/F363-1),"")</f>
        <v>0.016949152542372836</v>
      </c>
      <c r="H364" s="107">
        <v>0</v>
      </c>
      <c r="I364" s="1"/>
      <c r="J364" s="1"/>
      <c r="K364" s="1"/>
      <c r="L364" s="1"/>
    </row>
    <row r="365" ht="14.624267578125">
      <c r="A365" s="1"/>
      <c r="B365" s="19" t="s">
        <v>138</v>
      </c>
      <c r="C365" s="7"/>
      <c r="D365" s="7"/>
      <c r="E365" s="7"/>
      <c r="F365" s="15">
        <f>IFERROR(IF(Inputs!C117&lt;=0,"n.m.",F363/Inputs!C117-1),"")</f>
        <v>0.24210526315789482</v>
      </c>
      <c r="G365" s="15">
        <f>IFERROR(IF(Inputs!D117&lt;=0,"n.m.",G363/Inputs!D117-1),"")</f>
        <v>0.21212121212121215</v>
      </c>
      <c r="H365" s="31">
        <f>IFERROR(IF(C363&lt;=0,"n.m.",H363/C363-1),"")</f>
        <v>0.16504854368932032</v>
      </c>
      <c r="I365" s="1"/>
      <c r="J365" s="1"/>
      <c r="K365" s="1"/>
      <c r="L365" s="1"/>
    </row>
    <row r="366" ht="14.624267578125">
      <c r="A366" s="1"/>
      <c r="B366" s="33" t="s">
        <v>139</v>
      </c>
      <c r="C366" s="2">
        <f>C363-Inputs!D117</f>
        <v>4</v>
      </c>
      <c r="D366" s="11">
        <f>D363-C363</f>
        <v>-5</v>
      </c>
      <c r="E366" s="11"/>
      <c r="F366" s="11">
        <f>F363-D363</f>
        <v>20</v>
      </c>
      <c r="G366" s="11">
        <f>G363-F363</f>
        <v>2</v>
      </c>
      <c r="H366" s="29">
        <f>H363-G363</f>
        <v>0</v>
      </c>
      <c r="I366" s="1"/>
      <c r="J366" s="1"/>
      <c r="K366" s="1"/>
      <c r="L366" s="1"/>
    </row>
    <row r="367" ht="14.624267578125">
      <c r="A367" s="1"/>
      <c r="B367" s="19" t="s">
        <v>104</v>
      </c>
      <c r="C367" s="38" t="s">
        <v>105</v>
      </c>
      <c r="D367" s="38" t="s">
        <v>105</v>
      </c>
      <c r="E367" s="38" t="s">
        <v>105</v>
      </c>
      <c r="F367" s="38" t="s">
        <v>105</v>
      </c>
      <c r="G367" s="38" t="s">
        <v>105</v>
      </c>
      <c r="H367" s="59" t="s">
        <v>105</v>
      </c>
      <c r="I367" s="1" t="s">
        <v>106</v>
      </c>
      <c r="J367" s="1"/>
      <c r="K367" s="1"/>
      <c r="L367" s="1"/>
    </row>
    <row r="368" ht="14.624267578125">
      <c r="A368" s="1"/>
      <c r="B368" s="19" t="s">
        <v>107</v>
      </c>
      <c r="C368" s="38" t="s">
        <v>105</v>
      </c>
      <c r="D368" s="38" t="s">
        <v>105</v>
      </c>
      <c r="E368" s="38" t="s">
        <v>105</v>
      </c>
      <c r="F368" s="38" t="s">
        <v>105</v>
      </c>
      <c r="G368" s="38" t="s">
        <v>105</v>
      </c>
      <c r="H368" s="59" t="s">
        <v>105</v>
      </c>
      <c r="I368" s="1" t="s">
        <v>108</v>
      </c>
      <c r="J368" s="1"/>
      <c r="K368" s="1"/>
      <c r="L368" s="1"/>
    </row>
    <row r="369" ht="14.624267578125">
      <c r="A369" s="1"/>
      <c r="B369" s="19" t="s">
        <v>109</v>
      </c>
      <c r="C369" s="38" t="s">
        <v>110</v>
      </c>
      <c r="D369" s="38" t="s">
        <v>110</v>
      </c>
      <c r="E369" s="38" t="s">
        <v>110</v>
      </c>
      <c r="F369" s="38" t="s">
        <v>110</v>
      </c>
      <c r="G369" s="38" t="s">
        <v>110</v>
      </c>
      <c r="H369" s="59" t="s">
        <v>110</v>
      </c>
      <c r="I369" s="1" t="s">
        <v>111</v>
      </c>
      <c r="J369" s="1"/>
      <c r="K369" s="1"/>
      <c r="L369" s="1"/>
    </row>
    <row r="370" ht="14.624267578125">
      <c r="A370" s="1"/>
      <c r="B370" s="19" t="s">
        <v>112</v>
      </c>
      <c r="C370" s="7"/>
      <c r="D370" s="7"/>
      <c r="E370" s="7"/>
      <c r="F370" s="7">
        <f>IF(F365="","",F365)</f>
        <v>0.24210526315789482</v>
      </c>
      <c r="G370" s="7">
        <f>IF(G365="","",G365)</f>
        <v>0.21212121212121215</v>
      </c>
      <c r="H370" s="31">
        <f>IF(H365="","",H365)</f>
        <v>0.16504854368932032</v>
      </c>
      <c r="I370" s="1"/>
      <c r="J370" s="1"/>
      <c r="K370" s="1"/>
      <c r="L370" s="1"/>
    </row>
    <row r="371" ht="14.624267578125">
      <c r="A371" s="1"/>
      <c r="B371" s="33" t="s">
        <v>194</v>
      </c>
      <c r="C371" s="102">
        <v>0</v>
      </c>
      <c r="D371" s="102">
        <v>0</v>
      </c>
      <c r="E371" s="2">
        <f>Inputs!C118+Inputs!D118+C371+D371</f>
        <v>-19</v>
      </c>
      <c r="F371" s="102">
        <v>0</v>
      </c>
      <c r="G371" s="102">
        <v>0</v>
      </c>
      <c r="H371" s="105">
        <v>0</v>
      </c>
      <c r="I371" s="1" t="s">
        <v>195</v>
      </c>
      <c r="J371" s="1"/>
      <c r="K371" s="1"/>
      <c r="L371" s="1"/>
    </row>
    <row r="372" ht="14.624267578125">
      <c r="A372" s="1"/>
      <c r="B372" s="19" t="s">
        <v>151</v>
      </c>
      <c r="C372" s="15" t="str">
        <f>IFERROR(IF(Inputs!D118&lt;=0,"n.m.",C371/Inputs!D118-1),"")</f>
        <v>n.m.</v>
      </c>
      <c r="D372" s="7" t="str">
        <f>IFERROR(IF(C371&lt;=0,"n.m.",D371/C371-1),"")</f>
        <v>n.m.</v>
      </c>
      <c r="E372" s="7"/>
      <c r="F372" s="7" t="str">
        <f>IFERROR(IF(D371&lt;=0,"n.m.",F371/D371-1),"")</f>
        <v>n.m.</v>
      </c>
      <c r="G372" s="7" t="str">
        <f>IFERROR(IF(F371&lt;=0,"n.m.",G371/F371-1),"")</f>
        <v>n.m.</v>
      </c>
      <c r="H372" s="31" t="str">
        <f>IFERROR(IF(G371&lt;=0,"n.m.",H371/G371-1),"")</f>
        <v>n.m.</v>
      </c>
      <c r="I372" s="1"/>
      <c r="J372" s="1"/>
      <c r="K372" s="1"/>
      <c r="L372" s="1"/>
    </row>
    <row r="373" ht="14.624267578125">
      <c r="A373" s="1"/>
      <c r="B373" s="19" t="s">
        <v>138</v>
      </c>
      <c r="C373" s="7"/>
      <c r="D373" s="7"/>
      <c r="E373" s="7"/>
      <c r="F373" s="15" t="str">
        <f>IFERROR(IF(Inputs!C118&lt;=0,"n.m.",F371/Inputs!C118-1),"")</f>
        <v>n.m.</v>
      </c>
      <c r="G373" s="15" t="str">
        <f>IFERROR(IF(Inputs!D118&lt;=0,"n.m.",G371/Inputs!D118-1),"")</f>
        <v>n.m.</v>
      </c>
      <c r="H373" s="31" t="str">
        <f>IFERROR(IF(C371&lt;=0,"n.m.",H371/C371-1),"")</f>
        <v>n.m.</v>
      </c>
      <c r="I373" s="1"/>
      <c r="J373" s="1"/>
      <c r="K373" s="1"/>
      <c r="L373" s="1"/>
    </row>
    <row r="374" ht="14.624267578125">
      <c r="A374" s="1"/>
      <c r="B374" s="33" t="s">
        <v>139</v>
      </c>
      <c r="C374" s="2">
        <f>C371-Inputs!D118</f>
        <v>18</v>
      </c>
      <c r="D374" s="11">
        <f>D371-C371</f>
        <v>0</v>
      </c>
      <c r="E374" s="11"/>
      <c r="F374" s="11">
        <f>F371-D371</f>
        <v>0</v>
      </c>
      <c r="G374" s="11">
        <f>G371-F371</f>
        <v>0</v>
      </c>
      <c r="H374" s="29">
        <f>H371-G371</f>
        <v>0</v>
      </c>
      <c r="I374" s="1"/>
      <c r="J374" s="1"/>
      <c r="K374" s="1"/>
      <c r="L374" s="1"/>
    </row>
    <row r="375" ht="14.624267578125">
      <c r="A375" s="1"/>
      <c r="B375" s="19" t="s">
        <v>104</v>
      </c>
      <c r="C375" s="38" t="s">
        <v>105</v>
      </c>
      <c r="D375" s="38" t="s">
        <v>105</v>
      </c>
      <c r="E375" s="38" t="s">
        <v>105</v>
      </c>
      <c r="F375" s="38" t="s">
        <v>105</v>
      </c>
      <c r="G375" s="38" t="s">
        <v>105</v>
      </c>
      <c r="H375" s="59" t="s">
        <v>105</v>
      </c>
      <c r="I375" s="1" t="s">
        <v>106</v>
      </c>
      <c r="J375" s="1"/>
      <c r="K375" s="1"/>
      <c r="L375" s="1"/>
    </row>
    <row r="376" ht="14.624267578125">
      <c r="A376" s="1"/>
      <c r="B376" s="19" t="s">
        <v>107</v>
      </c>
      <c r="C376" s="38" t="s">
        <v>105</v>
      </c>
      <c r="D376" s="38" t="s">
        <v>105</v>
      </c>
      <c r="E376" s="38" t="s">
        <v>105</v>
      </c>
      <c r="F376" s="38" t="s">
        <v>105</v>
      </c>
      <c r="G376" s="38" t="s">
        <v>105</v>
      </c>
      <c r="H376" s="59" t="s">
        <v>105</v>
      </c>
      <c r="I376" s="1" t="s">
        <v>108</v>
      </c>
      <c r="J376" s="1"/>
      <c r="K376" s="1"/>
      <c r="L376" s="1"/>
    </row>
    <row r="377" ht="14.624267578125">
      <c r="A377" s="1"/>
      <c r="B377" s="19" t="s">
        <v>109</v>
      </c>
      <c r="C377" s="38" t="s">
        <v>110</v>
      </c>
      <c r="D377" s="38" t="s">
        <v>110</v>
      </c>
      <c r="E377" s="38" t="s">
        <v>110</v>
      </c>
      <c r="F377" s="38" t="s">
        <v>110</v>
      </c>
      <c r="G377" s="38" t="s">
        <v>110</v>
      </c>
      <c r="H377" s="59" t="s">
        <v>110</v>
      </c>
      <c r="I377" s="1" t="s">
        <v>111</v>
      </c>
      <c r="J377" s="1"/>
      <c r="K377" s="1"/>
      <c r="L377" s="1"/>
    </row>
    <row r="378" ht="14.624267578125">
      <c r="A378" s="1"/>
      <c r="B378" s="19" t="s">
        <v>112</v>
      </c>
      <c r="C378" s="7"/>
      <c r="D378" s="7"/>
      <c r="E378" s="7"/>
      <c r="F378" s="7" t="str">
        <f>IF(F373="","",F373)</f>
        <v>n.m.</v>
      </c>
      <c r="G378" s="7" t="str">
        <f>IF(G373="","",G373)</f>
        <v>n.m.</v>
      </c>
      <c r="H378" s="31" t="str">
        <f>IF(H373="","",H373)</f>
        <v>n.m.</v>
      </c>
      <c r="I378" s="1"/>
      <c r="J378" s="1"/>
      <c r="K378" s="1"/>
      <c r="L378" s="1"/>
    </row>
    <row r="379" ht="14.624267578125">
      <c r="A379" s="1"/>
      <c r="B379" s="33" t="s">
        <v>196</v>
      </c>
      <c r="C379" s="22">
        <v>175</v>
      </c>
      <c r="D379" s="22">
        <v>172</v>
      </c>
      <c r="E379" s="2">
        <f>Inputs!C119+Inputs!D119+C379+D379</f>
        <v>670</v>
      </c>
      <c r="F379" s="22">
        <v>102</v>
      </c>
      <c r="G379" s="22">
        <v>208</v>
      </c>
      <c r="H379" s="47">
        <v>195</v>
      </c>
      <c r="I379" s="1" t="s">
        <v>197</v>
      </c>
      <c r="J379" s="1"/>
      <c r="K379" s="1"/>
      <c r="L379" s="1"/>
    </row>
    <row r="380" ht="14.624267578125">
      <c r="A380" s="1"/>
      <c r="B380" s="19" t="s">
        <v>151</v>
      </c>
      <c r="C380" s="15">
        <f>IFERROR(IF(Inputs!D119&lt;=0,"n.m.",C379/Inputs!D119-1),"")</f>
        <v>-0.125</v>
      </c>
      <c r="D380" s="7">
        <f>IFERROR(IF(C379&lt;=0,"n.m.",D379/C379-1),"")</f>
        <v>-0.017142857142857126</v>
      </c>
      <c r="E380" s="7"/>
      <c r="F380" s="7">
        <f>IFERROR(IF(D379&lt;=0,"n.m.",F379/D379-1),"")</f>
        <v>-0.40697674418604646</v>
      </c>
      <c r="G380" s="7">
        <f>IFERROR(IF(F379&lt;=0,"n.m.",G379/F379-1),"")</f>
        <v>1.0392156862745097</v>
      </c>
      <c r="H380" s="31">
        <f>IFERROR(IF(G379&lt;=0,"n.m.",H379/G379-1),"")</f>
        <v>-0.0625</v>
      </c>
      <c r="I380" s="1"/>
      <c r="J380" s="1"/>
      <c r="K380" s="1"/>
      <c r="L380" s="1"/>
    </row>
    <row r="381" ht="14.624267578125">
      <c r="A381" s="1"/>
      <c r="B381" s="19" t="s">
        <v>138</v>
      </c>
      <c r="C381" s="7"/>
      <c r="D381" s="7"/>
      <c r="E381" s="7"/>
      <c r="F381" s="15">
        <f>IFERROR(IF(Inputs!C119&lt;=0,"n.m.",F379/Inputs!C119-1),"")</f>
        <v>-0.1707317073170732</v>
      </c>
      <c r="G381" s="15">
        <f>IFERROR(IF(Inputs!D119&lt;=0,"n.m.",G379/Inputs!D119-1),"")</f>
        <v>0.040000000000000036</v>
      </c>
      <c r="H381" s="31">
        <f>IFERROR(IF(C379&lt;=0,"n.m.",H379/C379-1),"")</f>
        <v>0.11428571428571432</v>
      </c>
      <c r="I381" s="1"/>
      <c r="J381" s="1"/>
      <c r="K381" s="1"/>
      <c r="L381" s="1"/>
    </row>
    <row r="382" ht="14.624267578125">
      <c r="A382" s="1"/>
      <c r="B382" s="33" t="s">
        <v>139</v>
      </c>
      <c r="C382" s="2">
        <f>C379-Inputs!D119</f>
        <v>-25</v>
      </c>
      <c r="D382" s="11">
        <f>D379-C379</f>
        <v>-3</v>
      </c>
      <c r="E382" s="11"/>
      <c r="F382" s="11">
        <f>F379-D379</f>
        <v>-70</v>
      </c>
      <c r="G382" s="11">
        <f>G379-F379</f>
        <v>106</v>
      </c>
      <c r="H382" s="29">
        <f>H379-G379</f>
        <v>-13</v>
      </c>
      <c r="I382" s="1"/>
      <c r="J382" s="1"/>
      <c r="K382" s="1"/>
      <c r="L382" s="1"/>
    </row>
    <row r="383" ht="14.624267578125">
      <c r="A383" s="1"/>
      <c r="B383" s="19" t="s">
        <v>104</v>
      </c>
      <c r="C383" s="38" t="s">
        <v>105</v>
      </c>
      <c r="D383" s="38" t="s">
        <v>105</v>
      </c>
      <c r="E383" s="38" t="s">
        <v>105</v>
      </c>
      <c r="F383" s="38" t="s">
        <v>105</v>
      </c>
      <c r="G383" s="38" t="s">
        <v>105</v>
      </c>
      <c r="H383" s="59" t="s">
        <v>105</v>
      </c>
      <c r="I383" s="1" t="s">
        <v>106</v>
      </c>
      <c r="J383" s="1"/>
      <c r="K383" s="1"/>
      <c r="L383" s="1"/>
    </row>
    <row r="384" ht="14.624267578125">
      <c r="A384" s="1"/>
      <c r="B384" s="19" t="s">
        <v>107</v>
      </c>
      <c r="C384" s="38" t="s">
        <v>105</v>
      </c>
      <c r="D384" s="38" t="s">
        <v>105</v>
      </c>
      <c r="E384" s="38" t="s">
        <v>105</v>
      </c>
      <c r="F384" s="38" t="s">
        <v>105</v>
      </c>
      <c r="G384" s="38" t="s">
        <v>105</v>
      </c>
      <c r="H384" s="59" t="s">
        <v>105</v>
      </c>
      <c r="I384" s="1" t="s">
        <v>108</v>
      </c>
      <c r="J384" s="1"/>
      <c r="K384" s="1"/>
      <c r="L384" s="1"/>
    </row>
    <row r="385" ht="14.624267578125">
      <c r="A385" s="1"/>
      <c r="B385" s="19" t="s">
        <v>109</v>
      </c>
      <c r="C385" s="38" t="s">
        <v>110</v>
      </c>
      <c r="D385" s="38" t="s">
        <v>110</v>
      </c>
      <c r="E385" s="38" t="s">
        <v>110</v>
      </c>
      <c r="F385" s="38" t="s">
        <v>110</v>
      </c>
      <c r="G385" s="38" t="s">
        <v>110</v>
      </c>
      <c r="H385" s="59" t="s">
        <v>110</v>
      </c>
      <c r="I385" s="1" t="s">
        <v>111</v>
      </c>
      <c r="J385" s="1"/>
      <c r="K385" s="1"/>
      <c r="L385" s="1"/>
    </row>
    <row r="386" ht="14.624267578125">
      <c r="A386" s="1"/>
      <c r="B386" s="19" t="s">
        <v>112</v>
      </c>
      <c r="C386" s="7"/>
      <c r="D386" s="7"/>
      <c r="E386" s="7"/>
      <c r="F386" s="7">
        <f>IF(F381="","",F381)</f>
        <v>-0.1707317073170732</v>
      </c>
      <c r="G386" s="7">
        <f>IF(G381="","",G381)</f>
        <v>0.040000000000000036</v>
      </c>
      <c r="H386" s="31">
        <f>IF(H381="","",H381)</f>
        <v>0.11428571428571432</v>
      </c>
      <c r="I386" s="1"/>
      <c r="J386" s="1"/>
      <c r="K386" s="1"/>
      <c r="L386" s="1"/>
    </row>
    <row r="387" ht="14.624267578125">
      <c r="A387" s="1"/>
      <c r="B387" s="48" t="s">
        <v>198</v>
      </c>
      <c r="C387" s="50">
        <f>C323+C331+C339+C347+C355+C363+C371+C379</f>
        <v>1558</v>
      </c>
      <c r="D387" s="50">
        <f>D323+D331+D339+D347+D355+D363+D371+D379</f>
        <v>1546</v>
      </c>
      <c r="E387" s="50">
        <f>E323+E331+E339+E347+E355+E363+E371+E379</f>
        <v>5896</v>
      </c>
      <c r="F387" s="50">
        <f>F323+F331+F339+F347+F355+F363+F371+F379</f>
        <v>1553</v>
      </c>
      <c r="G387" s="50">
        <f>G323+G331+G339+G347+G355+G363+G371+G379</f>
        <v>1644</v>
      </c>
      <c r="H387" s="61">
        <f>H323+H331+H339+H347+H355+H363+H371+H379</f>
        <v>1639.293</v>
      </c>
      <c r="I387" s="1"/>
      <c r="J387" s="1"/>
      <c r="K387" s="1"/>
      <c r="L387" s="1"/>
    </row>
    <row r="388" ht="14.624267578125">
      <c r="A388" s="1"/>
      <c r="B388" s="19" t="s">
        <v>151</v>
      </c>
      <c r="C388" s="15">
        <f>IFERROR(IF((Inputs!D112+Inputs!D113+Inputs!D114+Inputs!D115+Inputs!D116+Inputs!D117+Inputs!D118+Inputs!D119)&lt;=0,"n.m.",C387/(Inputs!D112+Inputs!D113+Inputs!D114+Inputs!D115+Inputs!D116+Inputs!D117+Inputs!D118+Inputs!D119)-1),"")</f>
        <v>0.11285714285714277</v>
      </c>
      <c r="D388" s="7">
        <f>IFERROR(IF(C387&lt;=0,"n.m.",D387/C387-1),"")</f>
        <v>-0.007702182284980763</v>
      </c>
      <c r="E388" s="7"/>
      <c r="F388" s="7">
        <f>IFERROR(IF(D387&lt;=0,"n.m.",F387/D387-1),"")</f>
        <v>0.004527813712807305</v>
      </c>
      <c r="G388" s="7">
        <f>IFERROR(IF(F387&lt;=0,"n.m.",G387/F387-1),"")</f>
        <v>0.05859626529298123</v>
      </c>
      <c r="H388" s="31">
        <f>IFERROR(IF(G387&lt;=0,"n.m.",H387/G387-1),"")</f>
        <v>-0.0028631386861314168</v>
      </c>
      <c r="I388" s="1"/>
      <c r="J388" s="1"/>
      <c r="K388" s="1"/>
      <c r="L388" s="1"/>
    </row>
    <row r="389" ht="14.624267578125">
      <c r="A389" s="1"/>
      <c r="B389" s="19" t="s">
        <v>138</v>
      </c>
      <c r="C389" s="7"/>
      <c r="D389" s="7"/>
      <c r="E389" s="7"/>
      <c r="F389" s="15">
        <f>IFERROR(IF((Inputs!C112+Inputs!C113+Inputs!C114+Inputs!C115+Inputs!C116+Inputs!C117+Inputs!C118+Inputs!C119)&lt;=0,"n.m.",F387/(Inputs!C112+Inputs!C113+Inputs!C114+Inputs!C115+Inputs!C116+Inputs!C117+Inputs!C118+Inputs!C119)-1),"")</f>
        <v>0.11566091954022983</v>
      </c>
      <c r="G389" s="15">
        <f>IFERROR(IF((Inputs!D112+Inputs!D113+Inputs!D114+Inputs!D115+Inputs!D116+Inputs!D117+Inputs!D118+Inputs!D119)&lt;=0,"n.m.",G387/(Inputs!D112+Inputs!D113+Inputs!D114+Inputs!D115+Inputs!D116+Inputs!D117+Inputs!D118+Inputs!D119)-1),"")</f>
        <v>0.17428571428571438</v>
      </c>
      <c r="H389" s="31">
        <f>IFERROR(IF(C387&lt;=0,"n.m.",H387/C387-1),"")</f>
        <v>0.0521777920410782</v>
      </c>
      <c r="I389" s="1"/>
      <c r="J389" s="1"/>
      <c r="K389" s="1"/>
      <c r="L389" s="1"/>
    </row>
    <row r="390" ht="14.624267578125">
      <c r="A390" s="1"/>
      <c r="B390" s="19" t="s">
        <v>104</v>
      </c>
      <c r="C390" s="38" t="s">
        <v>105</v>
      </c>
      <c r="D390" s="38" t="s">
        <v>105</v>
      </c>
      <c r="E390" s="38" t="s">
        <v>105</v>
      </c>
      <c r="F390" s="38" t="s">
        <v>105</v>
      </c>
      <c r="G390" s="38" t="s">
        <v>105</v>
      </c>
      <c r="H390" s="59" t="s">
        <v>105</v>
      </c>
      <c r="I390" s="1" t="s">
        <v>106</v>
      </c>
      <c r="J390" s="1"/>
      <c r="K390" s="1"/>
      <c r="L390" s="1"/>
    </row>
    <row r="391" ht="14.624267578125">
      <c r="A391" s="1"/>
      <c r="B391" s="19" t="s">
        <v>107</v>
      </c>
      <c r="C391" s="38" t="s">
        <v>105</v>
      </c>
      <c r="D391" s="38" t="s">
        <v>105</v>
      </c>
      <c r="E391" s="38" t="s">
        <v>105</v>
      </c>
      <c r="F391" s="38" t="s">
        <v>105</v>
      </c>
      <c r="G391" s="38" t="s">
        <v>105</v>
      </c>
      <c r="H391" s="59" t="s">
        <v>105</v>
      </c>
      <c r="I391" s="1" t="s">
        <v>108</v>
      </c>
      <c r="J391" s="1"/>
      <c r="K391" s="1"/>
      <c r="L391" s="1"/>
    </row>
    <row r="392" ht="14.624267578125">
      <c r="A392" s="1"/>
      <c r="B392" s="19" t="s">
        <v>109</v>
      </c>
      <c r="C392" s="38" t="s">
        <v>110</v>
      </c>
      <c r="D392" s="38" t="s">
        <v>110</v>
      </c>
      <c r="E392" s="38" t="s">
        <v>110</v>
      </c>
      <c r="F392" s="38" t="s">
        <v>110</v>
      </c>
      <c r="G392" s="38" t="s">
        <v>110</v>
      </c>
      <c r="H392" s="59" t="s">
        <v>110</v>
      </c>
      <c r="I392" s="1" t="s">
        <v>111</v>
      </c>
      <c r="J392" s="1"/>
      <c r="K392" s="1"/>
      <c r="L392" s="1"/>
    </row>
    <row r="393" ht="14.624267578125">
      <c r="A393" s="1"/>
      <c r="B393" s="19" t="s">
        <v>112</v>
      </c>
      <c r="C393" s="7"/>
      <c r="D393" s="7"/>
      <c r="E393" s="7"/>
      <c r="F393" s="7">
        <f>IF(F389="","",F389)</f>
        <v>0.11566091954022983</v>
      </c>
      <c r="G393" s="7">
        <f>IF(G389="","",G389)</f>
        <v>0.17428571428571438</v>
      </c>
      <c r="H393" s="31">
        <f>IF(H389="","",H389)</f>
        <v>0.0521777920410782</v>
      </c>
      <c r="I393" s="1"/>
      <c r="J393" s="1"/>
      <c r="K393" s="1"/>
      <c r="L393" s="1"/>
    </row>
    <row r="394" ht="14.624267578125">
      <c r="A394" s="1"/>
      <c r="B394" s="19" t="s">
        <v>199</v>
      </c>
      <c r="C394" s="7">
        <f>IFERROR(C323/C387,"")</f>
        <v>0.24005134788189988</v>
      </c>
      <c r="D394" s="7">
        <f>IFERROR(D323/D387,"")</f>
        <v>0.23609314359637776</v>
      </c>
      <c r="E394" s="7">
        <f>IFERROR(E323/E387,"")</f>
        <v>0.2427069199457259</v>
      </c>
      <c r="F394" s="7">
        <f>IFERROR(F323/F387,"")</f>
        <v>0.23824855119124275</v>
      </c>
      <c r="G394" s="7">
        <f>IFERROR(G323/G387,"")</f>
        <v>0.2281021897810219</v>
      </c>
      <c r="H394" s="31">
        <f>IFERROR(H323/H387,"")</f>
        <v>0.2321885105347244</v>
      </c>
      <c r="I394" s="1"/>
      <c r="J394" s="1"/>
      <c r="K394" s="1"/>
      <c r="L394" s="1"/>
    </row>
    <row r="395" ht="23.24853515625">
      <c r="A395" s="1"/>
      <c r="B395" s="19" t="s">
        <v>200</v>
      </c>
      <c r="C395" s="7">
        <f>IFERROR(C331/C387,"")</f>
        <v>0.21822849807445444</v>
      </c>
      <c r="D395" s="7">
        <f>IFERROR(D331/D387,"")</f>
        <v>0.21733505821474774</v>
      </c>
      <c r="E395" s="7">
        <f>IFERROR(E331/E387,"")</f>
        <v>0.23066485753052918</v>
      </c>
      <c r="F395" s="7">
        <f>IFERROR(F331/F387,"")</f>
        <v>0.21764327108821635</v>
      </c>
      <c r="G395" s="7">
        <f>IFERROR(G331/G387,"")</f>
        <v>0.21472019464720193</v>
      </c>
      <c r="H395" s="31">
        <f>IFERROR(H331/H387,"")</f>
        <v>0.21964346825125222</v>
      </c>
      <c r="I395" s="1"/>
      <c r="J395" s="1"/>
      <c r="K395" s="1"/>
      <c r="L395" s="1"/>
    </row>
    <row r="396" ht="23.24853515625">
      <c r="A396" s="1"/>
      <c r="B396" s="19" t="s">
        <v>201</v>
      </c>
      <c r="C396" s="7">
        <f>IFERROR(C339/C387,"")</f>
        <v>0.2073170731707317</v>
      </c>
      <c r="D396" s="7">
        <f>IFERROR(D339/D387,"")</f>
        <v>0.2166882276843467</v>
      </c>
      <c r="E396" s="7">
        <f>IFERROR(E339/E387,"")</f>
        <v>0.1926729986431479</v>
      </c>
      <c r="F396" s="7">
        <f>IFERROR(F339/F387,"")</f>
        <v>0.23953638119768192</v>
      </c>
      <c r="G396" s="7">
        <f>IFERROR(G339/G387,"")</f>
        <v>0.2141119221411192</v>
      </c>
      <c r="H396" s="31">
        <f>IFERROR(H339/H387,"")</f>
        <v>0.21343835421733637</v>
      </c>
      <c r="I396" s="1"/>
      <c r="J396" s="1"/>
      <c r="K396" s="1"/>
      <c r="L396" s="1"/>
    </row>
    <row r="397" ht="14.624267578125">
      <c r="A397" s="1"/>
      <c r="B397" s="19" t="s">
        <v>202</v>
      </c>
      <c r="C397" s="7">
        <f>IFERROR(C347/C387,"")</f>
        <v>0.08023106546854943</v>
      </c>
      <c r="D397" s="7">
        <f>IFERROR(D347/D387,"")</f>
        <v>0.07826649417852523</v>
      </c>
      <c r="E397" s="7">
        <f>IFERROR(E347/E387,"")</f>
        <v>0.07988466757123473</v>
      </c>
      <c r="F397" s="7">
        <f>IFERROR(F347/F387,"")</f>
        <v>0.07726980038634901</v>
      </c>
      <c r="G397" s="7">
        <f>IFERROR(G347/G387,"")</f>
        <v>0.072992700729927</v>
      </c>
      <c r="H397" s="31">
        <f>IFERROR(H347/H387,"")</f>
        <v>0.07393431192593393</v>
      </c>
      <c r="I397" s="1"/>
      <c r="J397" s="1"/>
      <c r="K397" s="1"/>
      <c r="L397" s="1"/>
    </row>
    <row r="398" ht="14.624267578125">
      <c r="A398" s="1"/>
      <c r="B398" s="19" t="s">
        <v>203</v>
      </c>
      <c r="C398" s="7">
        <f>IFERROR(C355/C387,"")</f>
        <v>0.07573812580231065</v>
      </c>
      <c r="D398" s="7">
        <f>IFERROR(D355/D387,"")</f>
        <v>0.07697283311772316</v>
      </c>
      <c r="E398" s="7">
        <f>IFERROR(E355/E387,"")</f>
        <v>0.07666214382632293</v>
      </c>
      <c r="F398" s="7">
        <f>IFERROR(F355/F387,"")</f>
        <v>0.08564069542820348</v>
      </c>
      <c r="G398" s="7">
        <f>IFERROR(G355/G387,"")</f>
        <v>0.0705596107055961</v>
      </c>
      <c r="H398" s="31">
        <f>IFERROR(H355/H387,"")</f>
        <v>0.06863934635236044</v>
      </c>
      <c r="I398" s="1"/>
      <c r="J398" s="1"/>
      <c r="K398" s="1"/>
      <c r="L398" s="1"/>
    </row>
    <row r="399" ht="14.624267578125">
      <c r="A399" s="1"/>
      <c r="B399" s="19" t="s">
        <v>204</v>
      </c>
      <c r="C399" s="7">
        <f>IFERROR(C363/C387,"")</f>
        <v>0.06611039794608473</v>
      </c>
      <c r="D399" s="7">
        <f>IFERROR(D363/D387,"")</f>
        <v>0.06338939197930142</v>
      </c>
      <c r="E399" s="7">
        <f>IFERROR(E363/E387,"")</f>
        <v>0.06699457259158752</v>
      </c>
      <c r="F399" s="7">
        <f>IFERROR(F363/F387,"")</f>
        <v>0.07598197037990985</v>
      </c>
      <c r="G399" s="7">
        <f>IFERROR(G363/G387,"")</f>
        <v>0.072992700729927</v>
      </c>
      <c r="H399" s="31">
        <f>IFERROR(H363/H387,"")</f>
        <v>0.07320228903557814</v>
      </c>
      <c r="I399" s="1"/>
      <c r="J399" s="1"/>
      <c r="K399" s="1"/>
      <c r="L399" s="1"/>
    </row>
    <row r="400" ht="23.25">
      <c r="A400" s="1"/>
      <c r="B400" s="19" t="s">
        <v>205</v>
      </c>
      <c r="C400" s="7">
        <f>IFERROR(C371/C387,"")</f>
        <v>0</v>
      </c>
      <c r="D400" s="7">
        <f>IFERROR(D371/D387,"")</f>
        <v>0</v>
      </c>
      <c r="E400" s="7">
        <f>IFERROR(E371/E387,"")</f>
        <v>-0.0032225237449118047</v>
      </c>
      <c r="F400" s="7">
        <f>IFERROR(F371/F387,"")</f>
        <v>0</v>
      </c>
      <c r="G400" s="7">
        <f>IFERROR(G371/G387,"")</f>
        <v>0</v>
      </c>
      <c r="H400" s="31">
        <f>IFERROR(H371/H387,"")</f>
        <v>0</v>
      </c>
      <c r="I400" s="1" t="s">
        <v>206</v>
      </c>
      <c r="J400" s="1"/>
      <c r="K400" s="1"/>
      <c r="L400" s="1"/>
    </row>
    <row r="401" ht="14.624267578125">
      <c r="A401" s="1"/>
      <c r="B401" s="19" t="s">
        <v>207</v>
      </c>
      <c r="C401" s="7">
        <f>IFERROR(C379/C387,"")</f>
        <v>0.1123234916559692</v>
      </c>
      <c r="D401" s="7">
        <f>IFERROR(D379/D387,"")</f>
        <v>0.111254851228978</v>
      </c>
      <c r="E401" s="7">
        <f>IFERROR(E379/E387,"")</f>
        <v>0.11363636363636363</v>
      </c>
      <c r="F401" s="7">
        <f>IFERROR(F379/F387,"")</f>
        <v>0.06567933032839665</v>
      </c>
      <c r="G401" s="7">
        <f>IFERROR(G379/G387,"")</f>
        <v>0.12652068126520682</v>
      </c>
      <c r="H401" s="31">
        <f>IFERROR(H379/H387,"")</f>
        <v>0.11895371968281448</v>
      </c>
      <c r="I401" s="1"/>
      <c r="J401" s="1"/>
      <c r="K401" s="1"/>
      <c r="L401" s="1"/>
    </row>
    <row r="402" ht="14.624267578125">
      <c r="A402" s="1"/>
      <c r="B402" s="33" t="s">
        <v>208</v>
      </c>
      <c r="C402" s="22">
        <v>1558</v>
      </c>
      <c r="D402" s="22">
        <v>1546</v>
      </c>
      <c r="E402" s="22">
        <v>5896</v>
      </c>
      <c r="F402" s="22">
        <v>1553</v>
      </c>
      <c r="G402" s="22">
        <v>1644</v>
      </c>
      <c r="H402" s="29"/>
      <c r="I402" s="1"/>
      <c r="J402" s="1"/>
      <c r="K402" s="1"/>
      <c r="L402" s="1"/>
    </row>
    <row r="403" ht="14.624267578125">
      <c r="A403" s="1"/>
      <c r="B403" s="19" t="s">
        <v>209</v>
      </c>
      <c r="C403" s="38">
        <f>C387-C402</f>
        <v>0</v>
      </c>
      <c r="D403" s="38">
        <f>D387-D402</f>
        <v>0</v>
      </c>
      <c r="E403" s="38">
        <f>E387-E402</f>
        <v>0</v>
      </c>
      <c r="F403" s="38">
        <f>F387-F402</f>
        <v>0</v>
      </c>
      <c r="G403" s="38">
        <f>G387-G402</f>
        <v>0</v>
      </c>
      <c r="H403" s="59"/>
      <c r="I403" s="1"/>
      <c r="J403" s="1"/>
      <c r="K403" s="1"/>
      <c r="L403" s="1"/>
    </row>
    <row r="404">
      <c r="A404" s="1"/>
      <c r="B404" s="33"/>
      <c r="C404" s="18"/>
      <c r="D404" s="18"/>
      <c r="E404" s="18"/>
      <c r="F404" s="18"/>
      <c r="G404" s="18"/>
      <c r="H404" s="45"/>
      <c r="I404" s="1"/>
      <c r="J404" s="1"/>
      <c r="K404" s="1"/>
      <c r="L404" s="1"/>
    </row>
    <row r="405">
      <c r="A405" s="1"/>
      <c r="B405" s="33"/>
      <c r="C405" s="18"/>
      <c r="D405" s="18"/>
      <c r="E405" s="18"/>
      <c r="F405" s="18"/>
      <c r="G405" s="18"/>
      <c r="H405" s="45"/>
      <c r="I405" s="1"/>
      <c r="J405" s="1"/>
      <c r="K405" s="1"/>
      <c r="L405" s="1"/>
    </row>
    <row r="406">
      <c r="A406" s="1"/>
      <c r="B406" s="33"/>
      <c r="C406" s="18"/>
      <c r="D406" s="18"/>
      <c r="E406" s="18"/>
      <c r="F406" s="18"/>
      <c r="G406" s="18"/>
      <c r="H406" s="45"/>
      <c r="I406" s="1"/>
      <c r="J406" s="1"/>
      <c r="K406" s="1"/>
      <c r="L406" s="1"/>
    </row>
    <row r="407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</row>
    <row r="408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</row>
    <row r="409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</row>
    <row r="41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</row>
    <row r="4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</row>
    <row r="41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</row>
    <row r="4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dimension ref="A1:L115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8" width="12" customWidth="1"/>
    <col min="9" max="9" width="7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>
      <c r="A2" s="1"/>
      <c r="B2" s="2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>
      <c r="A3" s="1"/>
      <c r="B3" s="12" t="s">
        <v>210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>
      <c r="A4" s="1"/>
      <c r="B4" s="8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>
      <c r="A6" s="1"/>
      <c r="B6" s="49" t="s">
        <v>76</v>
      </c>
      <c r="C6" s="17" t="s">
        <v>77</v>
      </c>
      <c r="D6" s="17" t="s">
        <v>78</v>
      </c>
      <c r="E6" s="17" t="s">
        <v>79</v>
      </c>
      <c r="F6" s="17" t="s">
        <v>80</v>
      </c>
      <c r="G6" s="17" t="s">
        <v>81</v>
      </c>
      <c r="H6" s="17" t="s">
        <v>82</v>
      </c>
      <c r="I6" s="49" t="s">
        <v>83</v>
      </c>
      <c r="J6" s="1"/>
      <c r="K6" s="1"/>
      <c r="L6" s="1"/>
    </row>
    <row r="7">
      <c r="A7" s="1"/>
      <c r="B7" s="54" t="s">
        <v>84</v>
      </c>
      <c r="C7" s="37">
        <f>DATE(2025,9,30)</f>
        <v>45930</v>
      </c>
      <c r="D7" s="37">
        <f>DATE(2025,12,31)</f>
        <v>46022</v>
      </c>
      <c r="E7" s="37">
        <f>DATE(2025,12,31)</f>
        <v>46022</v>
      </c>
      <c r="F7" s="37">
        <f>DATE(2026,3,31)</f>
        <v>46112</v>
      </c>
      <c r="G7" s="37">
        <f>DATE(2026,6,30)</f>
        <v>46203</v>
      </c>
      <c r="H7" s="37">
        <f>DATE(2026,9,30)</f>
        <v>46295</v>
      </c>
      <c r="I7" s="30"/>
      <c r="J7" s="1"/>
      <c r="K7" s="1"/>
      <c r="L7" s="1"/>
    </row>
    <row r="8">
      <c r="A8" s="1"/>
      <c r="B8" s="40" t="s">
        <v>85</v>
      </c>
      <c r="C8" s="27">
        <f>C7-DATE(2025,6,30)</f>
        <v>92</v>
      </c>
      <c r="D8" s="27">
        <f>D7-DATE(2025,9,30)</f>
        <v>92</v>
      </c>
      <c r="E8" s="27">
        <f>E7-DATE(2024,12,31)</f>
        <v>365</v>
      </c>
      <c r="F8" s="27">
        <f>F7-DATE(2025,12,31)</f>
        <v>90</v>
      </c>
      <c r="G8" s="27">
        <f>G7-DATE(2026,3,31)</f>
        <v>91</v>
      </c>
      <c r="H8" s="27">
        <f>H7-DATE(2026,6,30)</f>
        <v>92</v>
      </c>
      <c r="I8" s="58"/>
      <c r="J8" s="1"/>
      <c r="K8" s="1"/>
      <c r="L8" s="1"/>
    </row>
    <row r="9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ht="14.624267578125">
      <c r="A10" s="1"/>
      <c r="B10" s="57" t="s">
        <v>211</v>
      </c>
      <c r="C10" s="18"/>
      <c r="D10" s="18"/>
      <c r="E10" s="18"/>
      <c r="F10" s="18"/>
      <c r="G10" s="18"/>
      <c r="H10" s="45"/>
      <c r="I10" s="1"/>
      <c r="J10" s="1"/>
      <c r="K10" s="1"/>
      <c r="L10" s="1"/>
    </row>
    <row r="11" ht="14.624267578125">
      <c r="A11" s="1"/>
      <c r="B11" s="33" t="s">
        <v>212</v>
      </c>
      <c r="C11" s="22">
        <v>134.3</v>
      </c>
      <c r="D11" s="22">
        <v>134.8</v>
      </c>
      <c r="E11" s="2">
        <f>AVERAGE(Inputs!C204,Inputs!D204,C11,D11)</f>
        <v>132</v>
      </c>
      <c r="F11" s="22">
        <v>132.9</v>
      </c>
      <c r="G11" s="22">
        <v>133</v>
      </c>
      <c r="H11" s="29">
        <f>G11*(1+H12)</f>
        <v>133</v>
      </c>
      <c r="I11" s="1" t="s">
        <v>213</v>
      </c>
      <c r="J11" s="1"/>
      <c r="K11" s="1"/>
      <c r="L11" s="1"/>
    </row>
    <row r="12" ht="14.624267578125">
      <c r="A12" s="1"/>
      <c r="B12" s="19" t="s">
        <v>136</v>
      </c>
      <c r="C12" s="15">
        <f>IFERROR(IF(Inputs!D204&lt;=0,"n.m.",C11/Inputs!D204-1),"")</f>
        <v>0.023628048780488076</v>
      </c>
      <c r="D12" s="7">
        <f>IFERROR(IF(C11&lt;=0,"n.m.",D11/C11-1),"")</f>
        <v>0.0037230081906181045</v>
      </c>
      <c r="E12" s="7"/>
      <c r="F12" s="7">
        <f>IFERROR(IF(D11&lt;=0,"n.m.",F11/D11-1),"")</f>
        <v>-0.014094955489614258</v>
      </c>
      <c r="G12" s="7">
        <f>IFERROR(IF(F11&lt;=0,"n.m.",G11/F11-1),"")</f>
        <v>0.0007524454477050302</v>
      </c>
      <c r="H12" s="107">
        <v>0</v>
      </c>
      <c r="I12" s="1" t="s">
        <v>214</v>
      </c>
      <c r="J12" s="1"/>
      <c r="K12" s="1"/>
      <c r="L12" s="1"/>
    </row>
    <row r="13" ht="14.624267578125">
      <c r="A13" s="1"/>
      <c r="B13" s="19" t="s">
        <v>138</v>
      </c>
      <c r="C13" s="7"/>
      <c r="D13" s="7"/>
      <c r="E13" s="7"/>
      <c r="F13" s="15">
        <f>IFERROR(IF(Inputs!C204&lt;=0,"n.m.",F11/Inputs!C204-1),"")</f>
        <v>0.040720438527799496</v>
      </c>
      <c r="G13" s="15">
        <f>IFERROR(IF(Inputs!D204&lt;=0,"n.m.",G11/Inputs!D204-1),"")</f>
        <v>0.01371951219512213</v>
      </c>
      <c r="H13" s="31">
        <f>IFERROR(IF(C11&lt;=0,"n.m.",H11/C11-1),"")</f>
        <v>-0.00967982129560696</v>
      </c>
      <c r="I13" s="1"/>
      <c r="J13" s="1"/>
      <c r="K13" s="1"/>
      <c r="L13" s="1"/>
    </row>
    <row r="14" ht="14.624267578125">
      <c r="A14" s="1"/>
      <c r="B14" s="33" t="s">
        <v>215</v>
      </c>
      <c r="C14" s="2">
        <f>C11-Inputs!D204</f>
        <v>3.1000000000000227</v>
      </c>
      <c r="D14" s="11">
        <f>D11-C11</f>
        <v>0.5</v>
      </c>
      <c r="E14" s="11"/>
      <c r="F14" s="11">
        <f>F11-D11</f>
        <v>-1.9000000000000057</v>
      </c>
      <c r="G14" s="11">
        <f>G11-F11</f>
        <v>0.09999999999999432</v>
      </c>
      <c r="H14" s="29">
        <f>H11-G11</f>
        <v>0</v>
      </c>
      <c r="I14" s="1"/>
      <c r="J14" s="1"/>
      <c r="K14" s="1"/>
      <c r="L14" s="1"/>
    </row>
    <row r="15" ht="14.624267578125">
      <c r="A15" s="1"/>
      <c r="B15" s="33" t="s">
        <v>216</v>
      </c>
      <c r="C15" s="22">
        <v>214.4</v>
      </c>
      <c r="D15" s="22">
        <v>213.2</v>
      </c>
      <c r="E15" s="2">
        <f>AVERAGE(Inputs!C205,Inputs!D205,C15,D15)</f>
        <v>212.875</v>
      </c>
      <c r="F15" s="22">
        <v>213.4</v>
      </c>
      <c r="G15" s="22">
        <v>217</v>
      </c>
      <c r="H15" s="29">
        <f>G15*(1+H16)</f>
        <v>219.17000000000002</v>
      </c>
      <c r="I15" s="1" t="s">
        <v>213</v>
      </c>
      <c r="J15" s="1"/>
      <c r="K15" s="1"/>
      <c r="L15" s="1"/>
    </row>
    <row r="16" ht="14.624267578125">
      <c r="A16" s="1"/>
      <c r="B16" s="19" t="s">
        <v>136</v>
      </c>
      <c r="C16" s="15">
        <f>IFERROR(IF(Inputs!D205&lt;=0,"n.m.",C15/Inputs!D205-1),"")</f>
        <v>0.0032756200280767978</v>
      </c>
      <c r="D16" s="7">
        <f>IFERROR(IF(C15&lt;=0,"n.m.",D15/C15-1),"")</f>
        <v>-0.005597014925373234</v>
      </c>
      <c r="E16" s="7"/>
      <c r="F16" s="7">
        <f>IFERROR(IF(D15&lt;=0,"n.m.",F15/D15-1),"")</f>
        <v>0.0009380863039401</v>
      </c>
      <c r="G16" s="7">
        <f>IFERROR(IF(F15&lt;=0,"n.m.",G15/F15-1),"")</f>
        <v>0.016869728209934376</v>
      </c>
      <c r="H16" s="65">
        <v>0.01</v>
      </c>
      <c r="I16" s="1"/>
      <c r="J16" s="1"/>
      <c r="K16" s="1"/>
      <c r="L16" s="1"/>
    </row>
    <row r="17" ht="14.624267578125">
      <c r="A17" s="1"/>
      <c r="B17" s="19" t="s">
        <v>138</v>
      </c>
      <c r="C17" s="7"/>
      <c r="D17" s="7"/>
      <c r="E17" s="7"/>
      <c r="F17" s="15">
        <f>IFERROR(IF(Inputs!C205&lt;=0,"n.m.",F15/Inputs!C205-1),"")</f>
        <v>0.015223596574690745</v>
      </c>
      <c r="G17" s="15">
        <f>IFERROR(IF(Inputs!D205&lt;=0,"n.m.",G15/Inputs!D205-1),"")</f>
        <v>0.015442208703790428</v>
      </c>
      <c r="H17" s="31">
        <f>IFERROR(IF(C15&lt;=0,"n.m.",H15/C15-1),"")</f>
        <v>0.02224813432835826</v>
      </c>
      <c r="I17" s="1"/>
      <c r="J17" s="1"/>
      <c r="K17" s="1"/>
      <c r="L17" s="1"/>
    </row>
    <row r="18" ht="14.624267578125">
      <c r="A18" s="1"/>
      <c r="B18" s="33" t="s">
        <v>215</v>
      </c>
      <c r="C18" s="2">
        <f>C15-Inputs!D205</f>
        <v>0.700000000000017</v>
      </c>
      <c r="D18" s="11">
        <f>D15-C15</f>
        <v>-1.200000000000017</v>
      </c>
      <c r="E18" s="11"/>
      <c r="F18" s="11">
        <f>F15-D15</f>
        <v>0.20000000000001705</v>
      </c>
      <c r="G18" s="11">
        <f>G15-F15</f>
        <v>3.5999999999999943</v>
      </c>
      <c r="H18" s="29">
        <f>H15-G15</f>
        <v>2.170000000000016</v>
      </c>
      <c r="I18" s="1"/>
      <c r="J18" s="1"/>
      <c r="K18" s="1"/>
      <c r="L18" s="1"/>
    </row>
    <row r="19" ht="14.624267578125">
      <c r="A19" s="1"/>
      <c r="B19" s="19" t="s">
        <v>217</v>
      </c>
      <c r="C19" s="7">
        <f>IFERROR(C11/C15,"")</f>
        <v>0.6263992537313433</v>
      </c>
      <c r="D19" s="7">
        <f>IFERROR(D11/D15,"")</f>
        <v>0.6322701688555348</v>
      </c>
      <c r="E19" s="7">
        <f>IFERROR(E11/E15,"")</f>
        <v>0.6200822078684675</v>
      </c>
      <c r="F19" s="7">
        <f>IFERROR(F11/F15,"")</f>
        <v>0.6227741330834115</v>
      </c>
      <c r="G19" s="7">
        <f>IFERROR(G11/G15,"")</f>
        <v>0.6129032258064516</v>
      </c>
      <c r="H19" s="31">
        <f>IFERROR(H11/H15,"")</f>
        <v>0.6068348770360906</v>
      </c>
      <c r="I19" s="1"/>
      <c r="J19" s="1"/>
      <c r="K19" s="1"/>
      <c r="L19" s="1"/>
    </row>
    <row r="20" ht="14.624267578125">
      <c r="A20" s="1"/>
      <c r="B20" s="33" t="s">
        <v>99</v>
      </c>
      <c r="C20" s="26"/>
      <c r="D20" s="26">
        <f>IFERROR((D19-C19)*10000,"")</f>
        <v>58.70915124191467</v>
      </c>
      <c r="E20" s="26"/>
      <c r="F20" s="26">
        <f>IFERROR((F19-D19)*10000,"")</f>
        <v>-94.96035772123324</v>
      </c>
      <c r="G20" s="26">
        <f>IFERROR((G19-F19)*10000,"")</f>
        <v>-98.70907276959828</v>
      </c>
      <c r="H20" s="60">
        <f>IFERROR((H19-G19)*10000,"")</f>
        <v>-60.683487703609984</v>
      </c>
      <c r="I20" s="1"/>
      <c r="J20" s="1"/>
      <c r="K20" s="1"/>
      <c r="L20" s="1"/>
    </row>
    <row r="21" ht="14.624267578125">
      <c r="A21" s="1"/>
      <c r="B21" s="33" t="s">
        <v>132</v>
      </c>
      <c r="C21" s="26"/>
      <c r="D21" s="26"/>
      <c r="E21" s="26"/>
      <c r="F21" s="56">
        <f>IFERROR((F19-(Inputs!C204/Inputs!C205))*10000,"")</f>
        <v>152.5748227465784</v>
      </c>
      <c r="G21" s="56">
        <f>IFERROR((G19-(Inputs!D204/Inputs!D205))*10000,"")</f>
        <v>-10.415565987893505</v>
      </c>
      <c r="H21" s="60">
        <f>IFERROR((H19-C19)*10000,"")</f>
        <v>-195.64376695252685</v>
      </c>
      <c r="I21" s="1"/>
      <c r="J21" s="1"/>
      <c r="K21" s="1"/>
      <c r="L21" s="1"/>
    </row>
    <row r="22">
      <c r="A22" s="1"/>
      <c r="B22" s="33"/>
      <c r="C22" s="18"/>
      <c r="D22" s="18"/>
      <c r="E22" s="18"/>
      <c r="F22" s="18"/>
      <c r="G22" s="18"/>
      <c r="H22" s="45"/>
      <c r="I22" s="1"/>
      <c r="J22" s="1"/>
      <c r="K22" s="1"/>
      <c r="L22" s="1"/>
    </row>
    <row r="23" ht="14.624267578125">
      <c r="A23" s="1"/>
      <c r="B23" s="57" t="s">
        <v>218</v>
      </c>
      <c r="C23" s="18"/>
      <c r="D23" s="18"/>
      <c r="E23" s="18"/>
      <c r="F23" s="18"/>
      <c r="G23" s="18"/>
      <c r="H23" s="45"/>
      <c r="I23" s="1"/>
      <c r="J23" s="1"/>
      <c r="K23" s="1"/>
      <c r="L23" s="1"/>
    </row>
    <row r="24" ht="14.624267578125">
      <c r="A24" s="1"/>
      <c r="B24" s="33" t="s">
        <v>219</v>
      </c>
      <c r="C24" s="22">
        <v>1570</v>
      </c>
      <c r="D24" s="22">
        <v>1622</v>
      </c>
      <c r="E24" s="2">
        <f>Inputs!C195+Inputs!D195+C24+D24</f>
        <v>6123</v>
      </c>
      <c r="F24" s="22">
        <v>1605</v>
      </c>
      <c r="G24" s="22">
        <v>1624</v>
      </c>
      <c r="H24" s="29">
        <f>H32-H28</f>
        <v>1675.9215966280296</v>
      </c>
      <c r="I24" s="1" t="s">
        <v>220</v>
      </c>
      <c r="J24" s="1"/>
      <c r="K24" s="1"/>
      <c r="L24" s="1"/>
    </row>
    <row r="25" ht="14.624267578125">
      <c r="A25" s="1"/>
      <c r="B25" s="19" t="s">
        <v>151</v>
      </c>
      <c r="C25" s="15">
        <f>IFERROR(IF(Inputs!D195&lt;=0,"n.m.",C24/Inputs!D195-1),"")</f>
        <v>0.04946524064171132</v>
      </c>
      <c r="D25" s="7">
        <f>IFERROR(IF(C24&lt;=0,"n.m.",D24/C24-1),"")</f>
        <v>0.03312101910828025</v>
      </c>
      <c r="E25" s="7"/>
      <c r="F25" s="7">
        <f>IFERROR(IF(D24&lt;=0,"n.m.",F24/D24-1),"")</f>
        <v>-0.010480887792848281</v>
      </c>
      <c r="G25" s="7">
        <f>IFERROR(IF(F24&lt;=0,"n.m.",G24/F24-1),"")</f>
        <v>0.011838006230529663</v>
      </c>
      <c r="H25" s="31">
        <f>IFERROR(IF(G24&lt;=0,"n.m.",H24/G24-1),"")</f>
        <v>0.0319714264950921</v>
      </c>
      <c r="I25" s="1"/>
      <c r="J25" s="1"/>
      <c r="K25" s="1"/>
      <c r="L25" s="1"/>
    </row>
    <row r="26" ht="14.624267578125">
      <c r="A26" s="1"/>
      <c r="B26" s="19" t="s">
        <v>138</v>
      </c>
      <c r="C26" s="7"/>
      <c r="D26" s="7"/>
      <c r="E26" s="7"/>
      <c r="F26" s="15">
        <f>IFERROR(IF(Inputs!C195&lt;=0,"n.m.",F24/Inputs!C195-1),"")</f>
        <v>0.11846689895470375</v>
      </c>
      <c r="G26" s="15">
        <f>IFERROR(IF(Inputs!D195&lt;=0,"n.m.",G24/Inputs!D195-1),"")</f>
        <v>0.0855614973262031</v>
      </c>
      <c r="H26" s="31">
        <f>IFERROR(IF(C24&lt;=0,"n.m.",H24/C24-1),"")</f>
        <v>0.06746598511339474</v>
      </c>
      <c r="I26" s="1"/>
      <c r="J26" s="1"/>
      <c r="K26" s="1"/>
      <c r="L26" s="1"/>
    </row>
    <row r="27" ht="14.624267578125">
      <c r="A27" s="1"/>
      <c r="B27" s="33" t="s">
        <v>139</v>
      </c>
      <c r="C27" s="2">
        <f>C24-Inputs!D195</f>
        <v>74</v>
      </c>
      <c r="D27" s="11">
        <f>D24-C24</f>
        <v>52</v>
      </c>
      <c r="E27" s="11"/>
      <c r="F27" s="11">
        <f>F24-D24</f>
        <v>-17</v>
      </c>
      <c r="G27" s="11">
        <f>G24-F24</f>
        <v>19</v>
      </c>
      <c r="H27" s="29">
        <f>H24-G24</f>
        <v>51.92159662802965</v>
      </c>
      <c r="I27" s="1"/>
      <c r="J27" s="1"/>
      <c r="K27" s="1"/>
      <c r="L27" s="1"/>
    </row>
    <row r="28" ht="14.624267578125">
      <c r="A28" s="1"/>
      <c r="B28" s="33" t="s">
        <v>221</v>
      </c>
      <c r="C28" s="22">
        <v>851</v>
      </c>
      <c r="D28" s="22">
        <v>863</v>
      </c>
      <c r="E28" s="2">
        <f>Inputs!C196+Inputs!D196+C28+D28</f>
        <v>3355</v>
      </c>
      <c r="F28" s="22">
        <v>889</v>
      </c>
      <c r="G28" s="22">
        <v>980</v>
      </c>
      <c r="H28" s="29">
        <f>G28*H$8/G$8</f>
        <v>990.7692307692307</v>
      </c>
      <c r="I28" s="1" t="s">
        <v>222</v>
      </c>
      <c r="J28" s="1"/>
      <c r="K28" s="1"/>
      <c r="L28" s="1"/>
    </row>
    <row r="29" ht="14.624267578125">
      <c r="A29" s="1"/>
      <c r="B29" s="19" t="s">
        <v>151</v>
      </c>
      <c r="C29" s="15">
        <f>IFERROR(IF(Inputs!D196&lt;=0,"n.m.",C28/Inputs!D196-1),"")</f>
        <v>0.02777777777777768</v>
      </c>
      <c r="D29" s="7">
        <f>IFERROR(IF(C28&lt;=0,"n.m.",D28/C28-1),"")</f>
        <v>0.014101057579318343</v>
      </c>
      <c r="E29" s="7"/>
      <c r="F29" s="7">
        <f>IFERROR(IF(D28&lt;=0,"n.m.",F28/D28-1),"")</f>
        <v>0.030127462340671984</v>
      </c>
      <c r="G29" s="7">
        <f>IFERROR(IF(F28&lt;=0,"n.m.",G28/F28-1),"")</f>
        <v>0.10236220472440949</v>
      </c>
      <c r="H29" s="31">
        <f>IFERROR(IF(G28&lt;=0,"n.m.",H28/G28-1),"")</f>
        <v>0.01098901098901095</v>
      </c>
      <c r="I29" s="1"/>
      <c r="J29" s="1"/>
      <c r="K29" s="1"/>
      <c r="L29" s="1"/>
    </row>
    <row r="30" ht="14.624267578125">
      <c r="A30" s="1"/>
      <c r="B30" s="19" t="s">
        <v>138</v>
      </c>
      <c r="C30" s="7"/>
      <c r="D30" s="7"/>
      <c r="E30" s="7"/>
      <c r="F30" s="15">
        <f>IFERROR(IF(Inputs!C196&lt;=0,"n.m.",F28/Inputs!C196-1),"")</f>
        <v>0.09348093480934816</v>
      </c>
      <c r="G30" s="15">
        <f>IFERROR(IF(Inputs!D196&lt;=0,"n.m.",G28/Inputs!D196-1),"")</f>
        <v>0.18357487922705307</v>
      </c>
      <c r="H30" s="31">
        <f>IFERROR(IF(C28&lt;=0,"n.m.",H28/C28-1),"")</f>
        <v>0.16424116424116408</v>
      </c>
      <c r="I30" s="1"/>
      <c r="J30" s="1"/>
      <c r="K30" s="1"/>
      <c r="L30" s="1"/>
    </row>
    <row r="31" ht="14.624267578125">
      <c r="A31" s="1"/>
      <c r="B31" s="33" t="s">
        <v>139</v>
      </c>
      <c r="C31" s="2">
        <f>C28-Inputs!D196</f>
        <v>23</v>
      </c>
      <c r="D31" s="11">
        <f>D28-C28</f>
        <v>12</v>
      </c>
      <c r="E31" s="11"/>
      <c r="F31" s="11">
        <f>F28-D28</f>
        <v>26</v>
      </c>
      <c r="G31" s="11">
        <f>G28-F28</f>
        <v>91</v>
      </c>
      <c r="H31" s="29">
        <f>H28-G28</f>
        <v>10.769230769230717</v>
      </c>
      <c r="I31" s="1"/>
      <c r="J31" s="1"/>
      <c r="K31" s="1"/>
      <c r="L31" s="1"/>
    </row>
    <row r="32" ht="14.624267578125">
      <c r="A32" s="1"/>
      <c r="B32" s="48" t="s">
        <v>223</v>
      </c>
      <c r="C32" s="50">
        <f>C24+C28</f>
        <v>2421</v>
      </c>
      <c r="D32" s="50">
        <f>D24+D28</f>
        <v>2485</v>
      </c>
      <c r="E32" s="50">
        <f>E24+E28</f>
        <v>9478</v>
      </c>
      <c r="F32" s="50">
        <f>F24+F28</f>
        <v>2494</v>
      </c>
      <c r="G32" s="50">
        <f>G24+G28</f>
        <v>2604</v>
      </c>
      <c r="H32" s="61">
        <f>H35*(H11+H15)*1000*H$8/365</f>
        <v>2666.6908273972604</v>
      </c>
      <c r="I32" s="1"/>
      <c r="J32" s="1"/>
      <c r="K32" s="1"/>
      <c r="L32" s="1"/>
    </row>
    <row r="33" ht="14.624267578125">
      <c r="A33" s="1"/>
      <c r="B33" s="19" t="s">
        <v>151</v>
      </c>
      <c r="C33" s="15">
        <f>IFERROR(IF((Inputs!D195+Inputs!D196)&lt;=0,"n.m.",C32/(Inputs!D195+Inputs!D196)-1),"")</f>
        <v>0.04173838209982783</v>
      </c>
      <c r="D33" s="7">
        <f>IFERROR(IF(C32&lt;=0,"n.m.",D32/C32-1),"")</f>
        <v>0.026435357290375938</v>
      </c>
      <c r="E33" s="7"/>
      <c r="F33" s="7">
        <f>IFERROR(IF(D32&lt;=0,"n.m.",F32/D32-1),"")</f>
        <v>0.003621730382293853</v>
      </c>
      <c r="G33" s="7">
        <f>IFERROR(IF(F32&lt;=0,"n.m.",G32/F32-1),"")</f>
        <v>0.04410585404971923</v>
      </c>
      <c r="H33" s="31">
        <f>IFERROR(IF(G32&lt;=0,"n.m.",H32/G32-1),"")</f>
        <v>0.02407481850893256</v>
      </c>
      <c r="I33" s="1"/>
      <c r="J33" s="1"/>
      <c r="K33" s="1"/>
      <c r="L33" s="1"/>
    </row>
    <row r="34" ht="14.624267578125">
      <c r="A34" s="1"/>
      <c r="B34" s="19" t="s">
        <v>138</v>
      </c>
      <c r="C34" s="7"/>
      <c r="D34" s="7"/>
      <c r="E34" s="7"/>
      <c r="F34" s="15">
        <f>IFERROR(IF((Inputs!C195+Inputs!C196)&lt;=0,"n.m.",F32/(Inputs!C195+Inputs!C196)-1),"")</f>
        <v>0.10943060498220647</v>
      </c>
      <c r="G34" s="15">
        <f>IFERROR(IF((Inputs!D195+Inputs!D196)&lt;=0,"n.m.",G32/(Inputs!D195+Inputs!D196)-1),"")</f>
        <v>0.12048192771084332</v>
      </c>
      <c r="H34" s="31">
        <f>IFERROR(IF(C32&lt;=0,"n.m.",H32/C32-1),"")</f>
        <v>0.10148320008147893</v>
      </c>
      <c r="I34" s="1"/>
      <c r="J34" s="1"/>
      <c r="K34" s="1"/>
      <c r="L34" s="1"/>
    </row>
    <row r="35" ht="14.624267578125">
      <c r="A35" s="1"/>
      <c r="B35" s="19" t="s">
        <v>224</v>
      </c>
      <c r="C35" s="46">
        <f>IFERROR(C32/((C11+C15)*1000)*365/C$8,"")</f>
        <v>0.027545323624393707</v>
      </c>
      <c r="D35" s="46">
        <f>IFERROR(D32/((D11+D15)*1000)*365/D$8,"")</f>
        <v>0.02833036606696652</v>
      </c>
      <c r="E35" s="46">
        <f>IFERROR(E32/((E11+E15)*1000)*365/E$8,"")</f>
        <v>0.02748242116708953</v>
      </c>
      <c r="F35" s="46">
        <f>IFERROR(F32/((F11+F15)*1000)*365/F$8,"")</f>
        <v>0.029207495107004204</v>
      </c>
      <c r="G35" s="46">
        <f>IFERROR(G32/((G11+G15)*1000)*365/G$8,"")</f>
        <v>0.029841758241758245</v>
      </c>
      <c r="H35" s="67">
        <f>G35+H36/10000</f>
        <v>0.030041758241758244</v>
      </c>
      <c r="I35" s="1" t="s">
        <v>225</v>
      </c>
      <c r="J35" s="1"/>
      <c r="K35" s="1"/>
      <c r="L35" s="1"/>
    </row>
    <row r="36" ht="14.624267578125">
      <c r="A36" s="1"/>
      <c r="B36" s="33" t="s">
        <v>99</v>
      </c>
      <c r="C36" s="26"/>
      <c r="D36" s="26">
        <f>IFERROR((D35-C35)*10000,"")</f>
        <v>7.850424425728114</v>
      </c>
      <c r="E36" s="26"/>
      <c r="F36" s="26">
        <f>IFERROR((F35-D35)*10000,"")</f>
        <v>8.771290400376857</v>
      </c>
      <c r="G36" s="26">
        <f>IFERROR((G35-F35)*10000,"")</f>
        <v>6.342631347540408</v>
      </c>
      <c r="H36" s="62">
        <v>2</v>
      </c>
      <c r="I36" s="1"/>
      <c r="J36" s="1"/>
      <c r="K36" s="1"/>
      <c r="L36" s="1"/>
    </row>
    <row r="37" ht="14.624267578125">
      <c r="A37" s="1"/>
      <c r="B37" s="33" t="s">
        <v>132</v>
      </c>
      <c r="C37" s="26"/>
      <c r="D37" s="26"/>
      <c r="E37" s="26"/>
      <c r="F37" s="56">
        <f>IFERROR((F35-((Inputs!C195+Inputs!C196)/((Inputs!C204+Inputs!C205)*1000)*365/Inputs!C138))*10000,"")</f>
        <v>22.264685047879013</v>
      </c>
      <c r="G37" s="56">
        <f>IFERROR((G35-((Inputs!D195+Inputs!D196)/((Inputs!D204+Inputs!D205)*1000)*365/Inputs!D138))*10000,"")</f>
        <v>28.14972328338522</v>
      </c>
      <c r="H37" s="60">
        <f>IFERROR((H35-C35)*10000,"")</f>
        <v>24.964346173645367</v>
      </c>
      <c r="I37" s="1"/>
      <c r="J37" s="1"/>
      <c r="K37" s="1"/>
      <c r="L37" s="1"/>
    </row>
    <row r="38">
      <c r="A38" s="1"/>
      <c r="B38" s="33"/>
      <c r="C38" s="18"/>
      <c r="D38" s="18"/>
      <c r="E38" s="18"/>
      <c r="F38" s="18"/>
      <c r="G38" s="18"/>
      <c r="H38" s="45"/>
      <c r="I38" s="1"/>
      <c r="J38" s="1"/>
      <c r="K38" s="1"/>
      <c r="L38" s="1"/>
    </row>
    <row r="39" ht="14.624267578125">
      <c r="A39" s="1"/>
      <c r="B39" s="57" t="s">
        <v>226</v>
      </c>
      <c r="C39" s="18"/>
      <c r="D39" s="18"/>
      <c r="E39" s="18"/>
      <c r="F39" s="18"/>
      <c r="G39" s="18"/>
      <c r="H39" s="45"/>
      <c r="I39" s="1"/>
      <c r="J39" s="1"/>
      <c r="K39" s="1"/>
      <c r="L39" s="1"/>
    </row>
    <row r="40" ht="14.624267578125">
      <c r="A40" s="1"/>
      <c r="B40" s="33" t="s">
        <v>128</v>
      </c>
      <c r="C40" s="22">
        <v>530</v>
      </c>
      <c r="D40" s="22">
        <v>521</v>
      </c>
      <c r="E40" s="2">
        <f>Inputs!C198+Inputs!D198+C40+D40</f>
        <v>2073</v>
      </c>
      <c r="F40" s="22">
        <v>528</v>
      </c>
      <c r="G40" s="22">
        <v>530</v>
      </c>
      <c r="H40" s="29">
        <f>G40*(1+H41)</f>
        <v>535.3</v>
      </c>
      <c r="I40" s="1" t="s">
        <v>227</v>
      </c>
      <c r="J40" s="1"/>
      <c r="K40" s="1"/>
      <c r="L40" s="1"/>
    </row>
    <row r="41" ht="14.624267578125">
      <c r="A41" s="1"/>
      <c r="B41" s="19" t="s">
        <v>151</v>
      </c>
      <c r="C41" s="15">
        <f>IFERROR(IF(Inputs!D198&lt;=0,"n.m.",C40/Inputs!D198-1),"")</f>
        <v>0.021194605009633882</v>
      </c>
      <c r="D41" s="7">
        <f>IFERROR(IF(C40&lt;=0,"n.m.",D40/C40-1),"")</f>
        <v>-0.016981132075471694</v>
      </c>
      <c r="E41" s="7"/>
      <c r="F41" s="7">
        <f>IFERROR(IF(D40&lt;=0,"n.m.",F40/D40-1),"")</f>
        <v>0.013435700575815668</v>
      </c>
      <c r="G41" s="7">
        <f>IFERROR(IF(F40&lt;=0,"n.m.",G40/F40-1),"")</f>
        <v>0.0037878787878788955</v>
      </c>
      <c r="H41" s="65">
        <v>0.01</v>
      </c>
      <c r="I41" s="1"/>
      <c r="J41" s="1"/>
      <c r="K41" s="1"/>
      <c r="L41" s="1"/>
    </row>
    <row r="42" ht="14.624267578125">
      <c r="A42" s="1"/>
      <c r="B42" s="19" t="s">
        <v>138</v>
      </c>
      <c r="C42" s="7"/>
      <c r="D42" s="7"/>
      <c r="E42" s="7"/>
      <c r="F42" s="15">
        <f>IFERROR(IF(Inputs!C198&lt;=0,"n.m.",F40/Inputs!C198-1),"")</f>
        <v>0.0497017892644136</v>
      </c>
      <c r="G42" s="15">
        <f>IFERROR(IF(Inputs!D198&lt;=0,"n.m.",G40/Inputs!D198-1),"")</f>
        <v>0.021194605009633882</v>
      </c>
      <c r="H42" s="31">
        <f>IFERROR(IF(C40&lt;=0,"n.m.",H40/C40-1),"")</f>
        <v>0.010000000000000009</v>
      </c>
      <c r="I42" s="1"/>
      <c r="J42" s="1"/>
      <c r="K42" s="1"/>
      <c r="L42" s="1"/>
    </row>
    <row r="43" ht="14.624267578125">
      <c r="A43" s="1"/>
      <c r="B43" s="48" t="s">
        <v>228</v>
      </c>
      <c r="C43" s="50">
        <f>C32+C40</f>
        <v>2951</v>
      </c>
      <c r="D43" s="50">
        <f>D32+D40</f>
        <v>3006</v>
      </c>
      <c r="E43" s="50">
        <f>E32+E40</f>
        <v>11551</v>
      </c>
      <c r="F43" s="50">
        <f>F32+F40</f>
        <v>3022</v>
      </c>
      <c r="G43" s="50">
        <f>G32+G40</f>
        <v>3134</v>
      </c>
      <c r="H43" s="61">
        <f>H32+H40</f>
        <v>3201.9908273972605</v>
      </c>
      <c r="I43" s="1"/>
      <c r="J43" s="1"/>
      <c r="K43" s="1"/>
      <c r="L43" s="1"/>
    </row>
    <row r="44" ht="14.624267578125">
      <c r="A44" s="1"/>
      <c r="B44" s="19" t="s">
        <v>151</v>
      </c>
      <c r="C44" s="15">
        <f>IFERROR(IF((Inputs!D195+Inputs!D196+Inputs!D198)&lt;=0,"n.m.",C43/(Inputs!D195+Inputs!D196+Inputs!D198)-1),"")</f>
        <v>0.037988040801969714</v>
      </c>
      <c r="D44" s="7">
        <f>IFERROR(IF(C43&lt;=0,"n.m.",D43/C43-1),"")</f>
        <v>0.018637749915282997</v>
      </c>
      <c r="E44" s="7"/>
      <c r="F44" s="7">
        <f>IFERROR(IF(D43&lt;=0,"n.m.",F43/D43-1),"")</f>
        <v>0.005322687957418415</v>
      </c>
      <c r="G44" s="7">
        <f>IFERROR(IF(F43&lt;=0,"n.m.",G43/F43-1),"")</f>
        <v>0.037061548643282594</v>
      </c>
      <c r="H44" s="31">
        <f>IFERROR(IF(G43&lt;=0,"n.m.",H43/G43-1),"")</f>
        <v>0.0216945843641545</v>
      </c>
      <c r="I44" s="1"/>
      <c r="J44" s="1"/>
      <c r="K44" s="1"/>
      <c r="L44" s="1"/>
    </row>
    <row r="45" ht="14.624267578125">
      <c r="A45" s="1"/>
      <c r="B45" s="19" t="s">
        <v>138</v>
      </c>
      <c r="C45" s="7"/>
      <c r="D45" s="7"/>
      <c r="E45" s="7"/>
      <c r="F45" s="15">
        <f>IFERROR(IF((Inputs!C195+Inputs!C196+Inputs!C198)&lt;=0,"n.m.",F43/(Inputs!C195+Inputs!C196+Inputs!C198)-1),"")</f>
        <v>0.09850963286077796</v>
      </c>
      <c r="G45" s="15">
        <f>IFERROR(IF((Inputs!D195+Inputs!D196+Inputs!D198)&lt;=0,"n.m.",G43/(Inputs!D195+Inputs!D196+Inputs!D198)-1),"")</f>
        <v>0.10235666549419631</v>
      </c>
      <c r="H45" s="31">
        <f>IFERROR(IF(C43&lt;=0,"n.m.",H43/C43-1),"")</f>
        <v>0.0850528049465471</v>
      </c>
      <c r="I45" s="1"/>
      <c r="J45" s="1"/>
      <c r="K45" s="1"/>
      <c r="L45" s="1"/>
    </row>
    <row r="46" ht="14.624267578125">
      <c r="A46" s="1"/>
      <c r="B46" s="19" t="s">
        <v>104</v>
      </c>
      <c r="C46" s="38" t="s">
        <v>105</v>
      </c>
      <c r="D46" s="38" t="s">
        <v>105</v>
      </c>
      <c r="E46" s="38" t="s">
        <v>105</v>
      </c>
      <c r="F46" s="38" t="s">
        <v>105</v>
      </c>
      <c r="G46" s="38" t="s">
        <v>105</v>
      </c>
      <c r="H46" s="59" t="s">
        <v>105</v>
      </c>
      <c r="I46" s="1" t="s">
        <v>106</v>
      </c>
      <c r="J46" s="1"/>
      <c r="K46" s="1"/>
      <c r="L46" s="1"/>
    </row>
    <row r="47" ht="14.624267578125">
      <c r="A47" s="1"/>
      <c r="B47" s="19" t="s">
        <v>107</v>
      </c>
      <c r="C47" s="38" t="s">
        <v>105</v>
      </c>
      <c r="D47" s="38" t="s">
        <v>105</v>
      </c>
      <c r="E47" s="38" t="s">
        <v>105</v>
      </c>
      <c r="F47" s="38" t="s">
        <v>105</v>
      </c>
      <c r="G47" s="38" t="s">
        <v>105</v>
      </c>
      <c r="H47" s="59" t="s">
        <v>105</v>
      </c>
      <c r="I47" s="1" t="s">
        <v>108</v>
      </c>
      <c r="J47" s="1"/>
      <c r="K47" s="1"/>
      <c r="L47" s="1"/>
    </row>
    <row r="48" ht="14.624267578125">
      <c r="A48" s="1"/>
      <c r="B48" s="19" t="s">
        <v>109</v>
      </c>
      <c r="C48" s="38" t="s">
        <v>110</v>
      </c>
      <c r="D48" s="38" t="s">
        <v>110</v>
      </c>
      <c r="E48" s="38" t="s">
        <v>110</v>
      </c>
      <c r="F48" s="38" t="s">
        <v>110</v>
      </c>
      <c r="G48" s="38" t="s">
        <v>110</v>
      </c>
      <c r="H48" s="59" t="s">
        <v>110</v>
      </c>
      <c r="I48" s="1" t="s">
        <v>111</v>
      </c>
      <c r="J48" s="1"/>
      <c r="K48" s="1"/>
      <c r="L48" s="1"/>
    </row>
    <row r="49" ht="14.624267578125">
      <c r="A49" s="1"/>
      <c r="B49" s="19" t="s">
        <v>112</v>
      </c>
      <c r="C49" s="7"/>
      <c r="D49" s="7"/>
      <c r="E49" s="7"/>
      <c r="F49" s="7">
        <f>IF(F45="","",F45)</f>
        <v>0.09850963286077796</v>
      </c>
      <c r="G49" s="7">
        <f>IF(G45="","",G45)</f>
        <v>0.10235666549419631</v>
      </c>
      <c r="H49" s="31">
        <f>IF(H45="","",H45)</f>
        <v>0.0850528049465471</v>
      </c>
      <c r="I49" s="1"/>
      <c r="J49" s="1"/>
      <c r="K49" s="1"/>
      <c r="L49" s="1"/>
    </row>
    <row r="50" ht="14.624267578125">
      <c r="A50" s="1"/>
      <c r="B50" s="19" t="s">
        <v>229</v>
      </c>
      <c r="C50" s="7">
        <f>IFERROR(C40/C43,"")</f>
        <v>0.1796001355472721</v>
      </c>
      <c r="D50" s="7">
        <f>IFERROR(D40/D43,"")</f>
        <v>0.1733200266134398</v>
      </c>
      <c r="E50" s="7">
        <f>IFERROR(E40/E43,"")</f>
        <v>0.1794649813868929</v>
      </c>
      <c r="F50" s="7">
        <f>IFERROR(F40/F43,"")</f>
        <v>0.17471872931833224</v>
      </c>
      <c r="G50" s="7">
        <f>IFERROR(G40/G43,"")</f>
        <v>0.1691129546904914</v>
      </c>
      <c r="H50" s="31">
        <f>IFERROR(H40/H43,"")</f>
        <v>0.16717724342612147</v>
      </c>
      <c r="I50" s="1"/>
      <c r="J50" s="1"/>
      <c r="K50" s="1"/>
      <c r="L50" s="1"/>
    </row>
    <row r="51" ht="14.624267578125">
      <c r="A51" s="1"/>
      <c r="B51" s="33" t="s">
        <v>99</v>
      </c>
      <c r="C51" s="26"/>
      <c r="D51" s="26">
        <f>IFERROR((D50-C50)*10000,"")</f>
        <v>-62.80108933832324</v>
      </c>
      <c r="E51" s="26"/>
      <c r="F51" s="26">
        <f>IFERROR((F50-D50)*10000,"")</f>
        <v>13.987027048924517</v>
      </c>
      <c r="G51" s="26">
        <f>IFERROR((G50-F50)*10000,"")</f>
        <v>-56.05774627840843</v>
      </c>
      <c r="H51" s="60">
        <f>IFERROR((H50-G50)*10000,"")</f>
        <v>-19.357112643699214</v>
      </c>
      <c r="I51" s="1"/>
      <c r="J51" s="1"/>
      <c r="K51" s="1"/>
      <c r="L51" s="1"/>
    </row>
    <row r="52" ht="14.624267578125">
      <c r="A52" s="1"/>
      <c r="B52" s="33" t="s">
        <v>132</v>
      </c>
      <c r="C52" s="26"/>
      <c r="D52" s="26"/>
      <c r="E52" s="26"/>
      <c r="F52" s="56">
        <f>IFERROR((F50-(Inputs!C198/(Inputs!C195+Inputs!C196+Inputs!C198)))*10000,"")</f>
        <v>-81.238733715987</v>
      </c>
      <c r="G52" s="56">
        <f>IFERROR((G50-(Inputs!D198/(Inputs!D195+Inputs!D196+Inputs!D198)))*10000,"")</f>
        <v>-134.40685830085454</v>
      </c>
      <c r="H52" s="60">
        <f>IFERROR((H50-C50)*10000,"")</f>
        <v>-124.22892121150636</v>
      </c>
      <c r="I52" s="1"/>
      <c r="J52" s="1"/>
      <c r="K52" s="1"/>
      <c r="L52" s="1"/>
    </row>
    <row r="53">
      <c r="A53" s="1"/>
      <c r="B53" s="33"/>
      <c r="C53" s="18"/>
      <c r="D53" s="18"/>
      <c r="E53" s="18"/>
      <c r="F53" s="18"/>
      <c r="G53" s="18"/>
      <c r="H53" s="45"/>
      <c r="I53" s="1"/>
      <c r="J53" s="1"/>
      <c r="K53" s="1"/>
      <c r="L53" s="1"/>
    </row>
    <row r="54" ht="14.624267578125">
      <c r="A54" s="1"/>
      <c r="B54" s="57" t="s">
        <v>230</v>
      </c>
      <c r="C54" s="18"/>
      <c r="D54" s="18"/>
      <c r="E54" s="18"/>
      <c r="F54" s="18"/>
      <c r="G54" s="18"/>
      <c r="H54" s="45"/>
      <c r="I54" s="1"/>
      <c r="J54" s="1"/>
      <c r="K54" s="1"/>
      <c r="L54" s="1"/>
    </row>
    <row r="55" ht="14.624267578125">
      <c r="A55" s="1"/>
      <c r="B55" s="33" t="s">
        <v>231</v>
      </c>
      <c r="C55" s="22">
        <v>449</v>
      </c>
      <c r="D55" s="22">
        <v>443</v>
      </c>
      <c r="E55" s="2">
        <f>Inputs!C199+Inputs!D199+C55+D55</f>
        <v>1760</v>
      </c>
      <c r="F55" s="22">
        <v>433</v>
      </c>
      <c r="G55" s="22">
        <v>443</v>
      </c>
      <c r="H55" s="29">
        <f>G55*(1+H56)</f>
        <v>449.645</v>
      </c>
      <c r="I55" s="1"/>
      <c r="J55" s="1"/>
      <c r="K55" s="1"/>
      <c r="L55" s="1"/>
    </row>
    <row r="56" ht="14.624267578125">
      <c r="A56" s="1"/>
      <c r="B56" s="19" t="s">
        <v>151</v>
      </c>
      <c r="C56" s="15">
        <f>IFERROR(IF(Inputs!D199&lt;=0,"n.m.",C55/Inputs!D199-1),"")</f>
        <v>0.034562211981566726</v>
      </c>
      <c r="D56" s="7">
        <f>IFERROR(IF(C55&lt;=0,"n.m.",D55/C55-1),"")</f>
        <v>-0.013363028953229383</v>
      </c>
      <c r="E56" s="7"/>
      <c r="F56" s="7">
        <f>IFERROR(IF(D55&lt;=0,"n.m.",F55/D55-1),"")</f>
        <v>-0.02257336343115124</v>
      </c>
      <c r="G56" s="7">
        <f>IFERROR(IF(F55&lt;=0,"n.m.",G55/F55-1),"")</f>
        <v>0.023094688221708903</v>
      </c>
      <c r="H56" s="65">
        <v>0.015</v>
      </c>
      <c r="I56" s="1"/>
      <c r="J56" s="1"/>
      <c r="K56" s="1"/>
      <c r="L56" s="1"/>
    </row>
    <row r="57" ht="14.624267578125">
      <c r="A57" s="1"/>
      <c r="B57" s="19" t="s">
        <v>138</v>
      </c>
      <c r="C57" s="7"/>
      <c r="D57" s="7"/>
      <c r="E57" s="7"/>
      <c r="F57" s="15">
        <f>IFERROR(IF(Inputs!C199&lt;=0,"n.m.",F55/Inputs!C199-1),"")</f>
        <v>-0.0023041474654378336</v>
      </c>
      <c r="G57" s="15">
        <f>IFERROR(IF(Inputs!D199&lt;=0,"n.m.",G55/Inputs!D199-1),"")</f>
        <v>0.02073732718894017</v>
      </c>
      <c r="H57" s="31">
        <f>IFERROR(IF(C55&lt;=0,"n.m.",H55/C55-1),"")</f>
        <v>0.001436525612472206</v>
      </c>
      <c r="I57" s="1"/>
      <c r="J57" s="1"/>
      <c r="K57" s="1"/>
      <c r="L57" s="1"/>
    </row>
    <row r="58" ht="14.624267578125">
      <c r="A58" s="1"/>
      <c r="B58" s="33" t="s">
        <v>139</v>
      </c>
      <c r="C58" s="2">
        <f>C55-Inputs!D199</f>
        <v>15</v>
      </c>
      <c r="D58" s="11">
        <f>D55-C55</f>
        <v>-6</v>
      </c>
      <c r="E58" s="11"/>
      <c r="F58" s="11">
        <f>F55-D55</f>
        <v>-10</v>
      </c>
      <c r="G58" s="11">
        <f>G55-F55</f>
        <v>10</v>
      </c>
      <c r="H58" s="29">
        <f>H55-G55</f>
        <v>6.644999999999982</v>
      </c>
      <c r="I58" s="1"/>
      <c r="J58" s="1"/>
      <c r="K58" s="1"/>
      <c r="L58" s="1"/>
    </row>
    <row r="59" ht="14.624267578125">
      <c r="A59" s="1"/>
      <c r="B59" s="33" t="s">
        <v>232</v>
      </c>
      <c r="C59" s="22">
        <v>38</v>
      </c>
      <c r="D59" s="22">
        <v>37</v>
      </c>
      <c r="E59" s="2">
        <f>Inputs!C200+Inputs!D200+C59+D59</f>
        <v>153</v>
      </c>
      <c r="F59" s="22">
        <v>34</v>
      </c>
      <c r="G59" s="22">
        <v>33</v>
      </c>
      <c r="H59" s="29">
        <f>G59*(1+H60)</f>
        <v>32.01</v>
      </c>
      <c r="I59" s="1"/>
      <c r="J59" s="1"/>
      <c r="K59" s="1"/>
      <c r="L59" s="1"/>
    </row>
    <row r="60" ht="14.624267578125">
      <c r="A60" s="1"/>
      <c r="B60" s="19" t="s">
        <v>151</v>
      </c>
      <c r="C60" s="15">
        <f>IFERROR(IF(Inputs!D200&lt;=0,"n.m.",C59/Inputs!D200-1),"")</f>
        <v>-0.02564102564102566</v>
      </c>
      <c r="D60" s="7">
        <f>IFERROR(IF(C59&lt;=0,"n.m.",D59/C59-1),"")</f>
        <v>-0.02631578947368418</v>
      </c>
      <c r="E60" s="7"/>
      <c r="F60" s="7">
        <f>IFERROR(IF(D59&lt;=0,"n.m.",F59/D59-1),"")</f>
        <v>-0.08108108108108103</v>
      </c>
      <c r="G60" s="7">
        <f>IFERROR(IF(F59&lt;=0,"n.m.",G59/F59-1),"")</f>
        <v>-0.02941176470588236</v>
      </c>
      <c r="H60" s="65">
        <v>-0.03</v>
      </c>
      <c r="I60" s="1"/>
      <c r="J60" s="1"/>
      <c r="K60" s="1"/>
      <c r="L60" s="1"/>
    </row>
    <row r="61" ht="14.624267578125">
      <c r="A61" s="1"/>
      <c r="B61" s="19" t="s">
        <v>138</v>
      </c>
      <c r="C61" s="7"/>
      <c r="D61" s="7"/>
      <c r="E61" s="7"/>
      <c r="F61" s="15">
        <f>IFERROR(IF(Inputs!C200&lt;=0,"n.m.",F59/Inputs!C200-1),"")</f>
        <v>-0.1282051282051282</v>
      </c>
      <c r="G61" s="15">
        <f>IFERROR(IF(Inputs!D200&lt;=0,"n.m.",G59/Inputs!D200-1),"")</f>
        <v>-0.15384615384615385</v>
      </c>
      <c r="H61" s="31">
        <f>IFERROR(IF(C59&lt;=0,"n.m.",H59/C59-1),"")</f>
        <v>-0.15763157894736846</v>
      </c>
      <c r="I61" s="1"/>
      <c r="J61" s="1"/>
      <c r="K61" s="1"/>
      <c r="L61" s="1"/>
    </row>
    <row r="62" ht="14.624267578125">
      <c r="A62" s="1"/>
      <c r="B62" s="33" t="s">
        <v>139</v>
      </c>
      <c r="C62" s="2">
        <f>C59-Inputs!D200</f>
        <v>-1</v>
      </c>
      <c r="D62" s="11">
        <f>D59-C59</f>
        <v>-1</v>
      </c>
      <c r="E62" s="11"/>
      <c r="F62" s="11">
        <f>F59-D59</f>
        <v>-3</v>
      </c>
      <c r="G62" s="11">
        <f>G59-F59</f>
        <v>-1</v>
      </c>
      <c r="H62" s="29">
        <f>H59-G59</f>
        <v>-0.990000000000002</v>
      </c>
      <c r="I62" s="1"/>
      <c r="J62" s="1"/>
      <c r="K62" s="1"/>
      <c r="L62" s="1"/>
    </row>
    <row r="63" ht="14.624267578125">
      <c r="A63" s="1"/>
      <c r="B63" s="33" t="s">
        <v>233</v>
      </c>
      <c r="C63" s="22">
        <v>281</v>
      </c>
      <c r="D63" s="22">
        <v>288</v>
      </c>
      <c r="E63" s="2">
        <f>Inputs!C201+Inputs!D201+C63+D63</f>
        <v>1142</v>
      </c>
      <c r="F63" s="22">
        <v>293</v>
      </c>
      <c r="G63" s="22">
        <v>312</v>
      </c>
      <c r="H63" s="29">
        <f>G63*(1+H64)</f>
        <v>318.24</v>
      </c>
      <c r="I63" s="1"/>
      <c r="J63" s="1"/>
      <c r="K63" s="1"/>
      <c r="L63" s="1"/>
    </row>
    <row r="64" ht="14.624267578125">
      <c r="A64" s="1"/>
      <c r="B64" s="19" t="s">
        <v>151</v>
      </c>
      <c r="C64" s="15">
        <f>IFERROR(IF(Inputs!D201&lt;=0,"n.m.",C63/Inputs!D201-1),"")</f>
        <v>-0.0174825174825175</v>
      </c>
      <c r="D64" s="7">
        <f>IFERROR(IF(C63&lt;=0,"n.m.",D63/C63-1),"")</f>
        <v>0.02491103202846978</v>
      </c>
      <c r="E64" s="7"/>
      <c r="F64" s="7">
        <f>IFERROR(IF(D63&lt;=0,"n.m.",F63/D63-1),"")</f>
        <v>0.01736111111111116</v>
      </c>
      <c r="G64" s="7">
        <f>IFERROR(IF(F63&lt;=0,"n.m.",G63/F63-1),"")</f>
        <v>0.06484641638225264</v>
      </c>
      <c r="H64" s="65">
        <v>0.02</v>
      </c>
      <c r="I64" s="1"/>
      <c r="J64" s="1"/>
      <c r="K64" s="1"/>
      <c r="L64" s="1"/>
    </row>
    <row r="65" ht="14.624267578125">
      <c r="A65" s="1"/>
      <c r="B65" s="19" t="s">
        <v>138</v>
      </c>
      <c r="C65" s="7"/>
      <c r="D65" s="7"/>
      <c r="E65" s="7"/>
      <c r="F65" s="15">
        <f>IFERROR(IF(Inputs!C201&lt;=0,"n.m.",F63/Inputs!C201-1),"")</f>
        <v>0.020905923344947785</v>
      </c>
      <c r="G65" s="15">
        <f>IFERROR(IF(Inputs!D201&lt;=0,"n.m.",G63/Inputs!D201-1),"")</f>
        <v>0.09090909090909083</v>
      </c>
      <c r="H65" s="31">
        <f>IFERROR(IF(C63&lt;=0,"n.m.",H63/C63-1),"")</f>
        <v>0.13252669039145903</v>
      </c>
      <c r="I65" s="1"/>
      <c r="J65" s="1"/>
      <c r="K65" s="1"/>
      <c r="L65" s="1"/>
    </row>
    <row r="66" ht="14.624267578125">
      <c r="A66" s="1"/>
      <c r="B66" s="33" t="s">
        <v>139</v>
      </c>
      <c r="C66" s="2">
        <f>C63-Inputs!D201</f>
        <v>-5</v>
      </c>
      <c r="D66" s="11">
        <f>D63-C63</f>
        <v>7</v>
      </c>
      <c r="E66" s="11"/>
      <c r="F66" s="11">
        <f>F63-D63</f>
        <v>5</v>
      </c>
      <c r="G66" s="11">
        <f>G63-F63</f>
        <v>19</v>
      </c>
      <c r="H66" s="29">
        <f>H63-G63</f>
        <v>6.240000000000009</v>
      </c>
      <c r="I66" s="1"/>
      <c r="J66" s="1"/>
      <c r="K66" s="1"/>
      <c r="L66" s="1"/>
    </row>
    <row r="67" ht="14.624267578125">
      <c r="A67" s="1"/>
      <c r="B67" s="48" t="s">
        <v>234</v>
      </c>
      <c r="C67" s="50">
        <f>C55+C59+C63</f>
        <v>768</v>
      </c>
      <c r="D67" s="50">
        <f>D55+D59+D63</f>
        <v>768</v>
      </c>
      <c r="E67" s="50">
        <f>E55+E59+E63</f>
        <v>3055</v>
      </c>
      <c r="F67" s="50">
        <f>F55+F59+F63</f>
        <v>760</v>
      </c>
      <c r="G67" s="50">
        <f>G55+G59+G63</f>
        <v>788</v>
      </c>
      <c r="H67" s="61">
        <f>H55+H59+H63</f>
        <v>799.895</v>
      </c>
      <c r="I67" s="1"/>
      <c r="J67" s="1"/>
      <c r="K67" s="1"/>
      <c r="L67" s="1"/>
    </row>
    <row r="68" ht="14.624267578125">
      <c r="A68" s="1"/>
      <c r="B68" s="33" t="s">
        <v>235</v>
      </c>
      <c r="C68" s="22">
        <v>936</v>
      </c>
      <c r="D68" s="22">
        <v>934</v>
      </c>
      <c r="E68" s="2">
        <f>Inputs!C202+Inputs!D202+C68+D68</f>
        <v>3713</v>
      </c>
      <c r="F68" s="22">
        <v>920</v>
      </c>
      <c r="G68" s="22">
        <v>933</v>
      </c>
      <c r="H68" s="29">
        <f>G68*(1+H69)</f>
        <v>942.33</v>
      </c>
      <c r="I68" s="1"/>
      <c r="J68" s="1"/>
      <c r="K68" s="1"/>
      <c r="L68" s="1"/>
    </row>
    <row r="69" ht="14.624267578125">
      <c r="A69" s="1"/>
      <c r="B69" s="19" t="s">
        <v>151</v>
      </c>
      <c r="C69" s="15">
        <f>IFERROR(IF(Inputs!D202&lt;=0,"n.m.",C68/Inputs!D202-1),"")</f>
        <v>-0.004255319148936176</v>
      </c>
      <c r="D69" s="7">
        <f>IFERROR(IF(C68&lt;=0,"n.m.",D68/C68-1),"")</f>
        <v>-0.002136752136752129</v>
      </c>
      <c r="E69" s="7"/>
      <c r="F69" s="7">
        <f>IFERROR(IF(D68&lt;=0,"n.m.",F68/D68-1),"")</f>
        <v>-0.01498929336188437</v>
      </c>
      <c r="G69" s="7">
        <f>IFERROR(IF(F68&lt;=0,"n.m.",G68/F68-1),"")</f>
        <v>0.01413043478260878</v>
      </c>
      <c r="H69" s="65">
        <v>0.01</v>
      </c>
      <c r="I69" s="1"/>
      <c r="J69" s="1"/>
      <c r="K69" s="1"/>
      <c r="L69" s="1"/>
    </row>
    <row r="70" ht="14.624267578125">
      <c r="A70" s="1"/>
      <c r="B70" s="19" t="s">
        <v>138</v>
      </c>
      <c r="C70" s="7"/>
      <c r="D70" s="7"/>
      <c r="E70" s="7"/>
      <c r="F70" s="15">
        <f>IFERROR(IF(Inputs!C202&lt;=0,"n.m.",F68/Inputs!C202-1),"")</f>
        <v>0.01882613510520481</v>
      </c>
      <c r="G70" s="15">
        <f>IFERROR(IF(Inputs!D202&lt;=0,"n.m.",G68/Inputs!D202-1),"")</f>
        <v>-0.007446808510638281</v>
      </c>
      <c r="H70" s="31">
        <f>IFERROR(IF(C68&lt;=0,"n.m.",H68/C68-1),"")</f>
        <v>0.006762820512820511</v>
      </c>
      <c r="I70" s="1"/>
      <c r="J70" s="1"/>
      <c r="K70" s="1"/>
      <c r="L70" s="1"/>
    </row>
    <row r="71" ht="14.624267578125">
      <c r="A71" s="1"/>
      <c r="B71" s="33" t="s">
        <v>139</v>
      </c>
      <c r="C71" s="2">
        <f>C68-Inputs!D202</f>
        <v>-4</v>
      </c>
      <c r="D71" s="11">
        <f>D68-C68</f>
        <v>-2</v>
      </c>
      <c r="E71" s="11"/>
      <c r="F71" s="11">
        <f>F68-D68</f>
        <v>-14</v>
      </c>
      <c r="G71" s="11">
        <f>G68-F68</f>
        <v>13</v>
      </c>
      <c r="H71" s="29">
        <f>H68-G68</f>
        <v>9.330000000000041</v>
      </c>
      <c r="I71" s="1"/>
      <c r="J71" s="1"/>
      <c r="K71" s="1"/>
      <c r="L71" s="1"/>
    </row>
    <row r="72" ht="14.624267578125">
      <c r="A72" s="1"/>
      <c r="B72" s="48" t="s">
        <v>236</v>
      </c>
      <c r="C72" s="50">
        <f>C67+C68</f>
        <v>1704</v>
      </c>
      <c r="D72" s="50">
        <f>D67+D68</f>
        <v>1702</v>
      </c>
      <c r="E72" s="50">
        <f>E67+E68</f>
        <v>6768</v>
      </c>
      <c r="F72" s="50">
        <f>F67+F68</f>
        <v>1680</v>
      </c>
      <c r="G72" s="50">
        <f>G67+G68</f>
        <v>1721</v>
      </c>
      <c r="H72" s="61">
        <f>H67+H68</f>
        <v>1742.225</v>
      </c>
      <c r="I72" s="1"/>
      <c r="J72" s="1"/>
      <c r="K72" s="1"/>
      <c r="L72" s="1"/>
    </row>
    <row r="73" ht="14.624267578125">
      <c r="A73" s="1"/>
      <c r="B73" s="19" t="s">
        <v>151</v>
      </c>
      <c r="C73" s="15">
        <f>IFERROR(IF((Inputs!D199+Inputs!D200+Inputs!D201+Inputs!D202)&lt;=0,"n.m.",C72/(Inputs!D199+Inputs!D200+Inputs!D201+Inputs!D202)-1),"")</f>
        <v>0.00294290759270166</v>
      </c>
      <c r="D73" s="7">
        <f>IFERROR(IF(C72&lt;=0,"n.m.",D72/C72-1),"")</f>
        <v>-0.0011737089201877549</v>
      </c>
      <c r="E73" s="7"/>
      <c r="F73" s="7">
        <f>IFERROR(IF(D72&lt;=0,"n.m.",F72/D72-1),"")</f>
        <v>-0.01292596944770863</v>
      </c>
      <c r="G73" s="7">
        <f>IFERROR(IF(F72&lt;=0,"n.m.",G72/F72-1),"")</f>
        <v>0.024404761904761818</v>
      </c>
      <c r="H73" s="31">
        <f>IFERROR(IF(G72&lt;=0,"n.m.",H72/G72-1),"")</f>
        <v>0.012332945961650132</v>
      </c>
      <c r="I73" s="1"/>
      <c r="J73" s="1"/>
      <c r="K73" s="1"/>
      <c r="L73" s="1"/>
    </row>
    <row r="74" ht="14.624267578125">
      <c r="A74" s="1"/>
      <c r="B74" s="19" t="s">
        <v>138</v>
      </c>
      <c r="C74" s="7"/>
      <c r="D74" s="7"/>
      <c r="E74" s="7"/>
      <c r="F74" s="15">
        <f>IFERROR(IF((Inputs!C199+Inputs!C200+Inputs!C201+Inputs!C202)&lt;=0,"n.m.",F72/(Inputs!C199+Inputs!C200+Inputs!C201+Inputs!C202)-1),"")</f>
        <v>0.010222489476849006</v>
      </c>
      <c r="G74" s="15">
        <f>IFERROR(IF((Inputs!D199+Inputs!D200+Inputs!D201+Inputs!D202)&lt;=0,"n.m.",G72/(Inputs!D199+Inputs!D200+Inputs!D201+Inputs!D202)-1),"")</f>
        <v>0.012948793407886905</v>
      </c>
      <c r="H74" s="31">
        <f>IFERROR(IF(C72&lt;=0,"n.m.",H72/C72-1),"")</f>
        <v>0.022432511737089156</v>
      </c>
      <c r="I74" s="1"/>
      <c r="J74" s="1"/>
      <c r="K74" s="1"/>
      <c r="L74" s="1"/>
    </row>
    <row r="75" ht="14.624267578125">
      <c r="A75" s="1"/>
      <c r="B75" s="19" t="s">
        <v>237</v>
      </c>
      <c r="C75" s="7">
        <f>IFERROR(C72/C43,"")</f>
        <v>0.5774313791934937</v>
      </c>
      <c r="D75" s="7">
        <f>IFERROR(D72/D43,"")</f>
        <v>0.5662009314703925</v>
      </c>
      <c r="E75" s="7">
        <f>IFERROR(E72/E43,"")</f>
        <v>0.5859232966842698</v>
      </c>
      <c r="F75" s="7">
        <f>IFERROR(F72/F43,"")</f>
        <v>0.5559232296492389</v>
      </c>
      <c r="G75" s="7">
        <f>IFERROR(G72/G43,"")</f>
        <v>0.5491384811742183</v>
      </c>
      <c r="H75" s="31">
        <f>IFERROR(H72/H43,"")</f>
        <v>0.5441068053952447</v>
      </c>
      <c r="I75" s="1"/>
      <c r="J75" s="1"/>
      <c r="K75" s="1"/>
      <c r="L75" s="1"/>
    </row>
    <row r="76" ht="14.624267578125">
      <c r="A76" s="1"/>
      <c r="B76" s="33" t="s">
        <v>99</v>
      </c>
      <c r="C76" s="26"/>
      <c r="D76" s="26">
        <f>IFERROR((D75-C75)*10000,"")</f>
        <v>-112.30447723101223</v>
      </c>
      <c r="E76" s="26"/>
      <c r="F76" s="26">
        <f>IFERROR((F75-D75)*10000,"")</f>
        <v>-102.77701821153617</v>
      </c>
      <c r="G76" s="26">
        <f>IFERROR((G75-F75)*10000,"")</f>
        <v>-67.8474847502064</v>
      </c>
      <c r="H76" s="60">
        <f>IFERROR((H75-G75)*10000,"")</f>
        <v>-50.316757789735654</v>
      </c>
      <c r="I76" s="1"/>
      <c r="J76" s="1"/>
      <c r="K76" s="1"/>
      <c r="L76" s="1"/>
    </row>
    <row r="77" ht="14.624267578125">
      <c r="A77" s="1"/>
      <c r="B77" s="33" t="s">
        <v>132</v>
      </c>
      <c r="C77" s="26"/>
      <c r="D77" s="26"/>
      <c r="E77" s="26"/>
      <c r="F77" s="56">
        <f>IFERROR((F75-((Inputs!C199+Inputs!C200+Inputs!C201+Inputs!C202)/(Inputs!C195+Inputs!C196+Inputs!C198)))*10000,"")</f>
        <v>-485.8422218645719</v>
      </c>
      <c r="G77" s="56">
        <f>IFERROR((G75-((Inputs!D199+Inputs!D200+Inputs!D201+Inputs!D202)/(Inputs!D195+Inputs!D196+Inputs!D198)))*10000,"")</f>
        <v>-484.69679219731773</v>
      </c>
      <c r="H77" s="60">
        <f>IFERROR((H75-C75)*10000,"")</f>
        <v>-333.2457379824905</v>
      </c>
      <c r="I77" s="1"/>
      <c r="J77" s="1"/>
      <c r="K77" s="1"/>
      <c r="L77" s="1"/>
    </row>
    <row r="78">
      <c r="A78" s="1"/>
      <c r="B78" s="33"/>
      <c r="C78" s="18"/>
      <c r="D78" s="18"/>
      <c r="E78" s="18"/>
      <c r="F78" s="18"/>
      <c r="G78" s="18"/>
      <c r="H78" s="45"/>
      <c r="I78" s="1"/>
      <c r="J78" s="1"/>
      <c r="K78" s="1"/>
      <c r="L78" s="1"/>
    </row>
    <row r="79" ht="14.624267578125">
      <c r="A79" s="1"/>
      <c r="B79" s="57" t="s">
        <v>238</v>
      </c>
      <c r="C79" s="18"/>
      <c r="D79" s="18"/>
      <c r="E79" s="18"/>
      <c r="F79" s="18"/>
      <c r="G79" s="18"/>
      <c r="H79" s="45"/>
      <c r="I79" s="1"/>
      <c r="J79" s="1"/>
      <c r="K79" s="1"/>
      <c r="L79" s="1"/>
    </row>
    <row r="80" ht="14.624267578125">
      <c r="A80" s="1"/>
      <c r="B80" s="48" t="s">
        <v>239</v>
      </c>
      <c r="C80" s="50">
        <f>C43-C72</f>
        <v>1247</v>
      </c>
      <c r="D80" s="50">
        <f>D43-D72</f>
        <v>1304</v>
      </c>
      <c r="E80" s="50">
        <f>E43-E72</f>
        <v>4783</v>
      </c>
      <c r="F80" s="50">
        <f>F43-F72</f>
        <v>1342</v>
      </c>
      <c r="G80" s="50">
        <f>G43-G72</f>
        <v>1413</v>
      </c>
      <c r="H80" s="61">
        <f>H43-H72</f>
        <v>1459.7658273972606</v>
      </c>
      <c r="I80" s="1"/>
      <c r="J80" s="1"/>
      <c r="K80" s="1"/>
      <c r="L80" s="1"/>
    </row>
    <row r="81" ht="14.624267578125">
      <c r="A81" s="1"/>
      <c r="B81" s="33" t="s">
        <v>240</v>
      </c>
      <c r="C81" s="22">
        <v>400</v>
      </c>
      <c r="D81" s="22">
        <v>431</v>
      </c>
      <c r="E81" s="2">
        <f>Inputs!C197+Inputs!D197+C81+D81</f>
        <v>1542</v>
      </c>
      <c r="F81" s="22">
        <v>374</v>
      </c>
      <c r="G81" s="22">
        <v>307</v>
      </c>
      <c r="H81" s="29">
        <f>H85/10000*H11*1000*H$8/365</f>
        <v>328.52821917808217</v>
      </c>
      <c r="I81" s="1"/>
      <c r="J81" s="1"/>
      <c r="K81" s="1"/>
      <c r="L81" s="1"/>
    </row>
    <row r="82" ht="14.624267578125">
      <c r="A82" s="1"/>
      <c r="B82" s="19" t="s">
        <v>151</v>
      </c>
      <c r="C82" s="15">
        <f>IFERROR(IF(Inputs!D197&lt;=0,"n.m.",C81/Inputs!D197-1),"")</f>
        <v>0.04166666666666674</v>
      </c>
      <c r="D82" s="7">
        <f>IFERROR(IF(C81&lt;=0,"n.m.",D81/C81-1),"")</f>
        <v>0.0774999999999999</v>
      </c>
      <c r="E82" s="7"/>
      <c r="F82" s="7">
        <f>IFERROR(IF(D81&lt;=0,"n.m.",F81/D81-1),"")</f>
        <v>-0.13225058004640367</v>
      </c>
      <c r="G82" s="7">
        <f>IFERROR(IF(F81&lt;=0,"n.m.",G81/F81-1),"")</f>
        <v>-0.17914438502673802</v>
      </c>
      <c r="H82" s="31">
        <f>IFERROR(IF(G81&lt;=0,"n.m.",H81/G81-1),"")</f>
        <v>0.07012449243674967</v>
      </c>
      <c r="I82" s="1"/>
      <c r="J82" s="1"/>
      <c r="K82" s="1"/>
      <c r="L82" s="1"/>
    </row>
    <row r="83" ht="14.624267578125">
      <c r="A83" s="1"/>
      <c r="B83" s="19" t="s">
        <v>138</v>
      </c>
      <c r="C83" s="7"/>
      <c r="D83" s="7"/>
      <c r="E83" s="7"/>
      <c r="F83" s="15">
        <f>IFERROR(IF(Inputs!C197&lt;=0,"n.m.",F81/Inputs!C197-1),"")</f>
        <v>0.143730886850153</v>
      </c>
      <c r="G83" s="15">
        <f>IFERROR(IF(Inputs!D197&lt;=0,"n.m.",G81/Inputs!D197-1),"")</f>
        <v>-0.20052083333333337</v>
      </c>
      <c r="H83" s="31">
        <f>IFERROR(IF(C81&lt;=0,"n.m.",H81/C81-1),"")</f>
        <v>-0.17867945205479463</v>
      </c>
      <c r="I83" s="1"/>
      <c r="J83" s="1"/>
      <c r="K83" s="1"/>
      <c r="L83" s="1"/>
    </row>
    <row r="84" ht="14.624267578125">
      <c r="A84" s="1"/>
      <c r="B84" s="33" t="s">
        <v>139</v>
      </c>
      <c r="C84" s="2">
        <f>C81-Inputs!D197</f>
        <v>16</v>
      </c>
      <c r="D84" s="11">
        <f>D81-C81</f>
        <v>31</v>
      </c>
      <c r="E84" s="11"/>
      <c r="F84" s="11">
        <f>F81-D81</f>
        <v>-57</v>
      </c>
      <c r="G84" s="11">
        <f>G81-F81</f>
        <v>-67</v>
      </c>
      <c r="H84" s="29">
        <f>H81-G81</f>
        <v>21.528219178082168</v>
      </c>
      <c r="I84" s="1"/>
      <c r="J84" s="1"/>
      <c r="K84" s="1"/>
      <c r="L84" s="1"/>
    </row>
    <row r="85" ht="14.624267578125">
      <c r="A85" s="1"/>
      <c r="B85" s="33" t="s">
        <v>241</v>
      </c>
      <c r="C85" s="26">
        <f>IFERROR(C81/(C11*1000)*365/C$8*10000,"")</f>
        <v>118.16504257178931</v>
      </c>
      <c r="D85" s="26">
        <f>IFERROR(D81/(D11*1000)*365/D$8*10000,"")</f>
        <v>126.85056766868789</v>
      </c>
      <c r="E85" s="26">
        <f>IFERROR(E81/(E11*1000)*365/E$8*10000,"")</f>
        <v>116.81818181818183</v>
      </c>
      <c r="F85" s="26">
        <f>IFERROR(F81/(F11*1000)*365/F$8*10000,"")</f>
        <v>114.12925340690578</v>
      </c>
      <c r="G85" s="26">
        <f>IFERROR(G81/(G11*1000)*365/G$8*10000,"")</f>
        <v>92.58448318598695</v>
      </c>
      <c r="H85" s="62">
        <v>98</v>
      </c>
      <c r="I85" s="1"/>
      <c r="J85" s="1"/>
      <c r="K85" s="1"/>
      <c r="L85" s="1"/>
    </row>
    <row r="86" ht="14.624267578125">
      <c r="A86" s="1"/>
      <c r="B86" s="33" t="s">
        <v>99</v>
      </c>
      <c r="C86" s="26"/>
      <c r="D86" s="26">
        <f>IFERROR(D85-C85,"")</f>
        <v>8.685525096898573</v>
      </c>
      <c r="E86" s="26"/>
      <c r="F86" s="26">
        <f>IFERROR(F85-D85,"")</f>
        <v>-12.721314261782112</v>
      </c>
      <c r="G86" s="26">
        <f>IFERROR(G85-F85,"")</f>
        <v>-21.54477022091882</v>
      </c>
      <c r="H86" s="60">
        <f>IFERROR(H85-G85,"")</f>
        <v>5.415516814013046</v>
      </c>
      <c r="I86" s="1"/>
      <c r="J86" s="1"/>
      <c r="K86" s="1"/>
      <c r="L86" s="1"/>
    </row>
    <row r="87" ht="14.624267578125">
      <c r="A87" s="1"/>
      <c r="B87" s="33" t="s">
        <v>132</v>
      </c>
      <c r="C87" s="26"/>
      <c r="D87" s="26"/>
      <c r="E87" s="26"/>
      <c r="F87" s="56">
        <f>IFERROR(F85-(Inputs!C197/(Inputs!C204*1000)*365/Inputs!C138*10000),"")</f>
        <v>10.279083738411913</v>
      </c>
      <c r="G87" s="56">
        <f>IFERROR(G85-(Inputs!D197/(Inputs!D204*1000)*365/Inputs!D138*10000),"")</f>
        <v>-24.81031713564265</v>
      </c>
      <c r="H87" s="60">
        <f>IFERROR(H85-C85,"")</f>
        <v>-20.165042571789314</v>
      </c>
      <c r="I87" s="1"/>
      <c r="J87" s="1"/>
      <c r="K87" s="1"/>
      <c r="L87" s="1"/>
    </row>
    <row r="88" ht="14.624267578125">
      <c r="A88" s="1"/>
      <c r="B88" s="48" t="s">
        <v>242</v>
      </c>
      <c r="C88" s="50">
        <f>C80-C81</f>
        <v>847</v>
      </c>
      <c r="D88" s="50">
        <f>D80-D81</f>
        <v>873</v>
      </c>
      <c r="E88" s="50">
        <f>E80-E81</f>
        <v>3241</v>
      </c>
      <c r="F88" s="50">
        <f>F80-F81</f>
        <v>968</v>
      </c>
      <c r="G88" s="50">
        <f>G80-G81</f>
        <v>1106</v>
      </c>
      <c r="H88" s="61">
        <f>H80-H81</f>
        <v>1131.2376082191786</v>
      </c>
      <c r="I88" s="1"/>
      <c r="J88" s="1"/>
      <c r="K88" s="1"/>
      <c r="L88" s="1"/>
    </row>
    <row r="89" ht="14.624267578125">
      <c r="A89" s="1"/>
      <c r="B89" s="33" t="s">
        <v>243</v>
      </c>
      <c r="C89" s="22">
        <v>207</v>
      </c>
      <c r="D89" s="22">
        <v>212</v>
      </c>
      <c r="E89" s="2">
        <f>Inputs!C203+Inputs!D203+C89+D89</f>
        <v>790</v>
      </c>
      <c r="F89" s="22">
        <v>238</v>
      </c>
      <c r="G89" s="22">
        <v>271</v>
      </c>
      <c r="H89" s="29">
        <f>H88*H95</f>
        <v>277.15321401369874</v>
      </c>
      <c r="I89" s="1"/>
      <c r="J89" s="1"/>
      <c r="K89" s="1"/>
      <c r="L89" s="1"/>
    </row>
    <row r="90" ht="14.624267578125">
      <c r="A90" s="1"/>
      <c r="B90" s="19" t="s">
        <v>151</v>
      </c>
      <c r="C90" s="15">
        <f>IFERROR(IF(Inputs!D203&lt;=0,"n.m.",C89/Inputs!D203-1),"")</f>
        <v>0.11290322580645151</v>
      </c>
      <c r="D90" s="7">
        <f>IFERROR(IF(C89&lt;=0,"n.m.",D89/C89-1),"")</f>
        <v>0.024154589371980784</v>
      </c>
      <c r="E90" s="7"/>
      <c r="F90" s="7">
        <f>IFERROR(IF(D89&lt;=0,"n.m.",F89/D89-1),"")</f>
        <v>0.12264150943396235</v>
      </c>
      <c r="G90" s="7">
        <f>IFERROR(IF(F89&lt;=0,"n.m.",G89/F89-1),"")</f>
        <v>0.1386554621848739</v>
      </c>
      <c r="H90" s="31">
        <f>IFERROR(IF(G89&lt;=0,"n.m.",H89/G89-1),"")</f>
        <v>0.022705586766416097</v>
      </c>
      <c r="I90" s="1"/>
      <c r="J90" s="1"/>
      <c r="K90" s="1"/>
      <c r="L90" s="1"/>
    </row>
    <row r="91" ht="14.624267578125">
      <c r="A91" s="1"/>
      <c r="B91" s="19" t="s">
        <v>138</v>
      </c>
      <c r="C91" s="7"/>
      <c r="D91" s="7"/>
      <c r="E91" s="7"/>
      <c r="F91" s="15">
        <f>IFERROR(IF(Inputs!C203&lt;=0,"n.m.",F89/Inputs!C203-1),"")</f>
        <v>0.28648648648648645</v>
      </c>
      <c r="G91" s="15">
        <f>IFERROR(IF(Inputs!D203&lt;=0,"n.m.",G89/Inputs!D203-1),"")</f>
        <v>0.456989247311828</v>
      </c>
      <c r="H91" s="31">
        <f>IFERROR(IF(C89&lt;=0,"n.m.",H89/C89-1),"")</f>
        <v>0.33890441552511463</v>
      </c>
      <c r="I91" s="1"/>
      <c r="J91" s="1"/>
      <c r="K91" s="1"/>
      <c r="L91" s="1"/>
    </row>
    <row r="92" ht="14.624267578125">
      <c r="A92" s="1"/>
      <c r="B92" s="48" t="s">
        <v>244</v>
      </c>
      <c r="C92" s="50">
        <f>C88-C89</f>
        <v>640</v>
      </c>
      <c r="D92" s="50">
        <f>D88-D89</f>
        <v>661</v>
      </c>
      <c r="E92" s="50">
        <f>E88-E89</f>
        <v>2451</v>
      </c>
      <c r="F92" s="50">
        <f>F88-F89</f>
        <v>730</v>
      </c>
      <c r="G92" s="50">
        <f>G88-G89</f>
        <v>835</v>
      </c>
      <c r="H92" s="61">
        <f>H88-H89</f>
        <v>854.0843942054798</v>
      </c>
      <c r="I92" s="1"/>
      <c r="J92" s="1"/>
      <c r="K92" s="1"/>
      <c r="L92" s="1"/>
    </row>
    <row r="93" ht="14.624267578125">
      <c r="A93" s="1"/>
      <c r="B93" s="19" t="s">
        <v>151</v>
      </c>
      <c r="C93" s="15">
        <f>IFERROR(IF(((Inputs!D195+Inputs!D196+Inputs!D198)-(Inputs!D199+Inputs!D200+Inputs!D201+Inputs!D202+Inputs!D197+Inputs!D203))&lt;=0,"n.m.",C92/((Inputs!D195+Inputs!D196+Inputs!D198)-(Inputs!D199+Inputs!D200+Inputs!D201+Inputs!D202+Inputs!D197+Inputs!D203))-1),"")</f>
        <v>0.11498257839721249</v>
      </c>
      <c r="D93" s="7">
        <f>IFERROR(IF(C92&lt;=0,"n.m.",D92/C92-1),"")</f>
        <v>0.03281249999999991</v>
      </c>
      <c r="E93" s="7"/>
      <c r="F93" s="7">
        <f>IFERROR(IF(D92&lt;=0,"n.m.",F92/D92-1),"")</f>
        <v>0.1043872919818456</v>
      </c>
      <c r="G93" s="7">
        <f>IFERROR(IF(F92&lt;=0,"n.m.",G92/F92-1),"")</f>
        <v>0.14383561643835607</v>
      </c>
      <c r="H93" s="31">
        <f>IFERROR(IF(G92&lt;=0,"n.m.",H92/G92-1),"")</f>
        <v>0.022855561922730416</v>
      </c>
      <c r="I93" s="1"/>
      <c r="J93" s="1"/>
      <c r="K93" s="1"/>
      <c r="L93" s="1"/>
    </row>
    <row r="94" ht="14.624267578125">
      <c r="A94" s="1"/>
      <c r="B94" s="19" t="s">
        <v>138</v>
      </c>
      <c r="C94" s="7"/>
      <c r="D94" s="7"/>
      <c r="E94" s="7"/>
      <c r="F94" s="15">
        <f>IFERROR(IF(((Inputs!C195+Inputs!C196+Inputs!C198)-(Inputs!C199+Inputs!C200+Inputs!C201+Inputs!C202+Inputs!C197+Inputs!C203))&lt;=0,"n.m.",F92/((Inputs!C195+Inputs!C196+Inputs!C198)-(Inputs!C199+Inputs!C200+Inputs!C201+Inputs!C202+Inputs!C197+Inputs!C203))-1),"")</f>
        <v>0.26736111111111116</v>
      </c>
      <c r="G94" s="15">
        <f>IFERROR(IF(((Inputs!D195+Inputs!D196+Inputs!D198)-(Inputs!D199+Inputs!D200+Inputs!D201+Inputs!D202+Inputs!D197+Inputs!D203))&lt;=0,"n.m.",G92/((Inputs!D195+Inputs!D196+Inputs!D198)-(Inputs!D199+Inputs!D200+Inputs!D201+Inputs!D202+Inputs!D197+Inputs!D203))-1),"")</f>
        <v>0.45470383275261317</v>
      </c>
      <c r="H94" s="31">
        <f>IFERROR(IF(C92&lt;=0,"n.m.",H92/C92-1),"")</f>
        <v>0.33450686594606216</v>
      </c>
      <c r="I94" s="1"/>
      <c r="J94" s="1"/>
      <c r="K94" s="1"/>
      <c r="L94" s="1"/>
    </row>
    <row r="95" ht="14.624267578125">
      <c r="A95" s="1"/>
      <c r="B95" s="19" t="s">
        <v>245</v>
      </c>
      <c r="C95" s="7">
        <f>IFERROR(IF(C88&lt;=0,"n.m.",C89/C88),"")</f>
        <v>0.24439197166469895</v>
      </c>
      <c r="D95" s="7">
        <f>IFERROR(IF(D88&lt;=0,"n.m.",D89/D88),"")</f>
        <v>0.24284077892325315</v>
      </c>
      <c r="E95" s="7">
        <f>IFERROR(IF(E88&lt;=0,"n.m.",E89/E88),"")</f>
        <v>0.2437519284171552</v>
      </c>
      <c r="F95" s="7">
        <f>IFERROR(IF(F88&lt;=0,"n.m.",F89/F88),"")</f>
        <v>0.24586776859504134</v>
      </c>
      <c r="G95" s="7">
        <f>IFERROR(IF(G88&lt;=0,"n.m.",G89/G88),"")</f>
        <v>0.24502712477396021</v>
      </c>
      <c r="H95" s="65">
        <v>0.245</v>
      </c>
      <c r="I95" s="1"/>
      <c r="J95" s="1"/>
      <c r="K95" s="1"/>
      <c r="L95" s="1"/>
    </row>
    <row r="96" ht="14.624267578125">
      <c r="A96" s="1"/>
      <c r="B96" s="33" t="s">
        <v>99</v>
      </c>
      <c r="C96" s="26"/>
      <c r="D96" s="26">
        <f>IFERROR((D95-C95)*10000,"")</f>
        <v>-15.511927414458004</v>
      </c>
      <c r="E96" s="26"/>
      <c r="F96" s="26">
        <f>IFERROR((F95-D95)*10000,"")</f>
        <v>30.269896717881885</v>
      </c>
      <c r="G96" s="26">
        <f>IFERROR((G95-F95)*10000,"")</f>
        <v>-8.406438210811217</v>
      </c>
      <c r="H96" s="60">
        <f>IFERROR((H95-G95)*10000,"")</f>
        <v>-0.2712477396021873</v>
      </c>
      <c r="I96" s="1"/>
      <c r="J96" s="1"/>
      <c r="K96" s="1"/>
      <c r="L96" s="1"/>
    </row>
    <row r="97" ht="14.624267578125">
      <c r="A97" s="1"/>
      <c r="B97" s="33" t="s">
        <v>132</v>
      </c>
      <c r="C97" s="26"/>
      <c r="D97" s="26"/>
      <c r="E97" s="26"/>
      <c r="F97" s="56">
        <f>IFERROR((F95-(Inputs!C203/((Inputs!C195+Inputs!C196+Inputs!C198)-(Inputs!C199+Inputs!C200+Inputs!C201+Inputs!C202+Inputs!C197))))*10000,"")</f>
        <v>27.66585940639221</v>
      </c>
      <c r="G97" s="56">
        <f>IFERROR((G95-(Inputs!D203/((Inputs!D195+Inputs!D196+Inputs!D198)-(Inputs!D199+Inputs!D200+Inputs!D201+Inputs!D202+Inputs!D197))))*10000,"")</f>
        <v>2.90282668697045</v>
      </c>
      <c r="H97" s="60">
        <f>IFERROR((H95-C95)*10000,"")</f>
        <v>6.080283353010474</v>
      </c>
      <c r="I97" s="1"/>
      <c r="J97" s="1"/>
      <c r="K97" s="1"/>
      <c r="L97" s="1"/>
    </row>
    <row r="98" ht="14.624267578125">
      <c r="A98" s="1"/>
      <c r="B98" s="19" t="s">
        <v>246</v>
      </c>
      <c r="C98" s="7">
        <f>IFERROR(C92/C43,"")</f>
        <v>0.21687563537783802</v>
      </c>
      <c r="D98" s="7">
        <f>IFERROR(D92/D43,"")</f>
        <v>0.21989354624085164</v>
      </c>
      <c r="E98" s="7">
        <f>IFERROR(E92/E43,"")</f>
        <v>0.21218942082936543</v>
      </c>
      <c r="F98" s="7">
        <f>IFERROR(F92/F43,"")</f>
        <v>0.2415618795499669</v>
      </c>
      <c r="G98" s="7">
        <f>IFERROR(G92/G43,"")</f>
        <v>0.2664326738991704</v>
      </c>
      <c r="H98" s="31">
        <f>IFERROR(H92/H43,"")</f>
        <v>0.266735428127295</v>
      </c>
      <c r="I98" s="1"/>
      <c r="J98" s="1"/>
      <c r="K98" s="1"/>
      <c r="L98" s="1"/>
    </row>
    <row r="99" ht="14.624267578125">
      <c r="A99" s="1"/>
      <c r="B99" s="33" t="s">
        <v>99</v>
      </c>
      <c r="C99" s="26"/>
      <c r="D99" s="26">
        <f>IFERROR((D98-C98)*10000,"")</f>
        <v>30.179108630136177</v>
      </c>
      <c r="E99" s="26"/>
      <c r="F99" s="26">
        <f>IFERROR((F98-D98)*10000,"")</f>
        <v>216.68333309115272</v>
      </c>
      <c r="G99" s="26">
        <f>IFERROR((G98-F98)*10000,"")</f>
        <v>248.707943492035</v>
      </c>
      <c r="H99" s="60">
        <f>IFERROR((H98-G98)*10000,"")</f>
        <v>3.0275422812459096</v>
      </c>
      <c r="I99" s="1"/>
      <c r="J99" s="1"/>
      <c r="K99" s="1"/>
      <c r="L99" s="1"/>
    </row>
    <row r="100" ht="14.624267578125">
      <c r="A100" s="1"/>
      <c r="B100" s="33" t="s">
        <v>132</v>
      </c>
      <c r="C100" s="26"/>
      <c r="D100" s="26"/>
      <c r="E100" s="26"/>
      <c r="F100" s="56">
        <f>IFERROR((F98-((((Inputs!C195+Inputs!C196+Inputs!C198)-(Inputs!C199+Inputs!C200+Inputs!C201+Inputs!C202+Inputs!C197))-Inputs!C203)/(Inputs!C195+Inputs!C196+Inputs!C198)))*10000,"")</f>
        <v>321.8347169827662</v>
      </c>
      <c r="G100" s="56">
        <f>IFERROR((G98-((((Inputs!D195+Inputs!D196+Inputs!D198)-(Inputs!D199+Inputs!D200+Inputs!D201+Inputs!D202+Inputs!D197))-Inputs!D203)/(Inputs!D195+Inputs!D196+Inputs!D198)))*10000,"")</f>
        <v>645.3327185907193</v>
      </c>
      <c r="H100" s="60">
        <f>IFERROR((H98-C98)*10000,"")</f>
        <v>498.59792749456983</v>
      </c>
      <c r="I100" s="1"/>
      <c r="J100" s="1"/>
      <c r="K100" s="1"/>
      <c r="L100" s="1"/>
    </row>
    <row r="101" ht="14.624267578125">
      <c r="A101" s="1"/>
      <c r="B101" s="33" t="s">
        <v>247</v>
      </c>
      <c r="C101" s="22">
        <v>640</v>
      </c>
      <c r="D101" s="22">
        <v>661</v>
      </c>
      <c r="E101" s="11"/>
      <c r="F101" s="22">
        <v>730</v>
      </c>
      <c r="G101" s="22">
        <v>835</v>
      </c>
      <c r="H101" s="29"/>
      <c r="I101" s="1" t="s">
        <v>248</v>
      </c>
      <c r="J101" s="1"/>
      <c r="K101" s="1"/>
      <c r="L101" s="1"/>
    </row>
    <row r="102" ht="14.624267578125">
      <c r="A102" s="1"/>
      <c r="B102" s="19" t="s">
        <v>209</v>
      </c>
      <c r="C102" s="38">
        <f>C92-C101</f>
        <v>0</v>
      </c>
      <c r="D102" s="38">
        <f>D92-D101</f>
        <v>0</v>
      </c>
      <c r="E102" s="38"/>
      <c r="F102" s="38">
        <f>F92-F101</f>
        <v>0</v>
      </c>
      <c r="G102" s="38">
        <f>G92-G101</f>
        <v>0</v>
      </c>
      <c r="H102" s="59"/>
      <c r="I102" s="1"/>
      <c r="J102" s="1"/>
      <c r="K102" s="1"/>
      <c r="L102" s="1"/>
    </row>
    <row r="103">
      <c r="A103" s="1"/>
      <c r="B103" s="33"/>
      <c r="C103" s="18"/>
      <c r="D103" s="18"/>
      <c r="E103" s="18"/>
      <c r="F103" s="18"/>
      <c r="G103" s="18"/>
      <c r="H103" s="45"/>
      <c r="I103" s="1"/>
      <c r="J103" s="1"/>
      <c r="K103" s="1"/>
      <c r="L103" s="1"/>
    </row>
    <row r="104">
      <c r="A104" s="1"/>
      <c r="B104" s="33"/>
      <c r="C104" s="18"/>
      <c r="D104" s="18"/>
      <c r="E104" s="18"/>
      <c r="F104" s="18"/>
      <c r="G104" s="18"/>
      <c r="H104" s="45"/>
      <c r="I104" s="1"/>
      <c r="J104" s="1"/>
      <c r="K104" s="1"/>
      <c r="L104" s="1"/>
    </row>
    <row r="105">
      <c r="A105" s="1"/>
      <c r="B105" s="33"/>
      <c r="C105" s="18"/>
      <c r="D105" s="18"/>
      <c r="E105" s="18"/>
      <c r="F105" s="18"/>
      <c r="G105" s="18"/>
      <c r="H105" s="45"/>
      <c r="I105" s="1"/>
      <c r="J105" s="1"/>
      <c r="K105" s="1"/>
      <c r="L105" s="1"/>
    </row>
    <row r="10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dimension ref="A1:L115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8" width="12" customWidth="1"/>
    <col min="9" max="9" width="7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>
      <c r="A2" s="1"/>
      <c r="B2" s="2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>
      <c r="A3" s="1"/>
      <c r="B3" s="12" t="s">
        <v>249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>
      <c r="A4" s="1"/>
      <c r="B4" s="8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>
      <c r="A6" s="1"/>
      <c r="B6" s="49" t="s">
        <v>76</v>
      </c>
      <c r="C6" s="17" t="s">
        <v>77</v>
      </c>
      <c r="D6" s="17" t="s">
        <v>78</v>
      </c>
      <c r="E6" s="17" t="s">
        <v>79</v>
      </c>
      <c r="F6" s="17" t="s">
        <v>80</v>
      </c>
      <c r="G6" s="17" t="s">
        <v>81</v>
      </c>
      <c r="H6" s="17" t="s">
        <v>82</v>
      </c>
      <c r="I6" s="49" t="s">
        <v>83</v>
      </c>
      <c r="J6" s="1"/>
      <c r="K6" s="1"/>
      <c r="L6" s="1"/>
    </row>
    <row r="7">
      <c r="A7" s="1"/>
      <c r="B7" s="54" t="s">
        <v>84</v>
      </c>
      <c r="C7" s="37">
        <f>DATE(2025,9,30)</f>
        <v>45930</v>
      </c>
      <c r="D7" s="37">
        <f>DATE(2025,12,31)</f>
        <v>46022</v>
      </c>
      <c r="E7" s="37">
        <f>DATE(2025,12,31)</f>
        <v>46022</v>
      </c>
      <c r="F7" s="37">
        <f>DATE(2026,3,31)</f>
        <v>46112</v>
      </c>
      <c r="G7" s="37">
        <f>DATE(2026,6,30)</f>
        <v>46203</v>
      </c>
      <c r="H7" s="37">
        <f>DATE(2026,9,30)</f>
        <v>46295</v>
      </c>
      <c r="I7" s="30"/>
      <c r="J7" s="1"/>
      <c r="K7" s="1"/>
      <c r="L7" s="1"/>
    </row>
    <row r="8">
      <c r="A8" s="1"/>
      <c r="B8" s="40" t="s">
        <v>85</v>
      </c>
      <c r="C8" s="27">
        <f>C7-DATE(2025,6,30)</f>
        <v>92</v>
      </c>
      <c r="D8" s="27">
        <f>D7-DATE(2025,9,30)</f>
        <v>92</v>
      </c>
      <c r="E8" s="27">
        <f>E7-DATE(2024,12,31)</f>
        <v>365</v>
      </c>
      <c r="F8" s="27">
        <f>F7-DATE(2025,12,31)</f>
        <v>90</v>
      </c>
      <c r="G8" s="27">
        <f>G7-DATE(2026,3,31)</f>
        <v>91</v>
      </c>
      <c r="H8" s="27">
        <f>H7-DATE(2026,6,30)</f>
        <v>92</v>
      </c>
      <c r="I8" s="58"/>
      <c r="J8" s="1"/>
      <c r="K8" s="1"/>
      <c r="L8" s="1"/>
    </row>
    <row r="9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ht="14.624267578125">
      <c r="A10" s="1"/>
      <c r="B10" s="57" t="s">
        <v>211</v>
      </c>
      <c r="C10" s="18"/>
      <c r="D10" s="18"/>
      <c r="E10" s="18"/>
      <c r="F10" s="18"/>
      <c r="G10" s="18"/>
      <c r="H10" s="45"/>
      <c r="I10" s="1"/>
      <c r="J10" s="1"/>
      <c r="K10" s="1"/>
      <c r="L10" s="1"/>
    </row>
    <row r="11" ht="14.624267578125">
      <c r="A11" s="1"/>
      <c r="B11" s="33" t="s">
        <v>212</v>
      </c>
      <c r="C11" s="22">
        <v>186.4</v>
      </c>
      <c r="D11" s="22">
        <v>189.9</v>
      </c>
      <c r="E11" s="2">
        <f>AVERAGE(Inputs!C215,Inputs!D215,C11,D11)</f>
        <v>183.825</v>
      </c>
      <c r="F11" s="22">
        <v>193.9</v>
      </c>
      <c r="G11" s="22">
        <v>196</v>
      </c>
      <c r="H11" s="29">
        <f>G11*(1+H12)</f>
        <v>198.352</v>
      </c>
      <c r="I11" s="1" t="s">
        <v>213</v>
      </c>
      <c r="J11" s="1"/>
      <c r="K11" s="1"/>
      <c r="L11" s="1"/>
    </row>
    <row r="12" ht="14.624267578125">
      <c r="A12" s="1"/>
      <c r="B12" s="19" t="s">
        <v>136</v>
      </c>
      <c r="C12" s="15">
        <f>IFERROR(IF(Inputs!D215&lt;=0,"n.m.",C11/Inputs!D215-1),"")</f>
        <v>0.029834254143646488</v>
      </c>
      <c r="D12" s="7">
        <f>IFERROR(IF(C11&lt;=0,"n.m.",D11/C11-1),"")</f>
        <v>0.01877682403433467</v>
      </c>
      <c r="E12" s="7"/>
      <c r="F12" s="7">
        <f>IFERROR(IF(D11&lt;=0,"n.m.",F11/D11-1),"")</f>
        <v>0.021063717746182098</v>
      </c>
      <c r="G12" s="7">
        <f>IFERROR(IF(F11&lt;=0,"n.m.",G11/F11-1),"")</f>
        <v>0.010830324909747224</v>
      </c>
      <c r="H12" s="65">
        <v>0.012</v>
      </c>
      <c r="I12" s="1"/>
      <c r="J12" s="1"/>
      <c r="K12" s="1"/>
      <c r="L12" s="1"/>
    </row>
    <row r="13" ht="14.624267578125">
      <c r="A13" s="1"/>
      <c r="B13" s="19" t="s">
        <v>138</v>
      </c>
      <c r="C13" s="7"/>
      <c r="D13" s="7"/>
      <c r="E13" s="7"/>
      <c r="F13" s="15">
        <f>IFERROR(IF(Inputs!C215&lt;=0,"n.m.",F11/Inputs!C215-1),"")</f>
        <v>0.08932584269662924</v>
      </c>
      <c r="G13" s="15">
        <f>IFERROR(IF(Inputs!D215&lt;=0,"n.m.",G11/Inputs!D215-1),"")</f>
        <v>0.08287292817679548</v>
      </c>
      <c r="H13" s="31">
        <f>IFERROR(IF(C11&lt;=0,"n.m.",H11/C11-1),"")</f>
        <v>0.06412017167381978</v>
      </c>
      <c r="I13" s="1"/>
      <c r="J13" s="1"/>
      <c r="K13" s="1"/>
      <c r="L13" s="1"/>
    </row>
    <row r="14" ht="14.624267578125">
      <c r="A14" s="1"/>
      <c r="B14" s="33" t="s">
        <v>215</v>
      </c>
      <c r="C14" s="2">
        <f>C11-Inputs!D215</f>
        <v>5.400000000000006</v>
      </c>
      <c r="D14" s="11">
        <f>D11-C11</f>
        <v>3.5</v>
      </c>
      <c r="E14" s="11"/>
      <c r="F14" s="11">
        <f>F11-D11</f>
        <v>4</v>
      </c>
      <c r="G14" s="11">
        <f>G11-F11</f>
        <v>2.0999999999999943</v>
      </c>
      <c r="H14" s="29">
        <f>H11-G11</f>
        <v>2.352000000000004</v>
      </c>
      <c r="I14" s="1"/>
      <c r="J14" s="1"/>
      <c r="K14" s="1"/>
      <c r="L14" s="1"/>
    </row>
    <row r="15" ht="14.624267578125">
      <c r="A15" s="1"/>
      <c r="B15" s="33" t="s">
        <v>216</v>
      </c>
      <c r="C15" s="22">
        <v>143.4</v>
      </c>
      <c r="D15" s="22">
        <v>147.3</v>
      </c>
      <c r="E15" s="2">
        <f>AVERAGE(Inputs!C216,Inputs!D216,C15,D15)</f>
        <v>146.875</v>
      </c>
      <c r="F15" s="22">
        <v>148.1</v>
      </c>
      <c r="G15" s="22">
        <v>149</v>
      </c>
      <c r="H15" s="29">
        <f>G15*(1+H16)</f>
        <v>150.49</v>
      </c>
      <c r="I15" s="1" t="s">
        <v>213</v>
      </c>
      <c r="J15" s="1"/>
      <c r="K15" s="1"/>
      <c r="L15" s="1"/>
    </row>
    <row r="16" ht="14.624267578125">
      <c r="A16" s="1"/>
      <c r="B16" s="19" t="s">
        <v>136</v>
      </c>
      <c r="C16" s="15">
        <f>IFERROR(IF(Inputs!D216&lt;=0,"n.m.",C15/Inputs!D216-1),"")</f>
        <v>-0.05095962938451348</v>
      </c>
      <c r="D16" s="7">
        <f>IFERROR(IF(C15&lt;=0,"n.m.",D15/C15-1),"")</f>
        <v>0.027196652719665204</v>
      </c>
      <c r="E16" s="7"/>
      <c r="F16" s="7">
        <f>IFERROR(IF(D15&lt;=0,"n.m.",F15/D15-1),"")</f>
        <v>0.005431093007467691</v>
      </c>
      <c r="G16" s="7">
        <f>IFERROR(IF(F15&lt;=0,"n.m.",G15/F15-1),"")</f>
        <v>0.006076975016880537</v>
      </c>
      <c r="H16" s="65">
        <v>0.01</v>
      </c>
      <c r="I16" s="1"/>
      <c r="J16" s="1"/>
      <c r="K16" s="1"/>
      <c r="L16" s="1"/>
    </row>
    <row r="17" ht="14.624267578125">
      <c r="A17" s="1"/>
      <c r="B17" s="19" t="s">
        <v>138</v>
      </c>
      <c r="C17" s="7"/>
      <c r="D17" s="7"/>
      <c r="E17" s="7"/>
      <c r="F17" s="15">
        <f>IFERROR(IF(Inputs!C216&lt;=0,"n.m.",F15/Inputs!C216-1),"")</f>
        <v>0.016472203157172238</v>
      </c>
      <c r="G17" s="15">
        <f>IFERROR(IF(Inputs!D216&lt;=0,"n.m.",G15/Inputs!D216-1),"")</f>
        <v>-0.01389808074123089</v>
      </c>
      <c r="H17" s="31">
        <f>IFERROR(IF(C15&lt;=0,"n.m.",H15/C15-1),"")</f>
        <v>0.049442119944212104</v>
      </c>
      <c r="I17" s="1"/>
      <c r="J17" s="1"/>
      <c r="K17" s="1"/>
      <c r="L17" s="1"/>
    </row>
    <row r="18" ht="14.624267578125">
      <c r="A18" s="1"/>
      <c r="B18" s="33" t="s">
        <v>215</v>
      </c>
      <c r="C18" s="2">
        <f>C15-Inputs!D216</f>
        <v>-7.699999999999989</v>
      </c>
      <c r="D18" s="11">
        <f>D15-C15</f>
        <v>3.9000000000000057</v>
      </c>
      <c r="E18" s="11"/>
      <c r="F18" s="11">
        <f>F15-D15</f>
        <v>0.799999999999983</v>
      </c>
      <c r="G18" s="11">
        <f>G15-F15</f>
        <v>0.9000000000000057</v>
      </c>
      <c r="H18" s="29">
        <f>H15-G15</f>
        <v>1.490000000000009</v>
      </c>
      <c r="I18" s="1"/>
      <c r="J18" s="1"/>
      <c r="K18" s="1"/>
      <c r="L18" s="1"/>
    </row>
    <row r="19" ht="14.624267578125">
      <c r="A19" s="1"/>
      <c r="B19" s="19" t="s">
        <v>217</v>
      </c>
      <c r="C19" s="7">
        <f>IFERROR(C11/C15,"")</f>
        <v>1.299860529986053</v>
      </c>
      <c r="D19" s="7">
        <f>IFERROR(D11/D15,"")</f>
        <v>1.2892057026476578</v>
      </c>
      <c r="E19" s="7">
        <f>IFERROR(E11/E15,"")</f>
        <v>1.2515744680851062</v>
      </c>
      <c r="F19" s="7">
        <f>IFERROR(F11/F15,"")</f>
        <v>1.3092505064145847</v>
      </c>
      <c r="G19" s="7">
        <f>IFERROR(G11/G15,"")</f>
        <v>1.3154362416107384</v>
      </c>
      <c r="H19" s="31">
        <f>IFERROR(H11/H15,"")</f>
        <v>1.3180410658515516</v>
      </c>
      <c r="I19" s="1"/>
      <c r="J19" s="1"/>
      <c r="K19" s="1"/>
      <c r="L19" s="1"/>
    </row>
    <row r="20" ht="14.624267578125">
      <c r="A20" s="1"/>
      <c r="B20" s="33" t="s">
        <v>99</v>
      </c>
      <c r="C20" s="26"/>
      <c r="D20" s="26">
        <f>IFERROR((D19-C19)*10000,"")</f>
        <v>-106.5482733839529</v>
      </c>
      <c r="E20" s="26"/>
      <c r="F20" s="26">
        <f>IFERROR((F19-D19)*10000,"")</f>
        <v>200.44803766926967</v>
      </c>
      <c r="G20" s="26">
        <f>IFERROR((G19-F19)*10000,"")</f>
        <v>61.85735196153619</v>
      </c>
      <c r="H20" s="60">
        <f>IFERROR((H19-G19)*10000,"")</f>
        <v>26.048242408132083</v>
      </c>
      <c r="I20" s="1"/>
      <c r="J20" s="1"/>
      <c r="K20" s="1"/>
      <c r="L20" s="1"/>
    </row>
    <row r="21" ht="14.624267578125">
      <c r="A21" s="1"/>
      <c r="B21" s="33" t="s">
        <v>132</v>
      </c>
      <c r="C21" s="26"/>
      <c r="D21" s="26"/>
      <c r="E21" s="26"/>
      <c r="F21" s="56">
        <f>IFERROR((F19-(Inputs!C215/Inputs!C216))*10000,"")</f>
        <v>875.6210559097455</v>
      </c>
      <c r="G21" s="56">
        <f>IFERROR((G19-(Inputs!D215/Inputs!D216))*10000,"")</f>
        <v>1175.5404439035444</v>
      </c>
      <c r="H21" s="60">
        <f>IFERROR((H19-C19)*10000,"")</f>
        <v>181.80535865498504</v>
      </c>
      <c r="I21" s="1"/>
      <c r="J21" s="1"/>
      <c r="K21" s="1"/>
      <c r="L21" s="1"/>
    </row>
    <row r="22">
      <c r="A22" s="1"/>
      <c r="B22" s="33"/>
      <c r="C22" s="18"/>
      <c r="D22" s="18"/>
      <c r="E22" s="18"/>
      <c r="F22" s="18"/>
      <c r="G22" s="18"/>
      <c r="H22" s="45"/>
      <c r="I22" s="1"/>
      <c r="J22" s="1"/>
      <c r="K22" s="1"/>
      <c r="L22" s="1"/>
    </row>
    <row r="23" ht="14.624267578125">
      <c r="A23" s="1"/>
      <c r="B23" s="57" t="s">
        <v>218</v>
      </c>
      <c r="C23" s="18"/>
      <c r="D23" s="18"/>
      <c r="E23" s="18"/>
      <c r="F23" s="18"/>
      <c r="G23" s="18"/>
      <c r="H23" s="45"/>
      <c r="I23" s="1"/>
      <c r="J23" s="1"/>
      <c r="K23" s="1"/>
      <c r="L23" s="1"/>
    </row>
    <row r="24" ht="14.624267578125">
      <c r="A24" s="1"/>
      <c r="B24" s="33" t="s">
        <v>219</v>
      </c>
      <c r="C24" s="22">
        <v>2030</v>
      </c>
      <c r="D24" s="22">
        <v>2018</v>
      </c>
      <c r="E24" s="2">
        <f>Inputs!C206+Inputs!D206+C24+D24</f>
        <v>7803</v>
      </c>
      <c r="F24" s="22">
        <v>1922</v>
      </c>
      <c r="G24" s="22">
        <v>1942</v>
      </c>
      <c r="H24" s="29">
        <f>H32-H28</f>
        <v>1980.5775882783887</v>
      </c>
      <c r="I24" s="1" t="s">
        <v>220</v>
      </c>
      <c r="J24" s="1"/>
      <c r="K24" s="1"/>
      <c r="L24" s="1"/>
    </row>
    <row r="25" ht="14.624267578125">
      <c r="A25" s="1"/>
      <c r="B25" s="19" t="s">
        <v>151</v>
      </c>
      <c r="C25" s="15">
        <f>IFERROR(IF(Inputs!D206&lt;=0,"n.m.",C24/Inputs!D206-1),"")</f>
        <v>0.08440170940170932</v>
      </c>
      <c r="D25" s="7">
        <f>IFERROR(IF(C24&lt;=0,"n.m.",D24/C24-1),"")</f>
        <v>-0.005911330049261032</v>
      </c>
      <c r="E25" s="7"/>
      <c r="F25" s="7">
        <f>IFERROR(IF(D24&lt;=0,"n.m.",F24/D24-1),"")</f>
        <v>-0.04757185332011893</v>
      </c>
      <c r="G25" s="7">
        <f>IFERROR(IF(F24&lt;=0,"n.m.",G24/F24-1),"")</f>
        <v>0.010405827263267442</v>
      </c>
      <c r="H25" s="31">
        <f>IFERROR(IF(G24&lt;=0,"n.m.",H24/G24-1),"")</f>
        <v>0.019864875529551407</v>
      </c>
      <c r="I25" s="1"/>
      <c r="J25" s="1"/>
      <c r="K25" s="1"/>
      <c r="L25" s="1"/>
    </row>
    <row r="26" ht="14.624267578125">
      <c r="A26" s="1"/>
      <c r="B26" s="19" t="s">
        <v>138</v>
      </c>
      <c r="C26" s="7"/>
      <c r="D26" s="7"/>
      <c r="E26" s="7"/>
      <c r="F26" s="15">
        <f>IFERROR(IF(Inputs!C206&lt;=0,"n.m.",F24/Inputs!C206-1),"")</f>
        <v>0.02071163037705781</v>
      </c>
      <c r="G26" s="15">
        <f>IFERROR(IF(Inputs!D206&lt;=0,"n.m.",G24/Inputs!D206-1),"")</f>
        <v>0.03739316239316248</v>
      </c>
      <c r="H26" s="31">
        <f>IFERROR(IF(C24&lt;=0,"n.m.",H24/C24-1),"")</f>
        <v>-0.02434601562640948</v>
      </c>
      <c r="I26" s="1"/>
      <c r="J26" s="1"/>
      <c r="K26" s="1"/>
      <c r="L26" s="1"/>
    </row>
    <row r="27" ht="14.624267578125">
      <c r="A27" s="1"/>
      <c r="B27" s="33" t="s">
        <v>139</v>
      </c>
      <c r="C27" s="2">
        <f>C24-Inputs!D206</f>
        <v>158</v>
      </c>
      <c r="D27" s="11">
        <f>D24-C24</f>
        <v>-12</v>
      </c>
      <c r="E27" s="11"/>
      <c r="F27" s="11">
        <f>F24-D24</f>
        <v>-96</v>
      </c>
      <c r="G27" s="11">
        <f>G24-F24</f>
        <v>20</v>
      </c>
      <c r="H27" s="29">
        <f>H24-G24</f>
        <v>38.5775882783887</v>
      </c>
      <c r="I27" s="1"/>
      <c r="J27" s="1"/>
      <c r="K27" s="1"/>
      <c r="L27" s="1"/>
    </row>
    <row r="28" ht="14.624267578125">
      <c r="A28" s="1"/>
      <c r="B28" s="33" t="s">
        <v>221</v>
      </c>
      <c r="C28" s="22">
        <v>-452</v>
      </c>
      <c r="D28" s="22">
        <v>-402</v>
      </c>
      <c r="E28" s="2">
        <f>Inputs!C207+Inputs!D207+C28+D28</f>
        <v>-1541</v>
      </c>
      <c r="F28" s="22">
        <v>-414</v>
      </c>
      <c r="G28" s="22">
        <v>-411</v>
      </c>
      <c r="H28" s="29">
        <f>G28*H$8/G$8</f>
        <v>-415.5164835164835</v>
      </c>
      <c r="I28" s="1" t="s">
        <v>222</v>
      </c>
      <c r="J28" s="1"/>
      <c r="K28" s="1"/>
      <c r="L28" s="1"/>
    </row>
    <row r="29" ht="14.624267578125">
      <c r="A29" s="1"/>
      <c r="B29" s="19" t="s">
        <v>151</v>
      </c>
      <c r="C29" s="15" t="str">
        <f>IFERROR(IF(Inputs!D207&lt;=0,"n.m.",C28/Inputs!D207-1),"")</f>
        <v>n.m.</v>
      </c>
      <c r="D29" s="7" t="str">
        <f>IFERROR(IF(C28&lt;=0,"n.m.",D28/C28-1),"")</f>
        <v>n.m.</v>
      </c>
      <c r="E29" s="7"/>
      <c r="F29" s="7" t="str">
        <f>IFERROR(IF(D28&lt;=0,"n.m.",F28/D28-1),"")</f>
        <v>n.m.</v>
      </c>
      <c r="G29" s="7" t="str">
        <f>IFERROR(IF(F28&lt;=0,"n.m.",G28/F28-1),"")</f>
        <v>n.m.</v>
      </c>
      <c r="H29" s="31" t="str">
        <f>IFERROR(IF(G28&lt;=0,"n.m.",H28/G28-1),"")</f>
        <v>n.m.</v>
      </c>
      <c r="I29" s="1"/>
      <c r="J29" s="1"/>
      <c r="K29" s="1"/>
      <c r="L29" s="1"/>
    </row>
    <row r="30" ht="14.624267578125">
      <c r="A30" s="1"/>
      <c r="B30" s="19" t="s">
        <v>138</v>
      </c>
      <c r="C30" s="7"/>
      <c r="D30" s="7"/>
      <c r="E30" s="7"/>
      <c r="F30" s="15" t="str">
        <f>IFERROR(IF(Inputs!C207&lt;=0,"n.m.",F28/Inputs!C207-1),"")</f>
        <v>n.m.</v>
      </c>
      <c r="G30" s="15" t="str">
        <f>IFERROR(IF(Inputs!D207&lt;=0,"n.m.",G28/Inputs!D207-1),"")</f>
        <v>n.m.</v>
      </c>
      <c r="H30" s="31" t="str">
        <f>IFERROR(IF(C28&lt;=0,"n.m.",H28/C28-1),"")</f>
        <v>n.m.</v>
      </c>
      <c r="I30" s="1"/>
      <c r="J30" s="1"/>
      <c r="K30" s="1"/>
      <c r="L30" s="1"/>
    </row>
    <row r="31" ht="14.624267578125">
      <c r="A31" s="1"/>
      <c r="B31" s="33" t="s">
        <v>139</v>
      </c>
      <c r="C31" s="2">
        <f>C28-Inputs!D207</f>
        <v>-146</v>
      </c>
      <c r="D31" s="11">
        <f>D28-C28</f>
        <v>50</v>
      </c>
      <c r="E31" s="11"/>
      <c r="F31" s="11">
        <f>F28-D28</f>
        <v>-12</v>
      </c>
      <c r="G31" s="11">
        <f>G28-F28</f>
        <v>3</v>
      </c>
      <c r="H31" s="29">
        <f>H28-G28</f>
        <v>-4.516483516483504</v>
      </c>
      <c r="I31" s="1"/>
      <c r="J31" s="1"/>
      <c r="K31" s="1"/>
      <c r="L31" s="1"/>
    </row>
    <row r="32" ht="14.624267578125">
      <c r="A32" s="1"/>
      <c r="B32" s="48" t="s">
        <v>223</v>
      </c>
      <c r="C32" s="50">
        <f>C24+C28</f>
        <v>1578</v>
      </c>
      <c r="D32" s="50">
        <f>D24+D28</f>
        <v>1616</v>
      </c>
      <c r="E32" s="50">
        <f>E24+E28</f>
        <v>6262</v>
      </c>
      <c r="F32" s="50">
        <f>F24+F28</f>
        <v>1508</v>
      </c>
      <c r="G32" s="50">
        <f>G24+G28</f>
        <v>1531</v>
      </c>
      <c r="H32" s="61">
        <f>H35*(H11+H15)*1000*H$8/365</f>
        <v>1565.0611047619052</v>
      </c>
      <c r="I32" s="1"/>
      <c r="J32" s="1"/>
      <c r="K32" s="1"/>
      <c r="L32" s="1"/>
    </row>
    <row r="33" ht="14.624267578125">
      <c r="A33" s="1"/>
      <c r="B33" s="19" t="s">
        <v>151</v>
      </c>
      <c r="C33" s="15">
        <f>IFERROR(IF((Inputs!D206+Inputs!D207)&lt;=0,"n.m.",C32/(Inputs!D206+Inputs!D207)-1),"")</f>
        <v>0.00766283524904221</v>
      </c>
      <c r="D33" s="7">
        <f>IFERROR(IF(C32&lt;=0,"n.m.",D32/C32-1),"")</f>
        <v>0.02408111533586821</v>
      </c>
      <c r="E33" s="7"/>
      <c r="F33" s="7">
        <f>IFERROR(IF(D32&lt;=0,"n.m.",F32/D32-1),"")</f>
        <v>-0.06683168316831678</v>
      </c>
      <c r="G33" s="7">
        <f>IFERROR(IF(F32&lt;=0,"n.m.",G32/F32-1),"")</f>
        <v>0.01525198938992034</v>
      </c>
      <c r="H33" s="31">
        <f>IFERROR(IF(G32&lt;=0,"n.m.",H32/G32-1),"")</f>
        <v>0.022247619047619294</v>
      </c>
      <c r="I33" s="1"/>
      <c r="J33" s="1"/>
      <c r="K33" s="1"/>
      <c r="L33" s="1"/>
    </row>
    <row r="34" ht="14.624267578125">
      <c r="A34" s="1"/>
      <c r="B34" s="19" t="s">
        <v>138</v>
      </c>
      <c r="C34" s="7"/>
      <c r="D34" s="7"/>
      <c r="E34" s="7"/>
      <c r="F34" s="15">
        <f>IFERROR(IF((Inputs!C206+Inputs!C207)&lt;=0,"n.m.",F32/(Inputs!C206+Inputs!C207)-1),"")</f>
        <v>0.003994673768308976</v>
      </c>
      <c r="G34" s="15">
        <f>IFERROR(IF((Inputs!D206+Inputs!D207)&lt;=0,"n.m.",G32/(Inputs!D206+Inputs!D207)-1),"")</f>
        <v>-0.022349936143039595</v>
      </c>
      <c r="H34" s="31">
        <f>IFERROR(IF(C32&lt;=0,"n.m.",H32/C32-1),"")</f>
        <v>-0.008199553382823077</v>
      </c>
      <c r="I34" s="1"/>
      <c r="J34" s="1"/>
      <c r="K34" s="1"/>
      <c r="L34" s="1"/>
    </row>
    <row r="35" ht="14.624267578125">
      <c r="A35" s="1"/>
      <c r="B35" s="19" t="s">
        <v>224</v>
      </c>
      <c r="C35" s="46">
        <f>IFERROR(C32/((C11+C15)*1000)*365/C$8,"")</f>
        <v>0.018982848630263397</v>
      </c>
      <c r="D35" s="46">
        <f>IFERROR(D32/((D11+D15)*1000)*365/D$8,"")</f>
        <v>0.019013358089638454</v>
      </c>
      <c r="E35" s="46">
        <f>IFERROR(E32/((E11+E15)*1000)*365/E$8,"")</f>
        <v>0.018935591170244934</v>
      </c>
      <c r="F35" s="46">
        <f>IFERROR(F32/((F11+F15)*1000)*365/F$8,"")</f>
        <v>0.01788239116309292</v>
      </c>
      <c r="G35" s="46">
        <f>IFERROR(G32/((G11+G15)*1000)*365/G$8,"")</f>
        <v>0.017799490364707758</v>
      </c>
      <c r="H35" s="67">
        <f>G35+H36/10000</f>
        <v>0.017799490364707758</v>
      </c>
      <c r="I35" s="1" t="s">
        <v>225</v>
      </c>
      <c r="J35" s="1"/>
      <c r="K35" s="1"/>
      <c r="L35" s="1"/>
    </row>
    <row r="36" ht="14.624267578125">
      <c r="A36" s="1"/>
      <c r="B36" s="33" t="s">
        <v>99</v>
      </c>
      <c r="C36" s="26"/>
      <c r="D36" s="26">
        <f>IFERROR((D35-C35)*10000,"")</f>
        <v>0.30509459375056835</v>
      </c>
      <c r="E36" s="26"/>
      <c r="F36" s="26">
        <f>IFERROR((F35-D35)*10000,"")</f>
        <v>-11.309669265455353</v>
      </c>
      <c r="G36" s="26">
        <f>IFERROR((G35-F35)*10000,"")</f>
        <v>-0.829007983851604</v>
      </c>
      <c r="H36" s="106">
        <v>0</v>
      </c>
      <c r="I36" s="1"/>
      <c r="J36" s="1"/>
      <c r="K36" s="1"/>
      <c r="L36" s="1"/>
    </row>
    <row r="37" ht="14.624267578125">
      <c r="A37" s="1"/>
      <c r="B37" s="33" t="s">
        <v>132</v>
      </c>
      <c r="C37" s="26"/>
      <c r="D37" s="26"/>
      <c r="E37" s="26"/>
      <c r="F37" s="56">
        <f>IFERROR((F35-((Inputs!C206+Inputs!C207)/((Inputs!C215+Inputs!C216)*1000)*365/Inputs!C138))*10000,"")</f>
        <v>-9.357875346038512</v>
      </c>
      <c r="G37" s="56">
        <f>IFERROR((G35-((Inputs!D206+Inputs!D207)/((Inputs!D215+Inputs!D216)*1000)*365/Inputs!D138))*10000,"")</f>
        <v>-11.141163537770096</v>
      </c>
      <c r="H37" s="60">
        <f>IFERROR((H35-C35)*10000,"")</f>
        <v>-11.83358265555639</v>
      </c>
      <c r="I37" s="1"/>
      <c r="J37" s="1"/>
      <c r="K37" s="1"/>
      <c r="L37" s="1"/>
    </row>
    <row r="38">
      <c r="A38" s="1"/>
      <c r="B38" s="33"/>
      <c r="C38" s="18"/>
      <c r="D38" s="18"/>
      <c r="E38" s="18"/>
      <c r="F38" s="18"/>
      <c r="G38" s="18"/>
      <c r="H38" s="45"/>
      <c r="I38" s="1"/>
      <c r="J38" s="1"/>
      <c r="K38" s="1"/>
      <c r="L38" s="1"/>
    </row>
    <row r="39" ht="14.624267578125">
      <c r="A39" s="1"/>
      <c r="B39" s="57" t="s">
        <v>226</v>
      </c>
      <c r="C39" s="18"/>
      <c r="D39" s="18"/>
      <c r="E39" s="18"/>
      <c r="F39" s="18"/>
      <c r="G39" s="18"/>
      <c r="H39" s="45"/>
      <c r="I39" s="1"/>
      <c r="J39" s="1"/>
      <c r="K39" s="1"/>
      <c r="L39" s="1"/>
    </row>
    <row r="40" ht="14.624267578125">
      <c r="A40" s="1"/>
      <c r="B40" s="33" t="s">
        <v>128</v>
      </c>
      <c r="C40" s="22">
        <v>1142</v>
      </c>
      <c r="D40" s="22">
        <v>1134</v>
      </c>
      <c r="E40" s="2">
        <f>Inputs!C209+Inputs!D209+C40+D40</f>
        <v>4164</v>
      </c>
      <c r="F40" s="22">
        <v>1069</v>
      </c>
      <c r="G40" s="22">
        <v>1158</v>
      </c>
      <c r="H40" s="29">
        <f>G40*(1+H41)</f>
        <v>1134.84</v>
      </c>
      <c r="I40" s="1" t="s">
        <v>227</v>
      </c>
      <c r="J40" s="1"/>
      <c r="K40" s="1"/>
      <c r="L40" s="1"/>
    </row>
    <row r="41" ht="14.624267578125">
      <c r="A41" s="1"/>
      <c r="B41" s="19" t="s">
        <v>151</v>
      </c>
      <c r="C41" s="15">
        <f>IFERROR(IF(Inputs!D209&lt;=0,"n.m.",C40/Inputs!D209-1),"")</f>
        <v>0.21360255047821464</v>
      </c>
      <c r="D41" s="7">
        <f>IFERROR(IF(C40&lt;=0,"n.m.",D40/C40-1),"")</f>
        <v>-0.007005253940455369</v>
      </c>
      <c r="E41" s="7"/>
      <c r="F41" s="7">
        <f>IFERROR(IF(D40&lt;=0,"n.m.",F40/D40-1),"")</f>
        <v>-0.05731922398589062</v>
      </c>
      <c r="G41" s="7">
        <f>IFERROR(IF(F40&lt;=0,"n.m.",G40/F40-1),"")</f>
        <v>0.08325537885874645</v>
      </c>
      <c r="H41" s="65">
        <v>-0.02</v>
      </c>
      <c r="I41" s="1"/>
      <c r="J41" s="1"/>
      <c r="K41" s="1"/>
      <c r="L41" s="1"/>
    </row>
    <row r="42" ht="14.624267578125">
      <c r="A42" s="1"/>
      <c r="B42" s="19" t="s">
        <v>138</v>
      </c>
      <c r="C42" s="7"/>
      <c r="D42" s="7"/>
      <c r="E42" s="7"/>
      <c r="F42" s="15">
        <f>IFERROR(IF(Inputs!C209&lt;=0,"n.m.",F40/Inputs!C209-1),"")</f>
        <v>0.12882787750791969</v>
      </c>
      <c r="G42" s="15">
        <f>IFERROR(IF(Inputs!D209&lt;=0,"n.m.",G40/Inputs!D209-1),"")</f>
        <v>0.230605738575983</v>
      </c>
      <c r="H42" s="31">
        <f>IFERROR(IF(C40&lt;=0,"n.m.",H40/C40-1),"")</f>
        <v>-0.006269702276707645</v>
      </c>
      <c r="I42" s="1"/>
      <c r="J42" s="1"/>
      <c r="K42" s="1"/>
      <c r="L42" s="1"/>
    </row>
    <row r="43" ht="14.624267578125">
      <c r="A43" s="1"/>
      <c r="B43" s="48" t="s">
        <v>228</v>
      </c>
      <c r="C43" s="50">
        <f>C32+C40</f>
        <v>2720</v>
      </c>
      <c r="D43" s="50">
        <f>D32+D40</f>
        <v>2750</v>
      </c>
      <c r="E43" s="50">
        <f>E32+E40</f>
        <v>10426</v>
      </c>
      <c r="F43" s="50">
        <f>F32+F40</f>
        <v>2577</v>
      </c>
      <c r="G43" s="50">
        <f>G32+G40</f>
        <v>2689</v>
      </c>
      <c r="H43" s="61">
        <f>H32+H40</f>
        <v>2699.901104761905</v>
      </c>
      <c r="I43" s="1"/>
      <c r="J43" s="1"/>
      <c r="K43" s="1"/>
      <c r="L43" s="1"/>
    </row>
    <row r="44" ht="14.624267578125">
      <c r="A44" s="1"/>
      <c r="B44" s="19" t="s">
        <v>151</v>
      </c>
      <c r="C44" s="15">
        <f>IFERROR(IF((Inputs!D206+Inputs!D207+Inputs!D209)&lt;=0,"n.m.",C43/(Inputs!D206+Inputs!D207+Inputs!D209)-1),"")</f>
        <v>0.08496210610291177</v>
      </c>
      <c r="D44" s="7">
        <f>IFERROR(IF(C43&lt;=0,"n.m.",D43/C43-1),"")</f>
        <v>0.011029411764705843</v>
      </c>
      <c r="E44" s="7"/>
      <c r="F44" s="7">
        <f>IFERROR(IF(D43&lt;=0,"n.m.",F43/D43-1),"")</f>
        <v>-0.06290909090909091</v>
      </c>
      <c r="G44" s="7">
        <f>IFERROR(IF(F43&lt;=0,"n.m.",G43/F43-1),"")</f>
        <v>0.04346138921226239</v>
      </c>
      <c r="H44" s="31">
        <f>IFERROR(IF(G43&lt;=0,"n.m.",H43/G43-1),"")</f>
        <v>0.004053962351024509</v>
      </c>
      <c r="I44" s="1"/>
      <c r="J44" s="1"/>
      <c r="K44" s="1"/>
      <c r="L44" s="1"/>
    </row>
    <row r="45" ht="14.624267578125">
      <c r="A45" s="1"/>
      <c r="B45" s="19" t="s">
        <v>138</v>
      </c>
      <c r="C45" s="7"/>
      <c r="D45" s="7"/>
      <c r="E45" s="7"/>
      <c r="F45" s="15">
        <f>IFERROR(IF((Inputs!C206+Inputs!C207+Inputs!C209)&lt;=0,"n.m.",F43/(Inputs!C206+Inputs!C207+Inputs!C209)-1),"")</f>
        <v>0.0522662311147406</v>
      </c>
      <c r="G45" s="15">
        <f>IFERROR(IF((Inputs!D206+Inputs!D207+Inputs!D209)&lt;=0,"n.m.",G43/(Inputs!D206+Inputs!D207+Inputs!D209)-1),"")</f>
        <v>0.07259672915835669</v>
      </c>
      <c r="H45" s="31">
        <f>IFERROR(IF(C43&lt;=0,"n.m.",H43/C43-1),"")</f>
        <v>-0.007389299719887776</v>
      </c>
      <c r="I45" s="1"/>
      <c r="J45" s="1"/>
      <c r="K45" s="1"/>
      <c r="L45" s="1"/>
    </row>
    <row r="46" ht="14.624267578125">
      <c r="A46" s="1"/>
      <c r="B46" s="19" t="s">
        <v>104</v>
      </c>
      <c r="C46" s="38" t="s">
        <v>105</v>
      </c>
      <c r="D46" s="38" t="s">
        <v>105</v>
      </c>
      <c r="E46" s="38" t="s">
        <v>105</v>
      </c>
      <c r="F46" s="38" t="s">
        <v>105</v>
      </c>
      <c r="G46" s="38" t="s">
        <v>105</v>
      </c>
      <c r="H46" s="59" t="s">
        <v>105</v>
      </c>
      <c r="I46" s="1" t="s">
        <v>106</v>
      </c>
      <c r="J46" s="1"/>
      <c r="K46" s="1"/>
      <c r="L46" s="1"/>
    </row>
    <row r="47" ht="14.624267578125">
      <c r="A47" s="1"/>
      <c r="B47" s="19" t="s">
        <v>107</v>
      </c>
      <c r="C47" s="38" t="s">
        <v>105</v>
      </c>
      <c r="D47" s="38" t="s">
        <v>105</v>
      </c>
      <c r="E47" s="38" t="s">
        <v>105</v>
      </c>
      <c r="F47" s="38" t="s">
        <v>105</v>
      </c>
      <c r="G47" s="38" t="s">
        <v>105</v>
      </c>
      <c r="H47" s="59" t="s">
        <v>105</v>
      </c>
      <c r="I47" s="1" t="s">
        <v>108</v>
      </c>
      <c r="J47" s="1"/>
      <c r="K47" s="1"/>
      <c r="L47" s="1"/>
    </row>
    <row r="48" ht="14.624267578125">
      <c r="A48" s="1"/>
      <c r="B48" s="19" t="s">
        <v>109</v>
      </c>
      <c r="C48" s="38" t="s">
        <v>110</v>
      </c>
      <c r="D48" s="38" t="s">
        <v>110</v>
      </c>
      <c r="E48" s="38" t="s">
        <v>110</v>
      </c>
      <c r="F48" s="38" t="s">
        <v>110</v>
      </c>
      <c r="G48" s="38" t="s">
        <v>110</v>
      </c>
      <c r="H48" s="59" t="s">
        <v>110</v>
      </c>
      <c r="I48" s="1" t="s">
        <v>111</v>
      </c>
      <c r="J48" s="1"/>
      <c r="K48" s="1"/>
      <c r="L48" s="1"/>
    </row>
    <row r="49" ht="14.624267578125">
      <c r="A49" s="1"/>
      <c r="B49" s="19" t="s">
        <v>112</v>
      </c>
      <c r="C49" s="7"/>
      <c r="D49" s="7"/>
      <c r="E49" s="7"/>
      <c r="F49" s="7">
        <f>IF(F45="","",F45)</f>
        <v>0.0522662311147406</v>
      </c>
      <c r="G49" s="7">
        <f>IF(G45="","",G45)</f>
        <v>0.07259672915835669</v>
      </c>
      <c r="H49" s="31">
        <f>IF(H45="","",H45)</f>
        <v>-0.007389299719887776</v>
      </c>
      <c r="I49" s="1"/>
      <c r="J49" s="1"/>
      <c r="K49" s="1"/>
      <c r="L49" s="1"/>
    </row>
    <row r="50" ht="14.624267578125">
      <c r="A50" s="1"/>
      <c r="B50" s="19" t="s">
        <v>229</v>
      </c>
      <c r="C50" s="7">
        <f>IFERROR(C40/C43,"")</f>
        <v>0.4198529411764706</v>
      </c>
      <c r="D50" s="7">
        <f>IFERROR(D40/D43,"")</f>
        <v>0.4123636363636364</v>
      </c>
      <c r="E50" s="7">
        <f>IFERROR(E40/E43,"")</f>
        <v>0.3993861500095914</v>
      </c>
      <c r="F50" s="7">
        <f>IFERROR(F40/F43,"")</f>
        <v>0.41482343810632516</v>
      </c>
      <c r="G50" s="7">
        <f>IFERROR(G40/G43,"")</f>
        <v>0.4306433618445519</v>
      </c>
      <c r="H50" s="31">
        <f>IFERROR(H40/H43,"")</f>
        <v>0.4203265067740611</v>
      </c>
      <c r="I50" s="1"/>
      <c r="J50" s="1"/>
      <c r="K50" s="1"/>
      <c r="L50" s="1"/>
    </row>
    <row r="51" ht="14.624267578125">
      <c r="A51" s="1"/>
      <c r="B51" s="33" t="s">
        <v>99</v>
      </c>
      <c r="C51" s="26"/>
      <c r="D51" s="26">
        <f>IFERROR((D50-C50)*10000,"")</f>
        <v>-74.89304812834219</v>
      </c>
      <c r="E51" s="26"/>
      <c r="F51" s="26">
        <f>IFERROR((F50-D50)*10000,"")</f>
        <v>24.59801742688783</v>
      </c>
      <c r="G51" s="26">
        <f>IFERROR((G50-F50)*10000,"")</f>
        <v>158.19923738226714</v>
      </c>
      <c r="H51" s="60">
        <f>IFERROR((H50-G50)*10000,"")</f>
        <v>-103.16855070490793</v>
      </c>
      <c r="I51" s="1"/>
      <c r="J51" s="1"/>
      <c r="K51" s="1"/>
      <c r="L51" s="1"/>
    </row>
    <row r="52" ht="14.624267578125">
      <c r="A52" s="1"/>
      <c r="B52" s="33" t="s">
        <v>132</v>
      </c>
      <c r="C52" s="26"/>
      <c r="D52" s="26"/>
      <c r="E52" s="26"/>
      <c r="F52" s="56">
        <f>IFERROR((F50-(Inputs!C209/(Inputs!C206+Inputs!C207+Inputs!C209)))*10000,"")</f>
        <v>281.3499384336071</v>
      </c>
      <c r="G52" s="56">
        <f>IFERROR((G50-(Inputs!D209/(Inputs!D206+Inputs!D207+Inputs!D209)))*10000,"")</f>
        <v>552.9433910821363</v>
      </c>
      <c r="H52" s="60">
        <f>IFERROR((H50-C50)*10000,"")</f>
        <v>4.735655975904862</v>
      </c>
      <c r="I52" s="1"/>
      <c r="J52" s="1"/>
      <c r="K52" s="1"/>
      <c r="L52" s="1"/>
    </row>
    <row r="53">
      <c r="A53" s="1"/>
      <c r="B53" s="33"/>
      <c r="C53" s="18"/>
      <c r="D53" s="18"/>
      <c r="E53" s="18"/>
      <c r="F53" s="18"/>
      <c r="G53" s="18"/>
      <c r="H53" s="45"/>
      <c r="I53" s="1"/>
      <c r="J53" s="1"/>
      <c r="K53" s="1"/>
      <c r="L53" s="1"/>
    </row>
    <row r="54" ht="14.624267578125">
      <c r="A54" s="1"/>
      <c r="B54" s="57" t="s">
        <v>230</v>
      </c>
      <c r="C54" s="18"/>
      <c r="D54" s="18"/>
      <c r="E54" s="18"/>
      <c r="F54" s="18"/>
      <c r="G54" s="18"/>
      <c r="H54" s="45"/>
      <c r="I54" s="1"/>
      <c r="J54" s="1"/>
      <c r="K54" s="1"/>
      <c r="L54" s="1"/>
    </row>
    <row r="55" ht="14.624267578125">
      <c r="A55" s="1"/>
      <c r="B55" s="33" t="s">
        <v>231</v>
      </c>
      <c r="C55" s="22">
        <v>598</v>
      </c>
      <c r="D55" s="22">
        <v>668</v>
      </c>
      <c r="E55" s="2">
        <f>Inputs!C210+Inputs!D210+C55+D55</f>
        <v>2397</v>
      </c>
      <c r="F55" s="22">
        <v>612</v>
      </c>
      <c r="G55" s="22">
        <v>626</v>
      </c>
      <c r="H55" s="29">
        <f>G55*(1+H56)</f>
        <v>635.39</v>
      </c>
      <c r="I55" s="1"/>
      <c r="J55" s="1"/>
      <c r="K55" s="1"/>
      <c r="L55" s="1"/>
    </row>
    <row r="56" ht="14.624267578125">
      <c r="A56" s="1"/>
      <c r="B56" s="19" t="s">
        <v>151</v>
      </c>
      <c r="C56" s="15">
        <f>IFERROR(IF(Inputs!D210&lt;=0,"n.m.",C55/Inputs!D210-1),"")</f>
        <v>0.04181184668989557</v>
      </c>
      <c r="D56" s="7">
        <f>IFERROR(IF(C55&lt;=0,"n.m.",D55/C55-1),"")</f>
        <v>0.11705685618729089</v>
      </c>
      <c r="E56" s="7"/>
      <c r="F56" s="7">
        <f>IFERROR(IF(D55&lt;=0,"n.m.",F55/D55-1),"")</f>
        <v>-0.08383233532934131</v>
      </c>
      <c r="G56" s="7">
        <f>IFERROR(IF(F55&lt;=0,"n.m.",G55/F55-1),"")</f>
        <v>0.02287581699346397</v>
      </c>
      <c r="H56" s="65">
        <v>0.015</v>
      </c>
      <c r="I56" s="1"/>
      <c r="J56" s="1"/>
      <c r="K56" s="1"/>
      <c r="L56" s="1"/>
    </row>
    <row r="57" ht="14.624267578125">
      <c r="A57" s="1"/>
      <c r="B57" s="19" t="s">
        <v>138</v>
      </c>
      <c r="C57" s="7"/>
      <c r="D57" s="7"/>
      <c r="E57" s="7"/>
      <c r="F57" s="15">
        <f>IFERROR(IF(Inputs!C210&lt;=0,"n.m.",F55/Inputs!C210-1),"")</f>
        <v>0.09874326750448836</v>
      </c>
      <c r="G57" s="15">
        <f>IFERROR(IF(Inputs!D210&lt;=0,"n.m.",G55/Inputs!D210-1),"")</f>
        <v>0.09059233449477344</v>
      </c>
      <c r="H57" s="31">
        <f>IFERROR(IF(C55&lt;=0,"n.m.",H55/C55-1),"")</f>
        <v>0.06252508361204012</v>
      </c>
      <c r="I57" s="1"/>
      <c r="J57" s="1"/>
      <c r="K57" s="1"/>
      <c r="L57" s="1"/>
    </row>
    <row r="58" ht="14.624267578125">
      <c r="A58" s="1"/>
      <c r="B58" s="33" t="s">
        <v>139</v>
      </c>
      <c r="C58" s="2">
        <f>C55-Inputs!D210</f>
        <v>24</v>
      </c>
      <c r="D58" s="11">
        <f>D55-C55</f>
        <v>70</v>
      </c>
      <c r="E58" s="11"/>
      <c r="F58" s="11">
        <f>F55-D55</f>
        <v>-56</v>
      </c>
      <c r="G58" s="11">
        <f>G55-F55</f>
        <v>14</v>
      </c>
      <c r="H58" s="29">
        <f>H55-G55</f>
        <v>9.389999999999986</v>
      </c>
      <c r="I58" s="1"/>
      <c r="J58" s="1"/>
      <c r="K58" s="1"/>
      <c r="L58" s="1"/>
    </row>
    <row r="59" ht="14.624267578125">
      <c r="A59" s="1"/>
      <c r="B59" s="33" t="s">
        <v>232</v>
      </c>
      <c r="C59" s="22">
        <v>34</v>
      </c>
      <c r="D59" s="22">
        <v>33</v>
      </c>
      <c r="E59" s="2">
        <f>Inputs!C211+Inputs!D211+C59+D59</f>
        <v>137</v>
      </c>
      <c r="F59" s="22">
        <v>30</v>
      </c>
      <c r="G59" s="22">
        <v>30</v>
      </c>
      <c r="H59" s="29">
        <f>G59*(1+H60)</f>
        <v>30</v>
      </c>
      <c r="I59" s="1"/>
      <c r="J59" s="1"/>
      <c r="K59" s="1"/>
      <c r="L59" s="1"/>
    </row>
    <row r="60" ht="14.624267578125">
      <c r="A60" s="1"/>
      <c r="B60" s="19" t="s">
        <v>151</v>
      </c>
      <c r="C60" s="15">
        <f>IFERROR(IF(Inputs!D211&lt;=0,"n.m.",C59/Inputs!D211-1),"")</f>
        <v>0</v>
      </c>
      <c r="D60" s="7">
        <f>IFERROR(IF(C59&lt;=0,"n.m.",D59/C59-1),"")</f>
        <v>-0.02941176470588236</v>
      </c>
      <c r="E60" s="7"/>
      <c r="F60" s="7">
        <f>IFERROR(IF(D59&lt;=0,"n.m.",F59/D59-1),"")</f>
        <v>-0.09090909090909094</v>
      </c>
      <c r="G60" s="7">
        <f>IFERROR(IF(F59&lt;=0,"n.m.",G59/F59-1),"")</f>
        <v>0</v>
      </c>
      <c r="H60" s="107">
        <v>0</v>
      </c>
      <c r="I60" s="1"/>
      <c r="J60" s="1"/>
      <c r="K60" s="1"/>
      <c r="L60" s="1"/>
    </row>
    <row r="61" ht="14.624267578125">
      <c r="A61" s="1"/>
      <c r="B61" s="19" t="s">
        <v>138</v>
      </c>
      <c r="C61" s="7"/>
      <c r="D61" s="7"/>
      <c r="E61" s="7"/>
      <c r="F61" s="15">
        <f>IFERROR(IF(Inputs!C211&lt;=0,"n.m.",F59/Inputs!C211-1),"")</f>
        <v>-0.16666666666666663</v>
      </c>
      <c r="G61" s="15">
        <f>IFERROR(IF(Inputs!D211&lt;=0,"n.m.",G59/Inputs!D211-1),"")</f>
        <v>-0.11764705882352944</v>
      </c>
      <c r="H61" s="31">
        <f>IFERROR(IF(C59&lt;=0,"n.m.",H59/C59-1),"")</f>
        <v>-0.11764705882352944</v>
      </c>
      <c r="I61" s="1"/>
      <c r="J61" s="1"/>
      <c r="K61" s="1"/>
      <c r="L61" s="1"/>
    </row>
    <row r="62" ht="14.624267578125">
      <c r="A62" s="1"/>
      <c r="B62" s="33" t="s">
        <v>139</v>
      </c>
      <c r="C62" s="2">
        <f>C59-Inputs!D211</f>
        <v>0</v>
      </c>
      <c r="D62" s="11">
        <f>D59-C59</f>
        <v>-1</v>
      </c>
      <c r="E62" s="11"/>
      <c r="F62" s="11">
        <f>F59-D59</f>
        <v>-3</v>
      </c>
      <c r="G62" s="11">
        <f>G59-F59</f>
        <v>0</v>
      </c>
      <c r="H62" s="29">
        <f>H59-G59</f>
        <v>0</v>
      </c>
      <c r="I62" s="1"/>
      <c r="J62" s="1"/>
      <c r="K62" s="1"/>
      <c r="L62" s="1"/>
    </row>
    <row r="63" ht="14.624267578125">
      <c r="A63" s="1"/>
      <c r="B63" s="33" t="s">
        <v>233</v>
      </c>
      <c r="C63" s="22">
        <v>199</v>
      </c>
      <c r="D63" s="22">
        <v>188</v>
      </c>
      <c r="E63" s="2">
        <f>Inputs!C212+Inputs!D212+C63+D63</f>
        <v>782</v>
      </c>
      <c r="F63" s="22">
        <v>187</v>
      </c>
      <c r="G63" s="22">
        <v>200</v>
      </c>
      <c r="H63" s="29">
        <f>G63*(1+H64)</f>
        <v>204</v>
      </c>
      <c r="I63" s="1"/>
      <c r="J63" s="1"/>
      <c r="K63" s="1"/>
      <c r="L63" s="1"/>
    </row>
    <row r="64" ht="14.624267578125">
      <c r="A64" s="1"/>
      <c r="B64" s="19" t="s">
        <v>151</v>
      </c>
      <c r="C64" s="15">
        <f>IFERROR(IF(Inputs!D212&lt;=0,"n.m.",C63/Inputs!D212-1),"")</f>
        <v>-0.014851485148514865</v>
      </c>
      <c r="D64" s="7">
        <f>IFERROR(IF(C63&lt;=0,"n.m.",D63/C63-1),"")</f>
        <v>-0.055276381909547756</v>
      </c>
      <c r="E64" s="7"/>
      <c r="F64" s="7">
        <f>IFERROR(IF(D63&lt;=0,"n.m.",F63/D63-1),"")</f>
        <v>-0.005319148936170248</v>
      </c>
      <c r="G64" s="7">
        <f>IFERROR(IF(F63&lt;=0,"n.m.",G63/F63-1),"")</f>
        <v>0.06951871657754016</v>
      </c>
      <c r="H64" s="65">
        <v>0.02</v>
      </c>
      <c r="I64" s="1"/>
      <c r="J64" s="1"/>
      <c r="K64" s="1"/>
      <c r="L64" s="1"/>
    </row>
    <row r="65" ht="14.624267578125">
      <c r="A65" s="1"/>
      <c r="B65" s="19" t="s">
        <v>138</v>
      </c>
      <c r="C65" s="7"/>
      <c r="D65" s="7"/>
      <c r="E65" s="7"/>
      <c r="F65" s="15">
        <f>IFERROR(IF(Inputs!C212&lt;=0,"n.m.",F63/Inputs!C212-1),"")</f>
        <v>-0.031088082901554404</v>
      </c>
      <c r="G65" s="15">
        <f>IFERROR(IF(Inputs!D212&lt;=0,"n.m.",G63/Inputs!D212-1),"")</f>
        <v>-0.00990099009900991</v>
      </c>
      <c r="H65" s="31">
        <f>IFERROR(IF(C63&lt;=0,"n.m.",H63/C63-1),"")</f>
        <v>0.025125628140703515</v>
      </c>
      <c r="I65" s="1"/>
      <c r="J65" s="1"/>
      <c r="K65" s="1"/>
      <c r="L65" s="1"/>
    </row>
    <row r="66" ht="14.624267578125">
      <c r="A66" s="1"/>
      <c r="B66" s="33" t="s">
        <v>139</v>
      </c>
      <c r="C66" s="2">
        <f>C63-Inputs!D212</f>
        <v>-3</v>
      </c>
      <c r="D66" s="11">
        <f>D63-C63</f>
        <v>-11</v>
      </c>
      <c r="E66" s="11"/>
      <c r="F66" s="11">
        <f>F63-D63</f>
        <v>-1</v>
      </c>
      <c r="G66" s="11">
        <f>G63-F63</f>
        <v>13</v>
      </c>
      <c r="H66" s="29">
        <f>H63-G63</f>
        <v>4</v>
      </c>
      <c r="I66" s="1"/>
      <c r="J66" s="1"/>
      <c r="K66" s="1"/>
      <c r="L66" s="1"/>
    </row>
    <row r="67" ht="14.624267578125">
      <c r="A67" s="1"/>
      <c r="B67" s="48" t="s">
        <v>234</v>
      </c>
      <c r="C67" s="50">
        <f>C55+C59+C63</f>
        <v>831</v>
      </c>
      <c r="D67" s="50">
        <f>D55+D59+D63</f>
        <v>889</v>
      </c>
      <c r="E67" s="50">
        <f>E55+E59+E63</f>
        <v>3316</v>
      </c>
      <c r="F67" s="50">
        <f>F55+F59+F63</f>
        <v>829</v>
      </c>
      <c r="G67" s="50">
        <f>G55+G59+G63</f>
        <v>856</v>
      </c>
      <c r="H67" s="61">
        <f>H55+H59+H63</f>
        <v>869.39</v>
      </c>
      <c r="I67" s="1"/>
      <c r="J67" s="1"/>
      <c r="K67" s="1"/>
      <c r="L67" s="1"/>
    </row>
    <row r="68" ht="14.624267578125">
      <c r="A68" s="1"/>
      <c r="B68" s="33" t="s">
        <v>235</v>
      </c>
      <c r="C68" s="22">
        <v>485</v>
      </c>
      <c r="D68" s="22">
        <v>465</v>
      </c>
      <c r="E68" s="2">
        <f>Inputs!C213+Inputs!D213+C68+D68</f>
        <v>1986</v>
      </c>
      <c r="F68" s="22">
        <v>520</v>
      </c>
      <c r="G68" s="22">
        <v>528</v>
      </c>
      <c r="H68" s="29">
        <f>G68*(1+H69)</f>
        <v>533.28</v>
      </c>
      <c r="I68" s="1"/>
      <c r="J68" s="1"/>
      <c r="K68" s="1"/>
      <c r="L68" s="1"/>
    </row>
    <row r="69" ht="14.624267578125">
      <c r="A69" s="1"/>
      <c r="B69" s="19" t="s">
        <v>151</v>
      </c>
      <c r="C69" s="15">
        <f>IFERROR(IF(Inputs!D213&lt;=0,"n.m.",C68/Inputs!D213-1),"")</f>
        <v>-0.06551059730250486</v>
      </c>
      <c r="D69" s="7">
        <f>IFERROR(IF(C68&lt;=0,"n.m.",D68/C68-1),"")</f>
        <v>-0.04123711340206182</v>
      </c>
      <c r="E69" s="7"/>
      <c r="F69" s="7">
        <f>IFERROR(IF(D68&lt;=0,"n.m.",F68/D68-1),"")</f>
        <v>0.11827956989247301</v>
      </c>
      <c r="G69" s="7">
        <f>IFERROR(IF(F68&lt;=0,"n.m.",G68/F68-1),"")</f>
        <v>0.01538461538461533</v>
      </c>
      <c r="H69" s="65">
        <v>0.01</v>
      </c>
      <c r="I69" s="1"/>
      <c r="J69" s="1"/>
      <c r="K69" s="1"/>
      <c r="L69" s="1"/>
    </row>
    <row r="70" ht="14.624267578125">
      <c r="A70" s="1"/>
      <c r="B70" s="19" t="s">
        <v>138</v>
      </c>
      <c r="C70" s="7"/>
      <c r="D70" s="7"/>
      <c r="E70" s="7"/>
      <c r="F70" s="15">
        <f>IFERROR(IF(Inputs!C213&lt;=0,"n.m.",F68/Inputs!C213-1),"")</f>
        <v>0.005802707930367523</v>
      </c>
      <c r="G70" s="15">
        <f>IFERROR(IF(Inputs!D213&lt;=0,"n.m.",G68/Inputs!D213-1),"")</f>
        <v>0.01734104046242768</v>
      </c>
      <c r="H70" s="31">
        <f>IFERROR(IF(C68&lt;=0,"n.m.",H68/C68-1),"")</f>
        <v>0.09954639175257718</v>
      </c>
      <c r="I70" s="1"/>
      <c r="J70" s="1"/>
      <c r="K70" s="1"/>
      <c r="L70" s="1"/>
    </row>
    <row r="71" ht="14.624267578125">
      <c r="A71" s="1"/>
      <c r="B71" s="33" t="s">
        <v>139</v>
      </c>
      <c r="C71" s="2">
        <f>C68-Inputs!D213</f>
        <v>-34</v>
      </c>
      <c r="D71" s="11">
        <f>D68-C68</f>
        <v>-20</v>
      </c>
      <c r="E71" s="11"/>
      <c r="F71" s="11">
        <f>F68-D68</f>
        <v>55</v>
      </c>
      <c r="G71" s="11">
        <f>G68-F68</f>
        <v>8</v>
      </c>
      <c r="H71" s="29">
        <f>H68-G68</f>
        <v>5.279999999999973</v>
      </c>
      <c r="I71" s="1"/>
      <c r="J71" s="1"/>
      <c r="K71" s="1"/>
      <c r="L71" s="1"/>
    </row>
    <row r="72" ht="14.624267578125">
      <c r="A72" s="1"/>
      <c r="B72" s="48" t="s">
        <v>236</v>
      </c>
      <c r="C72" s="50">
        <f>C67+C68</f>
        <v>1316</v>
      </c>
      <c r="D72" s="50">
        <f>D67+D68</f>
        <v>1354</v>
      </c>
      <c r="E72" s="50">
        <f>E67+E68</f>
        <v>5302</v>
      </c>
      <c r="F72" s="50">
        <f>F67+F68</f>
        <v>1349</v>
      </c>
      <c r="G72" s="50">
        <f>G67+G68</f>
        <v>1384</v>
      </c>
      <c r="H72" s="61">
        <f>H67+H68</f>
        <v>1402.67</v>
      </c>
      <c r="I72" s="1"/>
      <c r="J72" s="1"/>
      <c r="K72" s="1"/>
      <c r="L72" s="1"/>
    </row>
    <row r="73" ht="14.624267578125">
      <c r="A73" s="1"/>
      <c r="B73" s="19" t="s">
        <v>151</v>
      </c>
      <c r="C73" s="15">
        <f>IFERROR(IF((Inputs!D210+Inputs!D211+Inputs!D212+Inputs!D213)&lt;=0,"n.m.",C72/(Inputs!D210+Inputs!D211+Inputs!D212+Inputs!D213)-1),"")</f>
        <v>-0.009781790820165503</v>
      </c>
      <c r="D73" s="7">
        <f>IFERROR(IF(C72&lt;=0,"n.m.",D72/C72-1),"")</f>
        <v>0.028875379939209633</v>
      </c>
      <c r="E73" s="7"/>
      <c r="F73" s="7">
        <f>IFERROR(IF(D72&lt;=0,"n.m.",F72/D72-1),"")</f>
        <v>-0.0036927621861152504</v>
      </c>
      <c r="G73" s="7">
        <f>IFERROR(IF(F72&lt;=0,"n.m.",G72/F72-1),"")</f>
        <v>0.02594514455151975</v>
      </c>
      <c r="H73" s="31">
        <f>IFERROR(IF(G72&lt;=0,"n.m.",H72/G72-1),"")</f>
        <v>0.013489884393063534</v>
      </c>
      <c r="I73" s="1"/>
      <c r="J73" s="1"/>
      <c r="K73" s="1"/>
      <c r="L73" s="1"/>
    </row>
    <row r="74" ht="14.624267578125">
      <c r="A74" s="1"/>
      <c r="B74" s="19" t="s">
        <v>138</v>
      </c>
      <c r="C74" s="7"/>
      <c r="D74" s="7"/>
      <c r="E74" s="7"/>
      <c r="F74" s="15">
        <f>IFERROR(IF((Inputs!C210+Inputs!C211+Inputs!C212+Inputs!C213)&lt;=0,"n.m.",F72/(Inputs!C210+Inputs!C211+Inputs!C212+Inputs!C213)-1),"")</f>
        <v>0.03530314658480438</v>
      </c>
      <c r="G74" s="15">
        <f>IFERROR(IF((Inputs!D210+Inputs!D211+Inputs!D212+Inputs!D213)&lt;=0,"n.m.",G72/(Inputs!D210+Inputs!D211+Inputs!D212+Inputs!D213)-1),"")</f>
        <v>0.04138449962377733</v>
      </c>
      <c r="H74" s="31">
        <f>IFERROR(IF(C72&lt;=0,"n.m.",H72/C72-1),"")</f>
        <v>0.06585866261398188</v>
      </c>
      <c r="I74" s="1"/>
      <c r="J74" s="1"/>
      <c r="K74" s="1"/>
      <c r="L74" s="1"/>
    </row>
    <row r="75" ht="14.624267578125">
      <c r="A75" s="1"/>
      <c r="B75" s="19" t="s">
        <v>237</v>
      </c>
      <c r="C75" s="7">
        <f>IFERROR(C72/C43,"")</f>
        <v>0.4838235294117647</v>
      </c>
      <c r="D75" s="7">
        <f>IFERROR(D72/D43,"")</f>
        <v>0.49236363636363634</v>
      </c>
      <c r="E75" s="7">
        <f>IFERROR(E72/E43,"")</f>
        <v>0.5085363514291195</v>
      </c>
      <c r="F75" s="7">
        <f>IFERROR(F72/F43,"")</f>
        <v>0.523476911136981</v>
      </c>
      <c r="G75" s="7">
        <f>IFERROR(G72/G43,"")</f>
        <v>0.5146894756415025</v>
      </c>
      <c r="H75" s="31">
        <f>IFERROR(H72/H43,"")</f>
        <v>0.5195264365520887</v>
      </c>
      <c r="I75" s="1"/>
      <c r="J75" s="1"/>
      <c r="K75" s="1"/>
      <c r="L75" s="1"/>
    </row>
    <row r="76" ht="14.624267578125">
      <c r="A76" s="1"/>
      <c r="B76" s="33" t="s">
        <v>99</v>
      </c>
      <c r="C76" s="26"/>
      <c r="D76" s="26">
        <f>IFERROR((D75-C75)*10000,"")</f>
        <v>85.40106951871628</v>
      </c>
      <c r="E76" s="26"/>
      <c r="F76" s="26">
        <f>IFERROR((F75-D75)*10000,"")</f>
        <v>311.1327477334469</v>
      </c>
      <c r="G76" s="26">
        <f>IFERROR((G75-F75)*10000,"")</f>
        <v>-87.87435495478557</v>
      </c>
      <c r="H76" s="60">
        <f>IFERROR((H75-G75)*10000,"")</f>
        <v>48.36960910586274</v>
      </c>
      <c r="I76" s="1"/>
      <c r="J76" s="1"/>
      <c r="K76" s="1"/>
      <c r="L76" s="1"/>
    </row>
    <row r="77" ht="14.624267578125">
      <c r="A77" s="1"/>
      <c r="B77" s="33" t="s">
        <v>132</v>
      </c>
      <c r="C77" s="26"/>
      <c r="D77" s="26"/>
      <c r="E77" s="26"/>
      <c r="F77" s="56">
        <f>IFERROR((F75-((Inputs!C210+Inputs!C211+Inputs!C212+Inputs!C213)/(Inputs!C206+Inputs!C207+Inputs!C209)))*10000,"")</f>
        <v>-85.76988413856013</v>
      </c>
      <c r="G77" s="56">
        <f>IFERROR((G75-((Inputs!D210+Inputs!D211+Inputs!D212+Inputs!D213)/(Inputs!D206+Inputs!D207+Inputs!D209)))*10000,"")</f>
        <v>-154.26200465398222</v>
      </c>
      <c r="H77" s="60">
        <f>IFERROR((H75-C75)*10000,"")</f>
        <v>357.0290714032404</v>
      </c>
      <c r="I77" s="1"/>
      <c r="J77" s="1"/>
      <c r="K77" s="1"/>
      <c r="L77" s="1"/>
    </row>
    <row r="78">
      <c r="A78" s="1"/>
      <c r="B78" s="33"/>
      <c r="C78" s="18"/>
      <c r="D78" s="18"/>
      <c r="E78" s="18"/>
      <c r="F78" s="18"/>
      <c r="G78" s="18"/>
      <c r="H78" s="45"/>
      <c r="I78" s="1"/>
      <c r="J78" s="1"/>
      <c r="K78" s="1"/>
      <c r="L78" s="1"/>
    </row>
    <row r="79" ht="14.624267578125">
      <c r="A79" s="1"/>
      <c r="B79" s="57" t="s">
        <v>238</v>
      </c>
      <c r="C79" s="18"/>
      <c r="D79" s="18"/>
      <c r="E79" s="18"/>
      <c r="F79" s="18"/>
      <c r="G79" s="18"/>
      <c r="H79" s="45"/>
      <c r="I79" s="1"/>
      <c r="J79" s="1"/>
      <c r="K79" s="1"/>
      <c r="L79" s="1"/>
    </row>
    <row r="80" ht="14.624267578125">
      <c r="A80" s="1"/>
      <c r="B80" s="48" t="s">
        <v>239</v>
      </c>
      <c r="C80" s="50">
        <f>C43-C72</f>
        <v>1404</v>
      </c>
      <c r="D80" s="50">
        <f>D43-D72</f>
        <v>1396</v>
      </c>
      <c r="E80" s="50">
        <f>E43-E72</f>
        <v>5124</v>
      </c>
      <c r="F80" s="50">
        <f>F43-F72</f>
        <v>1228</v>
      </c>
      <c r="G80" s="50">
        <f>G43-G72</f>
        <v>1305</v>
      </c>
      <c r="H80" s="61">
        <f>H43-H72</f>
        <v>1297.231104761905</v>
      </c>
      <c r="I80" s="1"/>
      <c r="J80" s="1"/>
      <c r="K80" s="1"/>
      <c r="L80" s="1"/>
    </row>
    <row r="81" ht="14.624267578125">
      <c r="A81" s="1"/>
      <c r="B81" s="33" t="s">
        <v>240</v>
      </c>
      <c r="C81" s="22">
        <v>36</v>
      </c>
      <c r="D81" s="22">
        <v>82</v>
      </c>
      <c r="E81" s="2">
        <f>Inputs!C208+Inputs!D208+C81+D81</f>
        <v>354</v>
      </c>
      <c r="F81" s="22">
        <v>105</v>
      </c>
      <c r="G81" s="22">
        <v>90</v>
      </c>
      <c r="H81" s="29">
        <f>H85/10000*H11*1000*H$8/365</f>
        <v>94.99158794520548</v>
      </c>
      <c r="I81" s="1"/>
      <c r="J81" s="1"/>
      <c r="K81" s="1"/>
      <c r="L81" s="1"/>
    </row>
    <row r="82" ht="14.624267578125">
      <c r="A82" s="1"/>
      <c r="B82" s="19" t="s">
        <v>151</v>
      </c>
      <c r="C82" s="15">
        <f>IFERROR(IF(Inputs!D208&lt;=0,"n.m.",C81/Inputs!D208-1),"")</f>
        <v>-0.6538461538461539</v>
      </c>
      <c r="D82" s="7">
        <f>IFERROR(IF(C81&lt;=0,"n.m.",D81/C81-1),"")</f>
        <v>1.2777777777777777</v>
      </c>
      <c r="E82" s="7"/>
      <c r="F82" s="7">
        <f>IFERROR(IF(D81&lt;=0,"n.m.",F81/D81-1),"")</f>
        <v>0.2804878048780488</v>
      </c>
      <c r="G82" s="7">
        <f>IFERROR(IF(F81&lt;=0,"n.m.",G81/F81-1),"")</f>
        <v>-0.1428571428571429</v>
      </c>
      <c r="H82" s="31">
        <f>IFERROR(IF(G81&lt;=0,"n.m.",H81/G81-1),"")</f>
        <v>0.05546208828006094</v>
      </c>
      <c r="I82" s="1"/>
      <c r="J82" s="1"/>
      <c r="K82" s="1"/>
      <c r="L82" s="1"/>
    </row>
    <row r="83" ht="14.624267578125">
      <c r="A83" s="1"/>
      <c r="B83" s="19" t="s">
        <v>138</v>
      </c>
      <c r="C83" s="7"/>
      <c r="D83" s="7"/>
      <c r="E83" s="7"/>
      <c r="F83" s="15">
        <f>IFERROR(IF(Inputs!C208&lt;=0,"n.m.",F81/Inputs!C208-1),"")</f>
        <v>-0.20454545454545459</v>
      </c>
      <c r="G83" s="15">
        <f>IFERROR(IF(Inputs!D208&lt;=0,"n.m.",G81/Inputs!D208-1),"")</f>
        <v>-0.13461538461538458</v>
      </c>
      <c r="H83" s="31">
        <f>IFERROR(IF(C81&lt;=0,"n.m.",H81/C81-1),"")</f>
        <v>1.6386552207001523</v>
      </c>
      <c r="I83" s="1"/>
      <c r="J83" s="1"/>
      <c r="K83" s="1"/>
      <c r="L83" s="1"/>
    </row>
    <row r="84" ht="14.624267578125">
      <c r="A84" s="1"/>
      <c r="B84" s="33" t="s">
        <v>139</v>
      </c>
      <c r="C84" s="2">
        <f>C81-Inputs!D208</f>
        <v>-68</v>
      </c>
      <c r="D84" s="11">
        <f>D81-C81</f>
        <v>46</v>
      </c>
      <c r="E84" s="11"/>
      <c r="F84" s="11">
        <f>F81-D81</f>
        <v>23</v>
      </c>
      <c r="G84" s="11">
        <f>G81-F81</f>
        <v>-15</v>
      </c>
      <c r="H84" s="29">
        <f>H81-G81</f>
        <v>4.991587945205481</v>
      </c>
      <c r="I84" s="1"/>
      <c r="J84" s="1"/>
      <c r="K84" s="1"/>
      <c r="L84" s="1"/>
    </row>
    <row r="85" ht="14.624267578125">
      <c r="A85" s="1"/>
      <c r="B85" s="33" t="s">
        <v>241</v>
      </c>
      <c r="C85" s="26">
        <f>IFERROR(C81/(C11*1000)*365/C$8*10000,"")</f>
        <v>7.662343720843442</v>
      </c>
      <c r="D85" s="26">
        <f>IFERROR(D81/(D11*1000)*365/D$8*10000,"")</f>
        <v>17.131442177805255</v>
      </c>
      <c r="E85" s="26">
        <f>IFERROR(E81/(E11*1000)*365/E$8*10000,"")</f>
        <v>19.257445940432476</v>
      </c>
      <c r="F85" s="26">
        <f>IFERROR(F81/(F11*1000)*365/F$8*10000,"")</f>
        <v>21.96149217809868</v>
      </c>
      <c r="G85" s="26">
        <f>IFERROR(G81/(G11*1000)*365/G$8*10000,"")</f>
        <v>18.417806683112804</v>
      </c>
      <c r="H85" s="62">
        <v>19</v>
      </c>
      <c r="I85" s="1"/>
      <c r="J85" s="1"/>
      <c r="K85" s="1"/>
      <c r="L85" s="1"/>
    </row>
    <row r="86" ht="14.624267578125">
      <c r="A86" s="1"/>
      <c r="B86" s="33" t="s">
        <v>99</v>
      </c>
      <c r="C86" s="26"/>
      <c r="D86" s="26">
        <f>IFERROR(D85-C85,"")</f>
        <v>9.469098456961813</v>
      </c>
      <c r="E86" s="26"/>
      <c r="F86" s="26">
        <f>IFERROR(F85-D85,"")</f>
        <v>4.830050000293426</v>
      </c>
      <c r="G86" s="26">
        <f>IFERROR(G85-F85,"")</f>
        <v>-3.5436854949858763</v>
      </c>
      <c r="H86" s="60">
        <f>IFERROR(H85-G85,"")</f>
        <v>0.5821933168871958</v>
      </c>
      <c r="I86" s="1"/>
      <c r="J86" s="1"/>
      <c r="K86" s="1"/>
      <c r="L86" s="1"/>
    </row>
    <row r="87" ht="14.624267578125">
      <c r="A87" s="1"/>
      <c r="B87" s="33" t="s">
        <v>132</v>
      </c>
      <c r="C87" s="26"/>
      <c r="D87" s="26"/>
      <c r="E87" s="26"/>
      <c r="F87" s="56">
        <f>IFERROR(F85-(Inputs!C208/(Inputs!C215*1000)*365/Inputs!C138*10000),"")</f>
        <v>-8.113414188942517</v>
      </c>
      <c r="G87" s="56">
        <f>IFERROR(G85-(Inputs!D208/(Inputs!D215*1000)*365/Inputs!D138*10000),"")</f>
        <v>-4.628760009862727</v>
      </c>
      <c r="H87" s="60">
        <f>IFERROR(H85-C85,"")</f>
        <v>11.337656279156558</v>
      </c>
      <c r="I87" s="1"/>
      <c r="J87" s="1"/>
      <c r="K87" s="1"/>
      <c r="L87" s="1"/>
    </row>
    <row r="88" ht="14.624267578125">
      <c r="A88" s="1"/>
      <c r="B88" s="48" t="s">
        <v>242</v>
      </c>
      <c r="C88" s="50">
        <f>C80-C81</f>
        <v>1368</v>
      </c>
      <c r="D88" s="50">
        <f>D80-D81</f>
        <v>1314</v>
      </c>
      <c r="E88" s="50">
        <f>E80-E81</f>
        <v>4770</v>
      </c>
      <c r="F88" s="50">
        <f>F80-F81</f>
        <v>1123</v>
      </c>
      <c r="G88" s="50">
        <f>G80-G81</f>
        <v>1215</v>
      </c>
      <c r="H88" s="61">
        <f>H80-H81</f>
        <v>1202.2395168166995</v>
      </c>
      <c r="I88" s="1"/>
      <c r="J88" s="1"/>
      <c r="K88" s="1"/>
      <c r="L88" s="1"/>
    </row>
    <row r="89" ht="14.624267578125">
      <c r="A89" s="1"/>
      <c r="B89" s="33" t="s">
        <v>243</v>
      </c>
      <c r="C89" s="22">
        <v>284</v>
      </c>
      <c r="D89" s="22">
        <v>272</v>
      </c>
      <c r="E89" s="2">
        <f>Inputs!C214+Inputs!D214+C89+D89</f>
        <v>970</v>
      </c>
      <c r="F89" s="22">
        <v>232</v>
      </c>
      <c r="G89" s="22">
        <v>255</v>
      </c>
      <c r="H89" s="29">
        <f>H88*H95</f>
        <v>252.4702985315069</v>
      </c>
      <c r="I89" s="1"/>
      <c r="J89" s="1"/>
      <c r="K89" s="1"/>
      <c r="L89" s="1"/>
    </row>
    <row r="90" ht="14.624267578125">
      <c r="A90" s="1"/>
      <c r="B90" s="19" t="s">
        <v>151</v>
      </c>
      <c r="C90" s="15">
        <f>IFERROR(IF(Inputs!D214&lt;=0,"n.m.",C89/Inputs!D214-1),"")</f>
        <v>0.33333333333333326</v>
      </c>
      <c r="D90" s="7">
        <f>IFERROR(IF(C89&lt;=0,"n.m.",D89/C89-1),"")</f>
        <v>-0.04225352112676062</v>
      </c>
      <c r="E90" s="7"/>
      <c r="F90" s="7">
        <f>IFERROR(IF(D89&lt;=0,"n.m.",F89/D89-1),"")</f>
        <v>-0.1470588235294118</v>
      </c>
      <c r="G90" s="7">
        <f>IFERROR(IF(F89&lt;=0,"n.m.",G89/F89-1),"")</f>
        <v>0.09913793103448265</v>
      </c>
      <c r="H90" s="31">
        <f>IFERROR(IF(G89&lt;=0,"n.m.",H89/G89-1),"")</f>
        <v>-0.00992039791565924</v>
      </c>
      <c r="I90" s="1"/>
      <c r="J90" s="1"/>
      <c r="K90" s="1"/>
      <c r="L90" s="1"/>
    </row>
    <row r="91" ht="14.624267578125">
      <c r="A91" s="1"/>
      <c r="B91" s="19" t="s">
        <v>138</v>
      </c>
      <c r="C91" s="7"/>
      <c r="D91" s="7"/>
      <c r="E91" s="7"/>
      <c r="F91" s="15">
        <f>IFERROR(IF(Inputs!C214&lt;=0,"n.m.",F89/Inputs!C214-1),"")</f>
        <v>0.1542288557213931</v>
      </c>
      <c r="G91" s="15">
        <f>IFERROR(IF(Inputs!D214&lt;=0,"n.m.",G89/Inputs!D214-1),"")</f>
        <v>0.19718309859154926</v>
      </c>
      <c r="H91" s="31">
        <f>IFERROR(IF(C89&lt;=0,"n.m.",H89/C89-1),"")</f>
        <v>-0.11102007559328553</v>
      </c>
      <c r="I91" s="1"/>
      <c r="J91" s="1"/>
      <c r="K91" s="1"/>
      <c r="L91" s="1"/>
    </row>
    <row r="92" ht="14.624267578125">
      <c r="A92" s="1"/>
      <c r="B92" s="48" t="s">
        <v>244</v>
      </c>
      <c r="C92" s="50">
        <f>C88-C89</f>
        <v>1084</v>
      </c>
      <c r="D92" s="50">
        <f>D88-D89</f>
        <v>1042</v>
      </c>
      <c r="E92" s="50">
        <f>E88-E89</f>
        <v>3800</v>
      </c>
      <c r="F92" s="50">
        <f>F88-F89</f>
        <v>891</v>
      </c>
      <c r="G92" s="50">
        <f>G88-G89</f>
        <v>960</v>
      </c>
      <c r="H92" s="61">
        <f>H88-H89</f>
        <v>949.7692182851927</v>
      </c>
      <c r="I92" s="1"/>
      <c r="J92" s="1"/>
      <c r="K92" s="1"/>
      <c r="L92" s="1"/>
    </row>
    <row r="93" ht="14.624267578125">
      <c r="A93" s="1"/>
      <c r="B93" s="19" t="s">
        <v>151</v>
      </c>
      <c r="C93" s="15">
        <f>IFERROR(IF(((Inputs!D206+Inputs!D207+Inputs!D209)-(Inputs!D210+Inputs!D211+Inputs!D212+Inputs!D213+Inputs!D208+Inputs!D214))&lt;=0,"n.m.",C92/((Inputs!D206+Inputs!D207+Inputs!D209)-(Inputs!D210+Inputs!D211+Inputs!D212+Inputs!D213+Inputs!D208+Inputs!D214))-1),"")</f>
        <v>0.2590011614401859</v>
      </c>
      <c r="D93" s="7">
        <f>IFERROR(IF(C92&lt;=0,"n.m.",D92/C92-1),"")</f>
        <v>-0.03874538745387457</v>
      </c>
      <c r="E93" s="7"/>
      <c r="F93" s="7">
        <f>IFERROR(IF(D92&lt;=0,"n.m.",F92/D92-1),"")</f>
        <v>-0.1449136276391555</v>
      </c>
      <c r="G93" s="7">
        <f>IFERROR(IF(F92&lt;=0,"n.m.",G92/F92-1),"")</f>
        <v>0.07744107744107742</v>
      </c>
      <c r="H93" s="31">
        <f>IFERROR(IF(G92&lt;=0,"n.m.",H92/G92-1),"")</f>
        <v>-0.010657064286257678</v>
      </c>
      <c r="I93" s="1"/>
      <c r="J93" s="1"/>
      <c r="K93" s="1"/>
      <c r="L93" s="1"/>
    </row>
    <row r="94" ht="14.624267578125">
      <c r="A94" s="1"/>
      <c r="B94" s="19" t="s">
        <v>138</v>
      </c>
      <c r="C94" s="7"/>
      <c r="D94" s="7"/>
      <c r="E94" s="7"/>
      <c r="F94" s="15">
        <f>IFERROR(IF(((Inputs!C206+Inputs!C207+Inputs!C209)-(Inputs!C210+Inputs!C211+Inputs!C212+Inputs!C213+Inputs!C208+Inputs!C214))&lt;=0,"n.m.",F92/((Inputs!C206+Inputs!C207+Inputs!C209)-(Inputs!C210+Inputs!C211+Inputs!C212+Inputs!C213+Inputs!C208+Inputs!C214))-1),"")</f>
        <v>0.09594095940959413</v>
      </c>
      <c r="G94" s="15">
        <f>IFERROR(IF(((Inputs!D206+Inputs!D207+Inputs!D209)-(Inputs!D210+Inputs!D211+Inputs!D212+Inputs!D213+Inputs!D208+Inputs!D214))&lt;=0,"n.m.",G92/((Inputs!D206+Inputs!D207+Inputs!D209)-(Inputs!D210+Inputs!D211+Inputs!D212+Inputs!D213+Inputs!D208+Inputs!D214))-1),"")</f>
        <v>0.11498257839721249</v>
      </c>
      <c r="H94" s="31">
        <f>IFERROR(IF(C92&lt;=0,"n.m.",H92/C92-1),"")</f>
        <v>-0.12382913442325405</v>
      </c>
      <c r="I94" s="1"/>
      <c r="J94" s="1"/>
      <c r="K94" s="1"/>
      <c r="L94" s="1"/>
    </row>
    <row r="95" ht="14.624267578125">
      <c r="A95" s="1"/>
      <c r="B95" s="19" t="s">
        <v>245</v>
      </c>
      <c r="C95" s="7">
        <f>IFERROR(IF(C88&lt;=0,"n.m.",C89/C88),"")</f>
        <v>0.20760233918128654</v>
      </c>
      <c r="D95" s="7">
        <f>IFERROR(IF(D88&lt;=0,"n.m.",D89/D88),"")</f>
        <v>0.2070015220700152</v>
      </c>
      <c r="E95" s="7">
        <f>IFERROR(IF(E88&lt;=0,"n.m.",E89/E88),"")</f>
        <v>0.20335429769392033</v>
      </c>
      <c r="F95" s="7">
        <f>IFERROR(IF(F88&lt;=0,"n.m.",F89/F88),"")</f>
        <v>0.20658949243098843</v>
      </c>
      <c r="G95" s="7">
        <f>IFERROR(IF(G88&lt;=0,"n.m.",G89/G88),"")</f>
        <v>0.20987654320987653</v>
      </c>
      <c r="H95" s="65">
        <v>0.21</v>
      </c>
      <c r="I95" s="1"/>
      <c r="J95" s="1"/>
      <c r="K95" s="1"/>
      <c r="L95" s="1"/>
    </row>
    <row r="96" ht="14.624267578125">
      <c r="A96" s="1"/>
      <c r="B96" s="33" t="s">
        <v>99</v>
      </c>
      <c r="C96" s="26"/>
      <c r="D96" s="26">
        <f>IFERROR((D95-C95)*10000,"")</f>
        <v>-6.00817111271329</v>
      </c>
      <c r="E96" s="26"/>
      <c r="F96" s="26">
        <f>IFERROR((F95-D95)*10000,"")</f>
        <v>-4.120296390267841</v>
      </c>
      <c r="G96" s="26">
        <f>IFERROR((G95-F95)*10000,"")</f>
        <v>32.87050778888106</v>
      </c>
      <c r="H96" s="60">
        <f>IFERROR((H95-G95)*10000,"")</f>
        <v>1.2345679012346067</v>
      </c>
      <c r="I96" s="1"/>
      <c r="J96" s="1"/>
      <c r="K96" s="1"/>
      <c r="L96" s="1"/>
    </row>
    <row r="97" ht="14.624267578125">
      <c r="A97" s="1"/>
      <c r="B97" s="33" t="s">
        <v>132</v>
      </c>
      <c r="C97" s="26"/>
      <c r="D97" s="26"/>
      <c r="E97" s="26"/>
      <c r="F97" s="56">
        <f>IFERROR((F95-(Inputs!C214/((Inputs!C206+Inputs!C207+Inputs!C209)-(Inputs!C210+Inputs!C211+Inputs!C212+Inputs!C213+Inputs!C208))))*10000,"")</f>
        <v>83.64640359982495</v>
      </c>
      <c r="G97" s="56">
        <f>IFERROR((G95-(Inputs!D214/((Inputs!D206+Inputs!D207+Inputs!D209)-(Inputs!D210+Inputs!D211+Inputs!D212+Inputs!D213+Inputs!D208))))*10000,"")</f>
        <v>115.52520863507803</v>
      </c>
      <c r="H97" s="60">
        <f>IFERROR((H95-C95)*10000,"")</f>
        <v>23.97660818713454</v>
      </c>
      <c r="I97" s="1"/>
      <c r="J97" s="1"/>
      <c r="K97" s="1"/>
      <c r="L97" s="1"/>
    </row>
    <row r="98" ht="14.624267578125">
      <c r="A98" s="1"/>
      <c r="B98" s="19" t="s">
        <v>246</v>
      </c>
      <c r="C98" s="7">
        <f>IFERROR(C92/C43,"")</f>
        <v>0.3985294117647059</v>
      </c>
      <c r="D98" s="7">
        <f>IFERROR(D92/D43,"")</f>
        <v>0.3789090909090909</v>
      </c>
      <c r="E98" s="7">
        <f>IFERROR(E92/E43,"")</f>
        <v>0.3644734318051026</v>
      </c>
      <c r="F98" s="7">
        <f>IFERROR(F92/F43,"")</f>
        <v>0.3457508731082654</v>
      </c>
      <c r="G98" s="7">
        <f>IFERROR(G92/G43,"")</f>
        <v>0.3570100409074005</v>
      </c>
      <c r="H98" s="31">
        <f>IFERROR(H92/H43,"")</f>
        <v>0.3517792620663228</v>
      </c>
      <c r="I98" s="1"/>
      <c r="J98" s="1"/>
      <c r="K98" s="1"/>
      <c r="L98" s="1"/>
    </row>
    <row r="99" ht="14.624267578125">
      <c r="A99" s="1"/>
      <c r="B99" s="33" t="s">
        <v>99</v>
      </c>
      <c r="C99" s="26"/>
      <c r="D99" s="26">
        <f>IFERROR((D98-C98)*10000,"")</f>
        <v>-196.20320855614992</v>
      </c>
      <c r="E99" s="26"/>
      <c r="F99" s="26">
        <f>IFERROR((F98-D98)*10000,"")</f>
        <v>-331.5821780082551</v>
      </c>
      <c r="G99" s="26">
        <f>IFERROR((G98-F98)*10000,"")</f>
        <v>112.59167799135106</v>
      </c>
      <c r="H99" s="60">
        <f>IFERROR((H98-G98)*10000,"")</f>
        <v>-52.30778841077699</v>
      </c>
      <c r="I99" s="1"/>
      <c r="J99" s="1"/>
      <c r="K99" s="1"/>
      <c r="L99" s="1"/>
    </row>
    <row r="100" ht="14.624267578125">
      <c r="A100" s="1"/>
      <c r="B100" s="33" t="s">
        <v>132</v>
      </c>
      <c r="C100" s="26"/>
      <c r="D100" s="26"/>
      <c r="E100" s="26"/>
      <c r="F100" s="56">
        <f>IFERROR((F98-((((Inputs!C206+Inputs!C207+Inputs!C209)-(Inputs!C210+Inputs!C211+Inputs!C212+Inputs!C213+Inputs!C208))-Inputs!C214)/(Inputs!C206+Inputs!C207+Inputs!C209)))*10000,"")</f>
        <v>137.78639543545134</v>
      </c>
      <c r="G100" s="56">
        <f>IFERROR((G98-((((Inputs!D206+Inputs!D207+Inputs!D209)-(Inputs!D210+Inputs!D211+Inputs!D212+Inputs!D213+Inputs!D208))-Inputs!D214)/(Inputs!D206+Inputs!D207+Inputs!D209)))*10000,"")</f>
        <v>135.71668350559673</v>
      </c>
      <c r="H100" s="60">
        <f>IFERROR((H98-C98)*10000,"")</f>
        <v>-467.5014969838309</v>
      </c>
      <c r="I100" s="1"/>
      <c r="J100" s="1"/>
      <c r="K100" s="1"/>
      <c r="L100" s="1"/>
    </row>
    <row r="101" ht="14.624267578125">
      <c r="A101" s="1"/>
      <c r="B101" s="33" t="s">
        <v>247</v>
      </c>
      <c r="C101" s="22">
        <v>1084</v>
      </c>
      <c r="D101" s="22">
        <v>1042</v>
      </c>
      <c r="E101" s="11"/>
      <c r="F101" s="22">
        <v>891</v>
      </c>
      <c r="G101" s="22">
        <v>960</v>
      </c>
      <c r="H101" s="29"/>
      <c r="I101" s="1" t="s">
        <v>248</v>
      </c>
      <c r="J101" s="1"/>
      <c r="K101" s="1"/>
      <c r="L101" s="1"/>
    </row>
    <row r="102" ht="14.624267578125">
      <c r="A102" s="1"/>
      <c r="B102" s="19" t="s">
        <v>209</v>
      </c>
      <c r="C102" s="38">
        <f>C92-C101</f>
        <v>0</v>
      </c>
      <c r="D102" s="38">
        <f>D92-D101</f>
        <v>0</v>
      </c>
      <c r="E102" s="38"/>
      <c r="F102" s="38">
        <f>F92-F101</f>
        <v>0</v>
      </c>
      <c r="G102" s="38">
        <f>G92-G101</f>
        <v>0</v>
      </c>
      <c r="H102" s="59"/>
      <c r="I102" s="1"/>
      <c r="J102" s="1"/>
      <c r="K102" s="1"/>
      <c r="L102" s="1"/>
    </row>
    <row r="103">
      <c r="A103" s="1"/>
      <c r="B103" s="33"/>
      <c r="C103" s="18"/>
      <c r="D103" s="18"/>
      <c r="E103" s="18"/>
      <c r="F103" s="18"/>
      <c r="G103" s="18"/>
      <c r="H103" s="45"/>
      <c r="I103" s="1"/>
      <c r="J103" s="1"/>
      <c r="K103" s="1"/>
      <c r="L103" s="1"/>
    </row>
    <row r="104">
      <c r="A104" s="1"/>
      <c r="B104" s="33"/>
      <c r="C104" s="18"/>
      <c r="D104" s="18"/>
      <c r="E104" s="18"/>
      <c r="F104" s="18"/>
      <c r="G104" s="18"/>
      <c r="H104" s="45"/>
      <c r="I104" s="1"/>
      <c r="J104" s="1"/>
      <c r="K104" s="1"/>
      <c r="L104" s="1"/>
    </row>
    <row r="105">
      <c r="A105" s="1"/>
      <c r="B105" s="33"/>
      <c r="C105" s="18"/>
      <c r="D105" s="18"/>
      <c r="E105" s="18"/>
      <c r="F105" s="18"/>
      <c r="G105" s="18"/>
      <c r="H105" s="45"/>
      <c r="I105" s="1"/>
      <c r="J105" s="1"/>
      <c r="K105" s="1"/>
      <c r="L105" s="1"/>
    </row>
    <row r="10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</sheetData>
</worksheet>
</file>

<file path=xl/worksheets/sheet5.xml><?xml version="1.0" encoding="utf-8"?>
<worksheet xmlns="http://schemas.openxmlformats.org/spreadsheetml/2006/main" xmlns:r="http://schemas.openxmlformats.org/officeDocument/2006/relationships">
  <dimension ref="A1:L95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8" width="12" customWidth="1"/>
    <col min="9" max="9" width="7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>
      <c r="A2" s="1"/>
      <c r="B2" s="2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>
      <c r="A3" s="1"/>
      <c r="B3" s="12" t="s">
        <v>250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>
      <c r="A4" s="1"/>
      <c r="B4" s="8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>
      <c r="A6" s="1"/>
      <c r="B6" s="49" t="s">
        <v>76</v>
      </c>
      <c r="C6" s="17" t="s">
        <v>77</v>
      </c>
      <c r="D6" s="17" t="s">
        <v>78</v>
      </c>
      <c r="E6" s="17" t="s">
        <v>79</v>
      </c>
      <c r="F6" s="17" t="s">
        <v>80</v>
      </c>
      <c r="G6" s="17" t="s">
        <v>81</v>
      </c>
      <c r="H6" s="17" t="s">
        <v>82</v>
      </c>
      <c r="I6" s="49" t="s">
        <v>83</v>
      </c>
      <c r="J6" s="1"/>
      <c r="K6" s="1"/>
      <c r="L6" s="1"/>
    </row>
    <row r="7">
      <c r="A7" s="1"/>
      <c r="B7" s="54" t="s">
        <v>84</v>
      </c>
      <c r="C7" s="37">
        <f>DATE(2025,9,30)</f>
        <v>45930</v>
      </c>
      <c r="D7" s="37">
        <f>DATE(2025,12,31)</f>
        <v>46022</v>
      </c>
      <c r="E7" s="37">
        <f>DATE(2025,12,31)</f>
        <v>46022</v>
      </c>
      <c r="F7" s="37">
        <f>DATE(2026,3,31)</f>
        <v>46112</v>
      </c>
      <c r="G7" s="37">
        <f>DATE(2026,6,30)</f>
        <v>46203</v>
      </c>
      <c r="H7" s="37">
        <f>DATE(2026,9,30)</f>
        <v>46295</v>
      </c>
      <c r="I7" s="30"/>
      <c r="J7" s="1"/>
      <c r="K7" s="1"/>
      <c r="L7" s="1"/>
    </row>
    <row r="8">
      <c r="A8" s="1"/>
      <c r="B8" s="40" t="s">
        <v>85</v>
      </c>
      <c r="C8" s="27">
        <f>C7-DATE(2025,6,30)</f>
        <v>92</v>
      </c>
      <c r="D8" s="27">
        <f>D7-DATE(2025,9,30)</f>
        <v>92</v>
      </c>
      <c r="E8" s="27">
        <f>E7-DATE(2024,12,31)</f>
        <v>365</v>
      </c>
      <c r="F8" s="27">
        <f>F7-DATE(2025,12,31)</f>
        <v>90</v>
      </c>
      <c r="G8" s="27">
        <f>G7-DATE(2026,3,31)</f>
        <v>91</v>
      </c>
      <c r="H8" s="27">
        <f>H7-DATE(2026,6,30)</f>
        <v>92</v>
      </c>
      <c r="I8" s="58"/>
      <c r="J8" s="1"/>
      <c r="K8" s="1"/>
      <c r="L8" s="1"/>
    </row>
    <row r="9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>
      <c r="A10" s="1"/>
      <c r="B10" s="33"/>
      <c r="C10" s="18"/>
      <c r="D10" s="18"/>
      <c r="E10" s="18"/>
      <c r="F10" s="18"/>
      <c r="G10" s="18"/>
      <c r="H10" s="45"/>
      <c r="I10" s="1"/>
      <c r="J10" s="1"/>
      <c r="K10" s="1"/>
      <c r="L10" s="1"/>
    </row>
    <row r="11" ht="14.624267578125">
      <c r="A11" s="1"/>
      <c r="B11" s="57" t="s">
        <v>218</v>
      </c>
      <c r="C11" s="18"/>
      <c r="D11" s="18"/>
      <c r="E11" s="18"/>
      <c r="F11" s="18"/>
      <c r="G11" s="18"/>
      <c r="H11" s="45"/>
      <c r="I11" s="1"/>
      <c r="J11" s="1"/>
      <c r="K11" s="1"/>
      <c r="L11" s="1"/>
    </row>
    <row r="12" ht="14.624267578125">
      <c r="A12" s="1"/>
      <c r="B12" s="33" t="s">
        <v>219</v>
      </c>
      <c r="C12" s="22">
        <v>29</v>
      </c>
      <c r="D12" s="22">
        <v>60</v>
      </c>
      <c r="E12" s="2">
        <f>Inputs!C217+Inputs!D217+C12+D12</f>
        <v>497</v>
      </c>
      <c r="F12" s="22">
        <v>72</v>
      </c>
      <c r="G12" s="22">
        <v>55</v>
      </c>
      <c r="H12" s="41">
        <f>'Revenue summary'!H316-'Segment - CSBB'!H24-'Segment - Wholesale'!H24</f>
        <v>20.419001065781913</v>
      </c>
      <c r="I12" s="1" t="s">
        <v>251</v>
      </c>
      <c r="J12" s="1"/>
      <c r="K12" s="1"/>
      <c r="L12" s="1"/>
    </row>
    <row r="13" ht="14.624267578125">
      <c r="A13" s="1"/>
      <c r="B13" s="19" t="s">
        <v>151</v>
      </c>
      <c r="C13" s="15">
        <f>IFERROR(IF(Inputs!D217&lt;=0,"n.m.",C12/Inputs!D217-1),"")</f>
        <v>-0.8675799086757991</v>
      </c>
      <c r="D13" s="7">
        <f>IFERROR(IF(C12&lt;=0,"n.m.",D12/C12-1),"")</f>
        <v>1.0689655172413794</v>
      </c>
      <c r="E13" s="7"/>
      <c r="F13" s="7">
        <f>IFERROR(IF(D12&lt;=0,"n.m.",F12/D12-1),"")</f>
        <v>0.19999999999999996</v>
      </c>
      <c r="G13" s="7">
        <f>IFERROR(IF(F12&lt;=0,"n.m.",G12/F12-1),"")</f>
        <v>-0.23611111111111116</v>
      </c>
      <c r="H13" s="31">
        <f>IFERROR(IF(G12&lt;=0,"n.m.",H12/G12-1),"")</f>
        <v>-0.6287454351676016</v>
      </c>
      <c r="I13" s="1"/>
      <c r="J13" s="1"/>
      <c r="K13" s="1"/>
      <c r="L13" s="1"/>
    </row>
    <row r="14" ht="14.624267578125">
      <c r="A14" s="1"/>
      <c r="B14" s="19" t="s">
        <v>138</v>
      </c>
      <c r="C14" s="7"/>
      <c r="D14" s="7"/>
      <c r="E14" s="7"/>
      <c r="F14" s="15">
        <f>IFERROR(IF(Inputs!C217&lt;=0,"n.m.",F12/Inputs!C217-1),"")</f>
        <v>-0.6190476190476191</v>
      </c>
      <c r="G14" s="15">
        <f>IFERROR(IF(Inputs!D217&lt;=0,"n.m.",G12/Inputs!D217-1),"")</f>
        <v>-0.7488584474885844</v>
      </c>
      <c r="H14" s="31">
        <f>IFERROR(IF(C12&lt;=0,"n.m.",H12/C12-1),"")</f>
        <v>-0.2958965149730375</v>
      </c>
      <c r="I14" s="1"/>
      <c r="J14" s="1"/>
      <c r="K14" s="1"/>
      <c r="L14" s="1"/>
    </row>
    <row r="15" ht="14.624267578125">
      <c r="A15" s="1"/>
      <c r="B15" s="33" t="s">
        <v>139</v>
      </c>
      <c r="C15" s="2">
        <f>C12-Inputs!D217</f>
        <v>-190</v>
      </c>
      <c r="D15" s="11">
        <f>D12-C12</f>
        <v>31</v>
      </c>
      <c r="E15" s="11"/>
      <c r="F15" s="11">
        <f>F12-D12</f>
        <v>12</v>
      </c>
      <c r="G15" s="11">
        <f>G12-F12</f>
        <v>-17</v>
      </c>
      <c r="H15" s="29">
        <f>H12-G12</f>
        <v>-34.58099893421809</v>
      </c>
      <c r="I15" s="1"/>
      <c r="J15" s="1"/>
      <c r="K15" s="1"/>
      <c r="L15" s="1"/>
    </row>
    <row r="16" ht="14.624267578125">
      <c r="A16" s="1"/>
      <c r="B16" s="33" t="s">
        <v>221</v>
      </c>
      <c r="C16" s="22">
        <v>-399</v>
      </c>
      <c r="D16" s="22">
        <v>-461</v>
      </c>
      <c r="E16" s="2">
        <f>Inputs!C218+Inputs!D218+C16+D16</f>
        <v>-1814</v>
      </c>
      <c r="F16" s="22">
        <v>-475</v>
      </c>
      <c r="G16" s="22">
        <v>-569</v>
      </c>
      <c r="H16" s="41">
        <f>-'Segment - CSBB'!H28-'Segment - Wholesale'!H28</f>
        <v>-575.2527472527472</v>
      </c>
      <c r="I16" s="1" t="s">
        <v>252</v>
      </c>
      <c r="J16" s="1"/>
      <c r="K16" s="1"/>
      <c r="L16" s="1"/>
    </row>
    <row r="17" ht="14.624267578125">
      <c r="A17" s="1"/>
      <c r="B17" s="19" t="s">
        <v>151</v>
      </c>
      <c r="C17" s="15" t="str">
        <f>IFERROR(IF(Inputs!D218&lt;=0,"n.m.",C16/Inputs!D218-1),"")</f>
        <v>n.m.</v>
      </c>
      <c r="D17" s="7" t="str">
        <f>IFERROR(IF(C16&lt;=0,"n.m.",D16/C16-1),"")</f>
        <v>n.m.</v>
      </c>
      <c r="E17" s="7"/>
      <c r="F17" s="7" t="str">
        <f>IFERROR(IF(D16&lt;=0,"n.m.",F16/D16-1),"")</f>
        <v>n.m.</v>
      </c>
      <c r="G17" s="7" t="str">
        <f>IFERROR(IF(F16&lt;=0,"n.m.",G16/F16-1),"")</f>
        <v>n.m.</v>
      </c>
      <c r="H17" s="31" t="str">
        <f>IFERROR(IF(G16&lt;=0,"n.m.",H16/G16-1),"")</f>
        <v>n.m.</v>
      </c>
      <c r="I17" s="1"/>
      <c r="J17" s="1"/>
      <c r="K17" s="1"/>
      <c r="L17" s="1"/>
    </row>
    <row r="18" ht="14.624267578125">
      <c r="A18" s="1"/>
      <c r="B18" s="19" t="s">
        <v>138</v>
      </c>
      <c r="C18" s="7"/>
      <c r="D18" s="7"/>
      <c r="E18" s="7"/>
      <c r="F18" s="15" t="str">
        <f>IFERROR(IF(Inputs!C218&lt;=0,"n.m.",F16/Inputs!C218-1),"")</f>
        <v>n.m.</v>
      </c>
      <c r="G18" s="15" t="str">
        <f>IFERROR(IF(Inputs!D218&lt;=0,"n.m.",G16/Inputs!D218-1),"")</f>
        <v>n.m.</v>
      </c>
      <c r="H18" s="31" t="str">
        <f>IFERROR(IF(C16&lt;=0,"n.m.",H16/C16-1),"")</f>
        <v>n.m.</v>
      </c>
      <c r="I18" s="1"/>
      <c r="J18" s="1"/>
      <c r="K18" s="1"/>
      <c r="L18" s="1"/>
    </row>
    <row r="19" ht="14.624267578125">
      <c r="A19" s="1"/>
      <c r="B19" s="33" t="s">
        <v>139</v>
      </c>
      <c r="C19" s="2">
        <f>C16-Inputs!D218</f>
        <v>123</v>
      </c>
      <c r="D19" s="11">
        <f>D16-C16</f>
        <v>-62</v>
      </c>
      <c r="E19" s="11"/>
      <c r="F19" s="11">
        <f>F16-D16</f>
        <v>-14</v>
      </c>
      <c r="G19" s="11">
        <f>G16-F16</f>
        <v>-94</v>
      </c>
      <c r="H19" s="29">
        <f>H16-G16</f>
        <v>-6.252747252747213</v>
      </c>
      <c r="I19" s="1"/>
      <c r="J19" s="1"/>
      <c r="K19" s="1"/>
      <c r="L19" s="1"/>
    </row>
    <row r="20" ht="14.624267578125">
      <c r="A20" s="1"/>
      <c r="B20" s="48" t="s">
        <v>223</v>
      </c>
      <c r="C20" s="50">
        <f>C12+C16</f>
        <v>-370</v>
      </c>
      <c r="D20" s="50">
        <f>D12+D16</f>
        <v>-401</v>
      </c>
      <c r="E20" s="50">
        <f>E12+E16</f>
        <v>-1317</v>
      </c>
      <c r="F20" s="50">
        <f>F12+F16</f>
        <v>-403</v>
      </c>
      <c r="G20" s="50">
        <f>G12+G16</f>
        <v>-514</v>
      </c>
      <c r="H20" s="61">
        <f>H12+H16</f>
        <v>-554.8337461869653</v>
      </c>
      <c r="I20" s="1"/>
      <c r="J20" s="1"/>
      <c r="K20" s="1"/>
      <c r="L20" s="1"/>
    </row>
    <row r="21" ht="14.624267578125">
      <c r="A21" s="1"/>
      <c r="B21" s="19" t="s">
        <v>151</v>
      </c>
      <c r="C21" s="15" t="str">
        <f>IFERROR(IF((Inputs!D217+Inputs!D218)&lt;=0,"n.m.",C20/(Inputs!D217+Inputs!D218)-1),"")</f>
        <v>n.m.</v>
      </c>
      <c r="D21" s="7" t="str">
        <f>IFERROR(IF(C20&lt;=0,"n.m.",D20/C20-1),"")</f>
        <v>n.m.</v>
      </c>
      <c r="E21" s="7"/>
      <c r="F21" s="7" t="str">
        <f>IFERROR(IF(D20&lt;=0,"n.m.",F20/D20-1),"")</f>
        <v>n.m.</v>
      </c>
      <c r="G21" s="7" t="str">
        <f>IFERROR(IF(F20&lt;=0,"n.m.",G20/F20-1),"")</f>
        <v>n.m.</v>
      </c>
      <c r="H21" s="31" t="str">
        <f>IFERROR(IF(G20&lt;=0,"n.m.",H20/G20-1),"")</f>
        <v>n.m.</v>
      </c>
      <c r="I21" s="1"/>
      <c r="J21" s="1"/>
      <c r="K21" s="1"/>
      <c r="L21" s="1"/>
    </row>
    <row r="22" ht="14.624267578125">
      <c r="A22" s="1"/>
      <c r="B22" s="19" t="s">
        <v>138</v>
      </c>
      <c r="C22" s="7"/>
      <c r="D22" s="7"/>
      <c r="E22" s="7"/>
      <c r="F22" s="15" t="str">
        <f>IFERROR(IF((Inputs!C217+Inputs!C218)&lt;=0,"n.m.",F20/(Inputs!C217+Inputs!C218)-1),"")</f>
        <v>n.m.</v>
      </c>
      <c r="G22" s="15" t="str">
        <f>IFERROR(IF((Inputs!D217+Inputs!D218)&lt;=0,"n.m.",G20/(Inputs!D217+Inputs!D218)-1),"")</f>
        <v>n.m.</v>
      </c>
      <c r="H22" s="31" t="str">
        <f>IFERROR(IF(C20&lt;=0,"n.m.",H20/C20-1),"")</f>
        <v>n.m.</v>
      </c>
      <c r="I22" s="1"/>
      <c r="J22" s="1"/>
      <c r="K22" s="1"/>
      <c r="L22" s="1"/>
    </row>
    <row r="23">
      <c r="A23" s="1"/>
      <c r="B23" s="33"/>
      <c r="C23" s="18"/>
      <c r="D23" s="18"/>
      <c r="E23" s="18"/>
      <c r="F23" s="18"/>
      <c r="G23" s="18"/>
      <c r="H23" s="45"/>
      <c r="I23" s="1"/>
      <c r="J23" s="1"/>
      <c r="K23" s="1"/>
      <c r="L23" s="1"/>
    </row>
    <row r="24" ht="14.624267578125">
      <c r="A24" s="1"/>
      <c r="B24" s="57" t="s">
        <v>226</v>
      </c>
      <c r="C24" s="18"/>
      <c r="D24" s="18"/>
      <c r="E24" s="18"/>
      <c r="F24" s="18"/>
      <c r="G24" s="18"/>
      <c r="H24" s="45"/>
      <c r="I24" s="1"/>
      <c r="J24" s="1"/>
      <c r="K24" s="1"/>
      <c r="L24" s="1"/>
    </row>
    <row r="25" ht="14.624267578125">
      <c r="A25" s="1"/>
      <c r="B25" s="33" t="s">
        <v>128</v>
      </c>
      <c r="C25" s="22">
        <v>-114</v>
      </c>
      <c r="D25" s="22">
        <v>-109</v>
      </c>
      <c r="E25" s="2">
        <f>Inputs!C220+Inputs!D220+C25+D25</f>
        <v>-341</v>
      </c>
      <c r="F25" s="22">
        <v>-44</v>
      </c>
      <c r="G25" s="22">
        <v>-44</v>
      </c>
      <c r="H25" s="41">
        <f>'Revenue summary'!H387-'Segment - CSBB'!H40-'Segment - Wholesale'!H40</f>
        <v>-30.84699999999998</v>
      </c>
      <c r="I25" s="1" t="s">
        <v>253</v>
      </c>
      <c r="J25" s="1"/>
      <c r="K25" s="1"/>
      <c r="L25" s="1"/>
    </row>
    <row r="26" ht="14.624267578125">
      <c r="A26" s="1"/>
      <c r="B26" s="19" t="s">
        <v>151</v>
      </c>
      <c r="C26" s="15" t="str">
        <f>IFERROR(IF(Inputs!D220&lt;=0,"n.m.",C25/Inputs!D220-1),"")</f>
        <v>n.m.</v>
      </c>
      <c r="D26" s="7" t="str">
        <f>IFERROR(IF(C25&lt;=0,"n.m.",D25/C25-1),"")</f>
        <v>n.m.</v>
      </c>
      <c r="E26" s="7"/>
      <c r="F26" s="7" t="str">
        <f>IFERROR(IF(D25&lt;=0,"n.m.",F25/D25-1),"")</f>
        <v>n.m.</v>
      </c>
      <c r="G26" s="7" t="str">
        <f>IFERROR(IF(F25&lt;=0,"n.m.",G25/F25-1),"")</f>
        <v>n.m.</v>
      </c>
      <c r="H26" s="31" t="str">
        <f>IFERROR(IF(G25&lt;=0,"n.m.",H25/G25-1),"")</f>
        <v>n.m.</v>
      </c>
      <c r="I26" s="1"/>
      <c r="J26" s="1"/>
      <c r="K26" s="1"/>
      <c r="L26" s="1"/>
    </row>
    <row r="27" ht="14.624267578125">
      <c r="A27" s="1"/>
      <c r="B27" s="19" t="s">
        <v>138</v>
      </c>
      <c r="C27" s="7"/>
      <c r="D27" s="7"/>
      <c r="E27" s="7"/>
      <c r="F27" s="15" t="str">
        <f>IFERROR(IF(Inputs!C220&lt;=0,"n.m.",F25/Inputs!C220-1),"")</f>
        <v>n.m.</v>
      </c>
      <c r="G27" s="15" t="str">
        <f>IFERROR(IF(Inputs!D220&lt;=0,"n.m.",G25/Inputs!D220-1),"")</f>
        <v>n.m.</v>
      </c>
      <c r="H27" s="31" t="str">
        <f>IFERROR(IF(C25&lt;=0,"n.m.",H25/C25-1),"")</f>
        <v>n.m.</v>
      </c>
      <c r="I27" s="1"/>
      <c r="J27" s="1"/>
      <c r="K27" s="1"/>
      <c r="L27" s="1"/>
    </row>
    <row r="28" ht="14.624267578125">
      <c r="A28" s="1"/>
      <c r="B28" s="48" t="s">
        <v>228</v>
      </c>
      <c r="C28" s="50">
        <f>C20+C25</f>
        <v>-484</v>
      </c>
      <c r="D28" s="50">
        <f>D20+D25</f>
        <v>-510</v>
      </c>
      <c r="E28" s="50">
        <f>E20+E25</f>
        <v>-1658</v>
      </c>
      <c r="F28" s="50">
        <f>F20+F25</f>
        <v>-447</v>
      </c>
      <c r="G28" s="50">
        <f>G20+G25</f>
        <v>-558</v>
      </c>
      <c r="H28" s="61">
        <f>H20+H25</f>
        <v>-585.6807461869653</v>
      </c>
      <c r="I28" s="1"/>
      <c r="J28" s="1"/>
      <c r="K28" s="1"/>
      <c r="L28" s="1"/>
    </row>
    <row r="29" ht="14.624267578125">
      <c r="A29" s="1"/>
      <c r="B29" s="19" t="s">
        <v>151</v>
      </c>
      <c r="C29" s="15" t="str">
        <f>IFERROR(IF((Inputs!D217+Inputs!D218+Inputs!D220)&lt;=0,"n.m.",C28/(Inputs!D217+Inputs!D218+Inputs!D220)-1),"")</f>
        <v>n.m.</v>
      </c>
      <c r="D29" s="7" t="str">
        <f>IFERROR(IF(C28&lt;=0,"n.m.",D28/C28-1),"")</f>
        <v>n.m.</v>
      </c>
      <c r="E29" s="7"/>
      <c r="F29" s="7" t="str">
        <f>IFERROR(IF(D28&lt;=0,"n.m.",F28/D28-1),"")</f>
        <v>n.m.</v>
      </c>
      <c r="G29" s="7" t="str">
        <f>IFERROR(IF(F28&lt;=0,"n.m.",G28/F28-1),"")</f>
        <v>n.m.</v>
      </c>
      <c r="H29" s="31" t="str">
        <f>IFERROR(IF(G28&lt;=0,"n.m.",H28/G28-1),"")</f>
        <v>n.m.</v>
      </c>
      <c r="I29" s="1"/>
      <c r="J29" s="1"/>
      <c r="K29" s="1"/>
      <c r="L29" s="1"/>
    </row>
    <row r="30" ht="14.624267578125">
      <c r="A30" s="1"/>
      <c r="B30" s="19" t="s">
        <v>138</v>
      </c>
      <c r="C30" s="7"/>
      <c r="D30" s="7"/>
      <c r="E30" s="7"/>
      <c r="F30" s="15" t="str">
        <f>IFERROR(IF((Inputs!C217+Inputs!C218+Inputs!C220)&lt;=0,"n.m.",F28/(Inputs!C217+Inputs!C218+Inputs!C220)-1),"")</f>
        <v>n.m.</v>
      </c>
      <c r="G30" s="15" t="str">
        <f>IFERROR(IF((Inputs!D217+Inputs!D218+Inputs!D220)&lt;=0,"n.m.",G28/(Inputs!D217+Inputs!D218+Inputs!D220)-1),"")</f>
        <v>n.m.</v>
      </c>
      <c r="H30" s="31" t="str">
        <f>IFERROR(IF(C28&lt;=0,"n.m.",H28/C28-1),"")</f>
        <v>n.m.</v>
      </c>
      <c r="I30" s="1"/>
      <c r="J30" s="1"/>
      <c r="K30" s="1"/>
      <c r="L30" s="1"/>
    </row>
    <row r="31" ht="14.624267578125">
      <c r="A31" s="1"/>
      <c r="B31" s="19" t="s">
        <v>104</v>
      </c>
      <c r="C31" s="38" t="s">
        <v>105</v>
      </c>
      <c r="D31" s="38" t="s">
        <v>105</v>
      </c>
      <c r="E31" s="38" t="s">
        <v>105</v>
      </c>
      <c r="F31" s="38" t="s">
        <v>105</v>
      </c>
      <c r="G31" s="38" t="s">
        <v>105</v>
      </c>
      <c r="H31" s="59" t="s">
        <v>105</v>
      </c>
      <c r="I31" s="1" t="s">
        <v>106</v>
      </c>
      <c r="J31" s="1"/>
      <c r="K31" s="1"/>
      <c r="L31" s="1"/>
    </row>
    <row r="32" ht="14.624267578125">
      <c r="A32" s="1"/>
      <c r="B32" s="19" t="s">
        <v>107</v>
      </c>
      <c r="C32" s="38" t="s">
        <v>105</v>
      </c>
      <c r="D32" s="38" t="s">
        <v>105</v>
      </c>
      <c r="E32" s="38" t="s">
        <v>105</v>
      </c>
      <c r="F32" s="38" t="s">
        <v>105</v>
      </c>
      <c r="G32" s="38" t="s">
        <v>105</v>
      </c>
      <c r="H32" s="59" t="s">
        <v>105</v>
      </c>
      <c r="I32" s="1" t="s">
        <v>108</v>
      </c>
      <c r="J32" s="1"/>
      <c r="K32" s="1"/>
      <c r="L32" s="1"/>
    </row>
    <row r="33" ht="14.624267578125">
      <c r="A33" s="1"/>
      <c r="B33" s="19" t="s">
        <v>109</v>
      </c>
      <c r="C33" s="38" t="s">
        <v>110</v>
      </c>
      <c r="D33" s="38" t="s">
        <v>110</v>
      </c>
      <c r="E33" s="38" t="s">
        <v>110</v>
      </c>
      <c r="F33" s="38" t="s">
        <v>110</v>
      </c>
      <c r="G33" s="38" t="s">
        <v>110</v>
      </c>
      <c r="H33" s="59" t="s">
        <v>110</v>
      </c>
      <c r="I33" s="1" t="s">
        <v>111</v>
      </c>
      <c r="J33" s="1"/>
      <c r="K33" s="1"/>
      <c r="L33" s="1"/>
    </row>
    <row r="34" ht="14.624267578125">
      <c r="A34" s="1"/>
      <c r="B34" s="19" t="s">
        <v>112</v>
      </c>
      <c r="C34" s="7"/>
      <c r="D34" s="7"/>
      <c r="E34" s="7"/>
      <c r="F34" s="7" t="str">
        <f>IF(F30="","",F30)</f>
        <v>n.m.</v>
      </c>
      <c r="G34" s="7" t="str">
        <f>IF(G30="","",G30)</f>
        <v>n.m.</v>
      </c>
      <c r="H34" s="31" t="str">
        <f>IF(H30="","",H30)</f>
        <v>n.m.</v>
      </c>
      <c r="I34" s="1"/>
      <c r="J34" s="1"/>
      <c r="K34" s="1"/>
      <c r="L34" s="1"/>
    </row>
    <row r="35" ht="14.624267578125">
      <c r="A35" s="1"/>
      <c r="B35" s="19" t="s">
        <v>229</v>
      </c>
      <c r="C35" s="7" t="str">
        <f>IFERROR(IF(OR(C28&lt;=0,C25&lt;0),"n.m.",C25/C28),"")</f>
        <v>n.m.</v>
      </c>
      <c r="D35" s="7" t="str">
        <f>IFERROR(IF(OR(D28&lt;=0,D25&lt;0),"n.m.",D25/D28),"")</f>
        <v>n.m.</v>
      </c>
      <c r="E35" s="7" t="str">
        <f>IFERROR(IF(OR(E28&lt;=0,E25&lt;0),"n.m.",E25/E28),"")</f>
        <v>n.m.</v>
      </c>
      <c r="F35" s="7" t="str">
        <f>IFERROR(IF(OR(F28&lt;=0,F25&lt;0),"n.m.",F25/F28),"")</f>
        <v>n.m.</v>
      </c>
      <c r="G35" s="7" t="str">
        <f>IFERROR(IF(OR(G28&lt;=0,G25&lt;0),"n.m.",G25/G28),"")</f>
        <v>n.m.</v>
      </c>
      <c r="H35" s="31" t="str">
        <f>IFERROR(IF(OR(H28&lt;=0,H25&lt;0),"n.m.",H25/H28),"")</f>
        <v>n.m.</v>
      </c>
      <c r="I35" s="1"/>
      <c r="J35" s="1"/>
      <c r="K35" s="1"/>
      <c r="L35" s="1"/>
    </row>
    <row r="36" ht="14.624267578125">
      <c r="A36" s="1"/>
      <c r="B36" s="33" t="s">
        <v>99</v>
      </c>
      <c r="C36" s="26"/>
      <c r="D36" s="26" t="str">
        <f>IF(AND(ISNUMBER(D35),ISNUMBER(C35)),(D35-C35)*10000,"n.m.")</f>
        <v>n.m.</v>
      </c>
      <c r="E36" s="26"/>
      <c r="F36" s="26" t="str">
        <f>IF(AND(ISNUMBER(F35),ISNUMBER(D35)),(F35-D35)*10000,"n.m.")</f>
        <v>n.m.</v>
      </c>
      <c r="G36" s="26" t="str">
        <f>IF(AND(ISNUMBER(G35),ISNUMBER(F35)),(G35-F35)*10000,"n.m.")</f>
        <v>n.m.</v>
      </c>
      <c r="H36" s="60" t="str">
        <f>IF(AND(ISNUMBER(H35),ISNUMBER(G35)),(H35-G35)*10000,"n.m.")</f>
        <v>n.m.</v>
      </c>
      <c r="I36" s="1"/>
      <c r="J36" s="1"/>
      <c r="K36" s="1"/>
      <c r="L36" s="1"/>
    </row>
    <row r="37" ht="14.624267578125">
      <c r="A37" s="1"/>
      <c r="B37" s="33" t="s">
        <v>132</v>
      </c>
      <c r="C37" s="26"/>
      <c r="D37" s="26"/>
      <c r="E37" s="26"/>
      <c r="F37" s="56" t="str">
        <f>IF(AND(ISNUMBER(F35),(Inputs!C217+Inputs!C218+Inputs!C220)&gt;0,Inputs!C220&gt;=0),(F35-Inputs!C220/(Inputs!C217+Inputs!C218+Inputs!C220))*10000,"n.m.")</f>
        <v>n.m.</v>
      </c>
      <c r="G37" s="56" t="str">
        <f>IF(AND(ISNUMBER(G35),(Inputs!D217+Inputs!D218+Inputs!D220)&gt;0,Inputs!D220&gt;=0),(G35-Inputs!D220/(Inputs!D217+Inputs!D218+Inputs!D220))*10000,"n.m.")</f>
        <v>n.m.</v>
      </c>
      <c r="H37" s="60" t="str">
        <f>IF(AND(ISNUMBER(H35),ISNUMBER(C35)),(H35-C35)*10000,"n.m.")</f>
        <v>n.m.</v>
      </c>
      <c r="I37" s="1"/>
      <c r="J37" s="1"/>
      <c r="K37" s="1"/>
      <c r="L37" s="1"/>
    </row>
    <row r="38">
      <c r="A38" s="1"/>
      <c r="B38" s="33"/>
      <c r="C38" s="18"/>
      <c r="D38" s="18"/>
      <c r="E38" s="18"/>
      <c r="F38" s="18"/>
      <c r="G38" s="18"/>
      <c r="H38" s="45"/>
      <c r="I38" s="1"/>
      <c r="J38" s="1"/>
      <c r="K38" s="1"/>
      <c r="L38" s="1"/>
    </row>
    <row r="39" ht="14.624267578125">
      <c r="A39" s="1"/>
      <c r="B39" s="57" t="s">
        <v>230</v>
      </c>
      <c r="C39" s="18"/>
      <c r="D39" s="18"/>
      <c r="E39" s="18"/>
      <c r="F39" s="18"/>
      <c r="G39" s="18"/>
      <c r="H39" s="45"/>
      <c r="I39" s="1"/>
      <c r="J39" s="1"/>
      <c r="K39" s="1"/>
      <c r="L39" s="1"/>
    </row>
    <row r="40" ht="14.624267578125">
      <c r="A40" s="1"/>
      <c r="B40" s="33" t="s">
        <v>231</v>
      </c>
      <c r="C40" s="22">
        <v>701</v>
      </c>
      <c r="D40" s="22">
        <v>707</v>
      </c>
      <c r="E40" s="2">
        <f>Inputs!C221+Inputs!D221+C40+D40</f>
        <v>2691</v>
      </c>
      <c r="F40" s="22">
        <v>682</v>
      </c>
      <c r="G40" s="22">
        <v>723</v>
      </c>
      <c r="H40" s="41">
        <f>'Income Statement'!H79-'Segment - CSBB'!H55-'Segment - Wholesale'!H55</f>
        <v>733.8449999999999</v>
      </c>
      <c r="I40" s="1"/>
      <c r="J40" s="1"/>
      <c r="K40" s="1"/>
      <c r="L40" s="1"/>
    </row>
    <row r="41" ht="14.624267578125">
      <c r="A41" s="1"/>
      <c r="B41" s="19" t="s">
        <v>151</v>
      </c>
      <c r="C41" s="15">
        <f>IFERROR(IF(Inputs!D221&lt;=0,"n.m.",C40/Inputs!D221-1),"")</f>
        <v>0.04626865671641789</v>
      </c>
      <c r="D41" s="7">
        <f>IFERROR(IF(C40&lt;=0,"n.m.",D40/C40-1),"")</f>
        <v>0.008559201141226769</v>
      </c>
      <c r="E41" s="7"/>
      <c r="F41" s="7">
        <f>IFERROR(IF(D40&lt;=0,"n.m.",F40/D40-1),"")</f>
        <v>-0.03536067892503536</v>
      </c>
      <c r="G41" s="7">
        <f>IFERROR(IF(F40&lt;=0,"n.m.",G40/F40-1),"")</f>
        <v>0.06011730205278587</v>
      </c>
      <c r="H41" s="31">
        <f>IFERROR(IF(G40&lt;=0,"n.m.",H40/G40-1),"")</f>
        <v>0.014999999999999902</v>
      </c>
      <c r="I41" s="1"/>
      <c r="J41" s="1"/>
      <c r="K41" s="1"/>
      <c r="L41" s="1"/>
    </row>
    <row r="42" ht="14.624267578125">
      <c r="A42" s="1"/>
      <c r="B42" s="19" t="s">
        <v>138</v>
      </c>
      <c r="C42" s="7"/>
      <c r="D42" s="7"/>
      <c r="E42" s="7"/>
      <c r="F42" s="15">
        <f>IFERROR(IF(Inputs!C221&lt;=0,"n.m.",F40/Inputs!C221-1),"")</f>
        <v>0.11256117455138659</v>
      </c>
      <c r="G42" s="15">
        <f>IFERROR(IF(Inputs!D221&lt;=0,"n.m.",G40/Inputs!D221-1),"")</f>
        <v>0.07910447761194028</v>
      </c>
      <c r="H42" s="31">
        <f>IFERROR(IF(C40&lt;=0,"n.m.",H40/C40-1),"")</f>
        <v>0.04685449358059901</v>
      </c>
      <c r="I42" s="1"/>
      <c r="J42" s="1"/>
      <c r="K42" s="1"/>
      <c r="L42" s="1"/>
    </row>
    <row r="43" ht="14.624267578125">
      <c r="A43" s="1"/>
      <c r="B43" s="33" t="s">
        <v>139</v>
      </c>
      <c r="C43" s="2">
        <f>C40-Inputs!D221</f>
        <v>31</v>
      </c>
      <c r="D43" s="11">
        <f>D40-C40</f>
        <v>6</v>
      </c>
      <c r="E43" s="11"/>
      <c r="F43" s="11">
        <f>F40-D40</f>
        <v>-25</v>
      </c>
      <c r="G43" s="11">
        <f>G40-F40</f>
        <v>41</v>
      </c>
      <c r="H43" s="29">
        <f>H40-G40</f>
        <v>10.844999999999914</v>
      </c>
      <c r="I43" s="1"/>
      <c r="J43" s="1"/>
      <c r="K43" s="1"/>
      <c r="L43" s="1"/>
    </row>
    <row r="44" ht="14.624267578125">
      <c r="A44" s="1"/>
      <c r="B44" s="33" t="s">
        <v>232</v>
      </c>
      <c r="C44" s="102">
        <v>0</v>
      </c>
      <c r="D44" s="102">
        <v>0</v>
      </c>
      <c r="E44" s="2">
        <f>Inputs!C222+Inputs!D222+C44+D44</f>
        <v>0</v>
      </c>
      <c r="F44" s="102">
        <v>0</v>
      </c>
      <c r="G44" s="102">
        <v>0</v>
      </c>
      <c r="H44" s="41">
        <f>'Income Statement'!H103-'Segment - CSBB'!H59-'Segment - Wholesale'!H59</f>
        <v>-0.00999999999999801</v>
      </c>
      <c r="I44" s="1" t="s">
        <v>254</v>
      </c>
      <c r="J44" s="1"/>
      <c r="K44" s="1"/>
      <c r="L44" s="1"/>
    </row>
    <row r="45" ht="14.624267578125">
      <c r="A45" s="1"/>
      <c r="B45" s="19" t="s">
        <v>151</v>
      </c>
      <c r="C45" s="15" t="str">
        <f>IFERROR(IF(Inputs!D222&lt;=0,"n.m.",C44/Inputs!D222-1),"")</f>
        <v>n.m.</v>
      </c>
      <c r="D45" s="7" t="str">
        <f>IFERROR(IF(C44&lt;=0,"n.m.",D44/C44-1),"")</f>
        <v>n.m.</v>
      </c>
      <c r="E45" s="7"/>
      <c r="F45" s="7" t="str">
        <f>IFERROR(IF(D44&lt;=0,"n.m.",F44/D44-1),"")</f>
        <v>n.m.</v>
      </c>
      <c r="G45" s="7" t="str">
        <f>IFERROR(IF(F44&lt;=0,"n.m.",G44/F44-1),"")</f>
        <v>n.m.</v>
      </c>
      <c r="H45" s="31" t="str">
        <f>IFERROR(IF(G44&lt;=0,"n.m.",H44/G44-1),"")</f>
        <v>n.m.</v>
      </c>
      <c r="I45" s="1"/>
      <c r="J45" s="1"/>
      <c r="K45" s="1"/>
      <c r="L45" s="1"/>
    </row>
    <row r="46" ht="14.624267578125">
      <c r="A46" s="1"/>
      <c r="B46" s="19" t="s">
        <v>138</v>
      </c>
      <c r="C46" s="7"/>
      <c r="D46" s="7"/>
      <c r="E46" s="7"/>
      <c r="F46" s="15" t="str">
        <f>IFERROR(IF(Inputs!C222&lt;=0,"n.m.",F44/Inputs!C222-1),"")</f>
        <v>n.m.</v>
      </c>
      <c r="G46" s="15" t="str">
        <f>IFERROR(IF(Inputs!D222&lt;=0,"n.m.",G44/Inputs!D222-1),"")</f>
        <v>n.m.</v>
      </c>
      <c r="H46" s="31" t="str">
        <f>IFERROR(IF(C44&lt;=0,"n.m.",H44/C44-1),"")</f>
        <v>n.m.</v>
      </c>
      <c r="I46" s="1"/>
      <c r="J46" s="1"/>
      <c r="K46" s="1"/>
      <c r="L46" s="1"/>
    </row>
    <row r="47" ht="14.624267578125">
      <c r="A47" s="1"/>
      <c r="B47" s="33" t="s">
        <v>139</v>
      </c>
      <c r="C47" s="2">
        <f>C44-Inputs!D222</f>
        <v>0</v>
      </c>
      <c r="D47" s="11">
        <f>D44-C44</f>
        <v>0</v>
      </c>
      <c r="E47" s="11"/>
      <c r="F47" s="11">
        <f>F44-D44</f>
        <v>0</v>
      </c>
      <c r="G47" s="11">
        <f>G44-F44</f>
        <v>0</v>
      </c>
      <c r="H47" s="29">
        <f>H44-G44</f>
        <v>-0.00999999999999801</v>
      </c>
      <c r="I47" s="1"/>
      <c r="J47" s="1"/>
      <c r="K47" s="1"/>
      <c r="L47" s="1"/>
    </row>
    <row r="48" ht="14.624267578125">
      <c r="A48" s="1"/>
      <c r="B48" s="33" t="s">
        <v>233</v>
      </c>
      <c r="C48" s="22">
        <v>714</v>
      </c>
      <c r="D48" s="22">
        <v>806</v>
      </c>
      <c r="E48" s="2">
        <f>Inputs!C223+Inputs!D223+C48+D48</f>
        <v>3014</v>
      </c>
      <c r="F48" s="22">
        <v>712</v>
      </c>
      <c r="G48" s="22">
        <v>688</v>
      </c>
      <c r="H48" s="41">
        <f>'Income Statement'!H116-'Income Statement'!H79-'Income Statement'!H103-'Segment - CSBB'!H63-'Segment - Wholesale'!H63</f>
        <v>786.7970731707319</v>
      </c>
      <c r="I48" s="1"/>
      <c r="J48" s="1"/>
      <c r="K48" s="1"/>
      <c r="L48" s="1"/>
    </row>
    <row r="49" ht="14.624267578125">
      <c r="A49" s="1"/>
      <c r="B49" s="19" t="s">
        <v>151</v>
      </c>
      <c r="C49" s="15">
        <f>IFERROR(IF(Inputs!D223&lt;=0,"n.m.",C48/Inputs!D223-1),"")</f>
        <v>-0.04417670682730923</v>
      </c>
      <c r="D49" s="7">
        <f>IFERROR(IF(C48&lt;=0,"n.m.",D48/C48-1),"")</f>
        <v>0.12885154061624648</v>
      </c>
      <c r="E49" s="7"/>
      <c r="F49" s="7">
        <f>IFERROR(IF(D48&lt;=0,"n.m.",F48/D48-1),"")</f>
        <v>-0.11662531017369726</v>
      </c>
      <c r="G49" s="7">
        <f>IFERROR(IF(F48&lt;=0,"n.m.",G48/F48-1),"")</f>
        <v>-0.0337078651685393</v>
      </c>
      <c r="H49" s="31">
        <f>IFERROR(IF(G48&lt;=0,"n.m.",H48/G48-1),"")</f>
        <v>0.14360039705048244</v>
      </c>
      <c r="I49" s="1"/>
      <c r="J49" s="1"/>
      <c r="K49" s="1"/>
      <c r="L49" s="1"/>
    </row>
    <row r="50" ht="14.624267578125">
      <c r="A50" s="1"/>
      <c r="B50" s="19" t="s">
        <v>138</v>
      </c>
      <c r="C50" s="7"/>
      <c r="D50" s="7"/>
      <c r="E50" s="7"/>
      <c r="F50" s="15">
        <f>IFERROR(IF(Inputs!C223&lt;=0,"n.m.",F48/Inputs!C223-1),"")</f>
        <v>-0.04685408299866134</v>
      </c>
      <c r="G50" s="15">
        <f>IFERROR(IF(Inputs!D223&lt;=0,"n.m.",G48/Inputs!D223-1),"")</f>
        <v>-0.0789825970548862</v>
      </c>
      <c r="H50" s="31">
        <f>IFERROR(IF(C48&lt;=0,"n.m.",H48/C48-1),"")</f>
        <v>0.10195668511306977</v>
      </c>
      <c r="I50" s="1"/>
      <c r="J50" s="1"/>
      <c r="K50" s="1"/>
      <c r="L50" s="1"/>
    </row>
    <row r="51" ht="14.624267578125">
      <c r="A51" s="1"/>
      <c r="B51" s="33" t="s">
        <v>139</v>
      </c>
      <c r="C51" s="2">
        <f>C48-Inputs!D223</f>
        <v>-33</v>
      </c>
      <c r="D51" s="11">
        <f>D48-C48</f>
        <v>92</v>
      </c>
      <c r="E51" s="11"/>
      <c r="F51" s="11">
        <f>F48-D48</f>
        <v>-94</v>
      </c>
      <c r="G51" s="11">
        <f>G48-F48</f>
        <v>-24</v>
      </c>
      <c r="H51" s="29">
        <f>H48-G48</f>
        <v>98.79707317073189</v>
      </c>
      <c r="I51" s="1"/>
      <c r="J51" s="1"/>
      <c r="K51" s="1"/>
      <c r="L51" s="1"/>
    </row>
    <row r="52" ht="14.624267578125">
      <c r="A52" s="1"/>
      <c r="B52" s="48" t="s">
        <v>234</v>
      </c>
      <c r="C52" s="50">
        <f>C40+C44+C48</f>
        <v>1415</v>
      </c>
      <c r="D52" s="50">
        <f>D40+D44+D48</f>
        <v>1513</v>
      </c>
      <c r="E52" s="50">
        <f>E40+E44+E48</f>
        <v>5705</v>
      </c>
      <c r="F52" s="50">
        <f>F40+F44+F48</f>
        <v>1394</v>
      </c>
      <c r="G52" s="50">
        <f>G40+G44+G48</f>
        <v>1411</v>
      </c>
      <c r="H52" s="61">
        <f>H40+H44+H48</f>
        <v>1520.632073170732</v>
      </c>
      <c r="I52" s="1"/>
      <c r="J52" s="1"/>
      <c r="K52" s="1"/>
      <c r="L52" s="1"/>
    </row>
    <row r="53" ht="14.624267578125">
      <c r="A53" s="1"/>
      <c r="B53" s="33" t="s">
        <v>235</v>
      </c>
      <c r="C53" s="22">
        <v>-1421</v>
      </c>
      <c r="D53" s="22">
        <v>-1399</v>
      </c>
      <c r="E53" s="2">
        <f>Inputs!C224+Inputs!D224+C53+D53</f>
        <v>-5699</v>
      </c>
      <c r="F53" s="22">
        <v>-1440</v>
      </c>
      <c r="G53" s="22">
        <v>-1461</v>
      </c>
      <c r="H53" s="41">
        <f>-'Segment - CSBB'!H68-'Segment - Wholesale'!H68</f>
        <v>-1475.6100000000001</v>
      </c>
      <c r="I53" s="1"/>
      <c r="J53" s="1"/>
      <c r="K53" s="1"/>
      <c r="L53" s="1"/>
    </row>
    <row r="54" ht="14.624267578125">
      <c r="A54" s="1"/>
      <c r="B54" s="19" t="s">
        <v>151</v>
      </c>
      <c r="C54" s="15" t="str">
        <f>IFERROR(IF(Inputs!D224&lt;=0,"n.m.",C53/Inputs!D224-1),"")</f>
        <v>n.m.</v>
      </c>
      <c r="D54" s="7" t="str">
        <f>IFERROR(IF(C53&lt;=0,"n.m.",D53/C53-1),"")</f>
        <v>n.m.</v>
      </c>
      <c r="E54" s="7"/>
      <c r="F54" s="7" t="str">
        <f>IFERROR(IF(D53&lt;=0,"n.m.",F53/D53-1),"")</f>
        <v>n.m.</v>
      </c>
      <c r="G54" s="7" t="str">
        <f>IFERROR(IF(F53&lt;=0,"n.m.",G53/F53-1),"")</f>
        <v>n.m.</v>
      </c>
      <c r="H54" s="31" t="str">
        <f>IFERROR(IF(G53&lt;=0,"n.m.",H53/G53-1),"")</f>
        <v>n.m.</v>
      </c>
      <c r="I54" s="1"/>
      <c r="J54" s="1"/>
      <c r="K54" s="1"/>
      <c r="L54" s="1"/>
    </row>
    <row r="55" ht="14.624267578125">
      <c r="A55" s="1"/>
      <c r="B55" s="19" t="s">
        <v>138</v>
      </c>
      <c r="C55" s="7"/>
      <c r="D55" s="7"/>
      <c r="E55" s="7"/>
      <c r="F55" s="15" t="str">
        <f>IFERROR(IF(Inputs!C224&lt;=0,"n.m.",F53/Inputs!C224-1),"")</f>
        <v>n.m.</v>
      </c>
      <c r="G55" s="15" t="str">
        <f>IFERROR(IF(Inputs!D224&lt;=0,"n.m.",G53/Inputs!D224-1),"")</f>
        <v>n.m.</v>
      </c>
      <c r="H55" s="31" t="str">
        <f>IFERROR(IF(C53&lt;=0,"n.m.",H53/C53-1),"")</f>
        <v>n.m.</v>
      </c>
      <c r="I55" s="1"/>
      <c r="J55" s="1"/>
      <c r="K55" s="1"/>
      <c r="L55" s="1"/>
    </row>
    <row r="56" ht="14.624267578125">
      <c r="A56" s="1"/>
      <c r="B56" s="33" t="s">
        <v>139</v>
      </c>
      <c r="C56" s="2">
        <f>C53-Inputs!D224</f>
        <v>38</v>
      </c>
      <c r="D56" s="11">
        <f>D53-C53</f>
        <v>22</v>
      </c>
      <c r="E56" s="11"/>
      <c r="F56" s="11">
        <f>F53-D53</f>
        <v>-41</v>
      </c>
      <c r="G56" s="11">
        <f>G53-F53</f>
        <v>-21</v>
      </c>
      <c r="H56" s="29">
        <f>H53-G53</f>
        <v>-14.610000000000127</v>
      </c>
      <c r="I56" s="1"/>
      <c r="J56" s="1"/>
      <c r="K56" s="1"/>
      <c r="L56" s="1"/>
    </row>
    <row r="57" ht="14.624267578125">
      <c r="A57" s="1"/>
      <c r="B57" s="48" t="s">
        <v>236</v>
      </c>
      <c r="C57" s="50">
        <f>C52+C53</f>
        <v>-6</v>
      </c>
      <c r="D57" s="50">
        <f>D52+D53</f>
        <v>114</v>
      </c>
      <c r="E57" s="50">
        <f>E52+E53</f>
        <v>6</v>
      </c>
      <c r="F57" s="50">
        <f>F52+F53</f>
        <v>-46</v>
      </c>
      <c r="G57" s="50">
        <f>G52+G53</f>
        <v>-50</v>
      </c>
      <c r="H57" s="61">
        <f>H52+H53</f>
        <v>45.0220731707318</v>
      </c>
      <c r="I57" s="1"/>
      <c r="J57" s="1"/>
      <c r="K57" s="1"/>
      <c r="L57" s="1"/>
    </row>
    <row r="58" ht="14.624267578125">
      <c r="A58" s="1"/>
      <c r="B58" s="19" t="s">
        <v>151</v>
      </c>
      <c r="C58" s="15" t="str">
        <f>IFERROR(IF(OR((Inputs!D221+Inputs!D222+Inputs!D223+Inputs!D224)&lt;=0,C57&lt;0),"n.m.",C57/(Inputs!D221+Inputs!D222+Inputs!D223+Inputs!D224)-1),"")</f>
        <v>n.m.</v>
      </c>
      <c r="D58" s="7" t="str">
        <f>IFERROR(IF(OR(C57&lt;=0,D57&lt;0),"n.m.",D57/C57-1),"")</f>
        <v>n.m.</v>
      </c>
      <c r="E58" s="7"/>
      <c r="F58" s="7" t="str">
        <f>IFERROR(IF(OR(D57&lt;=0,F57&lt;0),"n.m.",F57/D57-1),"")</f>
        <v>n.m.</v>
      </c>
      <c r="G58" s="7" t="str">
        <f>IFERROR(IF(OR(F57&lt;=0,G57&lt;0),"n.m.",G57/F57-1),"")</f>
        <v>n.m.</v>
      </c>
      <c r="H58" s="31" t="str">
        <f>IFERROR(IF(OR(G57&lt;=0,H57&lt;0),"n.m.",H57/G57-1),"")</f>
        <v>n.m.</v>
      </c>
      <c r="I58" s="1"/>
      <c r="J58" s="1"/>
      <c r="K58" s="1"/>
      <c r="L58" s="1"/>
    </row>
    <row r="59" ht="14.624267578125">
      <c r="A59" s="1"/>
      <c r="B59" s="19" t="s">
        <v>138</v>
      </c>
      <c r="C59" s="7"/>
      <c r="D59" s="7"/>
      <c r="E59" s="7"/>
      <c r="F59" s="15" t="str">
        <f>IFERROR(IF(OR((Inputs!C221+Inputs!C222+Inputs!C223+Inputs!C224)&lt;=0,F57&lt;0),"n.m.",F57/(Inputs!C221+Inputs!C222+Inputs!C223+Inputs!C224)-1),"")</f>
        <v>n.m.</v>
      </c>
      <c r="G59" s="15" t="str">
        <f>IFERROR(IF(OR((Inputs!D221+Inputs!D222+Inputs!D223+Inputs!D224)&lt;=0,G57&lt;0),"n.m.",G57/(Inputs!D221+Inputs!D222+Inputs!D223+Inputs!D224)-1),"")</f>
        <v>n.m.</v>
      </c>
      <c r="H59" s="31" t="str">
        <f>IFERROR(IF(OR(C57&lt;=0,H57&lt;0),"n.m.",H57/C57-1),"")</f>
        <v>n.m.</v>
      </c>
      <c r="I59" s="1"/>
      <c r="J59" s="1"/>
      <c r="K59" s="1"/>
      <c r="L59" s="1"/>
    </row>
    <row r="60" ht="14.624267578125">
      <c r="A60" s="1"/>
      <c r="B60" s="19" t="s">
        <v>237</v>
      </c>
      <c r="C60" s="7" t="str">
        <f>IFERROR(IF(OR(C28&lt;=0,C57&lt;0),"n.m.",C57/C28),"")</f>
        <v>n.m.</v>
      </c>
      <c r="D60" s="7" t="str">
        <f>IFERROR(IF(OR(D28&lt;=0,D57&lt;0),"n.m.",D57/D28),"")</f>
        <v>n.m.</v>
      </c>
      <c r="E60" s="7" t="str">
        <f>IFERROR(IF(OR(E28&lt;=0,E57&lt;0),"n.m.",E57/E28),"")</f>
        <v>n.m.</v>
      </c>
      <c r="F60" s="7" t="str">
        <f>IFERROR(IF(OR(F28&lt;=0,F57&lt;0),"n.m.",F57/F28),"")</f>
        <v>n.m.</v>
      </c>
      <c r="G60" s="7" t="str">
        <f>IFERROR(IF(OR(G28&lt;=0,G57&lt;0),"n.m.",G57/G28),"")</f>
        <v>n.m.</v>
      </c>
      <c r="H60" s="31" t="str">
        <f>IFERROR(IF(OR(H28&lt;=0,H57&lt;0),"n.m.",H57/H28),"")</f>
        <v>n.m.</v>
      </c>
      <c r="I60" s="1"/>
      <c r="J60" s="1"/>
      <c r="K60" s="1"/>
      <c r="L60" s="1"/>
    </row>
    <row r="61" ht="14.624267578125">
      <c r="A61" s="1"/>
      <c r="B61" s="33" t="s">
        <v>99</v>
      </c>
      <c r="C61" s="26"/>
      <c r="D61" s="26" t="str">
        <f>IF(AND(ISNUMBER(D60),ISNUMBER(C60)),(D60-C60)*10000,"n.m.")</f>
        <v>n.m.</v>
      </c>
      <c r="E61" s="26"/>
      <c r="F61" s="26" t="str">
        <f>IF(AND(ISNUMBER(F60),ISNUMBER(D60)),(F60-D60)*10000,"n.m.")</f>
        <v>n.m.</v>
      </c>
      <c r="G61" s="26" t="str">
        <f>IF(AND(ISNUMBER(G60),ISNUMBER(F60)),(G60-F60)*10000,"n.m.")</f>
        <v>n.m.</v>
      </c>
      <c r="H61" s="60" t="str">
        <f>IF(AND(ISNUMBER(H60),ISNUMBER(G60)),(H60-G60)*10000,"n.m.")</f>
        <v>n.m.</v>
      </c>
      <c r="I61" s="1"/>
      <c r="J61" s="1"/>
      <c r="K61" s="1"/>
      <c r="L61" s="1"/>
    </row>
    <row r="62" ht="14.624267578125">
      <c r="A62" s="1"/>
      <c r="B62" s="33" t="s">
        <v>132</v>
      </c>
      <c r="C62" s="26"/>
      <c r="D62" s="26"/>
      <c r="E62" s="26"/>
      <c r="F62" s="56" t="str">
        <f>IF(AND(ISNUMBER(F60),(Inputs!C217+Inputs!C218+Inputs!C220)&gt;0,(Inputs!C221+Inputs!C222+Inputs!C223+Inputs!C224)&gt;=0),(F60-(Inputs!C221+Inputs!C222+Inputs!C223+Inputs!C224)/(Inputs!C217+Inputs!C218+Inputs!C220))*10000,"n.m.")</f>
        <v>n.m.</v>
      </c>
      <c r="G62" s="56" t="str">
        <f>IF(AND(ISNUMBER(G60),(Inputs!D217+Inputs!D218+Inputs!D220)&gt;0,(Inputs!D221+Inputs!D222+Inputs!D223+Inputs!D224)&gt;=0),(G60-(Inputs!D221+Inputs!D222+Inputs!D223+Inputs!D224)/(Inputs!D217+Inputs!D218+Inputs!D220))*10000,"n.m.")</f>
        <v>n.m.</v>
      </c>
      <c r="H62" s="60" t="str">
        <f>IF(AND(ISNUMBER(H60),ISNUMBER(C60)),(H60-C60)*10000,"n.m.")</f>
        <v>n.m.</v>
      </c>
      <c r="I62" s="1"/>
      <c r="J62" s="1"/>
      <c r="K62" s="1"/>
      <c r="L62" s="1"/>
    </row>
    <row r="63">
      <c r="A63" s="1"/>
      <c r="B63" s="33"/>
      <c r="C63" s="18"/>
      <c r="D63" s="18"/>
      <c r="E63" s="18"/>
      <c r="F63" s="18"/>
      <c r="G63" s="18"/>
      <c r="H63" s="45"/>
      <c r="I63" s="1"/>
      <c r="J63" s="1"/>
      <c r="K63" s="1"/>
      <c r="L63" s="1"/>
    </row>
    <row r="64" ht="14.624267578125">
      <c r="A64" s="1"/>
      <c r="B64" s="57" t="s">
        <v>238</v>
      </c>
      <c r="C64" s="18"/>
      <c r="D64" s="18"/>
      <c r="E64" s="18"/>
      <c r="F64" s="18"/>
      <c r="G64" s="18"/>
      <c r="H64" s="45"/>
      <c r="I64" s="1"/>
      <c r="J64" s="1"/>
      <c r="K64" s="1"/>
      <c r="L64" s="1"/>
    </row>
    <row r="65" ht="14.624267578125">
      <c r="A65" s="1"/>
      <c r="B65" s="48" t="s">
        <v>239</v>
      </c>
      <c r="C65" s="50">
        <f>C28-C57</f>
        <v>-478</v>
      </c>
      <c r="D65" s="50">
        <f>D28-D57</f>
        <v>-624</v>
      </c>
      <c r="E65" s="50">
        <f>E28-E57</f>
        <v>-1664</v>
      </c>
      <c r="F65" s="50">
        <f>F28-F57</f>
        <v>-401</v>
      </c>
      <c r="G65" s="50">
        <f>G28-G57</f>
        <v>-508</v>
      </c>
      <c r="H65" s="61">
        <f>H28-H57</f>
        <v>-630.7028193576971</v>
      </c>
      <c r="I65" s="1"/>
      <c r="J65" s="1"/>
      <c r="K65" s="1"/>
      <c r="L65" s="1"/>
    </row>
    <row r="66" ht="14.624267578125">
      <c r="A66" s="1"/>
      <c r="B66" s="33" t="s">
        <v>240</v>
      </c>
      <c r="C66" s="102">
        <v>0</v>
      </c>
      <c r="D66" s="22">
        <v>-1</v>
      </c>
      <c r="E66" s="2">
        <f>Inputs!C219+Inputs!D219+C66+D66</f>
        <v>-2</v>
      </c>
      <c r="F66" s="102">
        <v>0</v>
      </c>
      <c r="G66" s="22">
        <v>-2</v>
      </c>
      <c r="H66" s="41">
        <f>'Income Statement'!H54-'Segment - CSBB'!H81-'Segment - Wholesale'!H81</f>
        <v>-532.1269753424658</v>
      </c>
      <c r="I66" s="1" t="s">
        <v>255</v>
      </c>
      <c r="J66" s="1"/>
      <c r="K66" s="1"/>
      <c r="L66" s="1"/>
    </row>
    <row r="67" ht="14.624267578125">
      <c r="A67" s="1"/>
      <c r="B67" s="19" t="s">
        <v>151</v>
      </c>
      <c r="C67" s="15" t="str">
        <f>IFERROR(IF(Inputs!D219&lt;=0,"n.m.",C66/Inputs!D219-1),"")</f>
        <v>n.m.</v>
      </c>
      <c r="D67" s="7" t="str">
        <f>IFERROR(IF(C66&lt;=0,"n.m.",D66/C66-1),"")</f>
        <v>n.m.</v>
      </c>
      <c r="E67" s="7"/>
      <c r="F67" s="7" t="str">
        <f>IFERROR(IF(D66&lt;=0,"n.m.",F66/D66-1),"")</f>
        <v>n.m.</v>
      </c>
      <c r="G67" s="7" t="str">
        <f>IFERROR(IF(F66&lt;=0,"n.m.",G66/F66-1),"")</f>
        <v>n.m.</v>
      </c>
      <c r="H67" s="31" t="str">
        <f>IFERROR(IF(G66&lt;=0,"n.m.",H66/G66-1),"")</f>
        <v>n.m.</v>
      </c>
      <c r="I67" s="1"/>
      <c r="J67" s="1"/>
      <c r="K67" s="1"/>
      <c r="L67" s="1"/>
    </row>
    <row r="68" ht="14.624267578125">
      <c r="A68" s="1"/>
      <c r="B68" s="19" t="s">
        <v>138</v>
      </c>
      <c r="C68" s="7"/>
      <c r="D68" s="7"/>
      <c r="E68" s="7"/>
      <c r="F68" s="15" t="str">
        <f>IFERROR(IF(Inputs!C219&lt;=0,"n.m.",F66/Inputs!C219-1),"")</f>
        <v>n.m.</v>
      </c>
      <c r="G68" s="15" t="str">
        <f>IFERROR(IF(Inputs!D219&lt;=0,"n.m.",G66/Inputs!D219-1),"")</f>
        <v>n.m.</v>
      </c>
      <c r="H68" s="31" t="str">
        <f>IFERROR(IF(C66&lt;=0,"n.m.",H66/C66-1),"")</f>
        <v>n.m.</v>
      </c>
      <c r="I68" s="1"/>
      <c r="J68" s="1"/>
      <c r="K68" s="1"/>
      <c r="L68" s="1"/>
    </row>
    <row r="69" ht="14.624267578125">
      <c r="A69" s="1"/>
      <c r="B69" s="33" t="s">
        <v>139</v>
      </c>
      <c r="C69" s="2">
        <f>C66-Inputs!D219</f>
        <v>0</v>
      </c>
      <c r="D69" s="11">
        <f>D66-C66</f>
        <v>-1</v>
      </c>
      <c r="E69" s="11"/>
      <c r="F69" s="11">
        <f>F66-D66</f>
        <v>1</v>
      </c>
      <c r="G69" s="11">
        <f>G66-F66</f>
        <v>-2</v>
      </c>
      <c r="H69" s="29">
        <f>H66-G66</f>
        <v>-530.1269753424658</v>
      </c>
      <c r="I69" s="1"/>
      <c r="J69" s="1"/>
      <c r="K69" s="1"/>
      <c r="L69" s="1"/>
    </row>
    <row r="70" ht="14.624267578125">
      <c r="A70" s="1"/>
      <c r="B70" s="48" t="s">
        <v>242</v>
      </c>
      <c r="C70" s="50">
        <f>C65-C66</f>
        <v>-478</v>
      </c>
      <c r="D70" s="50">
        <f>D65-D66</f>
        <v>-623</v>
      </c>
      <c r="E70" s="50">
        <f>E65-E66</f>
        <v>-1662</v>
      </c>
      <c r="F70" s="50">
        <f>F65-F66</f>
        <v>-401</v>
      </c>
      <c r="G70" s="50">
        <f>G65-G66</f>
        <v>-506</v>
      </c>
      <c r="H70" s="61">
        <f>H65-H66</f>
        <v>-98.57584401523127</v>
      </c>
      <c r="I70" s="1"/>
      <c r="J70" s="1"/>
      <c r="K70" s="1"/>
      <c r="L70" s="1"/>
    </row>
    <row r="71" ht="14.624267578125">
      <c r="A71" s="1"/>
      <c r="B71" s="33" t="s">
        <v>243</v>
      </c>
      <c r="C71" s="22">
        <v>-206</v>
      </c>
      <c r="D71" s="22">
        <v>-274</v>
      </c>
      <c r="E71" s="2">
        <f>Inputs!C225+Inputs!D225+C71+D71</f>
        <v>-718</v>
      </c>
      <c r="F71" s="22">
        <v>-261</v>
      </c>
      <c r="G71" s="22">
        <v>-264</v>
      </c>
      <c r="H71" s="41">
        <f>'Income Statement'!H128-'Segment - CSBB'!H89-'Segment - Wholesale'!H89</f>
        <v>-156.73283258723052</v>
      </c>
      <c r="I71" s="1"/>
      <c r="J71" s="1"/>
      <c r="K71" s="1"/>
      <c r="L71" s="1"/>
    </row>
    <row r="72" ht="14.624267578125">
      <c r="A72" s="1"/>
      <c r="B72" s="19" t="s">
        <v>151</v>
      </c>
      <c r="C72" s="15" t="str">
        <f>IFERROR(IF(Inputs!D225&lt;=0,"n.m.",C71/Inputs!D225-1),"")</f>
        <v>n.m.</v>
      </c>
      <c r="D72" s="7" t="str">
        <f>IFERROR(IF(C71&lt;=0,"n.m.",D71/C71-1),"")</f>
        <v>n.m.</v>
      </c>
      <c r="E72" s="7"/>
      <c r="F72" s="7" t="str">
        <f>IFERROR(IF(D71&lt;=0,"n.m.",F71/D71-1),"")</f>
        <v>n.m.</v>
      </c>
      <c r="G72" s="7" t="str">
        <f>IFERROR(IF(F71&lt;=0,"n.m.",G71/F71-1),"")</f>
        <v>n.m.</v>
      </c>
      <c r="H72" s="31" t="str">
        <f>IFERROR(IF(G71&lt;=0,"n.m.",H71/G71-1),"")</f>
        <v>n.m.</v>
      </c>
      <c r="I72" s="1"/>
      <c r="J72" s="1"/>
      <c r="K72" s="1"/>
      <c r="L72" s="1"/>
    </row>
    <row r="73" ht="14.624267578125">
      <c r="A73" s="1"/>
      <c r="B73" s="19" t="s">
        <v>138</v>
      </c>
      <c r="C73" s="7"/>
      <c r="D73" s="7"/>
      <c r="E73" s="7"/>
      <c r="F73" s="15" t="str">
        <f>IFERROR(IF(Inputs!C225&lt;=0,"n.m.",F71/Inputs!C225-1),"")</f>
        <v>n.m.</v>
      </c>
      <c r="G73" s="15" t="str">
        <f>IFERROR(IF(Inputs!D225&lt;=0,"n.m.",G71/Inputs!D225-1),"")</f>
        <v>n.m.</v>
      </c>
      <c r="H73" s="31" t="str">
        <f>IFERROR(IF(C71&lt;=0,"n.m.",H71/C71-1),"")</f>
        <v>n.m.</v>
      </c>
      <c r="I73" s="1"/>
      <c r="J73" s="1"/>
      <c r="K73" s="1"/>
      <c r="L73" s="1"/>
    </row>
    <row r="74" ht="14.624267578125">
      <c r="A74" s="1"/>
      <c r="B74" s="48" t="s">
        <v>244</v>
      </c>
      <c r="C74" s="50">
        <f>C70-C71</f>
        <v>-272</v>
      </c>
      <c r="D74" s="50">
        <f>D70-D71</f>
        <v>-349</v>
      </c>
      <c r="E74" s="50">
        <f>E70-E71</f>
        <v>-944</v>
      </c>
      <c r="F74" s="50">
        <f>F70-F71</f>
        <v>-140</v>
      </c>
      <c r="G74" s="50">
        <f>G70-G71</f>
        <v>-242</v>
      </c>
      <c r="H74" s="61">
        <f>H70-H71</f>
        <v>58.15698857199925</v>
      </c>
      <c r="I74" s="1"/>
      <c r="J74" s="1"/>
      <c r="K74" s="1"/>
      <c r="L74" s="1"/>
    </row>
    <row r="75" ht="14.624267578125">
      <c r="A75" s="1"/>
      <c r="B75" s="19" t="s">
        <v>151</v>
      </c>
      <c r="C75" s="15" t="str">
        <f>IFERROR(IF(((Inputs!D217+Inputs!D218+Inputs!D220)-(Inputs!D221+Inputs!D222+Inputs!D223+Inputs!D224+Inputs!D219+Inputs!D225))&lt;=0,"n.m.",C74/((Inputs!D217+Inputs!D218+Inputs!D220)-(Inputs!D221+Inputs!D222+Inputs!D223+Inputs!D224+Inputs!D219+Inputs!D225))-1),"")</f>
        <v>n.m.</v>
      </c>
      <c r="D75" s="7" t="str">
        <f>IFERROR(IF(C74&lt;=0,"n.m.",D74/C74-1),"")</f>
        <v>n.m.</v>
      </c>
      <c r="E75" s="7"/>
      <c r="F75" s="7" t="str">
        <f>IFERROR(IF(D74&lt;=0,"n.m.",F74/D74-1),"")</f>
        <v>n.m.</v>
      </c>
      <c r="G75" s="7" t="str">
        <f>IFERROR(IF(F74&lt;=0,"n.m.",G74/F74-1),"")</f>
        <v>n.m.</v>
      </c>
      <c r="H75" s="31" t="str">
        <f>IFERROR(IF(G74&lt;=0,"n.m.",H74/G74-1),"")</f>
        <v>n.m.</v>
      </c>
      <c r="I75" s="1"/>
      <c r="J75" s="1"/>
      <c r="K75" s="1"/>
      <c r="L75" s="1"/>
    </row>
    <row r="76" ht="14.624267578125">
      <c r="A76" s="1"/>
      <c r="B76" s="19" t="s">
        <v>138</v>
      </c>
      <c r="C76" s="7"/>
      <c r="D76" s="7"/>
      <c r="E76" s="7"/>
      <c r="F76" s="15" t="str">
        <f>IFERROR(IF(((Inputs!C217+Inputs!C218+Inputs!C220)-(Inputs!C221+Inputs!C222+Inputs!C223+Inputs!C224+Inputs!C219+Inputs!C225))&lt;=0,"n.m.",F74/((Inputs!C217+Inputs!C218+Inputs!C220)-(Inputs!C221+Inputs!C222+Inputs!C223+Inputs!C224+Inputs!C219+Inputs!C225))-1),"")</f>
        <v>n.m.</v>
      </c>
      <c r="G76" s="15" t="str">
        <f>IFERROR(IF(((Inputs!D217+Inputs!D218+Inputs!D220)-(Inputs!D221+Inputs!D222+Inputs!D223+Inputs!D224+Inputs!D219+Inputs!D225))&lt;=0,"n.m.",G74/((Inputs!D217+Inputs!D218+Inputs!D220)-(Inputs!D221+Inputs!D222+Inputs!D223+Inputs!D224+Inputs!D219+Inputs!D225))-1),"")</f>
        <v>n.m.</v>
      </c>
      <c r="H76" s="31" t="str">
        <f>IFERROR(IF(C74&lt;=0,"n.m.",H74/C74-1),"")</f>
        <v>n.m.</v>
      </c>
      <c r="I76" s="1"/>
      <c r="J76" s="1"/>
      <c r="K76" s="1"/>
      <c r="L76" s="1"/>
    </row>
    <row r="77" ht="14.624267578125">
      <c r="A77" s="1"/>
      <c r="B77" s="19" t="s">
        <v>256</v>
      </c>
      <c r="C77" s="7" t="str">
        <f>IFERROR(IF(C70&lt;=0,"n.m.",C71/C70),"")</f>
        <v>n.m.</v>
      </c>
      <c r="D77" s="7" t="str">
        <f>IFERROR(IF(D70&lt;=0,"n.m.",D71/D70),"")</f>
        <v>n.m.</v>
      </c>
      <c r="E77" s="7" t="str">
        <f>IFERROR(IF(E70&lt;=0,"n.m.",E71/E70),"")</f>
        <v>n.m.</v>
      </c>
      <c r="F77" s="7" t="str">
        <f>IFERROR(IF(F70&lt;=0,"n.m.",F71/F70),"")</f>
        <v>n.m.</v>
      </c>
      <c r="G77" s="7" t="str">
        <f>IFERROR(IF(G70&lt;=0,"n.m.",G71/G70),"")</f>
        <v>n.m.</v>
      </c>
      <c r="H77" s="31" t="str">
        <f>IFERROR(IF(H70&lt;=0,"n.m.",H71/H70),"")</f>
        <v>n.m.</v>
      </c>
      <c r="I77" s="1"/>
      <c r="J77" s="1"/>
      <c r="K77" s="1"/>
      <c r="L77" s="1"/>
    </row>
    <row r="78" ht="14.624267578125">
      <c r="A78" s="1"/>
      <c r="B78" s="33" t="s">
        <v>99</v>
      </c>
      <c r="C78" s="26"/>
      <c r="D78" s="26" t="str">
        <f>IFERROR((D77-C77)*10000,"")</f>
        <v/>
      </c>
      <c r="E78" s="26"/>
      <c r="F78" s="26" t="str">
        <f>IFERROR((F77-D77)*10000,"")</f>
        <v/>
      </c>
      <c r="G78" s="26" t="str">
        <f>IFERROR((G77-F77)*10000,"")</f>
        <v/>
      </c>
      <c r="H78" s="60" t="str">
        <f>IFERROR((H77-G77)*10000,"")</f>
        <v/>
      </c>
      <c r="I78" s="1"/>
      <c r="J78" s="1"/>
      <c r="K78" s="1"/>
      <c r="L78" s="1"/>
    </row>
    <row r="79" ht="14.624267578125">
      <c r="A79" s="1"/>
      <c r="B79" s="33" t="s">
        <v>132</v>
      </c>
      <c r="C79" s="26"/>
      <c r="D79" s="26"/>
      <c r="E79" s="26"/>
      <c r="F79" s="56" t="str">
        <f>IFERROR((F77-(Inputs!C225/((Inputs!C217+Inputs!C218+Inputs!C220)-(Inputs!C221+Inputs!C222+Inputs!C223+Inputs!C224+Inputs!C219))))*10000,"")</f>
        <v/>
      </c>
      <c r="G79" s="56" t="str">
        <f>IFERROR((G77-(Inputs!D225/((Inputs!D217+Inputs!D218+Inputs!D220)-(Inputs!D221+Inputs!D222+Inputs!D223+Inputs!D224+Inputs!D219))))*10000,"")</f>
        <v/>
      </c>
      <c r="H79" s="60" t="str">
        <f>IFERROR((H77-C77)*10000,"")</f>
        <v/>
      </c>
      <c r="I79" s="1"/>
      <c r="J79" s="1"/>
      <c r="K79" s="1"/>
      <c r="L79" s="1"/>
    </row>
    <row r="80" ht="14.624267578125">
      <c r="A80" s="1"/>
      <c r="B80" s="33" t="s">
        <v>247</v>
      </c>
      <c r="C80" s="22">
        <v>-272</v>
      </c>
      <c r="D80" s="22">
        <v>-349</v>
      </c>
      <c r="E80" s="11"/>
      <c r="F80" s="22">
        <v>-140</v>
      </c>
      <c r="G80" s="22">
        <v>-242</v>
      </c>
      <c r="H80" s="29"/>
      <c r="I80" s="1" t="s">
        <v>248</v>
      </c>
      <c r="J80" s="1"/>
      <c r="K80" s="1"/>
      <c r="L80" s="1"/>
    </row>
    <row r="81" ht="14.624267578125">
      <c r="A81" s="1"/>
      <c r="B81" s="19" t="s">
        <v>209</v>
      </c>
      <c r="C81" s="38">
        <f>C74-C80</f>
        <v>0</v>
      </c>
      <c r="D81" s="38">
        <f>D74-D80</f>
        <v>0</v>
      </c>
      <c r="E81" s="38"/>
      <c r="F81" s="38">
        <f>F74-F80</f>
        <v>0</v>
      </c>
      <c r="G81" s="38">
        <f>G74-G80</f>
        <v>0</v>
      </c>
      <c r="H81" s="59"/>
      <c r="I81" s="1"/>
      <c r="J81" s="1"/>
      <c r="K81" s="1"/>
      <c r="L81" s="1"/>
    </row>
    <row r="82" ht="14.624267578125">
      <c r="A82" s="1"/>
      <c r="B82" s="33" t="s">
        <v>257</v>
      </c>
      <c r="C82" s="18"/>
      <c r="D82" s="18"/>
      <c r="E82" s="18"/>
      <c r="F82" s="18"/>
      <c r="G82" s="18"/>
      <c r="H82" s="45"/>
      <c r="I82" s="1" t="s">
        <v>258</v>
      </c>
      <c r="J82" s="1"/>
      <c r="K82" s="1"/>
      <c r="L82" s="1"/>
    </row>
    <row r="83">
      <c r="A83" s="1"/>
      <c r="B83" s="33"/>
      <c r="C83" s="18"/>
      <c r="D83" s="18"/>
      <c r="E83" s="18"/>
      <c r="F83" s="18"/>
      <c r="G83" s="18"/>
      <c r="H83" s="45"/>
      <c r="I83" s="1"/>
      <c r="J83" s="1"/>
      <c r="K83" s="1"/>
      <c r="L83" s="1"/>
    </row>
    <row r="84">
      <c r="A84" s="1"/>
      <c r="B84" s="33"/>
      <c r="C84" s="18"/>
      <c r="D84" s="18"/>
      <c r="E84" s="18"/>
      <c r="F84" s="18"/>
      <c r="G84" s="18"/>
      <c r="H84" s="45"/>
      <c r="I84" s="1"/>
      <c r="J84" s="1"/>
      <c r="K84" s="1"/>
      <c r="L84" s="1"/>
    </row>
    <row r="85">
      <c r="A85" s="1"/>
      <c r="B85" s="33"/>
      <c r="C85" s="18"/>
      <c r="D85" s="18"/>
      <c r="E85" s="18"/>
      <c r="F85" s="18"/>
      <c r="G85" s="18"/>
      <c r="H85" s="45"/>
      <c r="I85" s="1"/>
      <c r="J85" s="1"/>
      <c r="K85" s="1"/>
      <c r="L85" s="1"/>
    </row>
    <row r="8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</sheetData>
</worksheet>
</file>

<file path=xl/worksheets/sheet6.xml><?xml version="1.0" encoding="utf-8"?>
<worksheet xmlns="http://schemas.openxmlformats.org/spreadsheetml/2006/main" xmlns:r="http://schemas.openxmlformats.org/officeDocument/2006/relationships">
  <dimension ref="A1:L222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8" width="12" customWidth="1"/>
    <col min="9" max="9" width="7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>
      <c r="A2" s="1"/>
      <c r="B2" s="2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>
      <c r="A3" s="1"/>
      <c r="B3" s="12" t="s">
        <v>259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>
      <c r="A4" s="1"/>
      <c r="B4" s="8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>
      <c r="A6" s="1"/>
      <c r="B6" s="49" t="s">
        <v>76</v>
      </c>
      <c r="C6" s="17" t="s">
        <v>77</v>
      </c>
      <c r="D6" s="17" t="s">
        <v>78</v>
      </c>
      <c r="E6" s="17" t="s">
        <v>79</v>
      </c>
      <c r="F6" s="17" t="s">
        <v>80</v>
      </c>
      <c r="G6" s="17" t="s">
        <v>81</v>
      </c>
      <c r="H6" s="17" t="s">
        <v>82</v>
      </c>
      <c r="I6" s="49" t="s">
        <v>83</v>
      </c>
      <c r="J6" s="1"/>
      <c r="K6" s="1"/>
      <c r="L6" s="1"/>
    </row>
    <row r="7">
      <c r="A7" s="1"/>
      <c r="B7" s="54" t="s">
        <v>84</v>
      </c>
      <c r="C7" s="37">
        <f>DATE(2025,9,30)</f>
        <v>45930</v>
      </c>
      <c r="D7" s="37">
        <f>DATE(2025,12,31)</f>
        <v>46022</v>
      </c>
      <c r="E7" s="37">
        <f>DATE(2025,12,31)</f>
        <v>46022</v>
      </c>
      <c r="F7" s="37">
        <f>DATE(2026,3,31)</f>
        <v>46112</v>
      </c>
      <c r="G7" s="37">
        <f>DATE(2026,6,30)</f>
        <v>46203</v>
      </c>
      <c r="H7" s="37">
        <f>DATE(2026,9,30)</f>
        <v>46295</v>
      </c>
      <c r="I7" s="30"/>
      <c r="J7" s="1"/>
      <c r="K7" s="1"/>
      <c r="L7" s="1"/>
    </row>
    <row r="8">
      <c r="A8" s="1"/>
      <c r="B8" s="40" t="s">
        <v>85</v>
      </c>
      <c r="C8" s="27">
        <f>C7-DATE(2025,6,30)</f>
        <v>92</v>
      </c>
      <c r="D8" s="27">
        <f>D7-DATE(2025,9,30)</f>
        <v>92</v>
      </c>
      <c r="E8" s="27">
        <f>E7-DATE(2024,12,31)</f>
        <v>365</v>
      </c>
      <c r="F8" s="27">
        <f>F7-DATE(2025,12,31)</f>
        <v>90</v>
      </c>
      <c r="G8" s="27">
        <f>G7-DATE(2026,3,31)</f>
        <v>91</v>
      </c>
      <c r="H8" s="27">
        <f>H7-DATE(2026,6,30)</f>
        <v>92</v>
      </c>
      <c r="I8" s="58"/>
      <c r="J8" s="1"/>
      <c r="K8" s="1"/>
      <c r="L8" s="1"/>
    </row>
    <row r="9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ht="14.624267578125">
      <c r="A10" s="1"/>
      <c r="B10" s="57" t="s">
        <v>260</v>
      </c>
      <c r="C10" s="18"/>
      <c r="D10" s="18"/>
      <c r="E10" s="18"/>
      <c r="F10" s="18"/>
      <c r="G10" s="18"/>
      <c r="H10" s="45"/>
      <c r="I10" s="1"/>
      <c r="J10" s="1"/>
      <c r="K10" s="1"/>
      <c r="L10" s="1"/>
    </row>
    <row r="11" ht="14.624267578125">
      <c r="A11" s="1"/>
      <c r="B11" s="33" t="s">
        <v>261</v>
      </c>
      <c r="C11" s="22">
        <v>4816</v>
      </c>
      <c r="D11" s="22">
        <v>4778</v>
      </c>
      <c r="E11" s="2">
        <f>Inputs!C104+Inputs!D104+C11+D11</f>
        <v>18744</v>
      </c>
      <c r="F11" s="22">
        <v>4599</v>
      </c>
      <c r="G11" s="22">
        <v>4659</v>
      </c>
      <c r="H11" s="41">
        <f>'Revenue summary'!H270-'Revenue summary'!H315</f>
        <v>4739.229231005957</v>
      </c>
      <c r="I11" s="1" t="s">
        <v>262</v>
      </c>
      <c r="J11" s="1"/>
      <c r="K11" s="1"/>
      <c r="L11" s="1"/>
    </row>
    <row r="12" ht="14.624267578125">
      <c r="A12" s="1"/>
      <c r="B12" s="19" t="s">
        <v>151</v>
      </c>
      <c r="C12" s="15">
        <f>IFERROR(IF(Inputs!D104&lt;=0,"n.m.",C11/Inputs!D104-1),"")</f>
        <v>0.03414215159974243</v>
      </c>
      <c r="D12" s="7">
        <f>IFERROR(IF(C11&lt;=0,"n.m.",D11/C11-1),"")</f>
        <v>-0.007890365448504966</v>
      </c>
      <c r="E12" s="7"/>
      <c r="F12" s="7">
        <f>IFERROR(IF(D11&lt;=0,"n.m.",F11/D11-1),"")</f>
        <v>-0.03746337379656761</v>
      </c>
      <c r="G12" s="7">
        <f>IFERROR(IF(F11&lt;=0,"n.m.",G11/F11-1),"")</f>
        <v>0.01304631441617743</v>
      </c>
      <c r="H12" s="31">
        <f>IFERROR(IF(G11&lt;=0,"n.m.",H11/G11-1),"")</f>
        <v>0.017220268513834958</v>
      </c>
      <c r="I12" s="1"/>
      <c r="J12" s="1"/>
      <c r="K12" s="1"/>
      <c r="L12" s="1"/>
    </row>
    <row r="13" ht="14.624267578125">
      <c r="A13" s="1"/>
      <c r="B13" s="19" t="s">
        <v>138</v>
      </c>
      <c r="C13" s="7"/>
      <c r="D13" s="7"/>
      <c r="E13" s="7"/>
      <c r="F13" s="15">
        <f>IFERROR(IF(Inputs!C104&lt;=0,"n.m.",F11/Inputs!C104-1),"")</f>
        <v>0.023592254618295172</v>
      </c>
      <c r="G13" s="15">
        <f>IFERROR(IF(Inputs!D104&lt;=0,"n.m.",G11/Inputs!D104-1),"")</f>
        <v>0.00042946102641194805</v>
      </c>
      <c r="H13" s="31">
        <f>IFERROR(IF(C11&lt;=0,"n.m.",H11/C11-1),"")</f>
        <v>-0.015940774292782955</v>
      </c>
      <c r="I13" s="1"/>
      <c r="J13" s="1"/>
      <c r="K13" s="1"/>
      <c r="L13" s="1"/>
    </row>
    <row r="14" ht="14.624267578125">
      <c r="A14" s="1"/>
      <c r="B14" s="33" t="s">
        <v>263</v>
      </c>
      <c r="C14" s="22">
        <v>941</v>
      </c>
      <c r="D14" s="22">
        <v>896</v>
      </c>
      <c r="E14" s="2">
        <f>Inputs!C105+Inputs!D105+C14+D14</f>
        <v>3773</v>
      </c>
      <c r="F14" s="22">
        <v>849</v>
      </c>
      <c r="G14" s="22">
        <v>871</v>
      </c>
      <c r="H14" s="41">
        <f>'Revenue summary'!H237</f>
        <v>903.465547965548</v>
      </c>
      <c r="I14" s="1" t="s">
        <v>264</v>
      </c>
      <c r="J14" s="1"/>
      <c r="K14" s="1"/>
      <c r="L14" s="1"/>
    </row>
    <row r="15" ht="14.624267578125">
      <c r="A15" s="1"/>
      <c r="B15" s="19" t="s">
        <v>151</v>
      </c>
      <c r="C15" s="15">
        <f>IFERROR(IF(Inputs!D105&lt;=0,"n.m.",C14/Inputs!D105-1),"")</f>
        <v>-0.020811654526534884</v>
      </c>
      <c r="D15" s="7">
        <f>IFERROR(IF(C14&lt;=0,"n.m.",D14/C14-1),"")</f>
        <v>-0.04782146652497343</v>
      </c>
      <c r="E15" s="7"/>
      <c r="F15" s="7">
        <f>IFERROR(IF(D14&lt;=0,"n.m.",F14/D14-1),"")</f>
        <v>-0.052455357142857095</v>
      </c>
      <c r="G15" s="7">
        <f>IFERROR(IF(F14&lt;=0,"n.m.",G14/F14-1),"")</f>
        <v>0.025912838633686652</v>
      </c>
      <c r="H15" s="31">
        <f>IFERROR(IF(G14&lt;=0,"n.m.",H14/G14-1),"")</f>
        <v>0.03727387826124917</v>
      </c>
      <c r="I15" s="1"/>
      <c r="J15" s="1"/>
      <c r="K15" s="1"/>
      <c r="L15" s="1"/>
    </row>
    <row r="16" ht="14.624267578125">
      <c r="A16" s="1"/>
      <c r="B16" s="19" t="s">
        <v>138</v>
      </c>
      <c r="C16" s="7"/>
      <c r="D16" s="7"/>
      <c r="E16" s="7"/>
      <c r="F16" s="15">
        <f>IFERROR(IF(Inputs!C105&lt;=0,"n.m.",F14/Inputs!C105-1),"")</f>
        <v>-0.12923076923076926</v>
      </c>
      <c r="G16" s="15">
        <f>IFERROR(IF(Inputs!D105&lt;=0,"n.m.",G14/Inputs!D105-1),"")</f>
        <v>-0.09365244536940687</v>
      </c>
      <c r="H16" s="31">
        <f>IFERROR(IF(C14&lt;=0,"n.m.",H14/C14-1),"")</f>
        <v>-0.03988783425552811</v>
      </c>
      <c r="I16" s="1"/>
      <c r="J16" s="1"/>
      <c r="K16" s="1"/>
      <c r="L16" s="1"/>
    </row>
    <row r="17" ht="14.624267578125">
      <c r="A17" s="1"/>
      <c r="B17" s="33" t="s">
        <v>265</v>
      </c>
      <c r="C17" s="22">
        <v>529</v>
      </c>
      <c r="D17" s="22">
        <v>440</v>
      </c>
      <c r="E17" s="2">
        <f>Inputs!C106+Inputs!D106+C17+D17</f>
        <v>2025</v>
      </c>
      <c r="F17" s="22">
        <v>407</v>
      </c>
      <c r="G17" s="22">
        <v>437</v>
      </c>
      <c r="H17" s="41">
        <f>'Revenue summary'!H273+'Revenue summary'!H276</f>
        <v>445.6434362552614</v>
      </c>
      <c r="I17" s="1" t="s">
        <v>264</v>
      </c>
      <c r="J17" s="1"/>
      <c r="K17" s="1"/>
      <c r="L17" s="1"/>
    </row>
    <row r="18" ht="14.624267578125">
      <c r="A18" s="1"/>
      <c r="B18" s="19" t="s">
        <v>151</v>
      </c>
      <c r="C18" s="15">
        <f>IFERROR(IF(Inputs!D106&lt;=0,"n.m.",C17/Inputs!D106-1),"")</f>
        <v>-0.013059701492537323</v>
      </c>
      <c r="D18" s="7">
        <f>IFERROR(IF(C17&lt;=0,"n.m.",D17/C17-1),"")</f>
        <v>-0.16824196597353502</v>
      </c>
      <c r="E18" s="7"/>
      <c r="F18" s="7">
        <f>IFERROR(IF(D17&lt;=0,"n.m.",F17/D17-1),"")</f>
        <v>-0.07499999999999996</v>
      </c>
      <c r="G18" s="7">
        <f>IFERROR(IF(F17&lt;=0,"n.m.",G17/F17-1),"")</f>
        <v>0.07371007371007376</v>
      </c>
      <c r="H18" s="31">
        <f>IFERROR(IF(G17&lt;=0,"n.m.",H17/G17-1),"")</f>
        <v>0.01977903033240591</v>
      </c>
      <c r="I18" s="1"/>
      <c r="J18" s="1"/>
      <c r="K18" s="1"/>
      <c r="L18" s="1"/>
    </row>
    <row r="19" ht="14.624267578125">
      <c r="A19" s="1"/>
      <c r="B19" s="19" t="s">
        <v>138</v>
      </c>
      <c r="C19" s="7"/>
      <c r="D19" s="7"/>
      <c r="E19" s="7"/>
      <c r="F19" s="15">
        <f>IFERROR(IF(Inputs!C106&lt;=0,"n.m.",F17/Inputs!C106-1),"")</f>
        <v>-0.2173076923076923</v>
      </c>
      <c r="G19" s="15">
        <f>IFERROR(IF(Inputs!D106&lt;=0,"n.m.",G17/Inputs!D106-1),"")</f>
        <v>-0.18470149253731338</v>
      </c>
      <c r="H19" s="31">
        <f>IFERROR(IF(C17&lt;=0,"n.m.",H17/C17-1),"")</f>
        <v>-0.15757384450801248</v>
      </c>
      <c r="I19" s="1"/>
      <c r="J19" s="1"/>
      <c r="K19" s="1"/>
      <c r="L19" s="1"/>
    </row>
    <row r="20" ht="14.624267578125">
      <c r="A20" s="1"/>
      <c r="B20" s="48" t="s">
        <v>266</v>
      </c>
      <c r="C20" s="50">
        <f>C11+C14+C17</f>
        <v>6286</v>
      </c>
      <c r="D20" s="50">
        <f>D11+D14+D17</f>
        <v>6114</v>
      </c>
      <c r="E20" s="50">
        <f>E11+E14+E17</f>
        <v>24542</v>
      </c>
      <c r="F20" s="50">
        <f>F11+F14+F17</f>
        <v>5855</v>
      </c>
      <c r="G20" s="50">
        <f>G11+G14+G17</f>
        <v>5967</v>
      </c>
      <c r="H20" s="61">
        <f>H11+H14+H17</f>
        <v>6088.338215226767</v>
      </c>
      <c r="I20" s="1"/>
      <c r="J20" s="1"/>
      <c r="K20" s="1"/>
      <c r="L20" s="1"/>
    </row>
    <row r="21" ht="14.624267578125">
      <c r="A21" s="1"/>
      <c r="B21" s="19" t="s">
        <v>89</v>
      </c>
      <c r="C21" s="7"/>
      <c r="D21" s="7"/>
      <c r="E21" s="7"/>
      <c r="F21" s="15">
        <f>IFERROR(IF((Inputs!C104+Inputs!C105+Inputs!C106)&lt;=0,"n.m.",F20/(Inputs!C104+Inputs!C105+Inputs!C106)-1),"")</f>
        <v>-0.02221108884435541</v>
      </c>
      <c r="G21" s="15">
        <f>IFERROR(IF((Inputs!D104+Inputs!D105+Inputs!D106)&lt;=0,"n.m.",G20/(Inputs!D104+Inputs!D105+Inputs!D106)-1),"")</f>
        <v>-0.03038674033149169</v>
      </c>
      <c r="H21" s="31">
        <f>IFERROR(IF(C20&lt;=0,"n.m.",H20/C20-1),"")</f>
        <v>-0.031444763724663205</v>
      </c>
      <c r="I21" s="1" t="s">
        <v>90</v>
      </c>
      <c r="J21" s="1"/>
      <c r="K21" s="1"/>
      <c r="L21" s="1"/>
    </row>
    <row r="22" ht="14.624267578125">
      <c r="A22" s="1"/>
      <c r="B22" s="19" t="s">
        <v>91</v>
      </c>
      <c r="C22" s="15">
        <f>IFERROR(IF((Inputs!D104+Inputs!D105+Inputs!D106)&lt;=0,"n.m.",C20/(Inputs!D104+Inputs!D105+Inputs!D106)-1),"")</f>
        <v>0.02144946376340595</v>
      </c>
      <c r="D22" s="7">
        <f>IFERROR(IF(C20&lt;=0,"n.m.",D20/C20-1),"")</f>
        <v>-0.02736239261851736</v>
      </c>
      <c r="E22" s="7"/>
      <c r="F22" s="7">
        <f>IFERROR(IF(D20&lt;=0,"n.m.",F20/D20-1),"")</f>
        <v>-0.04236179260713113</v>
      </c>
      <c r="G22" s="7">
        <f>IFERROR(IF(F20&lt;=0,"n.m.",G20/F20-1),"")</f>
        <v>0.019128949615712987</v>
      </c>
      <c r="H22" s="31">
        <f>IFERROR(IF(G20&lt;=0,"n.m.",H20/G20-1),"")</f>
        <v>0.02033487769846931</v>
      </c>
      <c r="I22" s="1"/>
      <c r="J22" s="1"/>
      <c r="K22" s="1"/>
      <c r="L22" s="1"/>
    </row>
    <row r="23">
      <c r="A23" s="1"/>
      <c r="B23" s="33"/>
      <c r="C23" s="18"/>
      <c r="D23" s="18"/>
      <c r="E23" s="18"/>
      <c r="F23" s="18"/>
      <c r="G23" s="18"/>
      <c r="H23" s="45"/>
      <c r="I23" s="1"/>
      <c r="J23" s="1"/>
      <c r="K23" s="1"/>
      <c r="L23" s="1"/>
    </row>
    <row r="24" ht="14.624267578125">
      <c r="A24" s="1"/>
      <c r="B24" s="57" t="s">
        <v>267</v>
      </c>
      <c r="C24" s="18"/>
      <c r="D24" s="18"/>
      <c r="E24" s="18"/>
      <c r="F24" s="18"/>
      <c r="G24" s="18"/>
      <c r="H24" s="45"/>
      <c r="I24" s="1"/>
      <c r="J24" s="1"/>
      <c r="K24" s="1"/>
      <c r="L24" s="1"/>
    </row>
    <row r="25" ht="14.624267578125">
      <c r="A25" s="1"/>
      <c r="B25" s="33" t="s">
        <v>268</v>
      </c>
      <c r="C25" s="22">
        <v>1835</v>
      </c>
      <c r="D25" s="22">
        <v>1633</v>
      </c>
      <c r="E25" s="2">
        <f>Inputs!C107+Inputs!D107+C25+D25</f>
        <v>7048</v>
      </c>
      <c r="F25" s="22">
        <v>1525</v>
      </c>
      <c r="G25" s="22">
        <v>1575</v>
      </c>
      <c r="H25" s="41">
        <f>'Revenue summary'!H282+'Revenue summary'!H285+'Revenue summary'!H288</f>
        <v>1632.1861410269241</v>
      </c>
      <c r="I25" s="1"/>
      <c r="J25" s="1"/>
      <c r="K25" s="1"/>
      <c r="L25" s="1"/>
    </row>
    <row r="26" ht="14.624267578125">
      <c r="A26" s="1"/>
      <c r="B26" s="19" t="s">
        <v>151</v>
      </c>
      <c r="C26" s="15">
        <f>IFERROR(IF(Inputs!D107&lt;=0,"n.m.",C25/Inputs!D107-1),"")</f>
        <v>-0.0048806941431670525</v>
      </c>
      <c r="D26" s="7">
        <f>IFERROR(IF(C25&lt;=0,"n.m.",D25/C25-1),"")</f>
        <v>-0.11008174386920977</v>
      </c>
      <c r="E26" s="7"/>
      <c r="F26" s="7">
        <f>IFERROR(IF(D25&lt;=0,"n.m.",F25/D25-1),"")</f>
        <v>-0.06613594611145135</v>
      </c>
      <c r="G26" s="7">
        <f>IFERROR(IF(F25&lt;=0,"n.m.",G25/F25-1),"")</f>
        <v>0.032786885245901676</v>
      </c>
      <c r="H26" s="31">
        <f>IFERROR(IF(G25&lt;=0,"n.m.",H25/G25-1),"")</f>
        <v>0.036308660969475604</v>
      </c>
      <c r="I26" s="1"/>
      <c r="J26" s="1"/>
      <c r="K26" s="1"/>
      <c r="L26" s="1"/>
    </row>
    <row r="27" ht="14.624267578125">
      <c r="A27" s="1"/>
      <c r="B27" s="19" t="s">
        <v>138</v>
      </c>
      <c r="C27" s="7"/>
      <c r="D27" s="7"/>
      <c r="E27" s="7"/>
      <c r="F27" s="15">
        <f>IFERROR(IF(Inputs!C107&lt;=0,"n.m.",F25/Inputs!C107-1),"")</f>
        <v>-0.1215437788018433</v>
      </c>
      <c r="G27" s="15">
        <f>IFERROR(IF(Inputs!D107&lt;=0,"n.m.",G25/Inputs!D107-1),"")</f>
        <v>-0.14587852494577003</v>
      </c>
      <c r="H27" s="31">
        <f>IFERROR(IF(C25&lt;=0,"n.m.",H25/C25-1),"")</f>
        <v>-0.11052526374554539</v>
      </c>
      <c r="I27" s="1"/>
      <c r="J27" s="1"/>
      <c r="K27" s="1"/>
      <c r="L27" s="1"/>
    </row>
    <row r="28" ht="14.624267578125">
      <c r="A28" s="1"/>
      <c r="B28" s="33" t="s">
        <v>269</v>
      </c>
      <c r="C28" s="22">
        <v>523</v>
      </c>
      <c r="D28" s="22">
        <v>481</v>
      </c>
      <c r="E28" s="2">
        <f>Inputs!C108+Inputs!D108+C28+D28</f>
        <v>1844</v>
      </c>
      <c r="F28" s="22">
        <v>445</v>
      </c>
      <c r="G28" s="22">
        <v>485</v>
      </c>
      <c r="H28" s="41">
        <f>'Revenue summary'!H294</f>
        <v>495.23296703296705</v>
      </c>
      <c r="I28" s="1"/>
      <c r="J28" s="1"/>
      <c r="K28" s="1"/>
      <c r="L28" s="1"/>
    </row>
    <row r="29" ht="14.624267578125">
      <c r="A29" s="1"/>
      <c r="B29" s="19" t="s">
        <v>151</v>
      </c>
      <c r="C29" s="15">
        <f>IFERROR(IF(Inputs!D108&lt;=0,"n.m.",C28/Inputs!D108-1),"")</f>
        <v>0.21345707656612523</v>
      </c>
      <c r="D29" s="7">
        <f>IFERROR(IF(C28&lt;=0,"n.m.",D28/C28-1),"")</f>
        <v>-0.08030592734225617</v>
      </c>
      <c r="E29" s="7"/>
      <c r="F29" s="7">
        <f>IFERROR(IF(D28&lt;=0,"n.m.",F28/D28-1),"")</f>
        <v>-0.07484407484407485</v>
      </c>
      <c r="G29" s="7">
        <f>IFERROR(IF(F28&lt;=0,"n.m.",G28/F28-1),"")</f>
        <v>0.0898876404494382</v>
      </c>
      <c r="H29" s="31">
        <f>IFERROR(IF(G28&lt;=0,"n.m.",H28/G28-1),"")</f>
        <v>0.021098901098901113</v>
      </c>
      <c r="I29" s="1"/>
      <c r="J29" s="1"/>
      <c r="K29" s="1"/>
      <c r="L29" s="1"/>
    </row>
    <row r="30" ht="14.624267578125">
      <c r="A30" s="1"/>
      <c r="B30" s="19" t="s">
        <v>138</v>
      </c>
      <c r="C30" s="7"/>
      <c r="D30" s="7"/>
      <c r="E30" s="7"/>
      <c r="F30" s="15">
        <f>IFERROR(IF(Inputs!C108&lt;=0,"n.m.",F28/Inputs!C108-1),"")</f>
        <v>0.08801955990220045</v>
      </c>
      <c r="G30" s="15">
        <f>IFERROR(IF(Inputs!D108&lt;=0,"n.m.",G28/Inputs!D108-1),"")</f>
        <v>0.12529002320185612</v>
      </c>
      <c r="H30" s="31">
        <f>IFERROR(IF(C28&lt;=0,"n.m.",H28/C28-1),"")</f>
        <v>-0.05309184123715671</v>
      </c>
      <c r="I30" s="1"/>
      <c r="J30" s="1"/>
      <c r="K30" s="1"/>
      <c r="L30" s="1"/>
    </row>
    <row r="31" ht="14.624267578125">
      <c r="A31" s="1"/>
      <c r="B31" s="33" t="s">
        <v>270</v>
      </c>
      <c r="C31" s="22">
        <v>299</v>
      </c>
      <c r="D31" s="22">
        <v>300</v>
      </c>
      <c r="E31" s="2">
        <f>Inputs!C109+Inputs!D109+C31+D31</f>
        <v>1227</v>
      </c>
      <c r="F31" s="22">
        <v>286</v>
      </c>
      <c r="G31" s="22">
        <v>286</v>
      </c>
      <c r="H31" s="41">
        <f>'Revenue summary'!H291</f>
        <v>284.00092119467433</v>
      </c>
      <c r="I31" s="1"/>
      <c r="J31" s="1"/>
      <c r="K31" s="1"/>
      <c r="L31" s="1"/>
    </row>
    <row r="32" ht="14.624267578125">
      <c r="A32" s="1"/>
      <c r="B32" s="19" t="s">
        <v>151</v>
      </c>
      <c r="C32" s="15">
        <f>IFERROR(IF(Inputs!D109&lt;=0,"n.m.",C31/Inputs!D109-1),"")</f>
        <v>0.023972602739726012</v>
      </c>
      <c r="D32" s="7">
        <f>IFERROR(IF(C31&lt;=0,"n.m.",D31/C31-1),"")</f>
        <v>0.0033444816053511683</v>
      </c>
      <c r="E32" s="7"/>
      <c r="F32" s="7">
        <f>IFERROR(IF(D31&lt;=0,"n.m.",F31/D31-1),"")</f>
        <v>-0.046666666666666634</v>
      </c>
      <c r="G32" s="7">
        <f>IFERROR(IF(F31&lt;=0,"n.m.",G31/F31-1),"")</f>
        <v>0</v>
      </c>
      <c r="H32" s="31">
        <f>IFERROR(IF(G31&lt;=0,"n.m.",H31/G31-1),"")</f>
        <v>-0.006989786032607248</v>
      </c>
      <c r="I32" s="1"/>
      <c r="J32" s="1"/>
      <c r="K32" s="1"/>
      <c r="L32" s="1"/>
    </row>
    <row r="33" ht="14.624267578125">
      <c r="A33" s="1"/>
      <c r="B33" s="19" t="s">
        <v>138</v>
      </c>
      <c r="C33" s="7"/>
      <c r="D33" s="7"/>
      <c r="E33" s="7"/>
      <c r="F33" s="15">
        <f>IFERROR(IF(Inputs!C109&lt;=0,"n.m.",F31/Inputs!C109-1),"")</f>
        <v>-0.14880952380952384</v>
      </c>
      <c r="G33" s="15">
        <f>IFERROR(IF(Inputs!D109&lt;=0,"n.m.",G31/Inputs!D109-1),"")</f>
        <v>-0.020547945205479423</v>
      </c>
      <c r="H33" s="31">
        <f>IFERROR(IF(C31&lt;=0,"n.m.",H31/C31-1),"")</f>
        <v>-0.05016414316162432</v>
      </c>
      <c r="I33" s="1"/>
      <c r="J33" s="1"/>
      <c r="K33" s="1"/>
      <c r="L33" s="1"/>
    </row>
    <row r="34" ht="14.624267578125">
      <c r="A34" s="1"/>
      <c r="B34" s="48" t="s">
        <v>176</v>
      </c>
      <c r="C34" s="50">
        <f>C25+C28+C31</f>
        <v>2657</v>
      </c>
      <c r="D34" s="50">
        <f>D25+D28+D31</f>
        <v>2414</v>
      </c>
      <c r="E34" s="50">
        <f>E25+E28+E31</f>
        <v>10119</v>
      </c>
      <c r="F34" s="50">
        <f>F25+F28+F31</f>
        <v>2256</v>
      </c>
      <c r="G34" s="50">
        <f>G25+G28+G31</f>
        <v>2346</v>
      </c>
      <c r="H34" s="61">
        <f>H25+H28+H31</f>
        <v>2411.4200292545656</v>
      </c>
      <c r="I34" s="1"/>
      <c r="J34" s="1"/>
      <c r="K34" s="1"/>
      <c r="L34" s="1"/>
    </row>
    <row r="35" ht="14.624267578125">
      <c r="A35" s="1"/>
      <c r="B35" s="19" t="s">
        <v>151</v>
      </c>
      <c r="C35" s="15">
        <f>IFERROR(IF((Inputs!D107+Inputs!D108+Inputs!D109)&lt;=0,"n.m.",C34/(Inputs!D107+Inputs!D108+Inputs!D109)-1),"")</f>
        <v>0.03506038176860149</v>
      </c>
      <c r="D35" s="7">
        <f>IFERROR(IF(C34&lt;=0,"n.m.",D34/C34-1),"")</f>
        <v>-0.09145652992096354</v>
      </c>
      <c r="E35" s="7"/>
      <c r="F35" s="7">
        <f>IFERROR(IF(D34&lt;=0,"n.m.",F34/D34-1),"")</f>
        <v>-0.06545153272576631</v>
      </c>
      <c r="G35" s="7">
        <f>IFERROR(IF(F34&lt;=0,"n.m.",G34/F34-1),"")</f>
        <v>0.039893617021276695</v>
      </c>
      <c r="H35" s="31">
        <f>IFERROR(IF(G34&lt;=0,"n.m.",H34/G34-1),"")</f>
        <v>0.027885775470829266</v>
      </c>
      <c r="I35" s="1"/>
      <c r="J35" s="1"/>
      <c r="K35" s="1"/>
      <c r="L35" s="1"/>
    </row>
    <row r="36" ht="14.624267578125">
      <c r="A36" s="1"/>
      <c r="B36" s="19" t="s">
        <v>138</v>
      </c>
      <c r="C36" s="7"/>
      <c r="D36" s="7"/>
      <c r="E36" s="7"/>
      <c r="F36" s="15">
        <f>IFERROR(IF((Inputs!C107+Inputs!C108+Inputs!C109)&lt;=0,"n.m.",F34/(Inputs!C107+Inputs!C108+Inputs!C109)-1),"")</f>
        <v>-0.09068923821039898</v>
      </c>
      <c r="G36" s="15">
        <f>IFERROR(IF((Inputs!D107+Inputs!D108+Inputs!D109)&lt;=0,"n.m.",G34/(Inputs!D107+Inputs!D108+Inputs!D109)-1),"")</f>
        <v>-0.08609271523178808</v>
      </c>
      <c r="H36" s="31">
        <f>IFERROR(IF(C34&lt;=0,"n.m.",H34/C34-1),"")</f>
        <v>-0.09242753885789778</v>
      </c>
      <c r="I36" s="1"/>
      <c r="J36" s="1"/>
      <c r="K36" s="1"/>
      <c r="L36" s="1"/>
    </row>
    <row r="37" ht="14.624267578125">
      <c r="A37" s="1"/>
      <c r="B37" s="48" t="s">
        <v>271</v>
      </c>
      <c r="C37" s="50">
        <f>C20-C34</f>
        <v>3629</v>
      </c>
      <c r="D37" s="50">
        <f>D20-D34</f>
        <v>3700</v>
      </c>
      <c r="E37" s="50">
        <f>E20-E34</f>
        <v>14423</v>
      </c>
      <c r="F37" s="50">
        <f>F20-F34</f>
        <v>3599</v>
      </c>
      <c r="G37" s="50">
        <f>G20-G34</f>
        <v>3621</v>
      </c>
      <c r="H37" s="61">
        <f>H20-H34</f>
        <v>3676.918185972201</v>
      </c>
      <c r="I37" s="1"/>
      <c r="J37" s="1"/>
      <c r="K37" s="1"/>
      <c r="L37" s="1"/>
    </row>
    <row r="38" ht="14.624267578125">
      <c r="A38" s="1"/>
      <c r="B38" s="19" t="s">
        <v>89</v>
      </c>
      <c r="C38" s="7"/>
      <c r="D38" s="7"/>
      <c r="E38" s="7"/>
      <c r="F38" s="15">
        <f>IFERROR(IF((Inputs!C104+Inputs!C105+Inputs!C106-Inputs!C107-Inputs!C108-Inputs!C109)&lt;=0,"n.m.",F37/(Inputs!C104+Inputs!C105+Inputs!C106-Inputs!C107-Inputs!C108-Inputs!C109)-1),"")</f>
        <v>0.026233247790133918</v>
      </c>
      <c r="G38" s="15">
        <f>IFERROR(IF((Inputs!D104+Inputs!D105+Inputs!D106-Inputs!D107-Inputs!D108-Inputs!D109)&lt;=0,"n.m.",G37/(Inputs!D104+Inputs!D105+Inputs!D106-Inputs!D107-Inputs!D108-Inputs!D109)-1),"")</f>
        <v>0.009478672985782088</v>
      </c>
      <c r="H38" s="31">
        <f>IFERROR(IF(C37&lt;=0,"n.m.",H37/C37-1),"")</f>
        <v>0.013204239727804046</v>
      </c>
      <c r="I38" s="1"/>
      <c r="J38" s="1"/>
      <c r="K38" s="1"/>
      <c r="L38" s="1"/>
    </row>
    <row r="39" ht="14.624267578125">
      <c r="A39" s="1"/>
      <c r="B39" s="19" t="s">
        <v>91</v>
      </c>
      <c r="C39" s="91">
        <f>IFERROR(IF((Inputs!D104+Inputs!D105+Inputs!D106-Inputs!D107-Inputs!D108-Inputs!D109)&lt;=0,"n.m.",C37/(Inputs!D104+Inputs!D105+Inputs!D106-Inputs!D107-Inputs!D108-Inputs!D109)-1),"")</f>
        <v>0.011708948982436684</v>
      </c>
      <c r="D39" s="7">
        <f>IFERROR(IF(C37&lt;=0,"n.m.",D37/C37-1),"")</f>
        <v>0.019564618352163166</v>
      </c>
      <c r="E39" s="7"/>
      <c r="F39" s="7">
        <f>IFERROR(IF(D37&lt;=0,"n.m.",F37/D37-1),"")</f>
        <v>-0.02729729729729735</v>
      </c>
      <c r="G39" s="7">
        <f>IFERROR(IF(F37&lt;=0,"n.m.",G37/F37-1),"")</f>
        <v>0.006112809113642648</v>
      </c>
      <c r="H39" s="31">
        <f>IFERROR(IF(G37&lt;=0,"n.m.",H37/G37-1),"")</f>
        <v>0.015442746747363012</v>
      </c>
      <c r="I39" s="1"/>
      <c r="J39" s="1"/>
      <c r="K39" s="1"/>
      <c r="L39" s="1"/>
    </row>
    <row r="40" ht="14.624267578125">
      <c r="A40" s="1"/>
      <c r="B40" s="19" t="s">
        <v>272</v>
      </c>
      <c r="C40" s="71">
        <f>C37-'Revenue summary'!C316</f>
        <v>0</v>
      </c>
      <c r="D40" s="71">
        <f>D37-'Revenue summary'!D316</f>
        <v>0</v>
      </c>
      <c r="E40" s="71">
        <f>E37-'Revenue summary'!E316</f>
        <v>0</v>
      </c>
      <c r="F40" s="71">
        <f>F37-'Revenue summary'!F316</f>
        <v>0</v>
      </c>
      <c r="G40" s="71">
        <f>G37-'Revenue summary'!G316</f>
        <v>0</v>
      </c>
      <c r="H40" s="81">
        <f>H37-'Revenue summary'!H316</f>
        <v>0</v>
      </c>
      <c r="I40" s="1" t="s">
        <v>273</v>
      </c>
      <c r="J40" s="1"/>
      <c r="K40" s="1"/>
      <c r="L40" s="1"/>
    </row>
    <row r="41">
      <c r="A41" s="1"/>
      <c r="B41" s="33"/>
      <c r="C41" s="18"/>
      <c r="D41" s="18"/>
      <c r="E41" s="18"/>
      <c r="F41" s="18"/>
      <c r="G41" s="18"/>
      <c r="H41" s="45"/>
      <c r="I41" s="1"/>
      <c r="J41" s="1"/>
      <c r="K41" s="1"/>
      <c r="L41" s="1"/>
    </row>
    <row r="42" ht="14.624267578125">
      <c r="A42" s="1"/>
      <c r="B42" s="57" t="s">
        <v>274</v>
      </c>
      <c r="C42" s="18"/>
      <c r="D42" s="18"/>
      <c r="E42" s="18"/>
      <c r="F42" s="18"/>
      <c r="G42" s="18"/>
      <c r="H42" s="45"/>
      <c r="I42" s="1"/>
      <c r="J42" s="1"/>
      <c r="K42" s="1"/>
      <c r="L42" s="1"/>
    </row>
    <row r="43" ht="14.624267578125">
      <c r="A43" s="1"/>
      <c r="B43" s="33" t="s">
        <v>275</v>
      </c>
      <c r="C43" s="22">
        <v>385</v>
      </c>
      <c r="D43" s="22">
        <v>470</v>
      </c>
      <c r="E43" s="2">
        <f>Inputs!C131+Inputs!D131+C43+D43</f>
        <v>1705</v>
      </c>
      <c r="F43" s="22">
        <v>491</v>
      </c>
      <c r="G43" s="22">
        <v>414</v>
      </c>
      <c r="H43" s="41">
        <f>H44*'Revenue summary'!H118*H$8/365</f>
        <v>416.3928317808219</v>
      </c>
      <c r="I43" s="1" t="s">
        <v>276</v>
      </c>
      <c r="J43" s="1"/>
      <c r="K43" s="1"/>
      <c r="L43" s="1"/>
    </row>
    <row r="44" ht="14.624267578125">
      <c r="A44" s="1"/>
      <c r="B44" s="19" t="s">
        <v>277</v>
      </c>
      <c r="C44" s="77">
        <f>IFERROR(C43/'Revenue summary'!C118*365/C$8,"")</f>
        <v>0.004765925159594478</v>
      </c>
      <c r="D44" s="77">
        <f>IFERROR(D43/'Revenue summary'!D118*365/D$8,"")</f>
        <v>0.005741609819541755</v>
      </c>
      <c r="E44" s="77">
        <f>IFERROR(E43/'Revenue summary'!E118*365/E$8,"")</f>
        <v>0.00539341907973403</v>
      </c>
      <c r="F44" s="77">
        <f>IFERROR(F43/'Revenue summary'!F118*365/F$8,"")</f>
        <v>0.006089124822726844</v>
      </c>
      <c r="G44" s="77">
        <f>IFERROR(G43/'Revenue summary'!G118*365/G$8,"")</f>
        <v>0.005044778712456026</v>
      </c>
      <c r="H44" s="74">
        <v>0.005</v>
      </c>
      <c r="I44" s="1" t="s">
        <v>278</v>
      </c>
      <c r="J44" s="1"/>
      <c r="K44" s="1"/>
      <c r="L44" s="1"/>
    </row>
    <row r="45" ht="14.624267578125">
      <c r="A45" s="1"/>
      <c r="B45" s="33" t="s">
        <v>99</v>
      </c>
      <c r="C45" s="56">
        <f>IFERROR((C44-(Inputs!D131/(Inputs!D146+Inputs!D149+Inputs!D152+Inputs!D155+Inputs!D158+Inputs!D161+Inputs!D164+Inputs!D167)*365/Inputs!D138))*10000,"")</f>
        <v>-3.1515790908299977</v>
      </c>
      <c r="D45" s="26">
        <f>IFERROR((D44-C44)*10000,"")</f>
        <v>9.756846599472766</v>
      </c>
      <c r="E45" s="26"/>
      <c r="F45" s="26">
        <f>IFERROR((F44-D44)*10000,"")</f>
        <v>3.4751500318508897</v>
      </c>
      <c r="G45" s="26">
        <f>IFERROR((G44-F44)*10000,"")</f>
        <v>-10.443461102708175</v>
      </c>
      <c r="H45" s="60">
        <f>IFERROR((H44-G44)*10000,"")</f>
        <v>-0.44778712456026126</v>
      </c>
      <c r="I45" s="1"/>
      <c r="J45" s="1"/>
      <c r="K45" s="1"/>
      <c r="L45" s="1"/>
    </row>
    <row r="46" ht="14.624267578125">
      <c r="A46" s="1"/>
      <c r="B46" s="33" t="s">
        <v>132</v>
      </c>
      <c r="C46" s="26"/>
      <c r="D46" s="26"/>
      <c r="E46" s="26"/>
      <c r="F46" s="56">
        <f>IFERROR((F44-(Inputs!C131/(Inputs!C146+Inputs!C149+Inputs!C152+Inputs!C155+Inputs!C158+Inputs!C161+Inputs!C164+Inputs!C167)*365/Inputs!C138))*10000,"")</f>
        <v>0.7981585155491817</v>
      </c>
      <c r="G46" s="56">
        <f>IFERROR((G44-(Inputs!D131/(Inputs!D146+Inputs!D149+Inputs!D152+Inputs!D155+Inputs!D158+Inputs!D161+Inputs!D164+Inputs!D167)*365/Inputs!D138))*10000,"")</f>
        <v>-0.36304356221451667</v>
      </c>
      <c r="H46" s="60">
        <f>IFERROR((H44-C44)*10000,"")</f>
        <v>2.34074840405522</v>
      </c>
      <c r="I46" s="1"/>
      <c r="J46" s="1"/>
      <c r="K46" s="1"/>
      <c r="L46" s="1"/>
    </row>
    <row r="47" ht="14.624267578125">
      <c r="A47" s="1"/>
      <c r="B47" s="33" t="s">
        <v>279</v>
      </c>
      <c r="C47" s="11">
        <f>C50-C43</f>
        <v>51</v>
      </c>
      <c r="D47" s="11">
        <f>D50-D43</f>
        <v>42</v>
      </c>
      <c r="E47" s="11">
        <f>E50-E43</f>
        <v>189</v>
      </c>
      <c r="F47" s="11">
        <f>F50-F43</f>
        <v>-12</v>
      </c>
      <c r="G47" s="11">
        <f>G50-G43</f>
        <v>-19</v>
      </c>
      <c r="H47" s="47">
        <v>10</v>
      </c>
      <c r="I47" s="1"/>
      <c r="J47" s="1"/>
      <c r="K47" s="1"/>
      <c r="L47" s="1"/>
    </row>
    <row r="48" ht="14.624267578125">
      <c r="A48" s="1"/>
      <c r="B48" s="33" t="s">
        <v>139</v>
      </c>
      <c r="C48" s="11"/>
      <c r="D48" s="11">
        <f>D47-C47</f>
        <v>-9</v>
      </c>
      <c r="E48" s="11"/>
      <c r="F48" s="11">
        <f>F47-D47</f>
        <v>-54</v>
      </c>
      <c r="G48" s="11">
        <f>G47-F47</f>
        <v>-7</v>
      </c>
      <c r="H48" s="29">
        <f>H47-G47</f>
        <v>29</v>
      </c>
      <c r="I48" s="1"/>
      <c r="J48" s="1"/>
      <c r="K48" s="1"/>
      <c r="L48" s="1"/>
    </row>
    <row r="49" ht="14.624267578125">
      <c r="A49" s="1"/>
      <c r="B49" s="19" t="s">
        <v>138</v>
      </c>
      <c r="C49" s="7"/>
      <c r="D49" s="7"/>
      <c r="E49" s="7"/>
      <c r="F49" s="15" t="str">
        <f>IFERROR(IF(OR((Inputs!C111-Inputs!C131)&lt;=0,F47&lt;0),"n.m.",F47/(Inputs!C111-Inputs!C131)-1),"")</f>
        <v>n.m.</v>
      </c>
      <c r="G49" s="15" t="str">
        <f>IFERROR(IF(OR((Inputs!D111-Inputs!D131)&lt;=0,G47&lt;0),"n.m.",G47/(Inputs!D111-Inputs!D131)-1),"")</f>
        <v>n.m.</v>
      </c>
      <c r="H49" s="31">
        <f>IFERROR(IF(OR(C47&lt;=0,H47&lt;0),"n.m.",H47/C47-1),"")</f>
        <v>-0.803921568627451</v>
      </c>
      <c r="I49" s="1"/>
      <c r="J49" s="1"/>
      <c r="K49" s="1"/>
      <c r="L49" s="1"/>
    </row>
    <row r="50" ht="14.624267578125">
      <c r="A50" s="1"/>
      <c r="B50" s="48" t="s">
        <v>280</v>
      </c>
      <c r="C50" s="36">
        <v>436</v>
      </c>
      <c r="D50" s="36">
        <v>512</v>
      </c>
      <c r="E50" s="39">
        <f>Inputs!C111+Inputs!D111+C50+D50</f>
        <v>1894</v>
      </c>
      <c r="F50" s="36">
        <v>479</v>
      </c>
      <c r="G50" s="36">
        <v>395</v>
      </c>
      <c r="H50" s="61">
        <f>H43+H47</f>
        <v>426.3928317808219</v>
      </c>
      <c r="I50" s="1"/>
      <c r="J50" s="1"/>
      <c r="K50" s="1"/>
      <c r="L50" s="1"/>
    </row>
    <row r="51" ht="14.624267578125">
      <c r="A51" s="1"/>
      <c r="B51" s="19" t="s">
        <v>89</v>
      </c>
      <c r="C51" s="7"/>
      <c r="D51" s="7"/>
      <c r="E51" s="7"/>
      <c r="F51" s="15">
        <f>IFERROR(IF(Inputs!C111&lt;=0,"n.m.",F50/Inputs!C111-1),"")</f>
        <v>0.04585152838427953</v>
      </c>
      <c r="G51" s="15">
        <f>IFERROR(IF(Inputs!D111&lt;=0,"n.m.",G50/Inputs!D111-1),"")</f>
        <v>-0.19057377049180324</v>
      </c>
      <c r="H51" s="31">
        <f>IFERROR(IF(C50&lt;=0,"n.m.",H50/C50-1),"")</f>
        <v>-0.022034789493527773</v>
      </c>
      <c r="I51" s="1"/>
      <c r="J51" s="1"/>
      <c r="K51" s="1"/>
      <c r="L51" s="1"/>
    </row>
    <row r="52" ht="14.624267578125">
      <c r="A52" s="1"/>
      <c r="B52" s="19" t="s">
        <v>91</v>
      </c>
      <c r="C52" s="15">
        <f>IFERROR(IF(Inputs!D111&lt;=0,"n.m.",C50/Inputs!D111-1),"")</f>
        <v>-0.10655737704918034</v>
      </c>
      <c r="D52" s="7">
        <f>IFERROR(IF(C50&lt;=0,"n.m.",D50/C50-1),"")</f>
        <v>0.17431192660550465</v>
      </c>
      <c r="E52" s="7"/>
      <c r="F52" s="7">
        <f>IFERROR(IF(D50&lt;=0,"n.m.",F50/D50-1),"")</f>
        <v>-0.064453125</v>
      </c>
      <c r="G52" s="7">
        <f>IFERROR(IF(F50&lt;=0,"n.m.",G50/F50-1),"")</f>
        <v>-0.17536534446764096</v>
      </c>
      <c r="H52" s="31">
        <f>IFERROR(IF(G50&lt;=0,"n.m.",H50/G50-1),"")</f>
        <v>0.0794755234957516</v>
      </c>
      <c r="I52" s="1"/>
      <c r="J52" s="1"/>
      <c r="K52" s="1"/>
      <c r="L52" s="1"/>
    </row>
    <row r="53" ht="14.624267578125">
      <c r="A53" s="1"/>
      <c r="B53" s="33" t="s">
        <v>281</v>
      </c>
      <c r="C53" s="11"/>
      <c r="D53" s="11"/>
      <c r="E53" s="11"/>
      <c r="F53" s="11"/>
      <c r="G53" s="11"/>
      <c r="H53" s="29">
        <f>-H197</f>
        <v>-535</v>
      </c>
      <c r="I53" s="1" t="s">
        <v>282</v>
      </c>
      <c r="J53" s="1"/>
      <c r="K53" s="1"/>
      <c r="L53" s="1"/>
    </row>
    <row r="54" ht="14.624267578125">
      <c r="A54" s="1"/>
      <c r="B54" s="48" t="s">
        <v>283</v>
      </c>
      <c r="C54" s="50">
        <f>C50+C53</f>
        <v>436</v>
      </c>
      <c r="D54" s="50">
        <f>D50+D53</f>
        <v>512</v>
      </c>
      <c r="E54" s="50">
        <f>E50+E53</f>
        <v>1894</v>
      </c>
      <c r="F54" s="50">
        <f>F50+F53</f>
        <v>479</v>
      </c>
      <c r="G54" s="50">
        <f>G50+G53</f>
        <v>395</v>
      </c>
      <c r="H54" s="61">
        <f>H50+H53</f>
        <v>-108.6071682191781</v>
      </c>
      <c r="I54" s="1"/>
      <c r="J54" s="1"/>
      <c r="K54" s="1"/>
      <c r="L54" s="1"/>
    </row>
    <row r="55" ht="14.624267578125">
      <c r="A55" s="1"/>
      <c r="B55" s="48" t="s">
        <v>284</v>
      </c>
      <c r="C55" s="50">
        <f>C37-C54</f>
        <v>3193</v>
      </c>
      <c r="D55" s="50">
        <f>D37-D54</f>
        <v>3188</v>
      </c>
      <c r="E55" s="50">
        <f>E37-E54</f>
        <v>12529</v>
      </c>
      <c r="F55" s="50">
        <f>F37-F54</f>
        <v>3120</v>
      </c>
      <c r="G55" s="50">
        <f>G37-G54</f>
        <v>3226</v>
      </c>
      <c r="H55" s="61">
        <f>H37-H54</f>
        <v>3785.5253541913794</v>
      </c>
      <c r="I55" s="1"/>
      <c r="J55" s="1"/>
      <c r="K55" s="1"/>
      <c r="L55" s="1"/>
    </row>
    <row r="56">
      <c r="A56" s="1"/>
      <c r="B56" s="33"/>
      <c r="C56" s="18"/>
      <c r="D56" s="18"/>
      <c r="E56" s="18"/>
      <c r="F56" s="18"/>
      <c r="G56" s="18"/>
      <c r="H56" s="45"/>
      <c r="I56" s="1"/>
      <c r="J56" s="1"/>
      <c r="K56" s="1"/>
      <c r="L56" s="1"/>
    </row>
    <row r="57" ht="14.624267578125">
      <c r="A57" s="1"/>
      <c r="B57" s="57" t="s">
        <v>285</v>
      </c>
      <c r="C57" s="18"/>
      <c r="D57" s="18"/>
      <c r="E57" s="18"/>
      <c r="F57" s="18"/>
      <c r="G57" s="18"/>
      <c r="H57" s="45"/>
      <c r="I57" s="1"/>
      <c r="J57" s="1"/>
      <c r="K57" s="1"/>
      <c r="L57" s="1"/>
    </row>
    <row r="58" ht="14.624267578125">
      <c r="A58" s="1"/>
      <c r="B58" s="33" t="s">
        <v>186</v>
      </c>
      <c r="C58" s="2">
        <f>'Revenue summary'!C323</f>
        <v>374</v>
      </c>
      <c r="D58" s="2">
        <f>'Revenue summary'!D323</f>
        <v>365</v>
      </c>
      <c r="E58" s="2">
        <f>'Revenue summary'!E323</f>
        <v>1431</v>
      </c>
      <c r="F58" s="2">
        <f>'Revenue summary'!F323</f>
        <v>370</v>
      </c>
      <c r="G58" s="2">
        <f>'Revenue summary'!G323</f>
        <v>375</v>
      </c>
      <c r="H58" s="41">
        <f>'Revenue summary'!H323</f>
        <v>380.62499999999994</v>
      </c>
      <c r="I58" s="1"/>
      <c r="J58" s="1"/>
      <c r="K58" s="1"/>
      <c r="L58" s="1"/>
    </row>
    <row r="59" ht="14.624267578125">
      <c r="A59" s="1"/>
      <c r="B59" s="33" t="s">
        <v>187</v>
      </c>
      <c r="C59" s="2">
        <f>'Revenue summary'!C331</f>
        <v>340</v>
      </c>
      <c r="D59" s="2">
        <f>'Revenue summary'!D331</f>
        <v>336</v>
      </c>
      <c r="E59" s="2">
        <f>'Revenue summary'!E331</f>
        <v>1360</v>
      </c>
      <c r="F59" s="2">
        <f>'Revenue summary'!F331</f>
        <v>338</v>
      </c>
      <c r="G59" s="2">
        <f>'Revenue summary'!G331</f>
        <v>353</v>
      </c>
      <c r="H59" s="41">
        <f>'Revenue summary'!H331</f>
        <v>360.06</v>
      </c>
      <c r="I59" s="1"/>
      <c r="J59" s="1"/>
      <c r="K59" s="1"/>
      <c r="L59" s="1"/>
    </row>
    <row r="60" ht="14.624267578125">
      <c r="A60" s="1"/>
      <c r="B60" s="33" t="s">
        <v>188</v>
      </c>
      <c r="C60" s="2">
        <f>'Revenue summary'!C339</f>
        <v>323</v>
      </c>
      <c r="D60" s="2">
        <f>'Revenue summary'!D339</f>
        <v>335</v>
      </c>
      <c r="E60" s="2">
        <f>'Revenue summary'!E339</f>
        <v>1136</v>
      </c>
      <c r="F60" s="2">
        <f>'Revenue summary'!F339</f>
        <v>372</v>
      </c>
      <c r="G60" s="2">
        <f>'Revenue summary'!G339</f>
        <v>352</v>
      </c>
      <c r="H60" s="41">
        <f>'Revenue summary'!H339</f>
        <v>349.888</v>
      </c>
      <c r="I60" s="1"/>
      <c r="J60" s="1"/>
      <c r="K60" s="1"/>
      <c r="L60" s="1"/>
    </row>
    <row r="61" ht="14.624267578125">
      <c r="A61" s="1"/>
      <c r="B61" s="33" t="s">
        <v>190</v>
      </c>
      <c r="C61" s="2">
        <f>'Revenue summary'!C347</f>
        <v>125</v>
      </c>
      <c r="D61" s="2">
        <f>'Revenue summary'!D347</f>
        <v>121</v>
      </c>
      <c r="E61" s="2">
        <f>'Revenue summary'!E347</f>
        <v>471</v>
      </c>
      <c r="F61" s="2">
        <f>'Revenue summary'!F347</f>
        <v>120</v>
      </c>
      <c r="G61" s="2">
        <f>'Revenue summary'!G347</f>
        <v>120</v>
      </c>
      <c r="H61" s="41">
        <f>'Revenue summary'!H347</f>
        <v>121.2</v>
      </c>
      <c r="I61" s="1"/>
      <c r="J61" s="1"/>
      <c r="K61" s="1"/>
      <c r="L61" s="1"/>
    </row>
    <row r="62" ht="14.624267578125">
      <c r="A62" s="1"/>
      <c r="B62" s="33" t="s">
        <v>191</v>
      </c>
      <c r="C62" s="2">
        <f>'Revenue summary'!C355</f>
        <v>118</v>
      </c>
      <c r="D62" s="2">
        <f>'Revenue summary'!D355</f>
        <v>119</v>
      </c>
      <c r="E62" s="2">
        <f>'Revenue summary'!E355</f>
        <v>452</v>
      </c>
      <c r="F62" s="2">
        <f>'Revenue summary'!F355</f>
        <v>133</v>
      </c>
      <c r="G62" s="2">
        <f>'Revenue summary'!G355</f>
        <v>116</v>
      </c>
      <c r="H62" s="41">
        <f>'Revenue summary'!H355</f>
        <v>112.52</v>
      </c>
      <c r="I62" s="1"/>
      <c r="J62" s="1"/>
      <c r="K62" s="1"/>
      <c r="L62" s="1"/>
    </row>
    <row r="63" ht="14.624267578125">
      <c r="A63" s="1"/>
      <c r="B63" s="33" t="s">
        <v>193</v>
      </c>
      <c r="C63" s="2">
        <f>'Revenue summary'!C363</f>
        <v>103</v>
      </c>
      <c r="D63" s="2">
        <f>'Revenue summary'!D363</f>
        <v>98</v>
      </c>
      <c r="E63" s="2">
        <f>'Revenue summary'!E363</f>
        <v>395</v>
      </c>
      <c r="F63" s="2">
        <f>'Revenue summary'!F363</f>
        <v>118</v>
      </c>
      <c r="G63" s="2">
        <f>'Revenue summary'!G363</f>
        <v>120</v>
      </c>
      <c r="H63" s="41">
        <f>'Revenue summary'!H363</f>
        <v>120</v>
      </c>
      <c r="I63" s="1"/>
      <c r="J63" s="1"/>
      <c r="K63" s="1"/>
      <c r="L63" s="1"/>
    </row>
    <row r="64" ht="14.624267578125">
      <c r="A64" s="1"/>
      <c r="B64" s="33" t="s">
        <v>194</v>
      </c>
      <c r="C64" s="2">
        <f>'Revenue summary'!C371</f>
        <v>0</v>
      </c>
      <c r="D64" s="2">
        <f>'Revenue summary'!D371</f>
        <v>0</v>
      </c>
      <c r="E64" s="2">
        <f>'Revenue summary'!E371</f>
        <v>-19</v>
      </c>
      <c r="F64" s="2">
        <f>'Revenue summary'!F371</f>
        <v>0</v>
      </c>
      <c r="G64" s="2">
        <f>'Revenue summary'!G371</f>
        <v>0</v>
      </c>
      <c r="H64" s="41">
        <f>'Revenue summary'!H371</f>
        <v>0</v>
      </c>
      <c r="I64" s="1" t="s">
        <v>286</v>
      </c>
      <c r="J64" s="1"/>
      <c r="K64" s="1"/>
      <c r="L64" s="1"/>
    </row>
    <row r="65" ht="14.624267578125">
      <c r="A65" s="1"/>
      <c r="B65" s="33" t="s">
        <v>196</v>
      </c>
      <c r="C65" s="2">
        <f>'Revenue summary'!C379</f>
        <v>175</v>
      </c>
      <c r="D65" s="2">
        <f>'Revenue summary'!D379</f>
        <v>172</v>
      </c>
      <c r="E65" s="2">
        <f>'Revenue summary'!E379</f>
        <v>670</v>
      </c>
      <c r="F65" s="2">
        <f>'Revenue summary'!F379</f>
        <v>102</v>
      </c>
      <c r="G65" s="2">
        <f>'Revenue summary'!G379</f>
        <v>208</v>
      </c>
      <c r="H65" s="41">
        <f>'Revenue summary'!H379</f>
        <v>195</v>
      </c>
      <c r="I65" s="1"/>
      <c r="J65" s="1"/>
      <c r="K65" s="1"/>
      <c r="L65" s="1"/>
    </row>
    <row r="66" ht="23.24853515625">
      <c r="A66" s="1"/>
      <c r="B66" s="33" t="s">
        <v>287</v>
      </c>
      <c r="C66" s="11"/>
      <c r="D66" s="11"/>
      <c r="E66" s="11"/>
      <c r="F66" s="11"/>
      <c r="G66" s="11"/>
      <c r="H66" s="29">
        <f>-H203</f>
        <v>0</v>
      </c>
      <c r="I66" s="1" t="s">
        <v>288</v>
      </c>
      <c r="J66" s="1"/>
      <c r="K66" s="1"/>
      <c r="L66" s="1"/>
    </row>
    <row r="67" ht="14.624267578125">
      <c r="A67" s="1"/>
      <c r="B67" s="48" t="s">
        <v>198</v>
      </c>
      <c r="C67" s="50">
        <f>C58+C59+C60+C61+C62+C63+C64+C65+C66</f>
        <v>1558</v>
      </c>
      <c r="D67" s="50">
        <f>D58+D59+D60+D61+D62+D63+D64+D65+D66</f>
        <v>1546</v>
      </c>
      <c r="E67" s="50">
        <f>E58+E59+E60+E61+E62+E63+E64+E65+E66</f>
        <v>5896</v>
      </c>
      <c r="F67" s="50">
        <f>F58+F59+F60+F61+F62+F63+F64+F65+F66</f>
        <v>1553</v>
      </c>
      <c r="G67" s="50">
        <f>G58+G59+G60+G61+G62+G63+G64+G65+G66</f>
        <v>1644</v>
      </c>
      <c r="H67" s="61">
        <f>H58+H59+H60+H61+H62+H63+H64+H65+H66</f>
        <v>1639.293</v>
      </c>
      <c r="I67" s="1"/>
      <c r="J67" s="1"/>
      <c r="K67" s="1"/>
      <c r="L67" s="1"/>
    </row>
    <row r="68" ht="14.624267578125">
      <c r="A68" s="1"/>
      <c r="B68" s="19" t="s">
        <v>89</v>
      </c>
      <c r="C68" s="7"/>
      <c r="D68" s="7"/>
      <c r="E68" s="7"/>
      <c r="F68" s="15">
        <f>IFERROR(IF((Inputs!C112+Inputs!C113+Inputs!C114+Inputs!C115+Inputs!C116+Inputs!C117+Inputs!C118+Inputs!C119)&lt;=0,"n.m.",F67/(Inputs!C112+Inputs!C113+Inputs!C114+Inputs!C115+Inputs!C116+Inputs!C117+Inputs!C118+Inputs!C119)-1),"")</f>
        <v>0.11566091954022983</v>
      </c>
      <c r="G68" s="15">
        <f>IFERROR(IF((Inputs!D112+Inputs!D113+Inputs!D114+Inputs!D115+Inputs!D116+Inputs!D117+Inputs!D118+Inputs!D119)&lt;=0,"n.m.",G67/(Inputs!D112+Inputs!D113+Inputs!D114+Inputs!D115+Inputs!D116+Inputs!D117+Inputs!D118+Inputs!D119)-1),"")</f>
        <v>0.17428571428571438</v>
      </c>
      <c r="H68" s="31">
        <f>IFERROR(IF(C67&lt;=0,"n.m.",H67/C67-1),"")</f>
        <v>0.0521777920410782</v>
      </c>
      <c r="I68" s="1"/>
      <c r="J68" s="1"/>
      <c r="K68" s="1"/>
      <c r="L68" s="1"/>
    </row>
    <row r="69" ht="14.624267578125">
      <c r="A69" s="1"/>
      <c r="B69" s="19" t="s">
        <v>91</v>
      </c>
      <c r="C69" s="91">
        <f>IFERROR(IF((Inputs!D112+Inputs!D113+Inputs!D114+Inputs!D115+Inputs!D116+Inputs!D117+Inputs!D118+Inputs!D119)&lt;=0,"n.m.",C67/(Inputs!D112+Inputs!D113+Inputs!D114+Inputs!D115+Inputs!D116+Inputs!D117+Inputs!D118+Inputs!D119)-1),"")</f>
        <v>0.11285714285714277</v>
      </c>
      <c r="D69" s="7">
        <f>IFERROR(IF(C67&lt;=0,"n.m.",D67/C67-1),"")</f>
        <v>-0.007702182284980763</v>
      </c>
      <c r="E69" s="7"/>
      <c r="F69" s="7">
        <f>IFERROR(IF(D67&lt;=0,"n.m.",F67/D67-1),"")</f>
        <v>0.004527813712807305</v>
      </c>
      <c r="G69" s="7">
        <f>IFERROR(IF(F67&lt;=0,"n.m.",G67/F67-1),"")</f>
        <v>0.05859626529298123</v>
      </c>
      <c r="H69" s="31">
        <f>IFERROR(IF(G67&lt;=0,"n.m.",H67/G67-1),"")</f>
        <v>-0.0028631386861314168</v>
      </c>
      <c r="I69" s="1"/>
      <c r="J69" s="1"/>
      <c r="K69" s="1"/>
      <c r="L69" s="1"/>
    </row>
    <row r="70" ht="14.624267578125">
      <c r="A70" s="1"/>
      <c r="B70" s="48" t="s">
        <v>289</v>
      </c>
      <c r="C70" s="50">
        <f>C37+C67</f>
        <v>5187</v>
      </c>
      <c r="D70" s="50">
        <f>D37+D67</f>
        <v>5246</v>
      </c>
      <c r="E70" s="50">
        <f>E37+E67</f>
        <v>20319</v>
      </c>
      <c r="F70" s="50">
        <f>F37+F67</f>
        <v>5152</v>
      </c>
      <c r="G70" s="50">
        <f>G37+G67</f>
        <v>5265</v>
      </c>
      <c r="H70" s="61">
        <f>H37+H67</f>
        <v>5316.211185972201</v>
      </c>
      <c r="I70" s="1"/>
      <c r="J70" s="1"/>
      <c r="K70" s="1"/>
      <c r="L70" s="1"/>
    </row>
    <row r="71" ht="14.624267578125">
      <c r="A71" s="1"/>
      <c r="B71" s="19" t="s">
        <v>89</v>
      </c>
      <c r="C71" s="7"/>
      <c r="D71" s="7"/>
      <c r="E71" s="7"/>
      <c r="F71" s="15">
        <f>IFERROR(IF(((Inputs!C104+Inputs!C105+Inputs!C106-Inputs!C107-Inputs!C108-Inputs!C109)+(Inputs!C112+Inputs!C113+Inputs!C114+Inputs!C115+Inputs!C116+Inputs!C117+Inputs!C118+Inputs!C119))&lt;=0,"n.m.",F70/((Inputs!C104+Inputs!C105+Inputs!C106-Inputs!C107-Inputs!C108-Inputs!C109)+(Inputs!C112+Inputs!C113+Inputs!C114+Inputs!C115+Inputs!C116+Inputs!C117+Inputs!C118+Inputs!C119))-1),"")</f>
        <v>0.05164319248826299</v>
      </c>
      <c r="G71" s="15">
        <f>IFERROR(IF(((Inputs!D104+Inputs!D105+Inputs!D106-Inputs!D107-Inputs!D108-Inputs!D109)+(Inputs!D112+Inputs!D113+Inputs!D114+Inputs!D115+Inputs!D116+Inputs!D117+Inputs!D118+Inputs!D119))&lt;=0,"n.m.",G70/((Inputs!D104+Inputs!D105+Inputs!D106-Inputs!D107-Inputs!D108-Inputs!D109)+(Inputs!D112+Inputs!D113+Inputs!D114+Inputs!D115+Inputs!D116+Inputs!D117+Inputs!D118+Inputs!D119))-1),"")</f>
        <v>0.055744936835772974</v>
      </c>
      <c r="H71" s="31">
        <f>IFERROR(IF(C70&lt;=0,"n.m.",H70/C70-1),"")</f>
        <v>0.024910581448274627</v>
      </c>
      <c r="I71" s="1"/>
      <c r="J71" s="1"/>
      <c r="K71" s="1"/>
      <c r="L71" s="1"/>
    </row>
    <row r="72" ht="14.624267578125">
      <c r="A72" s="1"/>
      <c r="B72" s="19" t="s">
        <v>91</v>
      </c>
      <c r="C72" s="15">
        <f>IFERROR(IF(((Inputs!D104+Inputs!D105+Inputs!D106-Inputs!D107-Inputs!D108-Inputs!D109)+(Inputs!D112+Inputs!D113+Inputs!D114+Inputs!D115+Inputs!D116+Inputs!D117+Inputs!D118+Inputs!D119))&lt;=0,"n.m.",C70/((Inputs!D104+Inputs!D105+Inputs!D106-Inputs!D107-Inputs!D108-Inputs!D109)+(Inputs!D112+Inputs!D113+Inputs!D114+Inputs!D115+Inputs!D116+Inputs!D117+Inputs!D118+Inputs!D119))-1),"")</f>
        <v>0.04010427110487269</v>
      </c>
      <c r="D72" s="7">
        <f>IFERROR(IF(C70&lt;=0,"n.m.",D70/C70-1),"")</f>
        <v>0.011374590321958644</v>
      </c>
      <c r="E72" s="7"/>
      <c r="F72" s="7">
        <f>IFERROR(IF(D70&lt;=0,"n.m.",F70/D70-1),"")</f>
        <v>-0.01791841402973693</v>
      </c>
      <c r="G72" s="7">
        <f>IFERROR(IF(F70&lt;=0,"n.m.",G70/F70-1),"")</f>
        <v>0.021933229813664523</v>
      </c>
      <c r="H72" s="31">
        <f>IFERROR(IF(G70&lt;=0,"n.m.",H70/G70-1),"")</f>
        <v>0.00972672098237437</v>
      </c>
      <c r="I72" s="1"/>
      <c r="J72" s="1"/>
      <c r="K72" s="1"/>
      <c r="L72" s="1"/>
    </row>
    <row r="73" ht="14.624267578125">
      <c r="A73" s="1"/>
      <c r="B73" s="48" t="s">
        <v>290</v>
      </c>
      <c r="C73" s="39">
        <f>C70+'Revenue summary'!C315</f>
        <v>5238</v>
      </c>
      <c r="D73" s="39">
        <f>D70+'Revenue summary'!D315</f>
        <v>5295</v>
      </c>
      <c r="E73" s="39">
        <f>E70+'Revenue summary'!E315</f>
        <v>20515</v>
      </c>
      <c r="F73" s="39">
        <f>F70+'Revenue summary'!F315</f>
        <v>5197</v>
      </c>
      <c r="G73" s="39">
        <f>G70+'Revenue summary'!G315</f>
        <v>5311</v>
      </c>
      <c r="H73" s="79">
        <f>H70+'Revenue summary'!H315</f>
        <v>5362.211185972201</v>
      </c>
      <c r="I73" s="1"/>
      <c r="J73" s="1"/>
      <c r="K73" s="1"/>
      <c r="L73" s="1"/>
    </row>
    <row r="74" ht="14.624267578125">
      <c r="A74" s="1"/>
      <c r="B74" s="19" t="s">
        <v>89</v>
      </c>
      <c r="C74" s="7"/>
      <c r="D74" s="7"/>
      <c r="E74" s="7"/>
      <c r="F74" s="15">
        <f>IFERROR(IF(Inputs!I95&lt;=0,"n.m.",F73/Inputs!I95-1),"")</f>
        <v>0.050535678188801336</v>
      </c>
      <c r="G74" s="15">
        <f>IFERROR(IF(Inputs!I96&lt;=0,"n.m.",G73/Inputs!I96-1),"")</f>
        <v>0.054816285998013914</v>
      </c>
      <c r="H74" s="31">
        <f>IFERROR(IF(C73&lt;=0,"n.m.",H73/C73-1),"")</f>
        <v>0.02371347574879734</v>
      </c>
      <c r="I74" s="1"/>
      <c r="J74" s="1"/>
      <c r="K74" s="1"/>
      <c r="L74" s="1"/>
    </row>
    <row r="75" ht="14.624267578125">
      <c r="A75" s="1"/>
      <c r="B75" s="19" t="s">
        <v>91</v>
      </c>
      <c r="C75" s="15">
        <f>IFERROR(IF(Inputs!I96&lt;=0,"n.m.",C73/Inputs!I96-1),"")</f>
        <v>0.04031777557100291</v>
      </c>
      <c r="D75" s="7">
        <f>IFERROR(IF(C73&lt;=0,"n.m.",D73/C73-1),"")</f>
        <v>0.010882016036655173</v>
      </c>
      <c r="E75" s="7"/>
      <c r="F75" s="7">
        <f>IFERROR(IF(D73&lt;=0,"n.m.",F73/D73-1),"")</f>
        <v>-0.018508026440037795</v>
      </c>
      <c r="G75" s="7">
        <f>IFERROR(IF(F73&lt;=0,"n.m.",G73/F73-1),"")</f>
        <v>0.021935732153165244</v>
      </c>
      <c r="H75" s="31">
        <f>IFERROR(IF(G73&lt;=0,"n.m.",H73/G73-1),"")</f>
        <v>0.009642475234833414</v>
      </c>
      <c r="I75" s="1"/>
      <c r="J75" s="1"/>
      <c r="K75" s="1"/>
      <c r="L75" s="1"/>
    </row>
    <row r="76" ht="23.24853515625">
      <c r="A76" s="1"/>
      <c r="B76" s="19" t="s">
        <v>291</v>
      </c>
      <c r="C76" s="71">
        <f>C73-'Revenue summary'!C51</f>
        <v>0</v>
      </c>
      <c r="D76" s="71">
        <f>D73-'Revenue summary'!D51</f>
        <v>0</v>
      </c>
      <c r="E76" s="71">
        <f>E73-'Revenue summary'!E51</f>
        <v>0</v>
      </c>
      <c r="F76" s="71">
        <f>F73-'Revenue summary'!F51</f>
        <v>0</v>
      </c>
      <c r="G76" s="71">
        <f>G73-'Revenue summary'!G51</f>
        <v>0</v>
      </c>
      <c r="H76" s="81">
        <f>H73-'Revenue summary'!H51</f>
        <v>0</v>
      </c>
      <c r="I76" s="1" t="s">
        <v>292</v>
      </c>
      <c r="J76" s="1"/>
      <c r="K76" s="1"/>
      <c r="L76" s="1"/>
    </row>
    <row r="77">
      <c r="A77" s="1"/>
      <c r="B77" s="33"/>
      <c r="C77" s="18"/>
      <c r="D77" s="18"/>
      <c r="E77" s="18"/>
      <c r="F77" s="18"/>
      <c r="G77" s="18"/>
      <c r="H77" s="45"/>
      <c r="I77" s="1"/>
      <c r="J77" s="1"/>
      <c r="K77" s="1"/>
      <c r="L77" s="1"/>
    </row>
    <row r="78" ht="14.624267578125">
      <c r="A78" s="1"/>
      <c r="B78" s="57" t="s">
        <v>230</v>
      </c>
      <c r="C78" s="18"/>
      <c r="D78" s="18"/>
      <c r="E78" s="18"/>
      <c r="F78" s="18"/>
      <c r="G78" s="18"/>
      <c r="H78" s="45"/>
      <c r="I78" s="1"/>
      <c r="J78" s="1"/>
      <c r="K78" s="1"/>
      <c r="L78" s="1"/>
    </row>
    <row r="79" ht="14.624267578125">
      <c r="A79" s="1"/>
      <c r="B79" s="33" t="s">
        <v>231</v>
      </c>
      <c r="C79" s="22">
        <v>1748</v>
      </c>
      <c r="D79" s="22">
        <v>1818</v>
      </c>
      <c r="E79" s="2">
        <f>Inputs!C120+Inputs!D120+C79+D79</f>
        <v>6848</v>
      </c>
      <c r="F79" s="22">
        <v>1727</v>
      </c>
      <c r="G79" s="22">
        <v>1792</v>
      </c>
      <c r="H79" s="29">
        <f>G79*(1+H80)</f>
        <v>1818.8799999999999</v>
      </c>
      <c r="I79" s="1" t="s">
        <v>293</v>
      </c>
      <c r="J79" s="1"/>
      <c r="K79" s="1"/>
      <c r="L79" s="1"/>
    </row>
    <row r="80" ht="14.624267578125">
      <c r="A80" s="1"/>
      <c r="B80" s="19" t="s">
        <v>151</v>
      </c>
      <c r="C80" s="15">
        <f>IFERROR(IF(Inputs!D120&lt;=0,"n.m.",C79/Inputs!D120-1),"")</f>
        <v>0.04171632896305133</v>
      </c>
      <c r="D80" s="7">
        <f>IFERROR(IF(C79&lt;=0,"n.m.",D79/C79-1),"")</f>
        <v>0.040045766590389054</v>
      </c>
      <c r="E80" s="7"/>
      <c r="F80" s="7">
        <f>IFERROR(IF(D79&lt;=0,"n.m.",F79/D79-1),"")</f>
        <v>-0.05005500550055009</v>
      </c>
      <c r="G80" s="7">
        <f>IFERROR(IF(F79&lt;=0,"n.m.",G79/F79-1),"")</f>
        <v>0.03763752171395485</v>
      </c>
      <c r="H80" s="65">
        <v>0.015</v>
      </c>
      <c r="I80" s="1"/>
      <c r="J80" s="1"/>
      <c r="K80" s="1"/>
      <c r="L80" s="1"/>
    </row>
    <row r="81" ht="14.624267578125">
      <c r="A81" s="1"/>
      <c r="B81" s="19" t="s">
        <v>138</v>
      </c>
      <c r="C81" s="7"/>
      <c r="D81" s="7"/>
      <c r="E81" s="7"/>
      <c r="F81" s="15">
        <f>IFERROR(IF(Inputs!C120&lt;=0,"n.m.",F79/Inputs!C120-1),"")</f>
        <v>0.07668329177057354</v>
      </c>
      <c r="G81" s="15">
        <f>IFERROR(IF(Inputs!D120&lt;=0,"n.m.",G79/Inputs!D120-1),"")</f>
        <v>0.0679380214541121</v>
      </c>
      <c r="H81" s="31">
        <f>IFERROR(IF(C79&lt;=0,"n.m.",H79/C79-1),"")</f>
        <v>0.04054919908466803</v>
      </c>
      <c r="I81" s="1"/>
      <c r="J81" s="1"/>
      <c r="K81" s="1"/>
      <c r="L81" s="1"/>
    </row>
    <row r="82" ht="14.624267578125">
      <c r="A82" s="1"/>
      <c r="B82" s="33" t="s">
        <v>139</v>
      </c>
      <c r="C82" s="2">
        <f>C79-Inputs!D120</f>
        <v>70</v>
      </c>
      <c r="D82" s="11">
        <f>D79-C79</f>
        <v>70</v>
      </c>
      <c r="E82" s="11"/>
      <c r="F82" s="11">
        <f>F79-D79</f>
        <v>-91</v>
      </c>
      <c r="G82" s="11">
        <f>G79-F79</f>
        <v>65</v>
      </c>
      <c r="H82" s="29">
        <f>H79-G79</f>
        <v>26.87999999999988</v>
      </c>
      <c r="I82" s="1"/>
      <c r="J82" s="1"/>
      <c r="K82" s="1"/>
      <c r="L82" s="1"/>
    </row>
    <row r="83" ht="14.624267578125">
      <c r="A83" s="1"/>
      <c r="B83" s="33" t="s">
        <v>294</v>
      </c>
      <c r="C83" s="22">
        <v>346</v>
      </c>
      <c r="D83" s="22">
        <v>337</v>
      </c>
      <c r="E83" s="2">
        <f>Inputs!C121+Inputs!D121+C83+D83</f>
        <v>1420</v>
      </c>
      <c r="F83" s="22">
        <v>313</v>
      </c>
      <c r="G83" s="22">
        <v>335</v>
      </c>
      <c r="H83" s="29">
        <f>G83*(1+H84)</f>
        <v>341.7</v>
      </c>
      <c r="I83" s="1"/>
      <c r="J83" s="1"/>
      <c r="K83" s="1"/>
      <c r="L83" s="1"/>
    </row>
    <row r="84" ht="14.624267578125">
      <c r="A84" s="1"/>
      <c r="B84" s="19" t="s">
        <v>151</v>
      </c>
      <c r="C84" s="15">
        <f>IFERROR(IF(Inputs!D121&lt;=0,"n.m.",C83/Inputs!D121-1),"")</f>
        <v>-0.07238605898123329</v>
      </c>
      <c r="D84" s="7">
        <f>IFERROR(IF(C83&lt;=0,"n.m.",D83/C83-1),"")</f>
        <v>-0.026011560693641633</v>
      </c>
      <c r="E84" s="7"/>
      <c r="F84" s="7">
        <f>IFERROR(IF(D83&lt;=0,"n.m.",F83/D83-1),"")</f>
        <v>-0.07121661721068251</v>
      </c>
      <c r="G84" s="7">
        <f>IFERROR(IF(F83&lt;=0,"n.m.",G83/F83-1),"")</f>
        <v>0.07028753993610226</v>
      </c>
      <c r="H84" s="65">
        <v>0.02</v>
      </c>
      <c r="I84" s="1"/>
      <c r="J84" s="1"/>
      <c r="K84" s="1"/>
      <c r="L84" s="1"/>
    </row>
    <row r="85" ht="14.624267578125">
      <c r="A85" s="1"/>
      <c r="B85" s="19" t="s">
        <v>138</v>
      </c>
      <c r="C85" s="7"/>
      <c r="D85" s="7"/>
      <c r="E85" s="7"/>
      <c r="F85" s="15">
        <f>IFERROR(IF(Inputs!C121&lt;=0,"n.m.",F83/Inputs!C121-1),"")</f>
        <v>-0.14010989010989006</v>
      </c>
      <c r="G85" s="15">
        <f>IFERROR(IF(Inputs!D121&lt;=0,"n.m.",G83/Inputs!D121-1),"")</f>
        <v>-0.10187667560321712</v>
      </c>
      <c r="H85" s="31">
        <f>IFERROR(IF(C83&lt;=0,"n.m.",H83/C83-1),"")</f>
        <v>-0.01242774566473992</v>
      </c>
      <c r="I85" s="1"/>
      <c r="J85" s="1"/>
      <c r="K85" s="1"/>
      <c r="L85" s="1"/>
    </row>
    <row r="86" ht="14.624267578125">
      <c r="A86" s="1"/>
      <c r="B86" s="33" t="s">
        <v>139</v>
      </c>
      <c r="C86" s="2">
        <f>C83-Inputs!D121</f>
        <v>-27</v>
      </c>
      <c r="D86" s="11">
        <f>D83-C83</f>
        <v>-9</v>
      </c>
      <c r="E86" s="11"/>
      <c r="F86" s="11">
        <f>F83-D83</f>
        <v>-24</v>
      </c>
      <c r="G86" s="11">
        <f>G83-F83</f>
        <v>22</v>
      </c>
      <c r="H86" s="29">
        <f>H83-G83</f>
        <v>6.699999999999989</v>
      </c>
      <c r="I86" s="1"/>
      <c r="J86" s="1"/>
      <c r="K86" s="1"/>
      <c r="L86" s="1"/>
    </row>
    <row r="87" ht="14.624267578125">
      <c r="A87" s="1"/>
      <c r="B87" s="33" t="s">
        <v>295</v>
      </c>
      <c r="C87" s="22">
        <v>233</v>
      </c>
      <c r="D87" s="22">
        <v>242</v>
      </c>
      <c r="E87" s="2">
        <f>Inputs!C122+Inputs!D122+C87+D87</f>
        <v>936</v>
      </c>
      <c r="F87" s="22">
        <v>230</v>
      </c>
      <c r="G87" s="22">
        <v>239</v>
      </c>
      <c r="H87" s="29">
        <f>G87*(1+H88)</f>
        <v>243.78</v>
      </c>
      <c r="I87" s="1"/>
      <c r="J87" s="1"/>
      <c r="K87" s="1"/>
      <c r="L87" s="1"/>
    </row>
    <row r="88" ht="14.624267578125">
      <c r="A88" s="1"/>
      <c r="B88" s="19" t="s">
        <v>151</v>
      </c>
      <c r="C88" s="15">
        <f>IFERROR(IF(Inputs!D122&lt;=0,"n.m.",C87/Inputs!D122-1),"")</f>
        <v>0.008658008658008587</v>
      </c>
      <c r="D88" s="7">
        <f>IFERROR(IF(C87&lt;=0,"n.m.",D87/C87-1),"")</f>
        <v>0.03862660944205998</v>
      </c>
      <c r="E88" s="7"/>
      <c r="F88" s="7">
        <f>IFERROR(IF(D87&lt;=0,"n.m.",F87/D87-1),"")</f>
        <v>-0.04958677685950408</v>
      </c>
      <c r="G88" s="7">
        <f>IFERROR(IF(F87&lt;=0,"n.m.",G87/F87-1),"")</f>
        <v>0.03913043478260869</v>
      </c>
      <c r="H88" s="65">
        <v>0.02</v>
      </c>
      <c r="I88" s="1"/>
      <c r="J88" s="1"/>
      <c r="K88" s="1"/>
      <c r="L88" s="1"/>
    </row>
    <row r="89" ht="14.624267578125">
      <c r="A89" s="1"/>
      <c r="B89" s="19" t="s">
        <v>138</v>
      </c>
      <c r="C89" s="7"/>
      <c r="D89" s="7"/>
      <c r="E89" s="7"/>
      <c r="F89" s="15">
        <f>IFERROR(IF(Inputs!C122&lt;=0,"n.m.",F87/Inputs!C122-1),"")</f>
        <v>0</v>
      </c>
      <c r="G89" s="15">
        <f>IFERROR(IF(Inputs!D122&lt;=0,"n.m.",G87/Inputs!D122-1),"")</f>
        <v>0.03463203463203457</v>
      </c>
      <c r="H89" s="31">
        <f>IFERROR(IF(C87&lt;=0,"n.m.",H87/C87-1),"")</f>
        <v>0.04626609442060081</v>
      </c>
      <c r="I89" s="1"/>
      <c r="J89" s="1"/>
      <c r="K89" s="1"/>
      <c r="L89" s="1"/>
    </row>
    <row r="90" ht="14.624267578125">
      <c r="A90" s="1"/>
      <c r="B90" s="33" t="s">
        <v>139</v>
      </c>
      <c r="C90" s="2">
        <f>C87-Inputs!D122</f>
        <v>2</v>
      </c>
      <c r="D90" s="11">
        <f>D87-C87</f>
        <v>9</v>
      </c>
      <c r="E90" s="11"/>
      <c r="F90" s="11">
        <f>F87-D87</f>
        <v>-12</v>
      </c>
      <c r="G90" s="11">
        <f>G87-F87</f>
        <v>9</v>
      </c>
      <c r="H90" s="29">
        <f>H87-G87</f>
        <v>4.780000000000001</v>
      </c>
      <c r="I90" s="1"/>
      <c r="J90" s="1"/>
      <c r="K90" s="1"/>
      <c r="L90" s="1"/>
    </row>
    <row r="91" ht="14.624267578125">
      <c r="A91" s="1"/>
      <c r="B91" s="33" t="s">
        <v>296</v>
      </c>
      <c r="C91" s="22">
        <v>185</v>
      </c>
      <c r="D91" s="22">
        <v>176</v>
      </c>
      <c r="E91" s="2">
        <f>Inputs!C123+Inputs!D123+C91+D91</f>
        <v>710</v>
      </c>
      <c r="F91" s="22">
        <v>179</v>
      </c>
      <c r="G91" s="22">
        <v>171</v>
      </c>
      <c r="H91" s="29">
        <f>G91*(1+H92)</f>
        <v>172.71</v>
      </c>
      <c r="I91" s="1"/>
      <c r="J91" s="1"/>
      <c r="K91" s="1"/>
      <c r="L91" s="1"/>
    </row>
    <row r="92" ht="14.624267578125">
      <c r="A92" s="1"/>
      <c r="B92" s="19" t="s">
        <v>151</v>
      </c>
      <c r="C92" s="15">
        <f>IFERROR(IF(Inputs!D123&lt;=0,"n.m.",C91/Inputs!D123-1),"")</f>
        <v>0.022099447513812098</v>
      </c>
      <c r="D92" s="7">
        <f>IFERROR(IF(C91&lt;=0,"n.m.",D91/C91-1),"")</f>
        <v>-0.048648648648648596</v>
      </c>
      <c r="E92" s="7"/>
      <c r="F92" s="7">
        <f>IFERROR(IF(D91&lt;=0,"n.m.",F91/D91-1),"")</f>
        <v>0.017045454545454586</v>
      </c>
      <c r="G92" s="7">
        <f>IFERROR(IF(F91&lt;=0,"n.m.",G91/F91-1),"")</f>
        <v>-0.04469273743016755</v>
      </c>
      <c r="H92" s="65">
        <v>0.01</v>
      </c>
      <c r="I92" s="1"/>
      <c r="J92" s="1"/>
      <c r="K92" s="1"/>
      <c r="L92" s="1"/>
    </row>
    <row r="93" ht="14.624267578125">
      <c r="A93" s="1"/>
      <c r="B93" s="19" t="s">
        <v>138</v>
      </c>
      <c r="C93" s="7"/>
      <c r="D93" s="7"/>
      <c r="E93" s="7"/>
      <c r="F93" s="15">
        <f>IFERROR(IF(Inputs!C123&lt;=0,"n.m.",F91/Inputs!C123-1),"")</f>
        <v>0.06547619047619047</v>
      </c>
      <c r="G93" s="15">
        <f>IFERROR(IF(Inputs!D123&lt;=0,"n.m.",G91/Inputs!D123-1),"")</f>
        <v>-0.05524861878453036</v>
      </c>
      <c r="H93" s="31">
        <f>IFERROR(IF(C91&lt;=0,"n.m.",H91/C91-1),"")</f>
        <v>-0.06643243243243235</v>
      </c>
      <c r="I93" s="1"/>
      <c r="J93" s="1"/>
      <c r="K93" s="1"/>
      <c r="L93" s="1"/>
    </row>
    <row r="94" ht="14.624267578125">
      <c r="A94" s="1"/>
      <c r="B94" s="33" t="s">
        <v>139</v>
      </c>
      <c r="C94" s="2">
        <f>C91-Inputs!D123</f>
        <v>4</v>
      </c>
      <c r="D94" s="11">
        <f>D91-C91</f>
        <v>-9</v>
      </c>
      <c r="E94" s="11"/>
      <c r="F94" s="11">
        <f>F91-D91</f>
        <v>3</v>
      </c>
      <c r="G94" s="11">
        <f>G91-F91</f>
        <v>-8</v>
      </c>
      <c r="H94" s="29">
        <f>H91-G91</f>
        <v>1.710000000000008</v>
      </c>
      <c r="I94" s="1"/>
      <c r="J94" s="1"/>
      <c r="K94" s="1"/>
      <c r="L94" s="1"/>
    </row>
    <row r="95" ht="14.624267578125">
      <c r="A95" s="1"/>
      <c r="B95" s="33" t="s">
        <v>297</v>
      </c>
      <c r="C95" s="22">
        <v>90</v>
      </c>
      <c r="D95" s="22">
        <v>90</v>
      </c>
      <c r="E95" s="2">
        <f>Inputs!C124+Inputs!D124+C95+D95</f>
        <v>351</v>
      </c>
      <c r="F95" s="22">
        <v>85</v>
      </c>
      <c r="G95" s="22">
        <v>79</v>
      </c>
      <c r="H95" s="29">
        <f>G95*(1+H96)</f>
        <v>80.58</v>
      </c>
      <c r="I95" s="1"/>
      <c r="J95" s="1"/>
      <c r="K95" s="1"/>
      <c r="L95" s="1"/>
    </row>
    <row r="96" ht="14.624267578125">
      <c r="A96" s="1"/>
      <c r="B96" s="19" t="s">
        <v>151</v>
      </c>
      <c r="C96" s="15">
        <f>IFERROR(IF(Inputs!D124&lt;=0,"n.m.",C95/Inputs!D124-1),"")</f>
        <v>0.011235955056179803</v>
      </c>
      <c r="D96" s="7">
        <f>IFERROR(IF(C95&lt;=0,"n.m.",D95/C95-1),"")</f>
        <v>0</v>
      </c>
      <c r="E96" s="7"/>
      <c r="F96" s="7">
        <f>IFERROR(IF(D95&lt;=0,"n.m.",F95/D95-1),"")</f>
        <v>-0.05555555555555558</v>
      </c>
      <c r="G96" s="7">
        <f>IFERROR(IF(F95&lt;=0,"n.m.",G95/F95-1),"")</f>
        <v>-0.07058823529411762</v>
      </c>
      <c r="H96" s="65">
        <v>0.02</v>
      </c>
      <c r="I96" s="1"/>
      <c r="J96" s="1"/>
      <c r="K96" s="1"/>
      <c r="L96" s="1"/>
    </row>
    <row r="97" ht="14.624267578125">
      <c r="A97" s="1"/>
      <c r="B97" s="19" t="s">
        <v>138</v>
      </c>
      <c r="C97" s="7"/>
      <c r="D97" s="7"/>
      <c r="E97" s="7"/>
      <c r="F97" s="15">
        <f>IFERROR(IF(Inputs!C124&lt;=0,"n.m.",F95/Inputs!C124-1),"")</f>
        <v>0.03658536585365857</v>
      </c>
      <c r="G97" s="15">
        <f>IFERROR(IF(Inputs!D124&lt;=0,"n.m.",G95/Inputs!D124-1),"")</f>
        <v>-0.1123595505617978</v>
      </c>
      <c r="H97" s="31">
        <f>IFERROR(IF(C95&lt;=0,"n.m.",H95/C95-1),"")</f>
        <v>-0.10466666666666669</v>
      </c>
      <c r="I97" s="1"/>
      <c r="J97" s="1"/>
      <c r="K97" s="1"/>
      <c r="L97" s="1"/>
    </row>
    <row r="98" ht="14.624267578125">
      <c r="A98" s="1"/>
      <c r="B98" s="33" t="s">
        <v>139</v>
      </c>
      <c r="C98" s="2">
        <f>C95-Inputs!D124</f>
        <v>1</v>
      </c>
      <c r="D98" s="11">
        <f>D95-C95</f>
        <v>0</v>
      </c>
      <c r="E98" s="11"/>
      <c r="F98" s="11">
        <f>F95-D95</f>
        <v>-5</v>
      </c>
      <c r="G98" s="11">
        <f>G95-F95</f>
        <v>-6</v>
      </c>
      <c r="H98" s="29">
        <f>H95-G95</f>
        <v>1.5799999999999983</v>
      </c>
      <c r="I98" s="1"/>
      <c r="J98" s="1"/>
      <c r="K98" s="1"/>
      <c r="L98" s="1"/>
    </row>
    <row r="99" ht="14.624267578125">
      <c r="A99" s="1"/>
      <c r="B99" s="33" t="s">
        <v>298</v>
      </c>
      <c r="C99" s="22">
        <v>79</v>
      </c>
      <c r="D99" s="22">
        <v>63</v>
      </c>
      <c r="E99" s="2">
        <f>Inputs!C125+Inputs!D125+C99+D99</f>
        <v>299</v>
      </c>
      <c r="F99" s="22">
        <v>79</v>
      </c>
      <c r="G99" s="22">
        <v>91</v>
      </c>
      <c r="H99" s="29">
        <f>G99*(1+H100)</f>
        <v>93.73</v>
      </c>
      <c r="I99" s="1"/>
      <c r="J99" s="1"/>
      <c r="K99" s="1"/>
      <c r="L99" s="1"/>
    </row>
    <row r="100" ht="14.624267578125">
      <c r="A100" s="1"/>
      <c r="B100" s="19" t="s">
        <v>151</v>
      </c>
      <c r="C100" s="15">
        <f>IFERROR(IF(Inputs!D125&lt;=0,"n.m.",C99/Inputs!D125-1),"")</f>
        <v>-0.03658536585365857</v>
      </c>
      <c r="D100" s="7">
        <f>IFERROR(IF(C99&lt;=0,"n.m.",D99/C99-1),"")</f>
        <v>-0.20253164556962022</v>
      </c>
      <c r="E100" s="7"/>
      <c r="F100" s="7">
        <f>IFERROR(IF(D99&lt;=0,"n.m.",F99/D99-1),"")</f>
        <v>0.25396825396825395</v>
      </c>
      <c r="G100" s="7">
        <f>IFERROR(IF(F99&lt;=0,"n.m.",G99/F99-1),"")</f>
        <v>0.1518987341772151</v>
      </c>
      <c r="H100" s="65">
        <v>0.03</v>
      </c>
      <c r="I100" s="1"/>
      <c r="J100" s="1"/>
      <c r="K100" s="1"/>
      <c r="L100" s="1"/>
    </row>
    <row r="101" ht="14.624267578125">
      <c r="A101" s="1"/>
      <c r="B101" s="19" t="s">
        <v>138</v>
      </c>
      <c r="C101" s="7"/>
      <c r="D101" s="7"/>
      <c r="E101" s="7"/>
      <c r="F101" s="15">
        <f>IFERROR(IF(Inputs!C125&lt;=0,"n.m.",F99/Inputs!C125-1),"")</f>
        <v>0.05333333333333323</v>
      </c>
      <c r="G101" s="15">
        <f>IFERROR(IF(Inputs!D125&lt;=0,"n.m.",G99/Inputs!D125-1),"")</f>
        <v>0.10975609756097571</v>
      </c>
      <c r="H101" s="31">
        <f>IFERROR(IF(C99&lt;=0,"n.m.",H99/C99-1),"")</f>
        <v>0.18645569620253166</v>
      </c>
      <c r="I101" s="1"/>
      <c r="J101" s="1"/>
      <c r="K101" s="1"/>
      <c r="L101" s="1"/>
    </row>
    <row r="102" ht="14.624267578125">
      <c r="A102" s="1"/>
      <c r="B102" s="33" t="s">
        <v>139</v>
      </c>
      <c r="C102" s="2">
        <f>C99-Inputs!D125</f>
        <v>-3</v>
      </c>
      <c r="D102" s="11">
        <f>D99-C99</f>
        <v>-16</v>
      </c>
      <c r="E102" s="11"/>
      <c r="F102" s="11">
        <f>F99-D99</f>
        <v>16</v>
      </c>
      <c r="G102" s="11">
        <f>G99-F99</f>
        <v>12</v>
      </c>
      <c r="H102" s="29">
        <f>H99-G99</f>
        <v>2.730000000000004</v>
      </c>
      <c r="I102" s="1"/>
      <c r="J102" s="1"/>
      <c r="K102" s="1"/>
      <c r="L102" s="1"/>
    </row>
    <row r="103" ht="14.624267578125">
      <c r="A103" s="1"/>
      <c r="B103" s="33" t="s">
        <v>232</v>
      </c>
      <c r="C103" s="22">
        <v>72</v>
      </c>
      <c r="D103" s="22">
        <v>70</v>
      </c>
      <c r="E103" s="2">
        <f>Inputs!C126+Inputs!D126+C103+D103</f>
        <v>290</v>
      </c>
      <c r="F103" s="22">
        <v>64</v>
      </c>
      <c r="G103" s="22">
        <v>63</v>
      </c>
      <c r="H103" s="47">
        <v>62</v>
      </c>
      <c r="I103" s="1"/>
      <c r="J103" s="1"/>
      <c r="K103" s="1"/>
      <c r="L103" s="1"/>
    </row>
    <row r="104" ht="14.624267578125">
      <c r="A104" s="1"/>
      <c r="B104" s="19" t="s">
        <v>151</v>
      </c>
      <c r="C104" s="15">
        <f>IFERROR(IF(Inputs!D126&lt;=0,"n.m.",C103/Inputs!D126-1),"")</f>
        <v>-0.013698630136986356</v>
      </c>
      <c r="D104" s="7">
        <f>IFERROR(IF(C103&lt;=0,"n.m.",D103/C103-1),"")</f>
        <v>-0.02777777777777779</v>
      </c>
      <c r="E104" s="7"/>
      <c r="F104" s="7">
        <f>IFERROR(IF(D103&lt;=0,"n.m.",F103/D103-1),"")</f>
        <v>-0.08571428571428574</v>
      </c>
      <c r="G104" s="7">
        <f>IFERROR(IF(F103&lt;=0,"n.m.",G103/F103-1),"")</f>
        <v>-0.015625</v>
      </c>
      <c r="H104" s="31">
        <f>IFERROR(IF(G103&lt;=0,"n.m.",H103/G103-1),"")</f>
        <v>-0.015873015873015928</v>
      </c>
      <c r="I104" s="1"/>
      <c r="J104" s="1"/>
      <c r="K104" s="1"/>
      <c r="L104" s="1"/>
    </row>
    <row r="105" ht="14.624267578125">
      <c r="A105" s="1"/>
      <c r="B105" s="19" t="s">
        <v>138</v>
      </c>
      <c r="C105" s="7"/>
      <c r="D105" s="7"/>
      <c r="E105" s="7"/>
      <c r="F105" s="15">
        <f>IFERROR(IF(Inputs!C126&lt;=0,"n.m.",F103/Inputs!C126-1),"")</f>
        <v>-0.1466666666666666</v>
      </c>
      <c r="G105" s="15">
        <f>IFERROR(IF(Inputs!D126&lt;=0,"n.m.",G103/Inputs!D126-1),"")</f>
        <v>-0.136986301369863</v>
      </c>
      <c r="H105" s="31">
        <f>IFERROR(IF(C103&lt;=0,"n.m.",H103/C103-1),"")</f>
        <v>-0.13888888888888884</v>
      </c>
      <c r="I105" s="1"/>
      <c r="J105" s="1"/>
      <c r="K105" s="1"/>
      <c r="L105" s="1"/>
    </row>
    <row r="106" ht="14.624267578125">
      <c r="A106" s="1"/>
      <c r="B106" s="33" t="s">
        <v>139</v>
      </c>
      <c r="C106" s="2">
        <f>C103-Inputs!D126</f>
        <v>-1</v>
      </c>
      <c r="D106" s="11">
        <f>D103-C103</f>
        <v>-2</v>
      </c>
      <c r="E106" s="11"/>
      <c r="F106" s="11">
        <f>F103-D103</f>
        <v>-6</v>
      </c>
      <c r="G106" s="11">
        <f>G103-F103</f>
        <v>-1</v>
      </c>
      <c r="H106" s="29">
        <f>H103-G103</f>
        <v>-1</v>
      </c>
      <c r="I106" s="1"/>
      <c r="J106" s="1"/>
      <c r="K106" s="1"/>
      <c r="L106" s="1"/>
    </row>
    <row r="107" ht="14.624267578125">
      <c r="A107" s="1"/>
      <c r="B107" s="33" t="s">
        <v>299</v>
      </c>
      <c r="C107" s="22">
        <v>32</v>
      </c>
      <c r="D107" s="22">
        <v>7</v>
      </c>
      <c r="E107" s="2">
        <f>Inputs!C127+Inputs!D127+C107+D107</f>
        <v>163</v>
      </c>
      <c r="F107" s="22">
        <v>68</v>
      </c>
      <c r="G107" s="22">
        <v>61</v>
      </c>
      <c r="H107" s="29">
        <f>G107*(1+H108)</f>
        <v>61</v>
      </c>
      <c r="I107" s="1"/>
      <c r="J107" s="1"/>
      <c r="K107" s="1"/>
      <c r="L107" s="1"/>
    </row>
    <row r="108" ht="14.624267578125">
      <c r="A108" s="1"/>
      <c r="B108" s="19" t="s">
        <v>151</v>
      </c>
      <c r="C108" s="15">
        <f>IFERROR(IF(Inputs!D127&lt;=0,"n.m.",C107/Inputs!D127-1),"")</f>
        <v>-0.4181818181818182</v>
      </c>
      <c r="D108" s="7">
        <f>IFERROR(IF(C107&lt;=0,"n.m.",D107/C107-1),"")</f>
        <v>-0.78125</v>
      </c>
      <c r="E108" s="7"/>
      <c r="F108" s="7">
        <f>IFERROR(IF(D107&lt;=0,"n.m.",F107/D107-1),"")</f>
        <v>8.714285714285714</v>
      </c>
      <c r="G108" s="7">
        <f>IFERROR(IF(F107&lt;=0,"n.m.",G107/F107-1),"")</f>
        <v>-0.1029411764705882</v>
      </c>
      <c r="H108" s="107">
        <v>0</v>
      </c>
      <c r="I108" s="1"/>
      <c r="J108" s="1"/>
      <c r="K108" s="1"/>
      <c r="L108" s="1"/>
    </row>
    <row r="109" ht="14.624267578125">
      <c r="A109" s="1"/>
      <c r="B109" s="19" t="s">
        <v>138</v>
      </c>
      <c r="C109" s="7"/>
      <c r="D109" s="7"/>
      <c r="E109" s="7"/>
      <c r="F109" s="15">
        <f>IFERROR(IF(Inputs!C127&lt;=0,"n.m.",F107/Inputs!C127-1),"")</f>
        <v>-0.01449275362318836</v>
      </c>
      <c r="G109" s="15">
        <f>IFERROR(IF(Inputs!D127&lt;=0,"n.m.",G107/Inputs!D127-1),"")</f>
        <v>0.10909090909090913</v>
      </c>
      <c r="H109" s="31">
        <f>IFERROR(IF(C107&lt;=0,"n.m.",H107/C107-1),"")</f>
        <v>0.90625</v>
      </c>
      <c r="I109" s="1"/>
      <c r="J109" s="1"/>
      <c r="K109" s="1"/>
      <c r="L109" s="1"/>
    </row>
    <row r="110" ht="14.624267578125">
      <c r="A110" s="1"/>
      <c r="B110" s="33" t="s">
        <v>139</v>
      </c>
      <c r="C110" s="2">
        <f>C107-Inputs!D127</f>
        <v>-23</v>
      </c>
      <c r="D110" s="11">
        <f>D107-C107</f>
        <v>-25</v>
      </c>
      <c r="E110" s="11"/>
      <c r="F110" s="11">
        <f>F107-D107</f>
        <v>61</v>
      </c>
      <c r="G110" s="11">
        <f>G107-F107</f>
        <v>-7</v>
      </c>
      <c r="H110" s="29">
        <f>H107-G107</f>
        <v>0</v>
      </c>
      <c r="I110" s="1"/>
      <c r="J110" s="1"/>
      <c r="K110" s="1"/>
      <c r="L110" s="1"/>
    </row>
    <row r="111" ht="14.624267578125">
      <c r="A111" s="1"/>
      <c r="B111" s="33" t="s">
        <v>300</v>
      </c>
      <c r="C111" s="22">
        <v>229</v>
      </c>
      <c r="D111" s="22">
        <v>367</v>
      </c>
      <c r="E111" s="2">
        <f>Inputs!C128+Inputs!D128+C111+D111</f>
        <v>1059</v>
      </c>
      <c r="F111" s="22">
        <v>238</v>
      </c>
      <c r="G111" s="22">
        <v>224</v>
      </c>
      <c r="H111" s="29">
        <f>G111*(1+H112)</f>
        <v>230.72</v>
      </c>
      <c r="I111" s="1"/>
      <c r="J111" s="1"/>
      <c r="K111" s="1"/>
      <c r="L111" s="1"/>
    </row>
    <row r="112" ht="14.624267578125">
      <c r="A112" s="1"/>
      <c r="B112" s="19" t="s">
        <v>151</v>
      </c>
      <c r="C112" s="15">
        <f>IFERROR(IF(Inputs!D128&lt;=0,"n.m.",C111/Inputs!D128-1),"")</f>
        <v>0.022321428571428603</v>
      </c>
      <c r="D112" s="7">
        <f>IFERROR(IF(C111&lt;=0,"n.m.",D111/C111-1),"")</f>
        <v>0.6026200873362446</v>
      </c>
      <c r="E112" s="7"/>
      <c r="F112" s="7">
        <f>IFERROR(IF(D111&lt;=0,"n.m.",F111/D111-1),"")</f>
        <v>-0.3514986376021798</v>
      </c>
      <c r="G112" s="7">
        <f>IFERROR(IF(F111&lt;=0,"n.m.",G111/F111-1),"")</f>
        <v>-0.05882352941176472</v>
      </c>
      <c r="H112" s="65">
        <v>0.03</v>
      </c>
      <c r="I112" s="1"/>
      <c r="J112" s="1"/>
      <c r="K112" s="1"/>
      <c r="L112" s="1"/>
    </row>
    <row r="113" ht="14.624267578125">
      <c r="A113" s="1"/>
      <c r="B113" s="19" t="s">
        <v>138</v>
      </c>
      <c r="C113" s="7"/>
      <c r="D113" s="7"/>
      <c r="E113" s="7"/>
      <c r="F113" s="15">
        <f>IFERROR(IF(Inputs!C128&lt;=0,"n.m.",F111/Inputs!C128-1),"")</f>
        <v>-0.004184100418409997</v>
      </c>
      <c r="G113" s="15">
        <f>IFERROR(IF(Inputs!D128&lt;=0,"n.m.",G111/Inputs!D128-1),"")</f>
        <v>0</v>
      </c>
      <c r="H113" s="31">
        <f>IFERROR(IF(C111&lt;=0,"n.m.",H111/C111-1),"")</f>
        <v>0.00751091703056761</v>
      </c>
      <c r="I113" s="1"/>
      <c r="J113" s="1"/>
      <c r="K113" s="1"/>
      <c r="L113" s="1"/>
    </row>
    <row r="114" ht="14.624267578125">
      <c r="A114" s="1"/>
      <c r="B114" s="33" t="s">
        <v>139</v>
      </c>
      <c r="C114" s="2">
        <f>C111-Inputs!D128</f>
        <v>5</v>
      </c>
      <c r="D114" s="11">
        <f>D111-C111</f>
        <v>138</v>
      </c>
      <c r="E114" s="11"/>
      <c r="F114" s="11">
        <f>F111-D111</f>
        <v>-129</v>
      </c>
      <c r="G114" s="11">
        <f>G111-F111</f>
        <v>-14</v>
      </c>
      <c r="H114" s="29">
        <f>H111-G111</f>
        <v>6.719999999999999</v>
      </c>
      <c r="I114" s="1"/>
      <c r="J114" s="1"/>
      <c r="K114" s="1"/>
      <c r="L114" s="1"/>
    </row>
    <row r="115" ht="14.624267578125">
      <c r="A115" s="1"/>
      <c r="B115" s="33" t="s">
        <v>301</v>
      </c>
      <c r="C115" s="11"/>
      <c r="D115" s="11"/>
      <c r="E115" s="11"/>
      <c r="F115" s="11"/>
      <c r="G115" s="11"/>
      <c r="H115" s="29">
        <f>H201</f>
        <v>84.8170731707317</v>
      </c>
      <c r="I115" s="1" t="s">
        <v>302</v>
      </c>
      <c r="J115" s="1"/>
      <c r="K115" s="1"/>
      <c r="L115" s="1"/>
    </row>
    <row r="116" ht="14.624267578125">
      <c r="A116" s="1"/>
      <c r="B116" s="48" t="s">
        <v>236</v>
      </c>
      <c r="C116" s="50">
        <f>C79+C83+C87+C91+C95+C99+C103+C107+C111+C115</f>
        <v>3014</v>
      </c>
      <c r="D116" s="50">
        <f>D79+D83+D87+D91+D95+D99+D103+D107+D111+D115</f>
        <v>3170</v>
      </c>
      <c r="E116" s="50">
        <f>E79+E83+E87+E91+E95+E99+E103+E107+E111+E115</f>
        <v>12076</v>
      </c>
      <c r="F116" s="50">
        <f>F79+F83+F87+F91+F95+F99+F103+F107+F111+F115</f>
        <v>2983</v>
      </c>
      <c r="G116" s="50">
        <f>G79+G83+G87+G91+G95+G99+G103+G107+G111+G115</f>
        <v>3055</v>
      </c>
      <c r="H116" s="61">
        <f>H79+H83+H87+H91+H95+H99+H103+H107+H111+H115</f>
        <v>3189.917073170732</v>
      </c>
      <c r="I116" s="1"/>
      <c r="J116" s="1"/>
      <c r="K116" s="1"/>
      <c r="L116" s="1"/>
    </row>
    <row r="117" ht="14.624267578125">
      <c r="A117" s="1"/>
      <c r="B117" s="19" t="s">
        <v>89</v>
      </c>
      <c r="C117" s="7"/>
      <c r="D117" s="7"/>
      <c r="E117" s="7"/>
      <c r="F117" s="15">
        <f>IFERROR(IF((Inputs!C120+Inputs!C121+Inputs!C122+Inputs!C123+Inputs!C124+Inputs!C125+Inputs!C126+Inputs!C127+Inputs!C128)&lt;=0,"n.m.",F116/(Inputs!C120+Inputs!C121+Inputs!C122+Inputs!C123+Inputs!C124+Inputs!C125+Inputs!C126+Inputs!C127+Inputs!C128)-1),"")</f>
        <v>0.02649690295939444</v>
      </c>
      <c r="G117" s="15">
        <f>IFERROR(IF((Inputs!D120+Inputs!D121+Inputs!D122+Inputs!D123+Inputs!D124+Inputs!D125+Inputs!D126+Inputs!D127+Inputs!D128)&lt;=0,"n.m.",G116/(Inputs!D120+Inputs!D121+Inputs!D122+Inputs!D123+Inputs!D124+Inputs!D125+Inputs!D126+Inputs!D127+Inputs!D128)-1),"")</f>
        <v>0.023107836570663176</v>
      </c>
      <c r="H117" s="31">
        <f>IFERROR(IF(C116&lt;=0,"n.m.",H116/C116-1),"")</f>
        <v>0.05836664670561764</v>
      </c>
      <c r="I117" s="1"/>
      <c r="J117" s="1"/>
      <c r="K117" s="1"/>
      <c r="L117" s="1"/>
    </row>
    <row r="118" ht="14.624267578125">
      <c r="A118" s="1"/>
      <c r="B118" s="19" t="s">
        <v>91</v>
      </c>
      <c r="C118" s="15">
        <f>IFERROR(IF((Inputs!D120+Inputs!D121+Inputs!D122+Inputs!D123+Inputs!D124+Inputs!D125+Inputs!D126+Inputs!D127+Inputs!D128)&lt;=0,"n.m.",C116/(Inputs!D120+Inputs!D121+Inputs!D122+Inputs!D123+Inputs!D124+Inputs!D125+Inputs!D126+Inputs!D127+Inputs!D128)-1),"")</f>
        <v>0.009377093101138545</v>
      </c>
      <c r="D118" s="7">
        <f>IFERROR(IF(C116&lt;=0,"n.m.",D116/C116-1),"")</f>
        <v>0.0517584605175847</v>
      </c>
      <c r="E118" s="7"/>
      <c r="F118" s="7">
        <f>IFERROR(IF(D116&lt;=0,"n.m.",F116/D116-1),"")</f>
        <v>-0.058990536277602534</v>
      </c>
      <c r="G118" s="7">
        <f>IFERROR(IF(F116&lt;=0,"n.m.",G116/F116-1),"")</f>
        <v>0.02413677505866585</v>
      </c>
      <c r="H118" s="31">
        <f>IFERROR(IF(G116&lt;=0,"n.m.",H116/G116-1),"")</f>
        <v>0.044162708075526025</v>
      </c>
      <c r="I118" s="1"/>
      <c r="J118" s="1"/>
      <c r="K118" s="1"/>
      <c r="L118" s="1"/>
    </row>
    <row r="119" ht="14.624267578125">
      <c r="A119" s="1"/>
      <c r="B119" s="33" t="s">
        <v>303</v>
      </c>
      <c r="C119" s="11">
        <f>C116+C161+C162</f>
        <v>2987</v>
      </c>
      <c r="D119" s="11">
        <f>D116+D161+D162</f>
        <v>2977</v>
      </c>
      <c r="E119" s="11">
        <f>E116+E161+E162</f>
        <v>11790</v>
      </c>
      <c r="F119" s="11">
        <f>F116+F161+F162</f>
        <v>2983</v>
      </c>
      <c r="G119" s="11">
        <f>G116+G161+G162</f>
        <v>3055</v>
      </c>
      <c r="H119" s="29">
        <f>H116-H115</f>
        <v>3105.1</v>
      </c>
      <c r="I119" s="1" t="s">
        <v>304</v>
      </c>
      <c r="J119" s="1"/>
      <c r="K119" s="1"/>
      <c r="L119" s="1"/>
    </row>
    <row r="120">
      <c r="A120" s="1"/>
      <c r="B120" s="33"/>
      <c r="C120" s="18"/>
      <c r="D120" s="18"/>
      <c r="E120" s="18"/>
      <c r="F120" s="18"/>
      <c r="G120" s="18"/>
      <c r="H120" s="45"/>
      <c r="I120" s="1"/>
      <c r="J120" s="1"/>
      <c r="K120" s="1"/>
      <c r="L120" s="1"/>
    </row>
    <row r="121" ht="14.624267578125">
      <c r="A121" s="1"/>
      <c r="B121" s="57" t="s">
        <v>305</v>
      </c>
      <c r="C121" s="18"/>
      <c r="D121" s="18"/>
      <c r="E121" s="18"/>
      <c r="F121" s="18"/>
      <c r="G121" s="18"/>
      <c r="H121" s="45"/>
      <c r="I121" s="1"/>
      <c r="J121" s="1"/>
      <c r="K121" s="1"/>
      <c r="L121" s="1"/>
    </row>
    <row r="122" ht="14.624267578125">
      <c r="A122" s="1"/>
      <c r="B122" s="48" t="s">
        <v>306</v>
      </c>
      <c r="C122" s="50">
        <f>C70-C116</f>
        <v>2173</v>
      </c>
      <c r="D122" s="50">
        <f>D70-D116</f>
        <v>2076</v>
      </c>
      <c r="E122" s="50">
        <f>E70-E116</f>
        <v>8243</v>
      </c>
      <c r="F122" s="50">
        <f>F70-F116</f>
        <v>2169</v>
      </c>
      <c r="G122" s="50">
        <f>G70-G116</f>
        <v>2210</v>
      </c>
      <c r="H122" s="61">
        <f>H70-H116</f>
        <v>2126.294112801469</v>
      </c>
      <c r="I122" s="1"/>
      <c r="J122" s="1"/>
      <c r="K122" s="1"/>
      <c r="L122" s="1"/>
    </row>
    <row r="123" ht="14.624267578125">
      <c r="A123" s="1"/>
      <c r="B123" s="19" t="s">
        <v>89</v>
      </c>
      <c r="C123" s="7"/>
      <c r="D123" s="7"/>
      <c r="E123" s="7"/>
      <c r="F123" s="15">
        <f>IFERROR(IF((((Inputs!C104+Inputs!C105+Inputs!C106-Inputs!C107-Inputs!C108-Inputs!C109)+(Inputs!C112+Inputs!C113+Inputs!C114+Inputs!C115+Inputs!C116+Inputs!C117+Inputs!C118+Inputs!C119))-(Inputs!C120+Inputs!C121+Inputs!C122+Inputs!C123+Inputs!C124+Inputs!C125+Inputs!C126+Inputs!C127+Inputs!C128))&lt;=0,"n.m.",F122/(((Inputs!C104+Inputs!C105+Inputs!C106-Inputs!C107-Inputs!C108-Inputs!C109)+(Inputs!C112+Inputs!C113+Inputs!C114+Inputs!C115+Inputs!C116+Inputs!C117+Inputs!C118+Inputs!C119))-(Inputs!C120+Inputs!C121+Inputs!C122+Inputs!C123+Inputs!C124+Inputs!C125+Inputs!C126+Inputs!C127+Inputs!C128))-1),"")</f>
        <v>0.08830908178625196</v>
      </c>
      <c r="G123" s="15">
        <f>IFERROR(IF((((Inputs!D104+Inputs!D105+Inputs!D106-Inputs!D107-Inputs!D108-Inputs!D109)+(Inputs!D112+Inputs!D113+Inputs!D114+Inputs!D115+Inputs!D116+Inputs!D117+Inputs!D118+Inputs!D119))-(Inputs!D120+Inputs!D121+Inputs!D122+Inputs!D123+Inputs!D124+Inputs!D125+Inputs!D126+Inputs!D127+Inputs!D128))&lt;=0,"n.m.",G122/(((Inputs!D104+Inputs!D105+Inputs!D106-Inputs!D107-Inputs!D108-Inputs!D109)+(Inputs!D112+Inputs!D113+Inputs!D114+Inputs!D115+Inputs!D116+Inputs!D117+Inputs!D118+Inputs!D119))-(Inputs!D120+Inputs!D121+Inputs!D122+Inputs!D123+Inputs!D124+Inputs!D125+Inputs!D126+Inputs!D127+Inputs!D128))-1),"")</f>
        <v>0.104447776111944</v>
      </c>
      <c r="H123" s="31">
        <f>IFERROR(IF(C122&lt;=0,"n.m.",H122/C122-1),"")</f>
        <v>-0.02149373548022593</v>
      </c>
      <c r="I123" s="1"/>
      <c r="J123" s="1"/>
      <c r="K123" s="1"/>
      <c r="L123" s="1"/>
    </row>
    <row r="124" ht="14.624267578125">
      <c r="A124" s="1"/>
      <c r="B124" s="19" t="s">
        <v>91</v>
      </c>
      <c r="C124" s="15">
        <f>IFERROR(IF((((Inputs!D104+Inputs!D105+Inputs!D106-Inputs!D107-Inputs!D108-Inputs!D109)+(Inputs!D112+Inputs!D113+Inputs!D114+Inputs!D115+Inputs!D116+Inputs!D117+Inputs!D118+Inputs!D119))-(Inputs!D120+Inputs!D121+Inputs!D122+Inputs!D123+Inputs!D124+Inputs!D125+Inputs!D126+Inputs!D127+Inputs!D128))&lt;=0,"n.m.",C122/(((Inputs!D104+Inputs!D105+Inputs!D106-Inputs!D107-Inputs!D108-Inputs!D109)+(Inputs!D112+Inputs!D113+Inputs!D114+Inputs!D115+Inputs!D116+Inputs!D117+Inputs!D118+Inputs!D119))-(Inputs!D120+Inputs!D121+Inputs!D122+Inputs!D123+Inputs!D124+Inputs!D125+Inputs!D126+Inputs!D127+Inputs!D128))-1),"")</f>
        <v>0.08595702148925533</v>
      </c>
      <c r="D124" s="7">
        <f>IFERROR(IF(C122&lt;=0,"n.m.",D122/C122-1),"")</f>
        <v>-0.044638748274275164</v>
      </c>
      <c r="E124" s="7"/>
      <c r="F124" s="7">
        <f>IFERROR(IF(D122&lt;=0,"n.m.",F122/D122-1),"")</f>
        <v>0.044797687861271696</v>
      </c>
      <c r="G124" s="7">
        <f>IFERROR(IF(F122&lt;=0,"n.m.",G122/F122-1),"")</f>
        <v>0.01890272014753336</v>
      </c>
      <c r="H124" s="31">
        <f>IFERROR(IF(G122&lt;=0,"n.m.",H122/G122-1),"")</f>
        <v>-0.037875967058158766</v>
      </c>
      <c r="I124" s="1"/>
      <c r="J124" s="1"/>
      <c r="K124" s="1"/>
      <c r="L124" s="1"/>
    </row>
    <row r="125" ht="14.624267578125">
      <c r="A125" s="1"/>
      <c r="B125" s="48" t="s">
        <v>242</v>
      </c>
      <c r="C125" s="50">
        <f>C122-C54</f>
        <v>1737</v>
      </c>
      <c r="D125" s="50">
        <f>D122-D54</f>
        <v>1564</v>
      </c>
      <c r="E125" s="50">
        <f>E122-E54</f>
        <v>6349</v>
      </c>
      <c r="F125" s="50">
        <f>F122-F54</f>
        <v>1690</v>
      </c>
      <c r="G125" s="50">
        <f>G122-G54</f>
        <v>1815</v>
      </c>
      <c r="H125" s="61">
        <f>H122-H54</f>
        <v>2234.9012810206473</v>
      </c>
      <c r="I125" s="1"/>
      <c r="J125" s="1"/>
      <c r="K125" s="1"/>
      <c r="L125" s="1"/>
    </row>
    <row r="126" ht="14.624267578125">
      <c r="A126" s="1"/>
      <c r="B126" s="19" t="s">
        <v>89</v>
      </c>
      <c r="C126" s="7"/>
      <c r="D126" s="7"/>
      <c r="E126" s="7"/>
      <c r="F126" s="15">
        <f>IFERROR(IF(((((Inputs!C104+Inputs!C105+Inputs!C106-Inputs!C107-Inputs!C108-Inputs!C109)+(Inputs!C112+Inputs!C113+Inputs!C114+Inputs!C115+Inputs!C116+Inputs!C117+Inputs!C118+Inputs!C119))-(Inputs!C120+Inputs!C121+Inputs!C122+Inputs!C123+Inputs!C124+Inputs!C125+Inputs!C126+Inputs!C127+Inputs!C128))-Inputs!C111)&lt;=0,"n.m.",F125/((((Inputs!C104+Inputs!C105+Inputs!C106-Inputs!C107-Inputs!C108-Inputs!C109)+(Inputs!C112+Inputs!C113+Inputs!C114+Inputs!C115+Inputs!C116+Inputs!C117+Inputs!C118+Inputs!C119))-(Inputs!C120+Inputs!C121+Inputs!C122+Inputs!C123+Inputs!C124+Inputs!C125+Inputs!C126+Inputs!C127+Inputs!C128))-Inputs!C111)-1),"")</f>
        <v>0.10097719869706845</v>
      </c>
      <c r="G126" s="15">
        <f>IFERROR(IF(((((Inputs!D104+Inputs!D105+Inputs!D106-Inputs!D107-Inputs!D108-Inputs!D109)+(Inputs!D112+Inputs!D113+Inputs!D114+Inputs!D115+Inputs!D116+Inputs!D117+Inputs!D118+Inputs!D119))-(Inputs!D120+Inputs!D121+Inputs!D122+Inputs!D123+Inputs!D124+Inputs!D125+Inputs!D126+Inputs!D127+Inputs!D128))-Inputs!D111)&lt;=0,"n.m.",G125/((((Inputs!D104+Inputs!D105+Inputs!D106-Inputs!D107-Inputs!D108-Inputs!D109)+(Inputs!D112+Inputs!D113+Inputs!D114+Inputs!D115+Inputs!D116+Inputs!D117+Inputs!D118+Inputs!D119))-(Inputs!D120+Inputs!D121+Inputs!D122+Inputs!D123+Inputs!D124+Inputs!D125+Inputs!D126+Inputs!D127+Inputs!D128))-Inputs!D111)-1),"")</f>
        <v>0.19960343688037008</v>
      </c>
      <c r="H126" s="31">
        <f>IFERROR(IF(C125&lt;=0,"n.m.",H125/C125-1),"")</f>
        <v>0.28664437594740777</v>
      </c>
      <c r="I126" s="1"/>
      <c r="J126" s="1"/>
      <c r="K126" s="1"/>
      <c r="L126" s="1"/>
    </row>
    <row r="127" ht="14.624267578125">
      <c r="A127" s="1"/>
      <c r="B127" s="19" t="s">
        <v>91</v>
      </c>
      <c r="C127" s="15">
        <f>IFERROR(IF(((((Inputs!D104+Inputs!D105+Inputs!D106-Inputs!D107-Inputs!D108-Inputs!D109)+(Inputs!D112+Inputs!D113+Inputs!D114+Inputs!D115+Inputs!D116+Inputs!D117+Inputs!D118+Inputs!D119))-(Inputs!D120+Inputs!D121+Inputs!D122+Inputs!D123+Inputs!D124+Inputs!D125+Inputs!D126+Inputs!D127+Inputs!D128))-Inputs!D111)&lt;=0,"n.m.",C125/((((Inputs!D104+Inputs!D105+Inputs!D106-Inputs!D107-Inputs!D108-Inputs!D109)+(Inputs!D112+Inputs!D113+Inputs!D114+Inputs!D115+Inputs!D116+Inputs!D117+Inputs!D118+Inputs!D119))-(Inputs!D120+Inputs!D121+Inputs!D122+Inputs!D123+Inputs!D124+Inputs!D125+Inputs!D126+Inputs!D127+Inputs!D128))-Inputs!D111)-1),"")</f>
        <v>0.14805023132848638</v>
      </c>
      <c r="D127" s="7">
        <f>IFERROR(IF(C125&lt;=0,"n.m.",D125/C125-1),"")</f>
        <v>-0.09959700633275759</v>
      </c>
      <c r="E127" s="7"/>
      <c r="F127" s="7">
        <f>IFERROR(IF(D125&lt;=0,"n.m.",F125/D125-1),"")</f>
        <v>0.08056265984654742</v>
      </c>
      <c r="G127" s="7">
        <f>IFERROR(IF(F125&lt;=0,"n.m.",G125/F125-1),"")</f>
        <v>0.07396449704142016</v>
      </c>
      <c r="H127" s="31">
        <f>IFERROR(IF(G125&lt;=0,"n.m.",H125/G125-1),"")</f>
        <v>0.23135056805545307</v>
      </c>
      <c r="I127" s="1"/>
      <c r="J127" s="1"/>
      <c r="K127" s="1"/>
      <c r="L127" s="1"/>
    </row>
    <row r="128" ht="14.624267578125">
      <c r="A128" s="1"/>
      <c r="B128" s="33" t="s">
        <v>307</v>
      </c>
      <c r="C128" s="22">
        <v>285</v>
      </c>
      <c r="D128" s="22">
        <v>210</v>
      </c>
      <c r="E128" s="2">
        <f>Inputs!C129+Inputs!D129+C128+D128</f>
        <v>1042</v>
      </c>
      <c r="F128" s="22">
        <v>209</v>
      </c>
      <c r="G128" s="22">
        <v>262</v>
      </c>
      <c r="H128" s="29">
        <f>(H125-H167)*H129+(H167-H169)</f>
        <v>372.8906799579751</v>
      </c>
      <c r="I128" s="1"/>
      <c r="J128" s="1"/>
      <c r="K128" s="1"/>
      <c r="L128" s="1"/>
    </row>
    <row r="129" ht="23.24853515625">
      <c r="A129" s="1"/>
      <c r="B129" s="19" t="s">
        <v>308</v>
      </c>
      <c r="C129" s="7">
        <f>IFERROR((C128+C168)/(C125-C167),"")</f>
        <v>0.1649659863945578</v>
      </c>
      <c r="D129" s="7">
        <f>IFERROR((D128+D168)/(D125-D167),"")</f>
        <v>0.14570290267501423</v>
      </c>
      <c r="E129" s="7">
        <f>IFERROR((E128+E168)/(E125-E167),"")</f>
        <v>0.16759356681196452</v>
      </c>
      <c r="F129" s="7">
        <f>IFERROR((F128+F168)/(F125-F167),"")</f>
        <v>0.12366863905325444</v>
      </c>
      <c r="G129" s="7">
        <f>IFERROR((G128+G168)/(G125-G167),"")</f>
        <v>0.1443526170798898</v>
      </c>
      <c r="H129" s="65">
        <v>0.15</v>
      </c>
      <c r="I129" s="1" t="s">
        <v>309</v>
      </c>
      <c r="J129" s="1"/>
      <c r="K129" s="1"/>
      <c r="L129" s="1"/>
    </row>
    <row r="130" ht="14.624267578125">
      <c r="A130" s="1"/>
      <c r="B130" s="33" t="s">
        <v>99</v>
      </c>
      <c r="C130" s="26"/>
      <c r="D130" s="26">
        <f>IFERROR((D129-C129)*10000,"")</f>
        <v>-192.6308371954358</v>
      </c>
      <c r="E130" s="26"/>
      <c r="F130" s="26">
        <f>IFERROR((F129-D129)*10000,"")</f>
        <v>-220.34263621759794</v>
      </c>
      <c r="G130" s="26">
        <f>IFERROR((G129-F129)*10000,"")</f>
        <v>206.83978026635367</v>
      </c>
      <c r="H130" s="60">
        <f>IFERROR((H129-G129)*10000,"")</f>
        <v>56.473829201101886</v>
      </c>
      <c r="I130" s="1"/>
      <c r="J130" s="1"/>
      <c r="K130" s="1"/>
      <c r="L130" s="1"/>
    </row>
    <row r="131" ht="14.624267578125">
      <c r="A131" s="1"/>
      <c r="B131" s="33" t="s">
        <v>132</v>
      </c>
      <c r="C131" s="26"/>
      <c r="D131" s="26"/>
      <c r="E131" s="26"/>
      <c r="F131" s="56">
        <f>IFERROR((F129-((Inputs!C129+(Inputs!C133+Inputs!C135+Inputs!C137)-(Inputs!C132+Inputs!C134+Inputs!C136))/(((((Inputs!C104+Inputs!C105+Inputs!C106-Inputs!C107-Inputs!C108-Inputs!C109)+(Inputs!C112+Inputs!C113+Inputs!C114+Inputs!C115+Inputs!C116+Inputs!C117+Inputs!C118+Inputs!C119))-(Inputs!C120+Inputs!C121+Inputs!C122+Inputs!C123+Inputs!C124+Inputs!C125+Inputs!C126+Inputs!C127+Inputs!C128))-Inputs!C111)-(Inputs!C132+Inputs!C134+Inputs!C136))))*10000,"")</f>
        <v>-562.4235903956184</v>
      </c>
      <c r="G131" s="56">
        <f>IFERROR((G129-((Inputs!D129+(Inputs!D133+Inputs!D135+Inputs!D137)-(Inputs!D132+Inputs!D134+Inputs!D136))/(((((Inputs!D104+Inputs!D105+Inputs!D106-Inputs!D107-Inputs!D108-Inputs!D109)+(Inputs!D112+Inputs!D113+Inputs!D114+Inputs!D115+Inputs!D116+Inputs!D117+Inputs!D118+Inputs!D119))-(Inputs!D120+Inputs!D121+Inputs!D122+Inputs!D123+Inputs!D124+Inputs!D125+Inputs!D126+Inputs!D127+Inputs!D128))-Inputs!D111)-(Inputs!D132+Inputs!D134+Inputs!D136))))*10000,"")</f>
        <v>-384.56876185023606</v>
      </c>
      <c r="H131" s="60">
        <f>IFERROR((H129-C129)*10000,"")</f>
        <v>-149.65986394557817</v>
      </c>
      <c r="I131" s="1"/>
      <c r="J131" s="1"/>
      <c r="K131" s="1"/>
      <c r="L131" s="1"/>
    </row>
    <row r="132" ht="14.624267578125">
      <c r="A132" s="1"/>
      <c r="B132" s="19" t="s">
        <v>310</v>
      </c>
      <c r="C132" s="7">
        <f>IFERROR(C128/C125,"")</f>
        <v>0.16407599309153714</v>
      </c>
      <c r="D132" s="7">
        <f>IFERROR(D128/D125,"")</f>
        <v>0.13427109974424553</v>
      </c>
      <c r="E132" s="7">
        <f>IFERROR(E128/E125,"")</f>
        <v>0.1641203339108521</v>
      </c>
      <c r="F132" s="7">
        <f>IFERROR(F128/F125,"")</f>
        <v>0.12366863905325444</v>
      </c>
      <c r="G132" s="7">
        <f>IFERROR(G128/G125,"")</f>
        <v>0.1443526170798898</v>
      </c>
      <c r="H132" s="31">
        <f>IFERROR(H128/H125,"")</f>
        <v>0.1668488371833951</v>
      </c>
      <c r="I132" s="1"/>
      <c r="J132" s="1"/>
      <c r="K132" s="1"/>
      <c r="L132" s="1"/>
    </row>
    <row r="133" ht="14.624267578125">
      <c r="A133" s="1"/>
      <c r="B133" s="33" t="s">
        <v>311</v>
      </c>
      <c r="C133" s="11"/>
      <c r="D133" s="11"/>
      <c r="E133" s="11"/>
      <c r="F133" s="11"/>
      <c r="G133" s="11"/>
      <c r="H133" s="29">
        <f>H167</f>
        <v>450.1829268292683</v>
      </c>
      <c r="I133" s="1"/>
      <c r="J133" s="1"/>
      <c r="K133" s="1"/>
      <c r="L133" s="1"/>
    </row>
    <row r="134" ht="14.624267578125">
      <c r="A134" s="1"/>
      <c r="B134" s="33" t="s">
        <v>312</v>
      </c>
      <c r="C134" s="11"/>
      <c r="D134" s="11"/>
      <c r="E134" s="11"/>
      <c r="F134" s="11"/>
      <c r="G134" s="11"/>
      <c r="H134" s="29">
        <f>H169</f>
        <v>345</v>
      </c>
      <c r="I134" s="1"/>
      <c r="J134" s="1"/>
      <c r="K134" s="1"/>
      <c r="L134" s="1"/>
    </row>
    <row r="135" ht="14.624267578125">
      <c r="A135" s="1"/>
      <c r="B135" s="48" t="s">
        <v>313</v>
      </c>
      <c r="C135" s="50">
        <f>C125-C128</f>
        <v>1452</v>
      </c>
      <c r="D135" s="50">
        <f>D125-D128</f>
        <v>1354</v>
      </c>
      <c r="E135" s="50">
        <f>E125-E128</f>
        <v>5307</v>
      </c>
      <c r="F135" s="50">
        <f>F125-F128</f>
        <v>1481</v>
      </c>
      <c r="G135" s="50">
        <f>G125-G128</f>
        <v>1553</v>
      </c>
      <c r="H135" s="61">
        <f>H125-H128</f>
        <v>1862.010601062672</v>
      </c>
      <c r="I135" s="1"/>
      <c r="J135" s="1"/>
      <c r="K135" s="1"/>
      <c r="L135" s="1"/>
    </row>
    <row r="136" ht="14.624267578125">
      <c r="A136" s="1"/>
      <c r="B136" s="19" t="s">
        <v>89</v>
      </c>
      <c r="C136" s="7"/>
      <c r="D136" s="7"/>
      <c r="E136" s="7"/>
      <c r="F136" s="15">
        <f>IFERROR(IF((((((Inputs!C104+Inputs!C105+Inputs!C106-Inputs!C107-Inputs!C108-Inputs!C109)+(Inputs!C112+Inputs!C113+Inputs!C114+Inputs!C115+Inputs!C116+Inputs!C117+Inputs!C118+Inputs!C119))-(Inputs!C120+Inputs!C121+Inputs!C122+Inputs!C123+Inputs!C124+Inputs!C125+Inputs!C126+Inputs!C127+Inputs!C128))-Inputs!C111)-Inputs!C129)&lt;=0,"n.m.",F135/(((((Inputs!C104+Inputs!C105+Inputs!C106-Inputs!C107-Inputs!C108-Inputs!C109)+(Inputs!C112+Inputs!C113+Inputs!C114+Inputs!C115+Inputs!C116+Inputs!C117+Inputs!C118+Inputs!C119))-(Inputs!C120+Inputs!C121+Inputs!C122+Inputs!C123+Inputs!C124+Inputs!C125+Inputs!C126+Inputs!C127+Inputs!C128))-Inputs!C111)-Inputs!C129)-1),"")</f>
        <v>0.17446471054718482</v>
      </c>
      <c r="G136" s="15">
        <f>IFERROR(IF((((((Inputs!D104+Inputs!D105+Inputs!D106-Inputs!D107-Inputs!D108-Inputs!D109)+(Inputs!D112+Inputs!D113+Inputs!D114+Inputs!D115+Inputs!D116+Inputs!D117+Inputs!D118+Inputs!D119))-(Inputs!D120+Inputs!D121+Inputs!D122+Inputs!D123+Inputs!D124+Inputs!D125+Inputs!D126+Inputs!D127+Inputs!D128))-Inputs!D111)-Inputs!D129)&lt;=0,"n.m.",G135/(((((Inputs!D104+Inputs!D105+Inputs!D106-Inputs!D107-Inputs!D108-Inputs!D109)+(Inputs!D112+Inputs!D113+Inputs!D114+Inputs!D115+Inputs!D116+Inputs!D117+Inputs!D118+Inputs!D119))-(Inputs!D120+Inputs!D121+Inputs!D122+Inputs!D123+Inputs!D124+Inputs!D125+Inputs!D126+Inputs!D127+Inputs!D128))-Inputs!D111)-Inputs!D129)-1),"")</f>
        <v>0.2524193548387097</v>
      </c>
      <c r="H136" s="31">
        <f>IFERROR(IF(C135&lt;=0,"n.m.",H135/C135-1),"")</f>
        <v>0.2823764470128596</v>
      </c>
      <c r="I136" s="1"/>
      <c r="J136" s="1"/>
      <c r="K136" s="1"/>
      <c r="L136" s="1"/>
    </row>
    <row r="137" ht="14.624267578125">
      <c r="A137" s="1"/>
      <c r="B137" s="19" t="s">
        <v>91</v>
      </c>
      <c r="C137" s="15">
        <f>IFERROR(IF((((((Inputs!D104+Inputs!D105+Inputs!D106-Inputs!D107-Inputs!D108-Inputs!D109)+(Inputs!D112+Inputs!D113+Inputs!D114+Inputs!D115+Inputs!D116+Inputs!D117+Inputs!D118+Inputs!D119))-(Inputs!D120+Inputs!D121+Inputs!D122+Inputs!D123+Inputs!D124+Inputs!D125+Inputs!D126+Inputs!D127+Inputs!D128))-Inputs!D111)-Inputs!D129)&lt;=0,"n.m.",C135/(((((Inputs!D104+Inputs!D105+Inputs!D106-Inputs!D107-Inputs!D108-Inputs!D109)+(Inputs!D112+Inputs!D113+Inputs!D114+Inputs!D115+Inputs!D116+Inputs!D117+Inputs!D118+Inputs!D119))-(Inputs!D120+Inputs!D121+Inputs!D122+Inputs!D123+Inputs!D124+Inputs!D125+Inputs!D126+Inputs!D127+Inputs!D128))-Inputs!D111)-Inputs!D129)-1),"")</f>
        <v>0.1709677419354838</v>
      </c>
      <c r="D137" s="7">
        <f>IFERROR(IF(C135&lt;=0,"n.m.",D135/C135-1),"")</f>
        <v>-0.06749311294765836</v>
      </c>
      <c r="E137" s="7"/>
      <c r="F137" s="7">
        <f>IFERROR(IF(D135&lt;=0,"n.m.",F135/D135-1),"")</f>
        <v>0.09379615952732645</v>
      </c>
      <c r="G137" s="7">
        <f>IFERROR(IF(F135&lt;=0,"n.m.",G135/F135-1),"")</f>
        <v>0.04861580013504385</v>
      </c>
      <c r="H137" s="31">
        <f>IFERROR(IF(G135&lt;=0,"n.m.",H135/G135-1),"")</f>
        <v>0.1989765621781534</v>
      </c>
      <c r="I137" s="1"/>
      <c r="J137" s="1"/>
      <c r="K137" s="1"/>
      <c r="L137" s="1"/>
    </row>
    <row r="138" ht="14.624267578125">
      <c r="A138" s="1"/>
      <c r="B138" s="33" t="s">
        <v>314</v>
      </c>
      <c r="C138" s="22">
        <v>104</v>
      </c>
      <c r="D138" s="22">
        <v>65</v>
      </c>
      <c r="E138" s="2">
        <f>Inputs!C130+Inputs!D130+C138+D138</f>
        <v>333</v>
      </c>
      <c r="F138" s="22">
        <v>104</v>
      </c>
      <c r="G138" s="22">
        <v>34</v>
      </c>
      <c r="H138" s="47">
        <v>114</v>
      </c>
      <c r="I138" s="1" t="s">
        <v>315</v>
      </c>
      <c r="J138" s="1"/>
      <c r="K138" s="1"/>
      <c r="L138" s="1"/>
    </row>
    <row r="139" ht="14.624267578125">
      <c r="A139" s="1"/>
      <c r="B139" s="19" t="s">
        <v>151</v>
      </c>
      <c r="C139" s="15">
        <f>IFERROR(IF(Inputs!D130&lt;=0,"n.m.",C138/Inputs!D130-1),"")</f>
        <v>0.7333333333333334</v>
      </c>
      <c r="D139" s="7">
        <f>IFERROR(IF(C138&lt;=0,"n.m.",D138/C138-1),"")</f>
        <v>-0.375</v>
      </c>
      <c r="E139" s="7"/>
      <c r="F139" s="7">
        <f>IFERROR(IF(D138&lt;=0,"n.m.",F138/D138-1),"")</f>
        <v>0.6000000000000001</v>
      </c>
      <c r="G139" s="7">
        <f>IFERROR(IF(F138&lt;=0,"n.m.",G138/F138-1),"")</f>
        <v>-0.6730769230769231</v>
      </c>
      <c r="H139" s="31">
        <f>IFERROR(IF(G138&lt;=0,"n.m.",H138/G138-1),"")</f>
        <v>2.3529411764705883</v>
      </c>
      <c r="I139" s="1"/>
      <c r="J139" s="1"/>
      <c r="K139" s="1"/>
      <c r="L139" s="1"/>
    </row>
    <row r="140" ht="14.624267578125">
      <c r="A140" s="1"/>
      <c r="B140" s="19" t="s">
        <v>138</v>
      </c>
      <c r="C140" s="7"/>
      <c r="D140" s="7"/>
      <c r="E140" s="7"/>
      <c r="F140" s="15">
        <f>IFERROR(IF(Inputs!C130&lt;=0,"n.m.",F138/Inputs!C130-1),"")</f>
        <v>0</v>
      </c>
      <c r="G140" s="15">
        <f>IFERROR(IF(Inputs!D130&lt;=0,"n.m.",G138/Inputs!D130-1),"")</f>
        <v>-0.43333333333333335</v>
      </c>
      <c r="H140" s="31">
        <f>IFERROR(IF(C138&lt;=0,"n.m.",H138/C138-1),"")</f>
        <v>0.09615384615384626</v>
      </c>
      <c r="I140" s="1"/>
      <c r="J140" s="1"/>
      <c r="K140" s="1"/>
      <c r="L140" s="1"/>
    </row>
    <row r="141" ht="14.624267578125">
      <c r="A141" s="1"/>
      <c r="B141" s="33" t="s">
        <v>139</v>
      </c>
      <c r="C141" s="2">
        <f>C138-Inputs!D130</f>
        <v>44</v>
      </c>
      <c r="D141" s="11">
        <f>D138-C138</f>
        <v>-39</v>
      </c>
      <c r="E141" s="11"/>
      <c r="F141" s="11">
        <f>F138-D138</f>
        <v>39</v>
      </c>
      <c r="G141" s="11">
        <f>G138-F138</f>
        <v>-70</v>
      </c>
      <c r="H141" s="29">
        <f>H138-G138</f>
        <v>80</v>
      </c>
      <c r="I141" s="1"/>
      <c r="J141" s="1"/>
      <c r="K141" s="1"/>
      <c r="L141" s="1"/>
    </row>
    <row r="142" ht="14.624267578125">
      <c r="A142" s="1"/>
      <c r="B142" s="48" t="s">
        <v>316</v>
      </c>
      <c r="C142" s="50">
        <f>C135-C138</f>
        <v>1348</v>
      </c>
      <c r="D142" s="50">
        <f>D135-D138</f>
        <v>1289</v>
      </c>
      <c r="E142" s="50">
        <f>E135-E138</f>
        <v>4974</v>
      </c>
      <c r="F142" s="50">
        <f>F135-F138</f>
        <v>1377</v>
      </c>
      <c r="G142" s="50">
        <f>G135-G138</f>
        <v>1519</v>
      </c>
      <c r="H142" s="61">
        <f>H135-H138</f>
        <v>1748.010601062672</v>
      </c>
      <c r="I142" s="1"/>
      <c r="J142" s="1"/>
      <c r="K142" s="1"/>
      <c r="L142" s="1"/>
    </row>
    <row r="143" ht="14.624267578125">
      <c r="A143" s="1"/>
      <c r="B143" s="19" t="s">
        <v>89</v>
      </c>
      <c r="C143" s="7"/>
      <c r="D143" s="7"/>
      <c r="E143" s="7"/>
      <c r="F143" s="15">
        <f>IFERROR(IF(((((((Inputs!C104+Inputs!C105+Inputs!C106-Inputs!C107-Inputs!C108-Inputs!C109)+(Inputs!C112+Inputs!C113+Inputs!C114+Inputs!C115+Inputs!C116+Inputs!C117+Inputs!C118+Inputs!C119))-(Inputs!C120+Inputs!C121+Inputs!C122+Inputs!C123+Inputs!C124+Inputs!C125+Inputs!C126+Inputs!C127+Inputs!C128))-Inputs!C111)-Inputs!C129)-Inputs!C130)&lt;=0,"n.m.",F142/((((((Inputs!C104+Inputs!C105+Inputs!C106-Inputs!C107-Inputs!C108-Inputs!C109)+(Inputs!C112+Inputs!C113+Inputs!C114+Inputs!C115+Inputs!C116+Inputs!C117+Inputs!C118+Inputs!C119))-(Inputs!C120+Inputs!C121+Inputs!C122+Inputs!C123+Inputs!C124+Inputs!C125+Inputs!C126+Inputs!C127+Inputs!C128))-Inputs!C111)-Inputs!C129)-Inputs!C130)-1),"")</f>
        <v>0.19014693171996533</v>
      </c>
      <c r="G143" s="15">
        <f>IFERROR(IF(((((((Inputs!D104+Inputs!D105+Inputs!D106-Inputs!D107-Inputs!D108-Inputs!D109)+(Inputs!D112+Inputs!D113+Inputs!D114+Inputs!D115+Inputs!D116+Inputs!D117+Inputs!D118+Inputs!D119))-(Inputs!D120+Inputs!D121+Inputs!D122+Inputs!D123+Inputs!D124+Inputs!D125+Inputs!D126+Inputs!D127+Inputs!D128))-Inputs!D111)-Inputs!D129)-Inputs!D130)&lt;=0,"n.m.",G142/((((((Inputs!D104+Inputs!D105+Inputs!D106-Inputs!D107-Inputs!D108-Inputs!D109)+(Inputs!D112+Inputs!D113+Inputs!D114+Inputs!D115+Inputs!D116+Inputs!D117+Inputs!D118+Inputs!D119))-(Inputs!D120+Inputs!D121+Inputs!D122+Inputs!D123+Inputs!D124+Inputs!D125+Inputs!D126+Inputs!D127+Inputs!D128))-Inputs!D111)-Inputs!D129)-Inputs!D130)-1),"")</f>
        <v>0.2872881355932204</v>
      </c>
      <c r="H143" s="31">
        <f>IFERROR(IF(C142&lt;=0,"n.m.",H142/C142-1),"")</f>
        <v>0.29674376933432645</v>
      </c>
      <c r="I143" s="1"/>
      <c r="J143" s="1"/>
      <c r="K143" s="1"/>
      <c r="L143" s="1"/>
    </row>
    <row r="144" ht="14.624267578125">
      <c r="A144" s="1"/>
      <c r="B144" s="19" t="s">
        <v>91</v>
      </c>
      <c r="C144" s="15">
        <f>IFERROR(IF(((((((Inputs!D104+Inputs!D105+Inputs!D106-Inputs!D107-Inputs!D108-Inputs!D109)+(Inputs!D112+Inputs!D113+Inputs!D114+Inputs!D115+Inputs!D116+Inputs!D117+Inputs!D118+Inputs!D119))-(Inputs!D120+Inputs!D121+Inputs!D122+Inputs!D123+Inputs!D124+Inputs!D125+Inputs!D126+Inputs!D127+Inputs!D128))-Inputs!D111)-Inputs!D129)-Inputs!D130)&lt;=0,"n.m.",C142/((((((Inputs!D104+Inputs!D105+Inputs!D106-Inputs!D107-Inputs!D108-Inputs!D109)+(Inputs!D112+Inputs!D113+Inputs!D114+Inputs!D115+Inputs!D116+Inputs!D117+Inputs!D118+Inputs!D119))-(Inputs!D120+Inputs!D121+Inputs!D122+Inputs!D123+Inputs!D124+Inputs!D125+Inputs!D126+Inputs!D127+Inputs!D128))-Inputs!D111)-Inputs!D129)-Inputs!D130)-1),"")</f>
        <v>0.14237288135593218</v>
      </c>
      <c r="D144" s="7">
        <f>IFERROR(IF(C142&lt;=0,"n.m.",D142/C142-1),"")</f>
        <v>-0.04376854599406532</v>
      </c>
      <c r="E144" s="7"/>
      <c r="F144" s="7">
        <f>IFERROR(IF(D142&lt;=0,"n.m.",F142/D142-1),"")</f>
        <v>0.06826997672614432</v>
      </c>
      <c r="G144" s="7">
        <f>IFERROR(IF(F142&lt;=0,"n.m.",G142/F142-1),"")</f>
        <v>0.10312273057371102</v>
      </c>
      <c r="H144" s="31">
        <f>IFERROR(IF(G142&lt;=0,"n.m.",H142/G142-1),"")</f>
        <v>0.1507640559991259</v>
      </c>
      <c r="I144" s="1"/>
      <c r="J144" s="1"/>
      <c r="K144" s="1"/>
      <c r="L144" s="1"/>
    </row>
    <row r="145">
      <c r="A145" s="1"/>
      <c r="B145" s="33"/>
      <c r="C145" s="18"/>
      <c r="D145" s="18"/>
      <c r="E145" s="18"/>
      <c r="F145" s="18"/>
      <c r="G145" s="18"/>
      <c r="H145" s="45"/>
      <c r="I145" s="1"/>
      <c r="J145" s="1"/>
      <c r="K145" s="1"/>
      <c r="L145" s="1"/>
    </row>
    <row r="146" ht="14.624267578125">
      <c r="A146" s="1"/>
      <c r="B146" s="57" t="s">
        <v>317</v>
      </c>
      <c r="C146" s="18"/>
      <c r="D146" s="18"/>
      <c r="E146" s="18"/>
      <c r="F146" s="18"/>
      <c r="G146" s="18"/>
      <c r="H146" s="45"/>
      <c r="I146" s="1"/>
      <c r="J146" s="1"/>
      <c r="K146" s="1"/>
      <c r="L146" s="1"/>
    </row>
    <row r="147" ht="14.624267578125">
      <c r="A147" s="1"/>
      <c r="B147" s="33" t="s">
        <v>318</v>
      </c>
      <c r="C147" s="2">
        <f>'Share Count'!C26</f>
        <v>1280.571</v>
      </c>
      <c r="D147" s="2">
        <f>'Share Count'!D26</f>
        <v>1267.341</v>
      </c>
      <c r="E147" s="2">
        <f>'Share Count'!E26</f>
        <v>1286.788</v>
      </c>
      <c r="F147" s="2">
        <f>'Share Count'!F26</f>
        <v>1248.628</v>
      </c>
      <c r="G147" s="2">
        <f>'Share Count'!G26</f>
        <v>1224.867</v>
      </c>
      <c r="H147" s="41">
        <f>'Share Count'!H26</f>
        <v>1199.4968094882302</v>
      </c>
      <c r="I147" s="1"/>
      <c r="J147" s="1"/>
      <c r="K147" s="1"/>
      <c r="L147" s="1"/>
    </row>
    <row r="148" ht="14.624267578125">
      <c r="A148" s="1"/>
      <c r="B148" s="33" t="s">
        <v>319</v>
      </c>
      <c r="C148" s="2">
        <f>'Share Count'!C32</f>
        <v>1296.666</v>
      </c>
      <c r="D148" s="2">
        <f>'Share Count'!D32</f>
        <v>1285.078</v>
      </c>
      <c r="E148" s="2">
        <f>'Share Count'!E32</f>
        <v>1302.7</v>
      </c>
      <c r="F148" s="2">
        <f>'Share Count'!F32</f>
        <v>1266.572</v>
      </c>
      <c r="G148" s="2">
        <f>'Share Count'!G32</f>
        <v>1239.04</v>
      </c>
      <c r="H148" s="41">
        <f>'Share Count'!H32</f>
        <v>1213.9968094882302</v>
      </c>
      <c r="I148" s="1"/>
      <c r="J148" s="1"/>
      <c r="K148" s="1"/>
      <c r="L148" s="1"/>
    </row>
    <row r="149" ht="14.624267578125">
      <c r="A149" s="1"/>
      <c r="B149" s="33" t="s">
        <v>320</v>
      </c>
      <c r="C149" s="6">
        <f>C142/C147</f>
        <v>1.0526554169975737</v>
      </c>
      <c r="D149" s="6">
        <f>D142/D147</f>
        <v>1.0170901122902203</v>
      </c>
      <c r="E149" s="6">
        <f>E142/E147</f>
        <v>3.8654385959458746</v>
      </c>
      <c r="F149" s="6">
        <f>F142/F147</f>
        <v>1.1028104447441514</v>
      </c>
      <c r="G149" s="6">
        <f>G142/G147</f>
        <v>1.2401346431898321</v>
      </c>
      <c r="H149" s="42">
        <f>H142/H147</f>
        <v>1.4572865782014606</v>
      </c>
      <c r="I149" s="1"/>
      <c r="J149" s="1"/>
      <c r="K149" s="1"/>
      <c r="L149" s="1"/>
    </row>
    <row r="150" ht="14.624267578125">
      <c r="A150" s="1"/>
      <c r="B150" s="48" t="s">
        <v>321</v>
      </c>
      <c r="C150" s="64">
        <f>C142/C148</f>
        <v>1.0395892234391895</v>
      </c>
      <c r="D150" s="64">
        <f>D142/D148</f>
        <v>1.0030519548229757</v>
      </c>
      <c r="E150" s="64">
        <f>E142/E148</f>
        <v>3.818223689260766</v>
      </c>
      <c r="F150" s="64">
        <f>F142/F148</f>
        <v>1.0871865160448835</v>
      </c>
      <c r="G150" s="64">
        <f>G142/G148</f>
        <v>1.2259491219008265</v>
      </c>
      <c r="H150" s="72">
        <f>H142/H148</f>
        <v>1.4398807207735247</v>
      </c>
      <c r="I150" s="1"/>
      <c r="J150" s="1"/>
      <c r="K150" s="1"/>
      <c r="L150" s="1"/>
    </row>
    <row r="151" ht="23.25">
      <c r="A151" s="1"/>
      <c r="B151" s="19" t="s">
        <v>89</v>
      </c>
      <c r="C151" s="7"/>
      <c r="D151" s="7"/>
      <c r="E151" s="7"/>
      <c r="F151" s="15">
        <f>IFERROR(IF(((((((Inputs!C104+Inputs!C105+Inputs!C106-Inputs!C107-Inputs!C108-Inputs!C109)+(Inputs!C112+Inputs!C113+Inputs!C114+Inputs!C115+Inputs!C116+Inputs!C117+Inputs!C118+Inputs!C119))-(Inputs!C120+Inputs!C121+Inputs!C122+Inputs!C123+Inputs!C124+Inputs!C125+Inputs!C126+Inputs!C127+Inputs!C128))-Inputs!C111)-Inputs!C129)-Inputs!C130)/Inputs!C140&lt;=0,"n.m.",F150/(((((((Inputs!C104+Inputs!C105+Inputs!C106-Inputs!C107-Inputs!C108-Inputs!C109)+(Inputs!C112+Inputs!C113+Inputs!C114+Inputs!C115+Inputs!C116+Inputs!C117+Inputs!C118+Inputs!C119))-(Inputs!C120+Inputs!C121+Inputs!C122+Inputs!C123+Inputs!C124+Inputs!C125+Inputs!C126+Inputs!C127+Inputs!C128))-Inputs!C111)-Inputs!C129)-Inputs!C130)/Inputs!C140)-1),"")</f>
        <v>0.24442826574966703</v>
      </c>
      <c r="G151" s="15">
        <f>IFERROR(IF(((((((Inputs!D104+Inputs!D105+Inputs!D106-Inputs!D107-Inputs!D108-Inputs!D109)+(Inputs!D112+Inputs!D113+Inputs!D114+Inputs!D115+Inputs!D116+Inputs!D117+Inputs!D118+Inputs!D119))-(Inputs!D120+Inputs!D121+Inputs!D122+Inputs!D123+Inputs!D124+Inputs!D125+Inputs!D126+Inputs!D127+Inputs!D128))-Inputs!D111)-Inputs!D129)-Inputs!D130)/Inputs!D140&lt;=0,"n.m.",G150/(((((((Inputs!D104+Inputs!D105+Inputs!D106-Inputs!D107-Inputs!D108-Inputs!D109)+(Inputs!D112+Inputs!D113+Inputs!D114+Inputs!D115+Inputs!D116+Inputs!D117+Inputs!D118+Inputs!D119))-(Inputs!D120+Inputs!D121+Inputs!D122+Inputs!D123+Inputs!D124+Inputs!D125+Inputs!D126+Inputs!D127+Inputs!D128))-Inputs!D111)-Inputs!D129)-Inputs!D130)/Inputs!D140)-1),"")</f>
        <v>0.35582180832727817</v>
      </c>
      <c r="H151" s="31">
        <f>IFERROR(IF(C150&lt;=0,"n.m.",H150/C150-1),"")</f>
        <v>0.38504775569920113</v>
      </c>
      <c r="I151" s="1" t="s">
        <v>322</v>
      </c>
      <c r="J151" s="1"/>
      <c r="K151" s="1"/>
      <c r="L151" s="1"/>
    </row>
    <row r="152" ht="14.624267578125">
      <c r="A152" s="1"/>
      <c r="B152" s="19" t="s">
        <v>91</v>
      </c>
      <c r="C152" s="91">
        <f>IFERROR(IF(((((((Inputs!D104+Inputs!D105+Inputs!D106-Inputs!D107-Inputs!D108-Inputs!D109)+(Inputs!D112+Inputs!D113+Inputs!D114+Inputs!D115+Inputs!D116+Inputs!D117+Inputs!D118+Inputs!D119))-(Inputs!D120+Inputs!D121+Inputs!D122+Inputs!D123+Inputs!D124+Inputs!D125+Inputs!D126+Inputs!D127+Inputs!D128))-Inputs!D111)-Inputs!D129)-Inputs!D130)/Inputs!D140&lt;=0,"n.m.",C150/(((((((Inputs!D104+Inputs!D105+Inputs!D106-Inputs!D107-Inputs!D108-Inputs!D109)+(Inputs!D112+Inputs!D113+Inputs!D114+Inputs!D115+Inputs!D116+Inputs!D117+Inputs!D118+Inputs!D119))-(Inputs!D120+Inputs!D121+Inputs!D122+Inputs!D123+Inputs!D124+Inputs!D125+Inputs!D126+Inputs!D127+Inputs!D128))-Inputs!D111)-Inputs!D129)-Inputs!D130)/Inputs!D140)-1),"")</f>
        <v>0.14971960553750807</v>
      </c>
      <c r="D152" s="7">
        <f>IFERROR(IF(C150&lt;=0,"n.m.",D150/C150-1),"")</f>
        <v>-0.03514587088094323</v>
      </c>
      <c r="E152" s="7"/>
      <c r="F152" s="7">
        <f>IFERROR(IF(D150&lt;=0,"n.m.",F150/D150-1),"")</f>
        <v>0.0838785676229068</v>
      </c>
      <c r="G152" s="7">
        <f>IFERROR(IF(F150&lt;=0,"n.m.",G150/F150-1),"")</f>
        <v>0.12763459057674176</v>
      </c>
      <c r="H152" s="31">
        <f>IFERROR(IF(G150&lt;=0,"n.m.",H150/G150-1),"")</f>
        <v>0.17450283625228957</v>
      </c>
      <c r="I152" s="1"/>
      <c r="J152" s="1"/>
      <c r="K152" s="1"/>
      <c r="L152" s="1"/>
    </row>
    <row r="153" ht="14.624267578125">
      <c r="A153" s="1"/>
      <c r="B153" s="19" t="s">
        <v>323</v>
      </c>
      <c r="C153" s="70">
        <f>C150-C142/C148</f>
        <v>0</v>
      </c>
      <c r="D153" s="70">
        <f>D150-D142/D148</f>
        <v>0</v>
      </c>
      <c r="E153" s="70">
        <f>E150-E142/E148</f>
        <v>0</v>
      </c>
      <c r="F153" s="70">
        <f>F150-F142/F148</f>
        <v>0</v>
      </c>
      <c r="G153" s="70">
        <f>G150-G142/G148</f>
        <v>0</v>
      </c>
      <c r="H153" s="75">
        <f>H150-H142/H148</f>
        <v>0</v>
      </c>
      <c r="I153" s="1"/>
      <c r="J153" s="1"/>
      <c r="K153" s="1"/>
      <c r="L153" s="1"/>
    </row>
    <row r="154" ht="14.624267578125">
      <c r="A154" s="1"/>
      <c r="B154" s="33" t="s">
        <v>324</v>
      </c>
      <c r="C154" s="9">
        <v>1.04</v>
      </c>
      <c r="D154" s="9">
        <v>1</v>
      </c>
      <c r="E154" s="9">
        <v>3.82</v>
      </c>
      <c r="F154" s="9">
        <v>1.09</v>
      </c>
      <c r="G154" s="9">
        <v>1.23</v>
      </c>
      <c r="H154" s="42"/>
      <c r="I154" s="1"/>
      <c r="J154" s="1"/>
      <c r="K154" s="1"/>
      <c r="L154" s="1"/>
    </row>
    <row r="155" ht="14.624267578125">
      <c r="A155" s="1"/>
      <c r="B155" s="19" t="s">
        <v>325</v>
      </c>
      <c r="C155" s="70">
        <f>ROUND(C150,2)-C154</f>
        <v>0</v>
      </c>
      <c r="D155" s="70">
        <f>ROUND(D150,2)-D154</f>
        <v>0</v>
      </c>
      <c r="E155" s="70">
        <f>ROUND(E150,2)-E154</f>
        <v>0</v>
      </c>
      <c r="F155" s="70">
        <f>ROUND(F150,2)-F154</f>
        <v>0</v>
      </c>
      <c r="G155" s="70">
        <f>ROUND(G150,2)-G154</f>
        <v>0</v>
      </c>
      <c r="H155" s="75"/>
      <c r="I155" s="1"/>
      <c r="J155" s="1"/>
      <c r="K155" s="1"/>
      <c r="L155" s="1"/>
    </row>
    <row r="156" ht="23.24853515625">
      <c r="A156" s="1"/>
      <c r="B156" s="33" t="s">
        <v>326</v>
      </c>
      <c r="C156" s="3">
        <f>Inputs!G97</f>
        <v>1.04</v>
      </c>
      <c r="D156" s="3">
        <f>Inputs!G98</f>
        <v>1</v>
      </c>
      <c r="E156" s="6"/>
      <c r="F156" s="3">
        <f>Inputs!G99</f>
        <v>1.09</v>
      </c>
      <c r="G156" s="3">
        <f>Inputs!G100</f>
        <v>1.23</v>
      </c>
      <c r="H156" s="55">
        <f>Inputs!C28</f>
        <v>1.05</v>
      </c>
      <c r="I156" s="1"/>
      <c r="J156" s="1"/>
      <c r="K156" s="1"/>
      <c r="L156" s="1"/>
    </row>
    <row r="157">
      <c r="A157" s="1"/>
      <c r="B157" s="33"/>
      <c r="C157" s="18"/>
      <c r="D157" s="18"/>
      <c r="E157" s="18"/>
      <c r="F157" s="18"/>
      <c r="G157" s="18"/>
      <c r="H157" s="45"/>
      <c r="I157" s="1"/>
      <c r="J157" s="1"/>
      <c r="K157" s="1"/>
      <c r="L157" s="1"/>
    </row>
    <row r="158" ht="14.624267578125">
      <c r="A158" s="1"/>
      <c r="B158" s="57" t="s">
        <v>327</v>
      </c>
      <c r="C158" s="18"/>
      <c r="D158" s="18"/>
      <c r="E158" s="18"/>
      <c r="F158" s="18"/>
      <c r="G158" s="18"/>
      <c r="H158" s="45"/>
      <c r="I158" s="1"/>
      <c r="J158" s="1"/>
      <c r="K158" s="1"/>
      <c r="L158" s="1"/>
    </row>
    <row r="159" ht="14.624267578125">
      <c r="A159" s="1"/>
      <c r="B159" s="33" t="s">
        <v>328</v>
      </c>
      <c r="C159" s="11">
        <f>C142</f>
        <v>1348</v>
      </c>
      <c r="D159" s="11">
        <f>D142</f>
        <v>1289</v>
      </c>
      <c r="E159" s="11">
        <f>E142</f>
        <v>4974</v>
      </c>
      <c r="F159" s="11">
        <f>F142</f>
        <v>1377</v>
      </c>
      <c r="G159" s="11">
        <f>G142</f>
        <v>1519</v>
      </c>
      <c r="H159" s="29">
        <f>H142</f>
        <v>1748.010601062672</v>
      </c>
      <c r="I159" s="1"/>
      <c r="J159" s="1"/>
      <c r="K159" s="1"/>
      <c r="L159" s="1"/>
    </row>
    <row r="160" ht="23.24853515625">
      <c r="A160" s="1"/>
      <c r="B160" s="33" t="s">
        <v>329</v>
      </c>
      <c r="C160" s="18"/>
      <c r="D160" s="18"/>
      <c r="E160" s="18"/>
      <c r="F160" s="18"/>
      <c r="G160" s="18"/>
      <c r="H160" s="45"/>
      <c r="I160" s="1"/>
      <c r="J160" s="1"/>
      <c r="K160" s="1"/>
      <c r="L160" s="1"/>
    </row>
    <row r="161" ht="14.624267578125">
      <c r="A161" s="1"/>
      <c r="B161" s="33" t="s">
        <v>330</v>
      </c>
      <c r="C161" s="22">
        <v>-27</v>
      </c>
      <c r="D161" s="22">
        <v>-63</v>
      </c>
      <c r="E161" s="2">
        <f>Inputs!C132+Inputs!D132+C161+D161</f>
        <v>-156</v>
      </c>
      <c r="F161" s="102">
        <v>0</v>
      </c>
      <c r="G161" s="102">
        <v>0</v>
      </c>
      <c r="H161" s="29"/>
      <c r="I161" s="1" t="s">
        <v>331</v>
      </c>
      <c r="J161" s="1"/>
      <c r="K161" s="1"/>
      <c r="L161" s="1"/>
    </row>
    <row r="162" ht="14.624267578125">
      <c r="A162" s="1"/>
      <c r="B162" s="33" t="s">
        <v>332</v>
      </c>
      <c r="C162" s="102">
        <v>0</v>
      </c>
      <c r="D162" s="22">
        <v>-130</v>
      </c>
      <c r="E162" s="2">
        <f>Inputs!C134+Inputs!D134+C162+D162</f>
        <v>-130</v>
      </c>
      <c r="F162" s="102">
        <v>0</v>
      </c>
      <c r="G162" s="102">
        <v>0</v>
      </c>
      <c r="H162" s="29"/>
      <c r="I162" s="1" t="s">
        <v>331</v>
      </c>
      <c r="J162" s="1"/>
      <c r="K162" s="1"/>
      <c r="L162" s="1"/>
    </row>
    <row r="163" ht="14.624267578125">
      <c r="A163" s="1"/>
      <c r="B163" s="33" t="s">
        <v>333</v>
      </c>
      <c r="C163" s="102">
        <v>0</v>
      </c>
      <c r="D163" s="102">
        <v>0</v>
      </c>
      <c r="E163" s="2">
        <f>Inputs!C136+Inputs!D136+C163+D163</f>
        <v>-18</v>
      </c>
      <c r="F163" s="102">
        <v>0</v>
      </c>
      <c r="G163" s="102">
        <v>0</v>
      </c>
      <c r="H163" s="29"/>
      <c r="I163" s="1" t="s">
        <v>331</v>
      </c>
      <c r="J163" s="1"/>
      <c r="K163" s="1"/>
      <c r="L163" s="1"/>
    </row>
    <row r="164" ht="14.624267578125">
      <c r="A164" s="1"/>
      <c r="B164" s="33" t="s">
        <v>334</v>
      </c>
      <c r="C164" s="11"/>
      <c r="D164" s="11"/>
      <c r="E164" s="11"/>
      <c r="F164" s="11"/>
      <c r="G164" s="11"/>
      <c r="H164" s="29">
        <f>-H53</f>
        <v>535</v>
      </c>
      <c r="I164" s="1"/>
      <c r="J164" s="1"/>
      <c r="K164" s="1"/>
      <c r="L164" s="1"/>
    </row>
    <row r="165" ht="14.624267578125">
      <c r="A165" s="1"/>
      <c r="B165" s="33" t="s">
        <v>335</v>
      </c>
      <c r="C165" s="11"/>
      <c r="D165" s="11"/>
      <c r="E165" s="11"/>
      <c r="F165" s="11"/>
      <c r="G165" s="11"/>
      <c r="H165" s="29">
        <f>-H115</f>
        <v>-84.8170731707317</v>
      </c>
      <c r="I165" s="1"/>
      <c r="J165" s="1"/>
      <c r="K165" s="1"/>
      <c r="L165" s="1"/>
    </row>
    <row r="166" ht="14.624267578125">
      <c r="A166" s="1"/>
      <c r="B166" s="33" t="s">
        <v>336</v>
      </c>
      <c r="C166" s="11"/>
      <c r="D166" s="11"/>
      <c r="E166" s="11"/>
      <c r="F166" s="11"/>
      <c r="G166" s="11"/>
      <c r="H166" s="29">
        <f>H66</f>
        <v>0</v>
      </c>
      <c r="I166" s="1"/>
      <c r="J166" s="1"/>
      <c r="K166" s="1"/>
      <c r="L166" s="1"/>
    </row>
    <row r="167" ht="14.624267578125">
      <c r="A167" s="1"/>
      <c r="B167" s="48" t="s">
        <v>337</v>
      </c>
      <c r="C167" s="50">
        <f>C161+C162+C163+C164+C165+C166</f>
        <v>-27</v>
      </c>
      <c r="D167" s="50">
        <f>D161+D162+D163+D164+D165+D166</f>
        <v>-193</v>
      </c>
      <c r="E167" s="50">
        <f>E161+E162+E163+E164+E165+E166</f>
        <v>-304</v>
      </c>
      <c r="F167" s="50">
        <f>F161+F162+F163+F164+F165+F166</f>
        <v>0</v>
      </c>
      <c r="G167" s="50">
        <f>G161+G162+G163+G164+G165+G166</f>
        <v>0</v>
      </c>
      <c r="H167" s="61">
        <f>H161+H162+H163+H164+H165+H166</f>
        <v>450.1829268292683</v>
      </c>
      <c r="I167" s="1"/>
      <c r="J167" s="1"/>
      <c r="K167" s="1"/>
      <c r="L167" s="1"/>
    </row>
    <row r="168" ht="14.624267578125">
      <c r="A168" s="1"/>
      <c r="B168" s="33" t="s">
        <v>338</v>
      </c>
      <c r="C168" s="22">
        <v>6</v>
      </c>
      <c r="D168" s="22">
        <v>46</v>
      </c>
      <c r="E168" s="2">
        <f>(Inputs!C133+Inputs!C135+Inputs!C137-Inputs!C132-Inputs!C134-Inputs!C136)+(Inputs!D133+Inputs!D135+Inputs!D137-Inputs!D132-Inputs!D134-Inputs!D136)+C168+D168</f>
        <v>73</v>
      </c>
      <c r="F168" s="102">
        <v>0</v>
      </c>
      <c r="G168" s="102">
        <v>0</v>
      </c>
      <c r="H168" s="29">
        <f>(H198-H200-H202)-H167</f>
        <v>-105.1829268292683</v>
      </c>
      <c r="I168" s="1" t="s">
        <v>339</v>
      </c>
      <c r="J168" s="1"/>
      <c r="K168" s="1"/>
      <c r="L168" s="1"/>
    </row>
    <row r="169" ht="14.624267578125">
      <c r="A169" s="1"/>
      <c r="B169" s="48" t="s">
        <v>340</v>
      </c>
      <c r="C169" s="50">
        <f>C167+C168</f>
        <v>-21</v>
      </c>
      <c r="D169" s="50">
        <f>D167+D168</f>
        <v>-147</v>
      </c>
      <c r="E169" s="50">
        <f>E167+E168</f>
        <v>-231</v>
      </c>
      <c r="F169" s="50">
        <f>F167+F168</f>
        <v>0</v>
      </c>
      <c r="G169" s="50">
        <f>G167+G168</f>
        <v>0</v>
      </c>
      <c r="H169" s="61">
        <f>H167+H168</f>
        <v>345</v>
      </c>
      <c r="I169" s="1"/>
      <c r="J169" s="1"/>
      <c r="K169" s="1"/>
      <c r="L169" s="1"/>
    </row>
    <row r="170" ht="14.624267578125">
      <c r="A170" s="1"/>
      <c r="B170" s="48" t="s">
        <v>341</v>
      </c>
      <c r="C170" s="50">
        <f>C159-C169</f>
        <v>1369</v>
      </c>
      <c r="D170" s="50">
        <f>D159-D169</f>
        <v>1436</v>
      </c>
      <c r="E170" s="50">
        <f>E159-E169</f>
        <v>5205</v>
      </c>
      <c r="F170" s="50">
        <f>F159-F169</f>
        <v>1377</v>
      </c>
      <c r="G170" s="50">
        <f>G159-G169</f>
        <v>1519</v>
      </c>
      <c r="H170" s="61">
        <f>H159-H169</f>
        <v>1403.010601062672</v>
      </c>
      <c r="I170" s="1"/>
      <c r="J170" s="1"/>
      <c r="K170" s="1"/>
      <c r="L170" s="1"/>
    </row>
    <row r="171" ht="14.624267578125">
      <c r="A171" s="1"/>
      <c r="B171" s="19" t="s">
        <v>89</v>
      </c>
      <c r="C171" s="7"/>
      <c r="D171" s="7"/>
      <c r="E171" s="7"/>
      <c r="F171" s="15">
        <f>IFERROR(IF((((((((Inputs!C104+Inputs!C105+Inputs!C106-Inputs!C107-Inputs!C108-Inputs!C109)+(Inputs!C112+Inputs!C113+Inputs!C114+Inputs!C115+Inputs!C116+Inputs!C117+Inputs!C118+Inputs!C119))-(Inputs!C120+Inputs!C121+Inputs!C122+Inputs!C123+Inputs!C124+Inputs!C125+Inputs!C126+Inputs!C127+Inputs!C128))-Inputs!C111)-Inputs!C129)-Inputs!C130)-(Inputs!C133+Inputs!C135+Inputs!C137))&lt;=0,"n.m.",F170/(((((((Inputs!C104+Inputs!C105+Inputs!C106-Inputs!C107-Inputs!C108-Inputs!C109)+(Inputs!C112+Inputs!C113+Inputs!C114+Inputs!C115+Inputs!C116+Inputs!C117+Inputs!C118+Inputs!C119))-(Inputs!C120+Inputs!C121+Inputs!C122+Inputs!C123+Inputs!C124+Inputs!C125+Inputs!C126+Inputs!C127+Inputs!C128))-Inputs!C111)-Inputs!C129)-Inputs!C130)-(Inputs!C133+Inputs!C135+Inputs!C137))-1),"")</f>
        <v>0.1610455311973018</v>
      </c>
      <c r="G171" s="15">
        <f>IFERROR(IF((((((((Inputs!D104+Inputs!D105+Inputs!D106-Inputs!D107-Inputs!D108-Inputs!D109)+(Inputs!D112+Inputs!D113+Inputs!D114+Inputs!D115+Inputs!D116+Inputs!D117+Inputs!D118+Inputs!D119))-(Inputs!D120+Inputs!D121+Inputs!D122+Inputs!D123+Inputs!D124+Inputs!D125+Inputs!D126+Inputs!D127+Inputs!D128))-Inputs!D111)-Inputs!D129)-Inputs!D130)-(Inputs!D133+Inputs!D135+Inputs!D137))&lt;=0,"n.m.",G170/(((((((Inputs!D104+Inputs!D105+Inputs!D106-Inputs!D107-Inputs!D108-Inputs!D109)+(Inputs!D112+Inputs!D113+Inputs!D114+Inputs!D115+Inputs!D116+Inputs!D117+Inputs!D118+Inputs!D119))-(Inputs!D120+Inputs!D121+Inputs!D122+Inputs!D123+Inputs!D124+Inputs!D125+Inputs!D126+Inputs!D127+Inputs!D128))-Inputs!D111)-Inputs!D129)-Inputs!D130)-(Inputs!D133+Inputs!D135+Inputs!D137))-1),"")</f>
        <v>0.2512355848434926</v>
      </c>
      <c r="H171" s="31">
        <f>IFERROR(IF(C170&lt;=0,"n.m.",H170/C170-1),"")</f>
        <v>0.024843390111520813</v>
      </c>
      <c r="I171" s="1"/>
      <c r="J171" s="1"/>
      <c r="K171" s="1"/>
      <c r="L171" s="1"/>
    </row>
    <row r="172" ht="14.624267578125">
      <c r="A172" s="1"/>
      <c r="B172" s="19" t="s">
        <v>91</v>
      </c>
      <c r="C172" s="15">
        <f>IFERROR(IF((((((((Inputs!D104+Inputs!D105+Inputs!D106-Inputs!D107-Inputs!D108-Inputs!D109)+(Inputs!D112+Inputs!D113+Inputs!D114+Inputs!D115+Inputs!D116+Inputs!D117+Inputs!D118+Inputs!D119))-(Inputs!D120+Inputs!D121+Inputs!D122+Inputs!D123+Inputs!D124+Inputs!D125+Inputs!D126+Inputs!D127+Inputs!D128))-Inputs!D111)-Inputs!D129)-Inputs!D130)-(Inputs!D133+Inputs!D135+Inputs!D137))&lt;=0,"n.m.",C170/(((((((Inputs!D104+Inputs!D105+Inputs!D106-Inputs!D107-Inputs!D108-Inputs!D109)+(Inputs!D112+Inputs!D113+Inputs!D114+Inputs!D115+Inputs!D116+Inputs!D117+Inputs!D118+Inputs!D119))-(Inputs!D120+Inputs!D121+Inputs!D122+Inputs!D123+Inputs!D124+Inputs!D125+Inputs!D126+Inputs!D127+Inputs!D128))-Inputs!D111)-Inputs!D129)-Inputs!D130)-(Inputs!D133+Inputs!D135+Inputs!D137))-1),"")</f>
        <v>0.12767710049423386</v>
      </c>
      <c r="D172" s="7">
        <f>IFERROR(IF(C170&lt;=0,"n.m.",D170/C170-1),"")</f>
        <v>0.04894083272461658</v>
      </c>
      <c r="E172" s="7"/>
      <c r="F172" s="7">
        <f>IFERROR(IF(D170&lt;=0,"n.m.",F170/D170-1),"")</f>
        <v>-0.04108635097493041</v>
      </c>
      <c r="G172" s="7">
        <f>IFERROR(IF(F170&lt;=0,"n.m.",G170/F170-1),"")</f>
        <v>0.10312273057371102</v>
      </c>
      <c r="H172" s="31">
        <f>IFERROR(IF(G170&lt;=0,"n.m.",H170/G170-1),"")</f>
        <v>-0.07635905130831333</v>
      </c>
      <c r="I172" s="1"/>
      <c r="J172" s="1"/>
      <c r="K172" s="1"/>
      <c r="L172" s="1"/>
    </row>
    <row r="173" ht="14.624267578125">
      <c r="A173" s="1"/>
      <c r="B173" s="48" t="s">
        <v>342</v>
      </c>
      <c r="C173" s="64">
        <f>C170/C148</f>
        <v>1.0557846045165062</v>
      </c>
      <c r="D173" s="64">
        <f>D170/D148</f>
        <v>1.1174418984684198</v>
      </c>
      <c r="E173" s="64">
        <f>E170/E148</f>
        <v>3.9955477086052045</v>
      </c>
      <c r="F173" s="64">
        <f>F170/F148</f>
        <v>1.0871865160448835</v>
      </c>
      <c r="G173" s="64">
        <f>G170/G148</f>
        <v>1.2259491219008265</v>
      </c>
      <c r="H173" s="72">
        <f>H170/H148</f>
        <v>1.1556954599033273</v>
      </c>
      <c r="I173" s="1"/>
      <c r="J173" s="1"/>
      <c r="K173" s="1"/>
      <c r="L173" s="1"/>
    </row>
    <row r="174" ht="14.624267578125">
      <c r="A174" s="1"/>
      <c r="B174" s="19" t="s">
        <v>89</v>
      </c>
      <c r="C174" s="7"/>
      <c r="D174" s="7"/>
      <c r="E174" s="7"/>
      <c r="F174" s="15">
        <f>IFERROR(IF(((((((((Inputs!C104+Inputs!C105+Inputs!C106-Inputs!C107-Inputs!C108-Inputs!C109)+(Inputs!C112+Inputs!C113+Inputs!C114+Inputs!C115+Inputs!C116+Inputs!C117+Inputs!C118+Inputs!C119))-(Inputs!C120+Inputs!C121+Inputs!C122+Inputs!C123+Inputs!C124+Inputs!C125+Inputs!C126+Inputs!C127+Inputs!C128))-Inputs!C111)-Inputs!C129)-Inputs!C130)-(Inputs!C133+Inputs!C135+Inputs!C137))/Inputs!C140)&lt;=0,"n.m.",F173/((((((((Inputs!C104+Inputs!C105+Inputs!C106-Inputs!C107-Inputs!C108-Inputs!C109)+(Inputs!C112+Inputs!C113+Inputs!C114+Inputs!C115+Inputs!C116+Inputs!C117+Inputs!C118+Inputs!C119))-(Inputs!C120+Inputs!C121+Inputs!C122+Inputs!C123+Inputs!C124+Inputs!C125+Inputs!C126+Inputs!C127+Inputs!C128))-Inputs!C111)-Inputs!C129)-Inputs!C130)-(Inputs!C133+Inputs!C135+Inputs!C137))/Inputs!C140)-1),"")</f>
        <v>0.21399958134263497</v>
      </c>
      <c r="G174" s="15">
        <f>IFERROR(IF(((((((((Inputs!D104+Inputs!D105+Inputs!D106-Inputs!D107-Inputs!D108-Inputs!D109)+(Inputs!D112+Inputs!D113+Inputs!D114+Inputs!D115+Inputs!D116+Inputs!D117+Inputs!D118+Inputs!D119))-(Inputs!D120+Inputs!D121+Inputs!D122+Inputs!D123+Inputs!D124+Inputs!D125+Inputs!D126+Inputs!D127+Inputs!D128))-Inputs!D111)-Inputs!D129)-Inputs!D130)-(Inputs!D133+Inputs!D135+Inputs!D137))/Inputs!D140)&lt;=0,"n.m.",G173/((((((((Inputs!D104+Inputs!D105+Inputs!D106-Inputs!D107-Inputs!D108-Inputs!D109)+(Inputs!D112+Inputs!D113+Inputs!D114+Inputs!D115+Inputs!D116+Inputs!D117+Inputs!D118+Inputs!D119))-(Inputs!D120+Inputs!D121+Inputs!D122+Inputs!D123+Inputs!D124+Inputs!D125+Inputs!D126+Inputs!D127+Inputs!D128))-Inputs!D111)-Inputs!D129)-Inputs!D130)-(Inputs!D133+Inputs!D135+Inputs!D137))/Inputs!D140)-1),"")</f>
        <v>0.31784986311877117</v>
      </c>
      <c r="H174" s="31">
        <f>IFERROR(IF(C173&lt;=0,"n.m.",H173/C173-1),"")</f>
        <v>0.09463185479255487</v>
      </c>
      <c r="I174" s="1"/>
      <c r="J174" s="1"/>
      <c r="K174" s="1"/>
      <c r="L174" s="1"/>
    </row>
    <row r="175" ht="14.624267578125">
      <c r="A175" s="1"/>
      <c r="B175" s="19" t="s">
        <v>91</v>
      </c>
      <c r="C175" s="15">
        <f>IFERROR(IF(((((((((Inputs!D104+Inputs!D105+Inputs!D106-Inputs!D107-Inputs!D108-Inputs!D109)+(Inputs!D112+Inputs!D113+Inputs!D114+Inputs!D115+Inputs!D116+Inputs!D117+Inputs!D118+Inputs!D119))-(Inputs!D120+Inputs!D121+Inputs!D122+Inputs!D123+Inputs!D124+Inputs!D125+Inputs!D126+Inputs!D127+Inputs!D128))-Inputs!D111)-Inputs!D129)-Inputs!D130)-(Inputs!D133+Inputs!D135+Inputs!D137))/Inputs!D140)&lt;=0,"n.m.",C173/((((((((Inputs!D104+Inputs!D105+Inputs!D106-Inputs!D107-Inputs!D108-Inputs!D109)+(Inputs!D112+Inputs!D113+Inputs!D114+Inputs!D115+Inputs!D116+Inputs!D117+Inputs!D118+Inputs!D119))-(Inputs!D120+Inputs!D121+Inputs!D122+Inputs!D123+Inputs!D124+Inputs!D125+Inputs!D126+Inputs!D127+Inputs!D128))-Inputs!D111)-Inputs!D129)-Inputs!D130)-(Inputs!D133+Inputs!D135+Inputs!D137))/Inputs!D140)-1),"")</f>
        <v>0.1349293145115844</v>
      </c>
      <c r="D175" s="7">
        <f>IFERROR(IF(C173&lt;=0,"n.m.",D173/C173-1),"")</f>
        <v>0.05839950089076118</v>
      </c>
      <c r="E175" s="7"/>
      <c r="F175" s="7">
        <f>IFERROR(IF(D173&lt;=0,"n.m.",F173/D173-1),"")</f>
        <v>-0.027075575441555144</v>
      </c>
      <c r="G175" s="7">
        <f>IFERROR(IF(F173&lt;=0,"n.m.",G173/F173-1),"")</f>
        <v>0.12763459057674176</v>
      </c>
      <c r="H175" s="31">
        <f>IFERROR(IF(G173&lt;=0,"n.m.",H173/G173-1),"")</f>
        <v>-0.05730552821684087</v>
      </c>
      <c r="I175" s="1"/>
      <c r="J175" s="1"/>
      <c r="K175" s="1"/>
      <c r="L175" s="1"/>
    </row>
    <row r="176" ht="23.24853515625">
      <c r="A176" s="1"/>
      <c r="B176" s="19" t="s">
        <v>343</v>
      </c>
      <c r="C176" s="70">
        <f>C173-C170/C148</f>
        <v>0</v>
      </c>
      <c r="D176" s="70">
        <f>D173-D170/D148</f>
        <v>0</v>
      </c>
      <c r="E176" s="70">
        <f>E173-E170/E148</f>
        <v>0</v>
      </c>
      <c r="F176" s="70">
        <f>F173-F170/F148</f>
        <v>0</v>
      </c>
      <c r="G176" s="70">
        <f>G173-G170/G148</f>
        <v>0</v>
      </c>
      <c r="H176" s="75">
        <f>H173-H170/H148</f>
        <v>0</v>
      </c>
      <c r="I176" s="1"/>
      <c r="J176" s="1"/>
      <c r="K176" s="1"/>
      <c r="L176" s="1"/>
    </row>
    <row r="177" ht="23.24853515625">
      <c r="A177" s="1"/>
      <c r="B177" s="33" t="s">
        <v>344</v>
      </c>
      <c r="C177" s="3">
        <f>Inputs!E97</f>
        <v>1.06</v>
      </c>
      <c r="D177" s="3">
        <f>Inputs!E98</f>
        <v>1.12</v>
      </c>
      <c r="E177" s="6"/>
      <c r="F177" s="3">
        <f>Inputs!E99</f>
        <v>1.09</v>
      </c>
      <c r="G177" s="3">
        <f>Inputs!E100</f>
        <v>1.23</v>
      </c>
      <c r="H177" s="55">
        <f>Inputs!C19</f>
        <v>1.17</v>
      </c>
      <c r="I177" s="1"/>
      <c r="J177" s="1"/>
      <c r="K177" s="1"/>
      <c r="L177" s="1"/>
    </row>
    <row r="178" ht="23.24853515625">
      <c r="A178" s="1"/>
      <c r="B178" s="19" t="s">
        <v>345</v>
      </c>
      <c r="C178" s="70">
        <f>ROUND(C173,2)-C177</f>
        <v>0</v>
      </c>
      <c r="D178" s="70">
        <f>ROUND(D173,2)-D177</f>
        <v>0</v>
      </c>
      <c r="E178" s="70"/>
      <c r="F178" s="70">
        <f>ROUND(F173,2)-F177</f>
        <v>0</v>
      </c>
      <c r="G178" s="70">
        <f>ROUND(G173,2)-G177</f>
        <v>0</v>
      </c>
      <c r="H178" s="75"/>
      <c r="I178" s="1"/>
      <c r="J178" s="1"/>
      <c r="K178" s="1"/>
      <c r="L178" s="1"/>
    </row>
    <row r="179" ht="14.624267578125">
      <c r="A179" s="1"/>
      <c r="B179" s="33" t="s">
        <v>346</v>
      </c>
      <c r="C179" s="6"/>
      <c r="D179" s="6"/>
      <c r="E179" s="6"/>
      <c r="F179" s="6"/>
      <c r="G179" s="6"/>
      <c r="H179" s="90">
        <f>H173-H177</f>
        <v>-0.014304540096672591</v>
      </c>
      <c r="I179" s="1"/>
      <c r="J179" s="1"/>
      <c r="K179" s="1"/>
      <c r="L179" s="1"/>
    </row>
    <row r="180">
      <c r="A180" s="1"/>
      <c r="B180" s="33"/>
      <c r="C180" s="18"/>
      <c r="D180" s="18"/>
      <c r="E180" s="18"/>
      <c r="F180" s="18"/>
      <c r="G180" s="18"/>
      <c r="H180" s="45"/>
      <c r="I180" s="1"/>
      <c r="J180" s="1"/>
      <c r="K180" s="1"/>
      <c r="L180" s="1"/>
    </row>
    <row r="181" ht="14.624267578125">
      <c r="A181" s="1"/>
      <c r="B181" s="57" t="s">
        <v>347</v>
      </c>
      <c r="C181" s="18"/>
      <c r="D181" s="18"/>
      <c r="E181" s="18"/>
      <c r="F181" s="18"/>
      <c r="G181" s="18"/>
      <c r="H181" s="45"/>
      <c r="I181" s="1"/>
      <c r="J181" s="1"/>
      <c r="K181" s="1"/>
      <c r="L181" s="1"/>
    </row>
    <row r="182" ht="23.24853515625">
      <c r="A182" s="1"/>
      <c r="B182" s="19" t="s">
        <v>348</v>
      </c>
      <c r="C182" s="7">
        <f>IFERROR(C116/C70,"")</f>
        <v>0.5810680547522653</v>
      </c>
      <c r="D182" s="7">
        <f>IFERROR(D116/D70,"")</f>
        <v>0.6042699199390011</v>
      </c>
      <c r="E182" s="7">
        <f>IFERROR(E116/E70,"")</f>
        <v>0.5943205866430434</v>
      </c>
      <c r="F182" s="7">
        <f>IFERROR(F116/F70,"")</f>
        <v>0.578998447204969</v>
      </c>
      <c r="G182" s="7">
        <f>IFERROR(G116/G70,"")</f>
        <v>0.5802469135802469</v>
      </c>
      <c r="H182" s="31">
        <f>IFERROR(H116/H70,"")</f>
        <v>0.6000358077549502</v>
      </c>
      <c r="I182" s="1"/>
      <c r="J182" s="1"/>
      <c r="K182" s="1"/>
      <c r="L182" s="1"/>
    </row>
    <row r="183" ht="14.624267578125">
      <c r="A183" s="1"/>
      <c r="B183" s="33" t="s">
        <v>99</v>
      </c>
      <c r="C183" s="26"/>
      <c r="D183" s="26">
        <f>IFERROR((D182-C182)*10000,"")</f>
        <v>232.01865186735836</v>
      </c>
      <c r="E183" s="26"/>
      <c r="F183" s="26">
        <f>IFERROR((F182-D182)*10000,"")</f>
        <v>-252.71472734032184</v>
      </c>
      <c r="G183" s="26">
        <f>IFERROR((G182-F182)*10000,"")</f>
        <v>12.48466375277979</v>
      </c>
      <c r="H183" s="60">
        <f>IFERROR((H182-G182)*10000,"")</f>
        <v>197.88894174703307</v>
      </c>
      <c r="I183" s="1"/>
      <c r="J183" s="1"/>
      <c r="K183" s="1"/>
      <c r="L183" s="1"/>
    </row>
    <row r="184" ht="14.624267578125">
      <c r="A184" s="1"/>
      <c r="B184" s="33" t="s">
        <v>132</v>
      </c>
      <c r="C184" s="26"/>
      <c r="D184" s="26"/>
      <c r="E184" s="26"/>
      <c r="F184" s="56">
        <f>IFERROR((F182-((Inputs!C120+Inputs!C121+Inputs!C122+Inputs!C123+Inputs!C124+Inputs!C125+Inputs!C126+Inputs!C127+Inputs!C128)/((Inputs!C104+Inputs!C105+Inputs!C106-Inputs!C107-Inputs!C108-Inputs!C109)+(Inputs!C112+Inputs!C113+Inputs!C114+Inputs!C115+Inputs!C116+Inputs!C117+Inputs!C118+Inputs!C119))))*10000,"")</f>
        <v>-141.83834893418458</v>
      </c>
      <c r="G184" s="56">
        <f>IFERROR((G182-((Inputs!D120+Inputs!D121+Inputs!D122+Inputs!D123+Inputs!D124+Inputs!D125+Inputs!D126+Inputs!D127+Inputs!D128)/((Inputs!D104+Inputs!D105+Inputs!D106-Inputs!D107-Inputs!D108-Inputs!D109)+(Inputs!D112+Inputs!D113+Inputs!D114+Inputs!D115+Inputs!D116+Inputs!D117+Inputs!D118+Inputs!D119))))*10000,"")</f>
        <v>-185.0985401550198</v>
      </c>
      <c r="H184" s="60">
        <f>IFERROR((H182-C182)*10000,"")</f>
        <v>189.67753002684938</v>
      </c>
      <c r="I184" s="1"/>
      <c r="J184" s="1"/>
      <c r="K184" s="1"/>
      <c r="L184" s="1"/>
    </row>
    <row r="185" ht="14.624267578125">
      <c r="A185" s="1"/>
      <c r="B185" s="19" t="s">
        <v>349</v>
      </c>
      <c r="C185" s="7">
        <f>IFERROR(C122/C70,"")</f>
        <v>0.4189319452477347</v>
      </c>
      <c r="D185" s="7">
        <f>IFERROR(D122/D70,"")</f>
        <v>0.39573008006099886</v>
      </c>
      <c r="E185" s="7">
        <f>IFERROR(E122/E70,"")</f>
        <v>0.40567941335695656</v>
      </c>
      <c r="F185" s="7">
        <f>IFERROR(F122/F70,"")</f>
        <v>0.42100155279503104</v>
      </c>
      <c r="G185" s="7">
        <f>IFERROR(G122/G70,"")</f>
        <v>0.41975308641975306</v>
      </c>
      <c r="H185" s="31">
        <f>IFERROR(H122/H70,"")</f>
        <v>0.3999641922450497</v>
      </c>
      <c r="I185" s="1"/>
      <c r="J185" s="1"/>
      <c r="K185" s="1"/>
      <c r="L185" s="1"/>
    </row>
    <row r="186" ht="14.624267578125">
      <c r="A186" s="1"/>
      <c r="B186" s="33" t="s">
        <v>99</v>
      </c>
      <c r="C186" s="26"/>
      <c r="D186" s="26">
        <f>IFERROR((D185-C185)*10000,"")</f>
        <v>-232.01865186735836</v>
      </c>
      <c r="E186" s="26"/>
      <c r="F186" s="26">
        <f>IFERROR((F185-D185)*10000,"")</f>
        <v>252.71472734032184</v>
      </c>
      <c r="G186" s="26">
        <f>IFERROR((G185-F185)*10000,"")</f>
        <v>-12.48466375277979</v>
      </c>
      <c r="H186" s="60">
        <f>IFERROR((H185-G185)*10000,"")</f>
        <v>-197.88894174703364</v>
      </c>
      <c r="I186" s="1"/>
      <c r="J186" s="1"/>
      <c r="K186" s="1"/>
      <c r="L186" s="1"/>
    </row>
    <row r="187" ht="14.624267578125">
      <c r="A187" s="1"/>
      <c r="B187" s="33" t="s">
        <v>132</v>
      </c>
      <c r="C187" s="26"/>
      <c r="D187" s="26"/>
      <c r="E187" s="26"/>
      <c r="F187" s="56">
        <f>IFERROR((F185-((((Inputs!C104+Inputs!C105+Inputs!C106-Inputs!C107-Inputs!C108-Inputs!C109)+(Inputs!C112+Inputs!C113+Inputs!C114+Inputs!C115+Inputs!C116+Inputs!C117+Inputs!C118+Inputs!C119))-(Inputs!C120+Inputs!C121+Inputs!C122+Inputs!C123+Inputs!C124+Inputs!C125+Inputs!C126+Inputs!C127+Inputs!C128))/((Inputs!C104+Inputs!C105+Inputs!C106-Inputs!C107-Inputs!C108-Inputs!C109)+(Inputs!C112+Inputs!C113+Inputs!C114+Inputs!C115+Inputs!C116+Inputs!C117+Inputs!C118+Inputs!C119))))*10000,"")</f>
        <v>141.83834893418458</v>
      </c>
      <c r="G187" s="56">
        <f>IFERROR((G185-((((Inputs!D104+Inputs!D105+Inputs!D106-Inputs!D107-Inputs!D108-Inputs!D109)+(Inputs!D112+Inputs!D113+Inputs!D114+Inputs!D115+Inputs!D116+Inputs!D117+Inputs!D118+Inputs!D119))-(Inputs!D120+Inputs!D121+Inputs!D122+Inputs!D123+Inputs!D124+Inputs!D125+Inputs!D126+Inputs!D127+Inputs!D128))/((Inputs!D104+Inputs!D105+Inputs!D106-Inputs!D107-Inputs!D108-Inputs!D109)+(Inputs!D112+Inputs!D113+Inputs!D114+Inputs!D115+Inputs!D116+Inputs!D117+Inputs!D118+Inputs!D119))))*10000,"")</f>
        <v>185.09854015502037</v>
      </c>
      <c r="H187" s="60">
        <f>IFERROR((H185-C185)*10000,"")</f>
        <v>-189.67753002684995</v>
      </c>
      <c r="I187" s="1"/>
      <c r="J187" s="1"/>
      <c r="K187" s="1"/>
      <c r="L187" s="1"/>
    </row>
    <row r="188" ht="14.624267578125">
      <c r="A188" s="1"/>
      <c r="B188" s="19" t="s">
        <v>350</v>
      </c>
      <c r="C188" s="7">
        <f>IFERROR(C125/C70,"")</f>
        <v>0.33487565066512437</v>
      </c>
      <c r="D188" s="7">
        <f>IFERROR(D125/D70,"")</f>
        <v>0.298131910026687</v>
      </c>
      <c r="E188" s="7">
        <f>IFERROR(E125/E70,"")</f>
        <v>0.31246616467345834</v>
      </c>
      <c r="F188" s="7">
        <f>IFERROR(F125/F70,"")</f>
        <v>0.328027950310559</v>
      </c>
      <c r="G188" s="7">
        <f>IFERROR(G125/G70,"")</f>
        <v>0.34472934472934474</v>
      </c>
      <c r="H188" s="31">
        <f>IFERROR(H125/H70,"")</f>
        <v>0.42039362298432476</v>
      </c>
      <c r="I188" s="1"/>
      <c r="J188" s="1"/>
      <c r="K188" s="1"/>
      <c r="L188" s="1"/>
    </row>
    <row r="189" ht="14.624267578125">
      <c r="A189" s="1"/>
      <c r="B189" s="33" t="s">
        <v>99</v>
      </c>
      <c r="C189" s="26"/>
      <c r="D189" s="26">
        <f>IFERROR((D188-C188)*10000,"")</f>
        <v>-367.43740638437384</v>
      </c>
      <c r="E189" s="26"/>
      <c r="F189" s="26">
        <f>IFERROR((F188-D188)*10000,"")</f>
        <v>298.9604028387199</v>
      </c>
      <c r="G189" s="26">
        <f>IFERROR((G188-F188)*10000,"")</f>
        <v>167.01394418785765</v>
      </c>
      <c r="H189" s="60">
        <f>IFERROR((H188-G188)*10000,"")</f>
        <v>756.6427825498001</v>
      </c>
      <c r="I189" s="1"/>
      <c r="J189" s="1"/>
      <c r="K189" s="1"/>
      <c r="L189" s="1"/>
    </row>
    <row r="190" ht="14.624267578125">
      <c r="A190" s="1"/>
      <c r="B190" s="33" t="s">
        <v>132</v>
      </c>
      <c r="C190" s="26"/>
      <c r="D190" s="26"/>
      <c r="E190" s="26"/>
      <c r="F190" s="56">
        <f>IFERROR((F188-(((((Inputs!C104+Inputs!C105+Inputs!C106-Inputs!C107-Inputs!C108-Inputs!C109)+(Inputs!C112+Inputs!C113+Inputs!C114+Inputs!C115+Inputs!C116+Inputs!C117+Inputs!C118+Inputs!C119))-(Inputs!C120+Inputs!C121+Inputs!C122+Inputs!C123+Inputs!C124+Inputs!C125+Inputs!C126+Inputs!C127+Inputs!C128))-Inputs!C111)/((Inputs!C104+Inputs!C105+Inputs!C106-Inputs!C107-Inputs!C108-Inputs!C109)+(Inputs!C112+Inputs!C113+Inputs!C114+Inputs!C115+Inputs!C116+Inputs!C117+Inputs!C118+Inputs!C119))))*10000,"")</f>
        <v>146.9869944303498</v>
      </c>
      <c r="G190" s="56">
        <f>IFERROR((G188-(((((Inputs!D104+Inputs!D105+Inputs!D106-Inputs!D107-Inputs!D108-Inputs!D109)+(Inputs!D112+Inputs!D113+Inputs!D114+Inputs!D115+Inputs!D116+Inputs!D117+Inputs!D118+Inputs!D119))-(Inputs!D120+Inputs!D121+Inputs!D122+Inputs!D123+Inputs!D124+Inputs!D125+Inputs!D126+Inputs!D127+Inputs!D128))-Inputs!D111)/((Inputs!D104+Inputs!D105+Inputs!D106-Inputs!D107-Inputs!D108-Inputs!D109)+(Inputs!D112+Inputs!D113+Inputs!D114+Inputs!D115+Inputs!D116+Inputs!D117+Inputs!D118+Inputs!D119))))*10000,"")</f>
        <v>413.4053382098302</v>
      </c>
      <c r="H190" s="60">
        <f>IFERROR((H188-C188)*10000,"")</f>
        <v>855.1797231920038</v>
      </c>
      <c r="I190" s="1"/>
      <c r="J190" s="1"/>
      <c r="K190" s="1"/>
      <c r="L190" s="1"/>
    </row>
    <row r="191" ht="14.624267578125">
      <c r="A191" s="1"/>
      <c r="B191" s="19" t="s">
        <v>351</v>
      </c>
      <c r="C191" s="7">
        <f>IFERROR(C135/C70,"")</f>
        <v>0.2799305957200694</v>
      </c>
      <c r="D191" s="7">
        <f>IFERROR(D135/D70,"")</f>
        <v>0.2581014105985513</v>
      </c>
      <c r="E191" s="7">
        <f>IFERROR(E135/E70,"")</f>
        <v>0.26118411339140707</v>
      </c>
      <c r="F191" s="7">
        <f>IFERROR(F135/F70,"")</f>
        <v>0.2874611801242236</v>
      </c>
      <c r="G191" s="7">
        <f>IFERROR(G135/G70,"")</f>
        <v>0.2949667616334283</v>
      </c>
      <c r="H191" s="31">
        <f>IFERROR(H135/H70,"")</f>
        <v>0.35025143583007556</v>
      </c>
      <c r="I191" s="1"/>
      <c r="J191" s="1"/>
      <c r="K191" s="1"/>
      <c r="L191" s="1"/>
    </row>
    <row r="192" ht="14.624267578125">
      <c r="A192" s="1"/>
      <c r="B192" s="33" t="s">
        <v>99</v>
      </c>
      <c r="C192" s="26"/>
      <c r="D192" s="26">
        <f>IFERROR((D191-C191)*10000,"")</f>
        <v>-218.29185121518103</v>
      </c>
      <c r="E192" s="26"/>
      <c r="F192" s="26">
        <f>IFERROR((F191-D191)*10000,"")</f>
        <v>293.59769525672317</v>
      </c>
      <c r="G192" s="26">
        <f>IFERROR((G191-F191)*10000,"")</f>
        <v>75.05581509204661</v>
      </c>
      <c r="H192" s="60">
        <f>IFERROR((H191-G191)*10000,"")</f>
        <v>552.8467419664729</v>
      </c>
      <c r="I192" s="1"/>
      <c r="J192" s="1"/>
      <c r="K192" s="1"/>
      <c r="L192" s="1"/>
    </row>
    <row r="193" ht="14.624267578125">
      <c r="A193" s="1"/>
      <c r="B193" s="33" t="s">
        <v>132</v>
      </c>
      <c r="C193" s="26"/>
      <c r="D193" s="26"/>
      <c r="E193" s="26"/>
      <c r="F193" s="56">
        <f>IFERROR((F191-((((((Inputs!C104+Inputs!C105+Inputs!C106-Inputs!C107-Inputs!C108-Inputs!C109)+(Inputs!C112+Inputs!C113+Inputs!C114+Inputs!C115+Inputs!C116+Inputs!C117+Inputs!C118+Inputs!C119))-(Inputs!C120+Inputs!C121+Inputs!C122+Inputs!C123+Inputs!C124+Inputs!C125+Inputs!C126+Inputs!C127+Inputs!C128))-Inputs!C111)-Inputs!C129)/((Inputs!C104+Inputs!C105+Inputs!C106-Inputs!C107-Inputs!C108-Inputs!C109)+(Inputs!C112+Inputs!C113+Inputs!C114+Inputs!C115+Inputs!C116+Inputs!C117+Inputs!C118+Inputs!C119))))*10000,"")</f>
        <v>300.6171084477882</v>
      </c>
      <c r="G193" s="56">
        <f>IFERROR((G191-((((((Inputs!D104+Inputs!D105+Inputs!D106-Inputs!D107-Inputs!D108-Inputs!D109)+(Inputs!D112+Inputs!D113+Inputs!D114+Inputs!D115+Inputs!D116+Inputs!D117+Inputs!D118+Inputs!D119))-(Inputs!D120+Inputs!D121+Inputs!D122+Inputs!D123+Inputs!D124+Inputs!D125+Inputs!D126+Inputs!D127+Inputs!D128))-Inputs!D111)-Inputs!D129)/((Inputs!D104+Inputs!D105+Inputs!D106-Inputs!D107-Inputs!D108-Inputs!D109)+(Inputs!D112+Inputs!D113+Inputs!D114+Inputs!D115+Inputs!D116+Inputs!D117+Inputs!D118+Inputs!D119))))*10000,"")</f>
        <v>463.2028078321773</v>
      </c>
      <c r="H193" s="60">
        <f>IFERROR((H191-C191)*10000,"")</f>
        <v>703.2084011000617</v>
      </c>
      <c r="I193" s="1"/>
      <c r="J193" s="1"/>
      <c r="K193" s="1"/>
      <c r="L193" s="1"/>
    </row>
    <row r="194" ht="23.24853515625">
      <c r="A194" s="1"/>
      <c r="B194" s="19" t="s">
        <v>352</v>
      </c>
      <c r="C194" s="7"/>
      <c r="D194" s="7"/>
      <c r="E194" s="7"/>
      <c r="F194" s="7">
        <f>IFERROR(F74-F117,"")</f>
        <v>0.024038775229406895</v>
      </c>
      <c r="G194" s="7">
        <f>IFERROR(G74-G117,"")</f>
        <v>0.03170844942735074</v>
      </c>
      <c r="H194" s="31">
        <f>IFERROR(H74-H117,"")</f>
        <v>-0.0346531709568203</v>
      </c>
      <c r="I194" s="1" t="s">
        <v>353</v>
      </c>
      <c r="J194" s="1"/>
      <c r="K194" s="1"/>
      <c r="L194" s="1"/>
    </row>
    <row r="195">
      <c r="A195" s="1"/>
      <c r="B195" s="33"/>
      <c r="C195" s="18"/>
      <c r="D195" s="18"/>
      <c r="E195" s="18"/>
      <c r="F195" s="18"/>
      <c r="G195" s="18"/>
      <c r="H195" s="45"/>
      <c r="I195" s="1"/>
      <c r="J195" s="1"/>
      <c r="K195" s="1"/>
      <c r="L195" s="1"/>
    </row>
    <row r="196" ht="23.24853515625">
      <c r="A196" s="1"/>
      <c r="B196" s="57" t="s">
        <v>354</v>
      </c>
      <c r="C196" s="18"/>
      <c r="D196" s="18"/>
      <c r="E196" s="18"/>
      <c r="F196" s="18"/>
      <c r="G196" s="18"/>
      <c r="H196" s="45"/>
      <c r="I196" s="1"/>
      <c r="J196" s="1"/>
      <c r="K196" s="1"/>
      <c r="L196" s="1"/>
    </row>
    <row r="197" ht="14.624267578125">
      <c r="A197" s="1"/>
      <c r="B197" s="33" t="s">
        <v>355</v>
      </c>
      <c r="C197" s="11"/>
      <c r="D197" s="11"/>
      <c r="E197" s="11"/>
      <c r="F197" s="11"/>
      <c r="G197" s="11"/>
      <c r="H197" s="47">
        <v>535</v>
      </c>
      <c r="I197" s="1" t="s">
        <v>356</v>
      </c>
      <c r="J197" s="1"/>
      <c r="K197" s="1"/>
      <c r="L197" s="1"/>
    </row>
    <row r="198" ht="14.624267578125">
      <c r="A198" s="1"/>
      <c r="B198" s="33" t="s">
        <v>357</v>
      </c>
      <c r="C198" s="11"/>
      <c r="D198" s="11"/>
      <c r="E198" s="11"/>
      <c r="F198" s="11"/>
      <c r="G198" s="11"/>
      <c r="H198" s="47">
        <v>410</v>
      </c>
      <c r="I198" s="1" t="s">
        <v>358</v>
      </c>
      <c r="J198" s="1"/>
      <c r="K198" s="1"/>
      <c r="L198" s="1"/>
    </row>
    <row r="199" ht="14.624267578125">
      <c r="A199" s="1"/>
      <c r="B199" s="19" t="s">
        <v>359</v>
      </c>
      <c r="C199" s="7"/>
      <c r="D199" s="7"/>
      <c r="E199" s="7"/>
      <c r="F199" s="7"/>
      <c r="G199" s="7"/>
      <c r="H199" s="31">
        <f>1-H198/H197</f>
        <v>0.23364485981308414</v>
      </c>
      <c r="I199" s="1"/>
      <c r="J199" s="1"/>
      <c r="K199" s="1"/>
      <c r="L199" s="1"/>
    </row>
    <row r="200" ht="14.624267578125">
      <c r="A200" s="1"/>
      <c r="B200" s="33" t="s">
        <v>360</v>
      </c>
      <c r="C200" s="11"/>
      <c r="D200" s="11"/>
      <c r="E200" s="11"/>
      <c r="F200" s="11"/>
      <c r="G200" s="11"/>
      <c r="H200" s="47">
        <v>65</v>
      </c>
      <c r="I200" s="1" t="s">
        <v>358</v>
      </c>
      <c r="J200" s="1"/>
      <c r="K200" s="1"/>
      <c r="L200" s="1"/>
    </row>
    <row r="201" ht="23.24853515625">
      <c r="A201" s="1"/>
      <c r="B201" s="33" t="s">
        <v>361</v>
      </c>
      <c r="C201" s="11"/>
      <c r="D201" s="11"/>
      <c r="E201" s="11"/>
      <c r="F201" s="11"/>
      <c r="G201" s="11"/>
      <c r="H201" s="29">
        <f>H200/(1-H199)</f>
        <v>84.8170731707317</v>
      </c>
      <c r="I201" s="1"/>
      <c r="J201" s="1"/>
      <c r="K201" s="1"/>
      <c r="L201" s="1"/>
    </row>
    <row r="202" ht="23.24853515625">
      <c r="A202" s="1"/>
      <c r="B202" s="33" t="s">
        <v>362</v>
      </c>
      <c r="C202" s="11"/>
      <c r="D202" s="11"/>
      <c r="E202" s="11"/>
      <c r="F202" s="11"/>
      <c r="G202" s="11"/>
      <c r="H202" s="105">
        <v>0</v>
      </c>
      <c r="I202" s="1" t="s">
        <v>363</v>
      </c>
      <c r="J202" s="1"/>
      <c r="K202" s="1"/>
      <c r="L202" s="1"/>
    </row>
    <row r="203" ht="14.624267578125">
      <c r="A203" s="1"/>
      <c r="B203" s="33" t="s">
        <v>364</v>
      </c>
      <c r="C203" s="11"/>
      <c r="D203" s="11"/>
      <c r="E203" s="11"/>
      <c r="F203" s="11"/>
      <c r="G203" s="11"/>
      <c r="H203" s="29">
        <f>H202/(1-H199)</f>
        <v>0</v>
      </c>
      <c r="I203" s="1"/>
      <c r="J203" s="1"/>
      <c r="K203" s="1"/>
      <c r="L203" s="1"/>
    </row>
    <row r="204">
      <c r="A204" s="1"/>
      <c r="B204" s="33"/>
      <c r="C204" s="18"/>
      <c r="D204" s="18"/>
      <c r="E204" s="18"/>
      <c r="F204" s="18"/>
      <c r="G204" s="18"/>
      <c r="H204" s="45"/>
      <c r="I204" s="1"/>
      <c r="J204" s="1"/>
      <c r="K204" s="1"/>
      <c r="L204" s="1"/>
    </row>
    <row r="205" ht="14.624267578125">
      <c r="A205" s="1"/>
      <c r="B205" s="57" t="s">
        <v>365</v>
      </c>
      <c r="C205" s="18"/>
      <c r="D205" s="18"/>
      <c r="E205" s="18"/>
      <c r="F205" s="18"/>
      <c r="G205" s="18"/>
      <c r="H205" s="45"/>
      <c r="I205" s="1"/>
      <c r="J205" s="1"/>
      <c r="K205" s="1"/>
      <c r="L205" s="1"/>
    </row>
    <row r="206" ht="14.624267578125">
      <c r="A206" s="1"/>
      <c r="B206" s="33" t="s">
        <v>366</v>
      </c>
      <c r="C206" s="11">
        <f>C125-C167</f>
        <v>1764</v>
      </c>
      <c r="D206" s="11">
        <f>D125-D167</f>
        <v>1757</v>
      </c>
      <c r="E206" s="11">
        <f>E125-E167</f>
        <v>6653</v>
      </c>
      <c r="F206" s="11">
        <f>F125-F167</f>
        <v>1690</v>
      </c>
      <c r="G206" s="11">
        <f>G125-G167</f>
        <v>1815</v>
      </c>
      <c r="H206" s="29">
        <f>H125-H167</f>
        <v>1784.718354191379</v>
      </c>
      <c r="I206" s="1"/>
      <c r="J206" s="1"/>
      <c r="K206" s="1"/>
      <c r="L206" s="1"/>
    </row>
    <row r="207" ht="14.624267578125">
      <c r="A207" s="1"/>
      <c r="B207" s="19" t="s">
        <v>367</v>
      </c>
      <c r="C207" s="7">
        <f>IFERROR(C206/C70,"")</f>
        <v>0.340080971659919</v>
      </c>
      <c r="D207" s="7">
        <f>IFERROR(D206/D70,"")</f>
        <v>0.3349218452154022</v>
      </c>
      <c r="E207" s="7">
        <f>IFERROR(E206/E70,"")</f>
        <v>0.3274275308824253</v>
      </c>
      <c r="F207" s="7">
        <f>IFERROR(F206/F70,"")</f>
        <v>0.328027950310559</v>
      </c>
      <c r="G207" s="7">
        <f>IFERROR(G206/G70,"")</f>
        <v>0.34472934472934474</v>
      </c>
      <c r="H207" s="31">
        <f>IFERROR(H206/H70,"")</f>
        <v>0.33571246358697826</v>
      </c>
      <c r="I207" s="1"/>
      <c r="J207" s="1"/>
      <c r="K207" s="1"/>
      <c r="L207" s="1"/>
    </row>
    <row r="208" ht="14.624267578125">
      <c r="A208" s="1"/>
      <c r="B208" s="33" t="s">
        <v>99</v>
      </c>
      <c r="C208" s="26"/>
      <c r="D208" s="26">
        <f>IFERROR((D207-C207)*10000,"")</f>
        <v>-51.591264445168264</v>
      </c>
      <c r="E208" s="26"/>
      <c r="F208" s="26">
        <f>IFERROR((F207-D207)*10000,"")</f>
        <v>-68.93894904843212</v>
      </c>
      <c r="G208" s="26">
        <f>IFERROR((G207-F207)*10000,"")</f>
        <v>167.01394418785765</v>
      </c>
      <c r="H208" s="60">
        <f>IFERROR((H207-G207)*10000,"")</f>
        <v>-90.16881142366483</v>
      </c>
      <c r="I208" s="1"/>
      <c r="J208" s="1"/>
      <c r="K208" s="1"/>
      <c r="L208" s="1"/>
    </row>
    <row r="209" ht="14.624267578125">
      <c r="A209" s="1"/>
      <c r="B209" s="33" t="s">
        <v>132</v>
      </c>
      <c r="C209" s="26"/>
      <c r="D209" s="26"/>
      <c r="E209" s="26"/>
      <c r="F209" s="56">
        <f>IFERROR((F207-((((((Inputs!C104+Inputs!C105+Inputs!C106-Inputs!C107-Inputs!C108-Inputs!C109)+(Inputs!C112+Inputs!C113+Inputs!C114+Inputs!C115+Inputs!C116+Inputs!C117+Inputs!C118+Inputs!C119))-(Inputs!C120+Inputs!C121+Inputs!C122+Inputs!C123+Inputs!C124+Inputs!C125+Inputs!C126+Inputs!C127+Inputs!C128))-Inputs!C111)-(Inputs!C132+Inputs!C134+Inputs!C136))/((Inputs!C104+Inputs!C105+Inputs!C106-Inputs!C107-Inputs!C108-Inputs!C109)+(Inputs!C112+Inputs!C113+Inputs!C114+Inputs!C115+Inputs!C116+Inputs!C117+Inputs!C118+Inputs!C119))))*10000,"")</f>
        <v>69.42014405272201</v>
      </c>
      <c r="G209" s="56">
        <f>IFERROR((G207-((((((Inputs!D104+Inputs!D105+Inputs!D106-Inputs!D107-Inputs!D108-Inputs!D109)+(Inputs!D112+Inputs!D113+Inputs!D114+Inputs!D115+Inputs!D116+Inputs!D117+Inputs!D118+Inputs!D119))-(Inputs!D120+Inputs!D121+Inputs!D122+Inputs!D123+Inputs!D124+Inputs!D125+Inputs!D126+Inputs!D127+Inputs!D128))-Inputs!D111)-(Inputs!D132+Inputs!D134+Inputs!D136))/((Inputs!D104+Inputs!D105+Inputs!D106-Inputs!D107-Inputs!D108-Inputs!D109)+(Inputs!D112+Inputs!D113+Inputs!D114+Inputs!D115+Inputs!D116+Inputs!D117+Inputs!D118+Inputs!D119))))*10000,"")</f>
        <v>321.1655146686226</v>
      </c>
      <c r="H209" s="60">
        <f>IFERROR((H207-C207)*10000,"")</f>
        <v>-43.685080729407574</v>
      </c>
      <c r="I209" s="1"/>
      <c r="J209" s="1"/>
      <c r="K209" s="1"/>
      <c r="L209" s="1"/>
    </row>
    <row r="210">
      <c r="A210" s="1"/>
      <c r="B210" s="33"/>
      <c r="C210" s="18"/>
      <c r="D210" s="18"/>
      <c r="E210" s="18"/>
      <c r="F210" s="18"/>
      <c r="G210" s="18"/>
      <c r="H210" s="45"/>
      <c r="I210" s="1"/>
      <c r="J210" s="1"/>
      <c r="K210" s="1"/>
      <c r="L210" s="1"/>
    </row>
    <row r="211">
      <c r="A211" s="1"/>
      <c r="B211" s="33"/>
      <c r="C211" s="18"/>
      <c r="D211" s="18"/>
      <c r="E211" s="18"/>
      <c r="F211" s="18"/>
      <c r="G211" s="18"/>
      <c r="H211" s="45"/>
      <c r="I211" s="1"/>
      <c r="J211" s="1"/>
      <c r="K211" s="1"/>
      <c r="L211" s="1"/>
    </row>
    <row r="212">
      <c r="A212" s="1"/>
      <c r="B212" s="33"/>
      <c r="C212" s="18"/>
      <c r="D212" s="18"/>
      <c r="E212" s="18"/>
      <c r="F212" s="18"/>
      <c r="G212" s="18"/>
      <c r="H212" s="45"/>
      <c r="I212" s="1"/>
      <c r="J212" s="1"/>
      <c r="K212" s="1"/>
      <c r="L212" s="1"/>
    </row>
    <row r="2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</row>
  </sheetData>
</worksheet>
</file>

<file path=xl/worksheets/sheet7.xml><?xml version="1.0" encoding="utf-8"?>
<worksheet xmlns="http://schemas.openxmlformats.org/spreadsheetml/2006/main" xmlns:r="http://schemas.openxmlformats.org/officeDocument/2006/relationships">
  <dimension ref="A1:L130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8" width="12" customWidth="1"/>
    <col min="9" max="9" width="7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>
      <c r="A2" s="1"/>
      <c r="B2" s="2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>
      <c r="A3" s="1"/>
      <c r="B3" s="12" t="s">
        <v>368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>
      <c r="A4" s="1"/>
      <c r="B4" s="8" t="s">
        <v>369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>
      <c r="A6" s="1"/>
      <c r="B6" s="49" t="s">
        <v>76</v>
      </c>
      <c r="C6" s="17" t="s">
        <v>77</v>
      </c>
      <c r="D6" s="17" t="s">
        <v>78</v>
      </c>
      <c r="E6" s="17" t="s">
        <v>79</v>
      </c>
      <c r="F6" s="17" t="s">
        <v>80</v>
      </c>
      <c r="G6" s="17" t="s">
        <v>81</v>
      </c>
      <c r="H6" s="17" t="s">
        <v>82</v>
      </c>
      <c r="I6" s="49" t="s">
        <v>83</v>
      </c>
      <c r="J6" s="1"/>
      <c r="K6" s="1"/>
      <c r="L6" s="1"/>
    </row>
    <row r="7">
      <c r="A7" s="1"/>
      <c r="B7" s="54" t="s">
        <v>84</v>
      </c>
      <c r="C7" s="37">
        <f>DATE(2025,9,30)</f>
        <v>45930</v>
      </c>
      <c r="D7" s="37">
        <f>DATE(2025,12,31)</f>
        <v>46022</v>
      </c>
      <c r="E7" s="37">
        <f>DATE(2025,12,31)</f>
        <v>46022</v>
      </c>
      <c r="F7" s="37">
        <f>DATE(2026,3,31)</f>
        <v>46112</v>
      </c>
      <c r="G7" s="37">
        <f>DATE(2026,6,30)</f>
        <v>46203</v>
      </c>
      <c r="H7" s="37">
        <f>DATE(2026,9,30)</f>
        <v>46295</v>
      </c>
      <c r="I7" s="30"/>
      <c r="J7" s="1"/>
      <c r="K7" s="1"/>
      <c r="L7" s="1"/>
    </row>
    <row r="8">
      <c r="A8" s="1"/>
      <c r="B8" s="40" t="s">
        <v>85</v>
      </c>
      <c r="C8" s="27">
        <f>C7-DATE(2025,6,30)</f>
        <v>92</v>
      </c>
      <c r="D8" s="27">
        <f>D7-DATE(2025,9,30)</f>
        <v>92</v>
      </c>
      <c r="E8" s="27">
        <f>E7-DATE(2024,12,31)</f>
        <v>365</v>
      </c>
      <c r="F8" s="27">
        <f>F7-DATE(2025,12,31)</f>
        <v>90</v>
      </c>
      <c r="G8" s="27">
        <f>G7-DATE(2026,3,31)</f>
        <v>91</v>
      </c>
      <c r="H8" s="27">
        <f>H7-DATE(2026,6,30)</f>
        <v>92</v>
      </c>
      <c r="I8" s="58"/>
      <c r="J8" s="1"/>
      <c r="K8" s="1"/>
      <c r="L8" s="1"/>
    </row>
    <row r="9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ht="14.624267578125">
      <c r="A10" s="1"/>
      <c r="B10" s="57" t="s">
        <v>370</v>
      </c>
      <c r="C10" s="18"/>
      <c r="D10" s="18"/>
      <c r="E10" s="18"/>
      <c r="F10" s="18"/>
      <c r="G10" s="18"/>
      <c r="H10" s="45"/>
      <c r="I10" s="1"/>
      <c r="J10" s="1"/>
      <c r="K10" s="1"/>
      <c r="L10" s="1"/>
    </row>
    <row r="11" ht="14.624267578125">
      <c r="A11" s="1"/>
      <c r="B11" s="33" t="s">
        <v>371</v>
      </c>
      <c r="C11" s="22">
        <v>4329</v>
      </c>
      <c r="D11" s="22">
        <v>4967</v>
      </c>
      <c r="E11" s="11">
        <f>D11</f>
        <v>4967</v>
      </c>
      <c r="F11" s="22">
        <v>4294</v>
      </c>
      <c r="G11" s="22">
        <v>4707</v>
      </c>
      <c r="H11" s="29">
        <f>G11</f>
        <v>4707</v>
      </c>
      <c r="I11" s="1" t="s">
        <v>372</v>
      </c>
      <c r="J11" s="1"/>
      <c r="K11" s="1"/>
      <c r="L11" s="1"/>
    </row>
    <row r="12" ht="14.624267578125">
      <c r="A12" s="1"/>
      <c r="B12" s="33" t="s">
        <v>373</v>
      </c>
      <c r="C12" s="22">
        <v>32523</v>
      </c>
      <c r="D12" s="22">
        <v>31410</v>
      </c>
      <c r="E12" s="11">
        <f>D12</f>
        <v>31410</v>
      </c>
      <c r="F12" s="22">
        <v>31903</v>
      </c>
      <c r="G12" s="22">
        <v>34581</v>
      </c>
      <c r="H12" s="29">
        <f>H116</f>
        <v>34178.15226012876</v>
      </c>
      <c r="I12" s="1" t="s">
        <v>374</v>
      </c>
      <c r="J12" s="1"/>
      <c r="K12" s="1"/>
      <c r="L12" s="1"/>
    </row>
    <row r="13" ht="14.624267578125">
      <c r="A13" s="1"/>
      <c r="B13" s="33" t="s">
        <v>375</v>
      </c>
      <c r="C13" s="22">
        <v>2981</v>
      </c>
      <c r="D13" s="22">
        <v>3200</v>
      </c>
      <c r="E13" s="11">
        <f>D13</f>
        <v>3200</v>
      </c>
      <c r="F13" s="22">
        <v>4047</v>
      </c>
      <c r="G13" s="22">
        <v>4431</v>
      </c>
      <c r="H13" s="29">
        <f>G13</f>
        <v>4431</v>
      </c>
      <c r="I13" s="1" t="s">
        <v>372</v>
      </c>
      <c r="J13" s="1"/>
      <c r="K13" s="1"/>
      <c r="L13" s="1"/>
    </row>
    <row r="14" ht="14.624267578125">
      <c r="A14" s="1"/>
      <c r="B14" s="33" t="s">
        <v>376</v>
      </c>
      <c r="C14" s="22">
        <v>5731</v>
      </c>
      <c r="D14" s="22">
        <v>5790</v>
      </c>
      <c r="E14" s="11">
        <f>D14</f>
        <v>5790</v>
      </c>
      <c r="F14" s="22">
        <v>5235</v>
      </c>
      <c r="G14" s="22">
        <v>5288</v>
      </c>
      <c r="H14" s="29">
        <f>G14</f>
        <v>5288</v>
      </c>
      <c r="I14" s="1" t="s">
        <v>372</v>
      </c>
      <c r="J14" s="1"/>
      <c r="K14" s="1"/>
      <c r="L14" s="1"/>
    </row>
    <row r="15" ht="14.624267578125">
      <c r="A15" s="1"/>
      <c r="B15" s="33" t="s">
        <v>377</v>
      </c>
      <c r="C15" s="22">
        <v>65522</v>
      </c>
      <c r="D15" s="22">
        <v>65042</v>
      </c>
      <c r="E15" s="11">
        <f>D15</f>
        <v>65042</v>
      </c>
      <c r="F15" s="22">
        <v>65430</v>
      </c>
      <c r="G15" s="22">
        <v>67651</v>
      </c>
      <c r="H15" s="29">
        <f>G15</f>
        <v>67651</v>
      </c>
      <c r="I15" s="1" t="s">
        <v>378</v>
      </c>
      <c r="J15" s="1"/>
      <c r="K15" s="1"/>
      <c r="L15" s="1"/>
    </row>
    <row r="16" ht="14.624267578125">
      <c r="A16" s="1"/>
      <c r="B16" s="33" t="s">
        <v>379</v>
      </c>
      <c r="C16" s="22">
        <v>48022</v>
      </c>
      <c r="D16" s="22">
        <v>47186</v>
      </c>
      <c r="E16" s="11">
        <f>D16</f>
        <v>47186</v>
      </c>
      <c r="F16" s="22">
        <v>46436</v>
      </c>
      <c r="G16" s="22">
        <v>46351</v>
      </c>
      <c r="H16" s="29">
        <f>G16-H112</f>
        <v>45451</v>
      </c>
      <c r="I16" s="1" t="s">
        <v>380</v>
      </c>
      <c r="J16" s="1"/>
      <c r="K16" s="1"/>
      <c r="L16" s="1"/>
    </row>
    <row r="17" ht="14.624267578125">
      <c r="A17" s="1"/>
      <c r="B17" s="33" t="s">
        <v>381</v>
      </c>
      <c r="C17" s="18"/>
      <c r="D17" s="18"/>
      <c r="E17" s="18"/>
      <c r="F17" s="18"/>
      <c r="G17" s="18"/>
      <c r="H17" s="45"/>
      <c r="I17" s="1"/>
      <c r="J17" s="1"/>
      <c r="K17" s="1"/>
      <c r="L17" s="1"/>
    </row>
    <row r="18" ht="14.624267578125">
      <c r="A18" s="1"/>
      <c r="B18" s="33" t="s">
        <v>382</v>
      </c>
      <c r="C18" s="22">
        <v>163607</v>
      </c>
      <c r="D18" s="22">
        <v>167808</v>
      </c>
      <c r="E18" s="11">
        <f>D18</f>
        <v>167808</v>
      </c>
      <c r="F18" s="22">
        <v>169247</v>
      </c>
      <c r="G18" s="22">
        <v>168826</v>
      </c>
      <c r="H18" s="29">
        <f>G18*(1+H19)</f>
        <v>169670.12999999998</v>
      </c>
      <c r="I18" s="1"/>
      <c r="J18" s="1"/>
      <c r="K18" s="1"/>
      <c r="L18" s="1"/>
    </row>
    <row r="19" ht="14.624267578125">
      <c r="A19" s="1"/>
      <c r="B19" s="19" t="s">
        <v>383</v>
      </c>
      <c r="C19" s="7"/>
      <c r="D19" s="7">
        <f>IFERROR(IF(C18&lt;=0,"n.m.",D18/C18-1),"")</f>
        <v>0.0256773854419432</v>
      </c>
      <c r="E19" s="7"/>
      <c r="F19" s="7">
        <f>IFERROR(IF(D18&lt;=0,"n.m.",F18/D18-1),"")</f>
        <v>0.008575276506483709</v>
      </c>
      <c r="G19" s="7">
        <f>IFERROR(IF(F18&lt;=0,"n.m.",G18/F18-1),"")</f>
        <v>-0.0024874886999474155</v>
      </c>
      <c r="H19" s="65">
        <v>0.005</v>
      </c>
      <c r="I19" s="1"/>
      <c r="J19" s="1"/>
      <c r="K19" s="1"/>
      <c r="L19" s="1"/>
    </row>
    <row r="20" ht="14.624267578125">
      <c r="A20" s="1"/>
      <c r="B20" s="19" t="s">
        <v>384</v>
      </c>
      <c r="C20" s="7"/>
      <c r="D20" s="7"/>
      <c r="E20" s="7"/>
      <c r="F20" s="7"/>
      <c r="G20" s="7"/>
      <c r="H20" s="31">
        <f>IFERROR(IF(C18&lt;=0,"n.m.",H18/C18-1),"")</f>
        <v>0.0370591111627252</v>
      </c>
      <c r="I20" s="1"/>
      <c r="J20" s="1"/>
      <c r="K20" s="1"/>
      <c r="L20" s="1"/>
    </row>
    <row r="21" ht="14.624267578125">
      <c r="A21" s="1"/>
      <c r="B21" s="33" t="s">
        <v>385</v>
      </c>
      <c r="C21" s="11"/>
      <c r="D21" s="11">
        <f>D18-C18</f>
        <v>4201</v>
      </c>
      <c r="E21" s="11"/>
      <c r="F21" s="11">
        <f>F18-D18</f>
        <v>1439</v>
      </c>
      <c r="G21" s="11">
        <f>G18-F18</f>
        <v>-421</v>
      </c>
      <c r="H21" s="29">
        <f>H18-G18</f>
        <v>844.1299999999756</v>
      </c>
      <c r="I21" s="1"/>
      <c r="J21" s="1"/>
      <c r="K21" s="1"/>
      <c r="L21" s="1"/>
    </row>
    <row r="22" ht="14.624267578125">
      <c r="A22" s="1"/>
      <c r="B22" s="33" t="s">
        <v>386</v>
      </c>
      <c r="C22" s="22">
        <v>22414</v>
      </c>
      <c r="D22" s="22">
        <v>23720</v>
      </c>
      <c r="E22" s="11">
        <f>D22</f>
        <v>23720</v>
      </c>
      <c r="F22" s="22">
        <v>24447</v>
      </c>
      <c r="G22" s="22">
        <v>25479</v>
      </c>
      <c r="H22" s="29">
        <f>G22*(1+H23)</f>
        <v>25861.184999999998</v>
      </c>
      <c r="I22" s="1"/>
      <c r="J22" s="1"/>
      <c r="K22" s="1"/>
      <c r="L22" s="1"/>
    </row>
    <row r="23" ht="14.624267578125">
      <c r="A23" s="1"/>
      <c r="B23" s="19" t="s">
        <v>383</v>
      </c>
      <c r="C23" s="7"/>
      <c r="D23" s="7">
        <f>IFERROR(IF(C22&lt;=0,"n.m.",D22/C22-1),"")</f>
        <v>0.058267154457035675</v>
      </c>
      <c r="E23" s="7"/>
      <c r="F23" s="7">
        <f>IFERROR(IF(D22&lt;=0,"n.m.",F22/D22-1),"")</f>
        <v>0.030649241146711637</v>
      </c>
      <c r="G23" s="7">
        <f>IFERROR(IF(F22&lt;=0,"n.m.",G22/F22-1),"")</f>
        <v>0.04221376856055947</v>
      </c>
      <c r="H23" s="65">
        <v>0.015</v>
      </c>
      <c r="I23" s="1"/>
      <c r="J23" s="1"/>
      <c r="K23" s="1"/>
      <c r="L23" s="1"/>
    </row>
    <row r="24" ht="14.624267578125">
      <c r="A24" s="1"/>
      <c r="B24" s="19" t="s">
        <v>384</v>
      </c>
      <c r="C24" s="7"/>
      <c r="D24" s="7"/>
      <c r="E24" s="7"/>
      <c r="F24" s="7"/>
      <c r="G24" s="7"/>
      <c r="H24" s="31">
        <f>IFERROR(IF(C22&lt;=0,"n.m.",H22/C22-1),"")</f>
        <v>0.15379606495940035</v>
      </c>
      <c r="I24" s="1"/>
      <c r="J24" s="1"/>
      <c r="K24" s="1"/>
      <c r="L24" s="1"/>
    </row>
    <row r="25" ht="14.624267578125">
      <c r="A25" s="1"/>
      <c r="B25" s="33" t="s">
        <v>385</v>
      </c>
      <c r="C25" s="11"/>
      <c r="D25" s="11">
        <f>D22-C22</f>
        <v>1306</v>
      </c>
      <c r="E25" s="11"/>
      <c r="F25" s="11">
        <f>F22-D22</f>
        <v>727</v>
      </c>
      <c r="G25" s="11">
        <f>G22-F22</f>
        <v>1032</v>
      </c>
      <c r="H25" s="29">
        <f>H22-G22</f>
        <v>382.1849999999977</v>
      </c>
      <c r="I25" s="1"/>
      <c r="J25" s="1"/>
      <c r="K25" s="1"/>
      <c r="L25" s="1"/>
    </row>
    <row r="26" ht="14.624267578125">
      <c r="A26" s="1"/>
      <c r="B26" s="33" t="s">
        <v>387</v>
      </c>
      <c r="C26" s="22">
        <v>8027</v>
      </c>
      <c r="D26" s="22">
        <v>7783</v>
      </c>
      <c r="E26" s="11">
        <f>D26</f>
        <v>7783</v>
      </c>
      <c r="F26" s="22">
        <v>7620</v>
      </c>
      <c r="G26" s="22">
        <v>7372</v>
      </c>
      <c r="H26" s="29">
        <f>G26*(1+H27)</f>
        <v>7224.5599999999995</v>
      </c>
      <c r="I26" s="1"/>
      <c r="J26" s="1"/>
      <c r="K26" s="1"/>
      <c r="L26" s="1"/>
    </row>
    <row r="27" ht="14.624267578125">
      <c r="A27" s="1"/>
      <c r="B27" s="19" t="s">
        <v>383</v>
      </c>
      <c r="C27" s="7"/>
      <c r="D27" s="7">
        <f>IFERROR(IF(C26&lt;=0,"n.m.",D26/C26-1),"")</f>
        <v>-0.030397408745484022</v>
      </c>
      <c r="E27" s="7"/>
      <c r="F27" s="7">
        <f>IFERROR(IF(D26&lt;=0,"n.m.",F26/D26-1),"")</f>
        <v>-0.020943081074135894</v>
      </c>
      <c r="G27" s="7">
        <f>IFERROR(IF(F26&lt;=0,"n.m.",G26/F26-1),"")</f>
        <v>-0.032545931758530156</v>
      </c>
      <c r="H27" s="65">
        <v>-0.02</v>
      </c>
      <c r="I27" s="1"/>
      <c r="J27" s="1"/>
      <c r="K27" s="1"/>
      <c r="L27" s="1"/>
    </row>
    <row r="28" ht="14.624267578125">
      <c r="A28" s="1"/>
      <c r="B28" s="19" t="s">
        <v>384</v>
      </c>
      <c r="C28" s="7"/>
      <c r="D28" s="7"/>
      <c r="E28" s="7"/>
      <c r="F28" s="7"/>
      <c r="G28" s="7"/>
      <c r="H28" s="31">
        <f>IFERROR(IF(C26&lt;=0,"n.m.",H26/C26-1),"")</f>
        <v>-0.09996760931854998</v>
      </c>
      <c r="I28" s="1"/>
      <c r="J28" s="1"/>
      <c r="K28" s="1"/>
      <c r="L28" s="1"/>
    </row>
    <row r="29" ht="14.624267578125">
      <c r="A29" s="1"/>
      <c r="B29" s="33" t="s">
        <v>385</v>
      </c>
      <c r="C29" s="11"/>
      <c r="D29" s="11">
        <f>D26-C26</f>
        <v>-244</v>
      </c>
      <c r="E29" s="11"/>
      <c r="F29" s="11">
        <f>F26-D26</f>
        <v>-163</v>
      </c>
      <c r="G29" s="11">
        <f>G26-F26</f>
        <v>-248</v>
      </c>
      <c r="H29" s="29">
        <f>H26-G26</f>
        <v>-147.4400000000005</v>
      </c>
      <c r="I29" s="1"/>
      <c r="J29" s="1"/>
      <c r="K29" s="1"/>
      <c r="L29" s="1"/>
    </row>
    <row r="30" ht="14.624267578125">
      <c r="A30" s="1"/>
      <c r="B30" s="33" t="s">
        <v>388</v>
      </c>
      <c r="C30" s="22">
        <v>57623</v>
      </c>
      <c r="D30" s="22">
        <v>56807</v>
      </c>
      <c r="E30" s="11">
        <f>D30</f>
        <v>56807</v>
      </c>
      <c r="F30" s="22">
        <v>56297</v>
      </c>
      <c r="G30" s="22">
        <v>56632</v>
      </c>
      <c r="H30" s="29">
        <f>G30*(1+H31)</f>
        <v>56632</v>
      </c>
      <c r="I30" s="1"/>
      <c r="J30" s="1"/>
      <c r="K30" s="1"/>
      <c r="L30" s="1"/>
    </row>
    <row r="31" ht="14.624267578125">
      <c r="A31" s="1"/>
      <c r="B31" s="19" t="s">
        <v>383</v>
      </c>
      <c r="C31" s="7"/>
      <c r="D31" s="7">
        <f>IFERROR(IF(C30&lt;=0,"n.m.",D30/C30-1),"")</f>
        <v>-0.014161012095864511</v>
      </c>
      <c r="E31" s="7"/>
      <c r="F31" s="7">
        <f>IFERROR(IF(D30&lt;=0,"n.m.",F30/D30-1),"")</f>
        <v>-0.008977766824511013</v>
      </c>
      <c r="G31" s="7">
        <f>IFERROR(IF(F30&lt;=0,"n.m.",G30/F30-1),"")</f>
        <v>0.005950583512442931</v>
      </c>
      <c r="H31" s="107">
        <v>0</v>
      </c>
      <c r="I31" s="1"/>
      <c r="J31" s="1"/>
      <c r="K31" s="1"/>
      <c r="L31" s="1"/>
    </row>
    <row r="32" ht="14.624267578125">
      <c r="A32" s="1"/>
      <c r="B32" s="19" t="s">
        <v>384</v>
      </c>
      <c r="C32" s="7"/>
      <c r="D32" s="7"/>
      <c r="E32" s="7"/>
      <c r="F32" s="7"/>
      <c r="G32" s="7"/>
      <c r="H32" s="31">
        <f>IFERROR(IF(C30&lt;=0,"n.m.",H30/C30-1),"")</f>
        <v>-0.017197993856619798</v>
      </c>
      <c r="I32" s="1"/>
      <c r="J32" s="1"/>
      <c r="K32" s="1"/>
      <c r="L32" s="1"/>
    </row>
    <row r="33" ht="14.624267578125">
      <c r="A33" s="1"/>
      <c r="B33" s="33" t="s">
        <v>385</v>
      </c>
      <c r="C33" s="11"/>
      <c r="D33" s="11">
        <f>D30-C30</f>
        <v>-816</v>
      </c>
      <c r="E33" s="11"/>
      <c r="F33" s="11">
        <f>F30-D30</f>
        <v>-510</v>
      </c>
      <c r="G33" s="11">
        <f>G30-F30</f>
        <v>335</v>
      </c>
      <c r="H33" s="29">
        <f>H30-G30</f>
        <v>0</v>
      </c>
      <c r="I33" s="1"/>
      <c r="J33" s="1"/>
      <c r="K33" s="1"/>
      <c r="L33" s="1"/>
    </row>
    <row r="34" ht="14.624267578125">
      <c r="A34" s="1"/>
      <c r="B34" s="33" t="s">
        <v>389</v>
      </c>
      <c r="C34" s="22">
        <v>9618</v>
      </c>
      <c r="D34" s="22">
        <v>9719</v>
      </c>
      <c r="E34" s="11">
        <f>D34</f>
        <v>9719</v>
      </c>
      <c r="F34" s="22">
        <v>9633</v>
      </c>
      <c r="G34" s="22">
        <v>9677</v>
      </c>
      <c r="H34" s="29">
        <f>G34*(1+H35)</f>
        <v>9677</v>
      </c>
      <c r="I34" s="1"/>
      <c r="J34" s="1"/>
      <c r="K34" s="1"/>
      <c r="L34" s="1"/>
    </row>
    <row r="35" ht="14.624267578125">
      <c r="A35" s="1"/>
      <c r="B35" s="19" t="s">
        <v>383</v>
      </c>
      <c r="C35" s="7"/>
      <c r="D35" s="7">
        <f>IFERROR(IF(C34&lt;=0,"n.m.",D34/C34-1),"")</f>
        <v>0.010501143688916637</v>
      </c>
      <c r="E35" s="7"/>
      <c r="F35" s="7">
        <f>IFERROR(IF(D34&lt;=0,"n.m.",F34/D34-1),"")</f>
        <v>-0.008848646980141983</v>
      </c>
      <c r="G35" s="7">
        <f>IFERROR(IF(F34&lt;=0,"n.m.",G34/F34-1),"")</f>
        <v>0.004567632097996377</v>
      </c>
      <c r="H35" s="107">
        <v>0</v>
      </c>
      <c r="I35" s="1"/>
      <c r="J35" s="1"/>
      <c r="K35" s="1"/>
      <c r="L35" s="1"/>
    </row>
    <row r="36" ht="14.624267578125">
      <c r="A36" s="1"/>
      <c r="B36" s="19" t="s">
        <v>384</v>
      </c>
      <c r="C36" s="7"/>
      <c r="D36" s="7"/>
      <c r="E36" s="7"/>
      <c r="F36" s="7"/>
      <c r="G36" s="7"/>
      <c r="H36" s="31">
        <f>IFERROR(IF(C34&lt;=0,"n.m.",H34/C34-1),"")</f>
        <v>0.0061343314618422795</v>
      </c>
      <c r="I36" s="1"/>
      <c r="J36" s="1"/>
      <c r="K36" s="1"/>
      <c r="L36" s="1"/>
    </row>
    <row r="37" ht="14.624267578125">
      <c r="A37" s="1"/>
      <c r="B37" s="33" t="s">
        <v>385</v>
      </c>
      <c r="C37" s="11"/>
      <c r="D37" s="11">
        <f>D34-C34</f>
        <v>101</v>
      </c>
      <c r="E37" s="11"/>
      <c r="F37" s="11">
        <f>F34-D34</f>
        <v>-86</v>
      </c>
      <c r="G37" s="11">
        <f>G34-F34</f>
        <v>44</v>
      </c>
      <c r="H37" s="29">
        <f>H34-G34</f>
        <v>0</v>
      </c>
      <c r="I37" s="1"/>
      <c r="J37" s="1"/>
      <c r="K37" s="1"/>
      <c r="L37" s="1"/>
    </row>
    <row r="38" ht="14.624267578125">
      <c r="A38" s="1"/>
      <c r="B38" s="33" t="s">
        <v>390</v>
      </c>
      <c r="C38" s="22">
        <v>25490</v>
      </c>
      <c r="D38" s="22">
        <v>25659</v>
      </c>
      <c r="E38" s="11">
        <f>D38</f>
        <v>25659</v>
      </c>
      <c r="F38" s="22">
        <v>25054</v>
      </c>
      <c r="G38" s="22">
        <v>23840</v>
      </c>
      <c r="H38" s="29">
        <f>G38*(1+H39)-H106</f>
        <v>17982.4</v>
      </c>
      <c r="I38" s="1" t="s">
        <v>391</v>
      </c>
      <c r="J38" s="1"/>
      <c r="K38" s="1"/>
      <c r="L38" s="1"/>
    </row>
    <row r="39" ht="14.624267578125">
      <c r="A39" s="1"/>
      <c r="B39" s="19" t="s">
        <v>392</v>
      </c>
      <c r="C39" s="7"/>
      <c r="D39" s="7">
        <f>IFERROR(IF(C38&lt;=0,"n.m.",D38/C38-1),"")</f>
        <v>0.0066300510003922675</v>
      </c>
      <c r="E39" s="7"/>
      <c r="F39" s="7">
        <f>IFERROR(IF(D38&lt;=0,"n.m.",F38/D38-1),"")</f>
        <v>-0.02357847149148451</v>
      </c>
      <c r="G39" s="7">
        <f>IFERROR(IF(F38&lt;=0,"n.m.",G38/F38-1),"")</f>
        <v>-0.04845533647321787</v>
      </c>
      <c r="H39" s="65">
        <v>-0.015</v>
      </c>
      <c r="I39" s="1"/>
      <c r="J39" s="1"/>
      <c r="K39" s="1"/>
      <c r="L39" s="1"/>
    </row>
    <row r="40" ht="14.624267578125">
      <c r="A40" s="1"/>
      <c r="B40" s="19" t="s">
        <v>384</v>
      </c>
      <c r="C40" s="7"/>
      <c r="D40" s="7"/>
      <c r="E40" s="7"/>
      <c r="F40" s="7"/>
      <c r="G40" s="7"/>
      <c r="H40" s="31">
        <f>IFERROR(IF(C38&lt;=0,"n.m.",H38/C38-1),"")</f>
        <v>-0.29453118870145145</v>
      </c>
      <c r="I40" s="1"/>
      <c r="J40" s="1"/>
      <c r="K40" s="1"/>
      <c r="L40" s="1"/>
    </row>
    <row r="41" ht="14.624267578125">
      <c r="A41" s="1"/>
      <c r="B41" s="33" t="s">
        <v>385</v>
      </c>
      <c r="C41" s="11"/>
      <c r="D41" s="11">
        <f>D38-C38</f>
        <v>169</v>
      </c>
      <c r="E41" s="11"/>
      <c r="F41" s="11">
        <f>F38-D38</f>
        <v>-605</v>
      </c>
      <c r="G41" s="11">
        <f>G38-F38</f>
        <v>-1214</v>
      </c>
      <c r="H41" s="29">
        <f>H38-G38</f>
        <v>-5857.5999999999985</v>
      </c>
      <c r="I41" s="1"/>
      <c r="J41" s="1"/>
      <c r="K41" s="1"/>
      <c r="L41" s="1"/>
    </row>
    <row r="42" ht="14.624267578125">
      <c r="A42" s="1"/>
      <c r="B42" s="33" t="s">
        <v>393</v>
      </c>
      <c r="C42" s="22">
        <v>32070</v>
      </c>
      <c r="D42" s="22">
        <v>32181</v>
      </c>
      <c r="E42" s="11">
        <f>D42</f>
        <v>32181</v>
      </c>
      <c r="F42" s="22">
        <v>32097</v>
      </c>
      <c r="G42" s="22">
        <v>33164</v>
      </c>
      <c r="H42" s="29">
        <f>G42*(1+H43)</f>
        <v>33495.64</v>
      </c>
      <c r="I42" s="1"/>
      <c r="J42" s="1"/>
      <c r="K42" s="1"/>
      <c r="L42" s="1"/>
    </row>
    <row r="43" ht="14.624267578125">
      <c r="A43" s="1"/>
      <c r="B43" s="19" t="s">
        <v>383</v>
      </c>
      <c r="C43" s="7"/>
      <c r="D43" s="7">
        <f>IFERROR(IF(C42&lt;=0,"n.m.",D42/C42-1),"")</f>
        <v>0.0034611786716558512</v>
      </c>
      <c r="E43" s="7"/>
      <c r="F43" s="7">
        <f>IFERROR(IF(D42&lt;=0,"n.m.",F42/D42-1),"")</f>
        <v>-0.0026102358534538794</v>
      </c>
      <c r="G43" s="7">
        <f>IFERROR(IF(F42&lt;=0,"n.m.",G42/F42-1),"")</f>
        <v>0.03324298221017541</v>
      </c>
      <c r="H43" s="65">
        <v>0.01</v>
      </c>
      <c r="I43" s="1"/>
      <c r="J43" s="1"/>
      <c r="K43" s="1"/>
      <c r="L43" s="1"/>
    </row>
    <row r="44" ht="14.624267578125">
      <c r="A44" s="1"/>
      <c r="B44" s="19" t="s">
        <v>384</v>
      </c>
      <c r="C44" s="7"/>
      <c r="D44" s="7"/>
      <c r="E44" s="7"/>
      <c r="F44" s="7"/>
      <c r="G44" s="7"/>
      <c r="H44" s="31">
        <f>IFERROR(IF(C42&lt;=0,"n.m.",H42/C42-1),"")</f>
        <v>0.04445400685999368</v>
      </c>
      <c r="I44" s="1"/>
      <c r="J44" s="1"/>
      <c r="K44" s="1"/>
      <c r="L44" s="1"/>
    </row>
    <row r="45" ht="14.624267578125">
      <c r="A45" s="1"/>
      <c r="B45" s="33" t="s">
        <v>385</v>
      </c>
      <c r="C45" s="11"/>
      <c r="D45" s="11">
        <f>D42-C42</f>
        <v>111</v>
      </c>
      <c r="E45" s="11"/>
      <c r="F45" s="11">
        <f>F42-D42</f>
        <v>-84</v>
      </c>
      <c r="G45" s="11">
        <f>G42-F42</f>
        <v>1067</v>
      </c>
      <c r="H45" s="29">
        <f>H42-G42</f>
        <v>331.6399999999994</v>
      </c>
      <c r="I45" s="1"/>
      <c r="J45" s="1"/>
      <c r="K45" s="1"/>
      <c r="L45" s="1"/>
    </row>
    <row r="46" ht="14.624267578125">
      <c r="A46" s="1"/>
      <c r="B46" s="33" t="s">
        <v>394</v>
      </c>
      <c r="C46" s="22">
        <v>4889</v>
      </c>
      <c r="D46" s="22">
        <v>4918</v>
      </c>
      <c r="E46" s="11">
        <f>D46</f>
        <v>4918</v>
      </c>
      <c r="F46" s="22">
        <v>4843</v>
      </c>
      <c r="G46" s="22">
        <v>4806</v>
      </c>
      <c r="H46" s="29">
        <f>G46*(1+H47)</f>
        <v>4806</v>
      </c>
      <c r="I46" s="1"/>
      <c r="J46" s="1"/>
      <c r="K46" s="1"/>
      <c r="L46" s="1"/>
    </row>
    <row r="47" ht="14.624267578125">
      <c r="A47" s="1"/>
      <c r="B47" s="19" t="s">
        <v>383</v>
      </c>
      <c r="C47" s="7"/>
      <c r="D47" s="7">
        <f>IFERROR(IF(C46&lt;=0,"n.m.",D46/C46-1),"")</f>
        <v>0.005931683370832497</v>
      </c>
      <c r="E47" s="7"/>
      <c r="F47" s="7">
        <f>IFERROR(IF(D46&lt;=0,"n.m.",F46/D46-1),"")</f>
        <v>-0.015250101667344418</v>
      </c>
      <c r="G47" s="7">
        <f>IFERROR(IF(F46&lt;=0,"n.m.",G46/F46-1),"")</f>
        <v>-0.007639892628536038</v>
      </c>
      <c r="H47" s="107">
        <v>0</v>
      </c>
      <c r="I47" s="1"/>
      <c r="J47" s="1"/>
      <c r="K47" s="1"/>
      <c r="L47" s="1"/>
    </row>
    <row r="48" ht="14.624267578125">
      <c r="A48" s="1"/>
      <c r="B48" s="19" t="s">
        <v>384</v>
      </c>
      <c r="C48" s="7"/>
      <c r="D48" s="7"/>
      <c r="E48" s="7"/>
      <c r="F48" s="7"/>
      <c r="G48" s="7"/>
      <c r="H48" s="31">
        <f>IFERROR(IF(C46&lt;=0,"n.m.",H46/C46-1),"")</f>
        <v>-0.016976886888934395</v>
      </c>
      <c r="I48" s="1"/>
      <c r="J48" s="1"/>
      <c r="K48" s="1"/>
      <c r="L48" s="1"/>
    </row>
    <row r="49" ht="14.624267578125">
      <c r="A49" s="1"/>
      <c r="B49" s="33" t="s">
        <v>385</v>
      </c>
      <c r="C49" s="11"/>
      <c r="D49" s="11">
        <f>D46-C46</f>
        <v>29</v>
      </c>
      <c r="E49" s="11"/>
      <c r="F49" s="11">
        <f>F46-D46</f>
        <v>-75</v>
      </c>
      <c r="G49" s="11">
        <f>G46-F46</f>
        <v>-37</v>
      </c>
      <c r="H49" s="29">
        <f>H46-G46</f>
        <v>0</v>
      </c>
      <c r="I49" s="1"/>
      <c r="J49" s="1"/>
      <c r="K49" s="1"/>
      <c r="L49" s="1"/>
    </row>
    <row r="50" ht="14.624267578125">
      <c r="A50" s="1"/>
      <c r="B50" s="48" t="s">
        <v>150</v>
      </c>
      <c r="C50" s="50">
        <f>C18+C22+C26+C30+C34+C38+C42+C46</f>
        <v>323738</v>
      </c>
      <c r="D50" s="50">
        <f>D18+D22+D26+D30+D34+D38+D42+D46</f>
        <v>328595</v>
      </c>
      <c r="E50" s="50">
        <f>E18+E22+E26+E30+E34+E38+E42+E46</f>
        <v>328595</v>
      </c>
      <c r="F50" s="50">
        <f>F18+F22+F26+F30+F34+F38+F42+F46</f>
        <v>329238</v>
      </c>
      <c r="G50" s="50">
        <f>G18+G22+G26+G30+G34+G38+G42+G46</f>
        <v>329796</v>
      </c>
      <c r="H50" s="61">
        <f>H18+H22+H26+H30+H34+H38+H42+H46</f>
        <v>325348.91500000004</v>
      </c>
      <c r="I50" s="1"/>
      <c r="J50" s="1"/>
      <c r="K50" s="1"/>
      <c r="L50" s="1"/>
    </row>
    <row r="51" ht="14.624267578125">
      <c r="A51" s="1"/>
      <c r="B51" s="19" t="s">
        <v>151</v>
      </c>
      <c r="C51" s="7"/>
      <c r="D51" s="7">
        <f>IFERROR(IF(C50&lt;=0,"n.m.",D50/C50-1),"")</f>
        <v>0.015002872693350877</v>
      </c>
      <c r="E51" s="7"/>
      <c r="F51" s="7">
        <f>IFERROR(IF(D50&lt;=0,"n.m.",F50/D50-1),"")</f>
        <v>0.0019568161414507124</v>
      </c>
      <c r="G51" s="7">
        <f>IFERROR(IF(F50&lt;=0,"n.m.",G50/F50-1),"")</f>
        <v>0.0016948225903450354</v>
      </c>
      <c r="H51" s="31">
        <f>IFERROR(IF(G50&lt;=0,"n.m.",H50/G50-1),"")</f>
        <v>-0.013484350932091216</v>
      </c>
      <c r="I51" s="1"/>
      <c r="J51" s="1"/>
      <c r="K51" s="1"/>
      <c r="L51" s="1"/>
    </row>
    <row r="52" ht="14.624267578125">
      <c r="A52" s="1"/>
      <c r="B52" s="19" t="s">
        <v>138</v>
      </c>
      <c r="C52" s="7"/>
      <c r="D52" s="7"/>
      <c r="E52" s="7"/>
      <c r="F52" s="7"/>
      <c r="G52" s="7"/>
      <c r="H52" s="31">
        <f>IFERROR(IF(C50&lt;=0,"n.m.",H50/C50-1),"")</f>
        <v>0.004975983665803874</v>
      </c>
      <c r="I52" s="1"/>
      <c r="J52" s="1"/>
      <c r="K52" s="1"/>
      <c r="L52" s="1"/>
    </row>
    <row r="53" ht="14.624267578125">
      <c r="A53" s="1"/>
      <c r="B53" s="33" t="s">
        <v>152</v>
      </c>
      <c r="C53" s="22">
        <v>1925</v>
      </c>
      <c r="D53" s="22">
        <v>1883</v>
      </c>
      <c r="E53" s="11">
        <f>D53</f>
        <v>1883</v>
      </c>
      <c r="F53" s="22">
        <v>2174</v>
      </c>
      <c r="G53" s="22">
        <v>2477</v>
      </c>
      <c r="H53" s="29">
        <f>G53</f>
        <v>2477</v>
      </c>
      <c r="I53" s="1"/>
      <c r="J53" s="1"/>
      <c r="K53" s="1"/>
      <c r="L53" s="1"/>
    </row>
    <row r="54" ht="14.624267578125">
      <c r="A54" s="1"/>
      <c r="B54" s="33" t="s">
        <v>395</v>
      </c>
      <c r="C54" s="22">
        <v>-4988</v>
      </c>
      <c r="D54" s="22">
        <v>-5030</v>
      </c>
      <c r="E54" s="11">
        <f>D54</f>
        <v>-5030</v>
      </c>
      <c r="F54" s="22">
        <v>-5026</v>
      </c>
      <c r="G54" s="22">
        <v>-4983</v>
      </c>
      <c r="H54" s="29">
        <f>-H109</f>
        <v>-4158</v>
      </c>
      <c r="I54" s="1" t="s">
        <v>396</v>
      </c>
      <c r="J54" s="1"/>
      <c r="K54" s="1"/>
      <c r="L54" s="1"/>
    </row>
    <row r="55" ht="14.624267578125">
      <c r="A55" s="1"/>
      <c r="B55" s="33" t="s">
        <v>397</v>
      </c>
      <c r="C55" s="22">
        <v>3176</v>
      </c>
      <c r="D55" s="22">
        <v>3172</v>
      </c>
      <c r="E55" s="11">
        <f>D55</f>
        <v>3172</v>
      </c>
      <c r="F55" s="22">
        <v>3145</v>
      </c>
      <c r="G55" s="22">
        <v>3177</v>
      </c>
      <c r="H55" s="29">
        <f>G55</f>
        <v>3177</v>
      </c>
      <c r="I55" s="1"/>
      <c r="J55" s="1"/>
      <c r="K55" s="1"/>
      <c r="L55" s="1"/>
    </row>
    <row r="56" ht="14.624267578125">
      <c r="A56" s="1"/>
      <c r="B56" s="33" t="s">
        <v>398</v>
      </c>
      <c r="C56" s="22">
        <v>17125</v>
      </c>
      <c r="D56" s="22">
        <v>17125</v>
      </c>
      <c r="E56" s="11">
        <f>D56</f>
        <v>17125</v>
      </c>
      <c r="F56" s="22">
        <v>17125</v>
      </c>
      <c r="G56" s="22">
        <v>17125</v>
      </c>
      <c r="H56" s="29">
        <f>G56</f>
        <v>17125</v>
      </c>
      <c r="I56" s="1"/>
      <c r="J56" s="1"/>
      <c r="K56" s="1"/>
      <c r="L56" s="1"/>
    </row>
    <row r="57" ht="14.624267578125">
      <c r="A57" s="1"/>
      <c r="B57" s="33" t="s">
        <v>399</v>
      </c>
      <c r="C57" s="22">
        <v>1328</v>
      </c>
      <c r="D57" s="22">
        <v>1256</v>
      </c>
      <c r="E57" s="11">
        <f>D57</f>
        <v>1256</v>
      </c>
      <c r="F57" s="22">
        <v>1192</v>
      </c>
      <c r="G57" s="22">
        <v>1130</v>
      </c>
      <c r="H57" s="41">
        <f>G57-'Income Statement'!H103</f>
        <v>1068</v>
      </c>
      <c r="I57" s="1"/>
      <c r="J57" s="1"/>
      <c r="K57" s="1"/>
      <c r="L57" s="1"/>
    </row>
    <row r="58" ht="14.624267578125">
      <c r="A58" s="1"/>
      <c r="B58" s="33" t="s">
        <v>400</v>
      </c>
      <c r="C58" s="22">
        <v>3776</v>
      </c>
      <c r="D58" s="22">
        <v>3972</v>
      </c>
      <c r="E58" s="11">
        <f>D58</f>
        <v>3972</v>
      </c>
      <c r="F58" s="22">
        <v>4112</v>
      </c>
      <c r="G58" s="22">
        <v>4293</v>
      </c>
      <c r="H58" s="29">
        <f>G58</f>
        <v>4293</v>
      </c>
      <c r="I58" s="1"/>
      <c r="J58" s="1"/>
      <c r="K58" s="1"/>
      <c r="L58" s="1"/>
    </row>
    <row r="59" ht="14.624267578125">
      <c r="A59" s="1"/>
      <c r="B59" s="33" t="s">
        <v>401</v>
      </c>
      <c r="C59" s="22">
        <v>38663</v>
      </c>
      <c r="D59" s="22">
        <v>38970</v>
      </c>
      <c r="E59" s="11">
        <f>D59</f>
        <v>38970</v>
      </c>
      <c r="F59" s="22">
        <v>39670</v>
      </c>
      <c r="G59" s="22">
        <v>39999</v>
      </c>
      <c r="H59" s="29">
        <f>G59</f>
        <v>39999</v>
      </c>
      <c r="I59" s="1"/>
      <c r="J59" s="1"/>
      <c r="K59" s="1"/>
      <c r="L59" s="1"/>
    </row>
    <row r="60" ht="14.624267578125">
      <c r="A60" s="1"/>
      <c r="B60" s="48" t="s">
        <v>402</v>
      </c>
      <c r="C60" s="50">
        <f>C11+C12+C13+C14+C15+C16+C50+C53+C54+C55+C56+C57+C58+C59</f>
        <v>543851</v>
      </c>
      <c r="D60" s="50">
        <f>D11+D12+D13+D14+D15+D16+D50+D53+D54+D55+D56+D57+D58+D59</f>
        <v>547538</v>
      </c>
      <c r="E60" s="50">
        <f>E11+E12+E13+E14+E15+E16+E50+E53+E54+E55+E56+E57+E58+E59</f>
        <v>547538</v>
      </c>
      <c r="F60" s="50">
        <f>F11+F12+F13+F14+F15+F16+F50+F53+F54+F55+F56+F57+F58+F59</f>
        <v>548975</v>
      </c>
      <c r="G60" s="50">
        <f>G11+G12+G13+G14+G15+G16+G50+G53+G54+G55+G56+G57+G58+G59</f>
        <v>556023</v>
      </c>
      <c r="H60" s="61">
        <f>H11+H12+H13+H14+H15+H16+H50+H53+H54+H55+H56+H57+H58+H59</f>
        <v>551036.0672601288</v>
      </c>
      <c r="I60" s="1"/>
      <c r="J60" s="1"/>
      <c r="K60" s="1"/>
      <c r="L60" s="1"/>
    </row>
    <row r="61" ht="14.624267578125">
      <c r="A61" s="1"/>
      <c r="B61" s="19" t="s">
        <v>151</v>
      </c>
      <c r="C61" s="7"/>
      <c r="D61" s="7">
        <f>IFERROR(IF(C60&lt;=0,"n.m.",D60/C60-1),"")</f>
        <v>0.006779430395457586</v>
      </c>
      <c r="E61" s="7"/>
      <c r="F61" s="7">
        <f>IFERROR(IF(D60&lt;=0,"n.m.",F60/D60-1),"")</f>
        <v>0.0026244753788777775</v>
      </c>
      <c r="G61" s="7">
        <f>IFERROR(IF(F60&lt;=0,"n.m.",G60/F60-1),"")</f>
        <v>0.01283847169725405</v>
      </c>
      <c r="H61" s="31">
        <f>IFERROR(IF(G60&lt;=0,"n.m.",H60/G60-1),"")</f>
        <v>-0.008968932471986268</v>
      </c>
      <c r="I61" s="1"/>
      <c r="J61" s="1"/>
      <c r="K61" s="1"/>
      <c r="L61" s="1"/>
    </row>
    <row r="62" ht="14.624267578125">
      <c r="A62" s="1"/>
      <c r="B62" s="19" t="s">
        <v>138</v>
      </c>
      <c r="C62" s="7"/>
      <c r="D62" s="7"/>
      <c r="E62" s="7"/>
      <c r="F62" s="7"/>
      <c r="G62" s="7"/>
      <c r="H62" s="31">
        <f>IFERROR(IF(C60&lt;=0,"n.m.",H60/C60-1),"")</f>
        <v>0.013211462808984109</v>
      </c>
      <c r="I62" s="1"/>
      <c r="J62" s="1"/>
      <c r="K62" s="1"/>
      <c r="L62" s="1"/>
    </row>
    <row r="63">
      <c r="A63" s="1"/>
      <c r="B63" s="33"/>
      <c r="C63" s="18"/>
      <c r="D63" s="18"/>
      <c r="E63" s="18"/>
      <c r="F63" s="18"/>
      <c r="G63" s="18"/>
      <c r="H63" s="45"/>
      <c r="I63" s="1"/>
      <c r="J63" s="1"/>
      <c r="K63" s="1"/>
      <c r="L63" s="1"/>
    </row>
    <row r="64" ht="14.624267578125">
      <c r="A64" s="1"/>
      <c r="B64" s="57" t="s">
        <v>403</v>
      </c>
      <c r="C64" s="18"/>
      <c r="D64" s="18"/>
      <c r="E64" s="18"/>
      <c r="F64" s="18"/>
      <c r="G64" s="18"/>
      <c r="H64" s="45"/>
      <c r="I64" s="1"/>
      <c r="J64" s="1"/>
      <c r="K64" s="1"/>
      <c r="L64" s="1"/>
    </row>
    <row r="65" ht="14.624267578125">
      <c r="A65" s="1"/>
      <c r="B65" s="33" t="s">
        <v>404</v>
      </c>
      <c r="C65" s="22">
        <v>106197</v>
      </c>
      <c r="D65" s="22">
        <v>105092</v>
      </c>
      <c r="E65" s="11">
        <f>D65</f>
        <v>105092</v>
      </c>
      <c r="F65" s="22">
        <v>105460</v>
      </c>
      <c r="G65" s="22">
        <v>104341</v>
      </c>
      <c r="H65" s="29">
        <f>G65*(1+H66)</f>
        <v>103819.295</v>
      </c>
      <c r="I65" s="1"/>
      <c r="J65" s="1"/>
      <c r="K65" s="1"/>
      <c r="L65" s="1"/>
    </row>
    <row r="66" ht="14.624267578125">
      <c r="A66" s="1"/>
      <c r="B66" s="19" t="s">
        <v>383</v>
      </c>
      <c r="C66" s="7"/>
      <c r="D66" s="7">
        <f>IFERROR(IF(C65&lt;=0,"n.m.",D65/C65-1),"")</f>
        <v>-0.010405190353776517</v>
      </c>
      <c r="E66" s="7"/>
      <c r="F66" s="7">
        <f>IFERROR(IF(D65&lt;=0,"n.m.",F65/D65-1),"")</f>
        <v>0.0035016937540439663</v>
      </c>
      <c r="G66" s="7">
        <f>IFERROR(IF(F65&lt;=0,"n.m.",G65/F65-1),"")</f>
        <v>-0.010610658069410195</v>
      </c>
      <c r="H66" s="65">
        <v>-0.005</v>
      </c>
      <c r="I66" s="1"/>
      <c r="J66" s="1"/>
      <c r="K66" s="1"/>
      <c r="L66" s="1"/>
    </row>
    <row r="67" ht="14.624267578125">
      <c r="A67" s="1"/>
      <c r="B67" s="19" t="s">
        <v>384</v>
      </c>
      <c r="C67" s="7"/>
      <c r="D67" s="7"/>
      <c r="E67" s="7"/>
      <c r="F67" s="7"/>
      <c r="G67" s="7"/>
      <c r="H67" s="31">
        <f>IFERROR(IF(C65&lt;=0,"n.m.",H65/C65-1),"")</f>
        <v>-0.022389568443553</v>
      </c>
      <c r="I67" s="1"/>
      <c r="J67" s="1"/>
      <c r="K67" s="1"/>
      <c r="L67" s="1"/>
    </row>
    <row r="68" ht="14.624267578125">
      <c r="A68" s="1"/>
      <c r="B68" s="33" t="s">
        <v>385</v>
      </c>
      <c r="C68" s="11"/>
      <c r="D68" s="11">
        <f>D65-C65</f>
        <v>-1105</v>
      </c>
      <c r="E68" s="11"/>
      <c r="F68" s="11">
        <f>F65-D65</f>
        <v>368</v>
      </c>
      <c r="G68" s="11">
        <f>G65-F65</f>
        <v>-1119</v>
      </c>
      <c r="H68" s="29">
        <f>H65-G65</f>
        <v>-521.7050000000017</v>
      </c>
      <c r="I68" s="1"/>
      <c r="J68" s="1"/>
      <c r="K68" s="1"/>
      <c r="L68" s="1"/>
    </row>
    <row r="69" ht="14.624267578125">
      <c r="A69" s="1"/>
      <c r="B69" s="33" t="s">
        <v>405</v>
      </c>
      <c r="C69" s="22">
        <v>109827</v>
      </c>
      <c r="D69" s="22">
        <v>117830</v>
      </c>
      <c r="E69" s="11">
        <f>D69</f>
        <v>117830</v>
      </c>
      <c r="F69" s="22">
        <v>123257</v>
      </c>
      <c r="G69" s="22">
        <v>130421</v>
      </c>
      <c r="H69" s="29">
        <f>G69*(1+H70)</f>
        <v>131725.21</v>
      </c>
      <c r="I69" s="1"/>
      <c r="J69" s="1"/>
      <c r="K69" s="1"/>
      <c r="L69" s="1"/>
    </row>
    <row r="70" ht="14.624267578125">
      <c r="A70" s="1"/>
      <c r="B70" s="19" t="s">
        <v>383</v>
      </c>
      <c r="C70" s="7"/>
      <c r="D70" s="7">
        <f>IFERROR(IF(C69&lt;=0,"n.m.",D69/C69-1),"")</f>
        <v>0.07286914875212824</v>
      </c>
      <c r="E70" s="7"/>
      <c r="F70" s="7">
        <f>IFERROR(IF(D69&lt;=0,"n.m.",F69/D69-1),"")</f>
        <v>0.04605787999660538</v>
      </c>
      <c r="G70" s="7">
        <f>IFERROR(IF(F69&lt;=0,"n.m.",G69/F69-1),"")</f>
        <v>0.05812245957633233</v>
      </c>
      <c r="H70" s="65">
        <v>0.01</v>
      </c>
      <c r="I70" s="1"/>
      <c r="J70" s="1"/>
      <c r="K70" s="1"/>
      <c r="L70" s="1"/>
    </row>
    <row r="71" ht="14.624267578125">
      <c r="A71" s="1"/>
      <c r="B71" s="19" t="s">
        <v>384</v>
      </c>
      <c r="C71" s="7"/>
      <c r="D71" s="7"/>
      <c r="E71" s="7"/>
      <c r="F71" s="7"/>
      <c r="G71" s="7"/>
      <c r="H71" s="31">
        <f>IFERROR(IF(C69&lt;=0,"n.m.",H69/C69-1),"")</f>
        <v>0.19938821965454756</v>
      </c>
      <c r="I71" s="1"/>
      <c r="J71" s="1"/>
      <c r="K71" s="1"/>
      <c r="L71" s="1"/>
    </row>
    <row r="72" ht="14.624267578125">
      <c r="A72" s="1"/>
      <c r="B72" s="33" t="s">
        <v>385</v>
      </c>
      <c r="C72" s="11"/>
      <c r="D72" s="11">
        <f>D69-C69</f>
        <v>8003</v>
      </c>
      <c r="E72" s="11"/>
      <c r="F72" s="11">
        <f>F69-D69</f>
        <v>5427</v>
      </c>
      <c r="G72" s="11">
        <f>G69-F69</f>
        <v>7164</v>
      </c>
      <c r="H72" s="29">
        <f>H69-G69</f>
        <v>1304.2099999999919</v>
      </c>
      <c r="I72" s="1"/>
      <c r="J72" s="1"/>
      <c r="K72" s="1"/>
      <c r="L72" s="1"/>
    </row>
    <row r="73" ht="14.624267578125">
      <c r="A73" s="1"/>
      <c r="B73" s="33" t="s">
        <v>406</v>
      </c>
      <c r="C73" s="22">
        <v>135931</v>
      </c>
      <c r="D73" s="22">
        <v>139044</v>
      </c>
      <c r="E73" s="11">
        <f>D73</f>
        <v>139044</v>
      </c>
      <c r="F73" s="22">
        <v>135702</v>
      </c>
      <c r="G73" s="22">
        <v>133688</v>
      </c>
      <c r="H73" s="29">
        <f>G73*(1+H74)</f>
        <v>133688</v>
      </c>
      <c r="I73" s="1"/>
      <c r="J73" s="1"/>
      <c r="K73" s="1"/>
      <c r="L73" s="1"/>
    </row>
    <row r="74" ht="14.624267578125">
      <c r="A74" s="1"/>
      <c r="B74" s="19" t="s">
        <v>383</v>
      </c>
      <c r="C74" s="7"/>
      <c r="D74" s="7">
        <f>IFERROR(IF(C73&lt;=0,"n.m.",D73/C73-1),"")</f>
        <v>0.022901324936916545</v>
      </c>
      <c r="E74" s="7"/>
      <c r="F74" s="7">
        <f>IFERROR(IF(D73&lt;=0,"n.m.",F73/D73-1),"")</f>
        <v>-0.024035557089842063</v>
      </c>
      <c r="G74" s="7">
        <f>IFERROR(IF(F73&lt;=0,"n.m.",G73/F73-1),"")</f>
        <v>-0.014841343532151385</v>
      </c>
      <c r="H74" s="107">
        <v>0</v>
      </c>
      <c r="I74" s="1"/>
      <c r="J74" s="1"/>
      <c r="K74" s="1"/>
      <c r="L74" s="1"/>
    </row>
    <row r="75" ht="14.624267578125">
      <c r="A75" s="1"/>
      <c r="B75" s="19" t="s">
        <v>384</v>
      </c>
      <c r="C75" s="7"/>
      <c r="D75" s="7"/>
      <c r="E75" s="7"/>
      <c r="F75" s="7"/>
      <c r="G75" s="7"/>
      <c r="H75" s="31">
        <f>IFERROR(IF(C73&lt;=0,"n.m.",H73/C73-1),"")</f>
        <v>-0.01650101889929445</v>
      </c>
      <c r="I75" s="1"/>
      <c r="J75" s="1"/>
      <c r="K75" s="1"/>
      <c r="L75" s="1"/>
    </row>
    <row r="76" ht="14.624267578125">
      <c r="A76" s="1"/>
      <c r="B76" s="33" t="s">
        <v>385</v>
      </c>
      <c r="C76" s="11"/>
      <c r="D76" s="11">
        <f>D73-C73</f>
        <v>3113</v>
      </c>
      <c r="E76" s="11"/>
      <c r="F76" s="11">
        <f>F73-D73</f>
        <v>-3342</v>
      </c>
      <c r="G76" s="11">
        <f>G73-F73</f>
        <v>-2014</v>
      </c>
      <c r="H76" s="29">
        <f>H73-G73</f>
        <v>0</v>
      </c>
      <c r="I76" s="1"/>
      <c r="J76" s="1"/>
      <c r="K76" s="1"/>
      <c r="L76" s="1"/>
    </row>
    <row r="77" ht="14.624267578125">
      <c r="A77" s="1"/>
      <c r="B77" s="33" t="s">
        <v>407</v>
      </c>
      <c r="C77" s="22">
        <v>42952</v>
      </c>
      <c r="D77" s="22">
        <v>38432</v>
      </c>
      <c r="E77" s="11">
        <f>D77</f>
        <v>38432</v>
      </c>
      <c r="F77" s="22">
        <v>39662</v>
      </c>
      <c r="G77" s="22">
        <v>40929</v>
      </c>
      <c r="H77" s="29">
        <f>G77*(1+H78)</f>
        <v>41338.29</v>
      </c>
      <c r="I77" s="1"/>
      <c r="J77" s="1"/>
      <c r="K77" s="1"/>
      <c r="L77" s="1"/>
    </row>
    <row r="78" ht="14.624267578125">
      <c r="A78" s="1"/>
      <c r="B78" s="19" t="s">
        <v>383</v>
      </c>
      <c r="C78" s="7"/>
      <c r="D78" s="7">
        <f>IFERROR(IF(C77&lt;=0,"n.m.",D77/C77-1),"")</f>
        <v>-0.10523374930154594</v>
      </c>
      <c r="E78" s="7"/>
      <c r="F78" s="7">
        <f>IFERROR(IF(D77&lt;=0,"n.m.",F77/D77-1),"")</f>
        <v>0.03200457951706914</v>
      </c>
      <c r="G78" s="7">
        <f>IFERROR(IF(F77&lt;=0,"n.m.",G77/F77-1),"")</f>
        <v>0.0319449346981997</v>
      </c>
      <c r="H78" s="65">
        <v>0.01</v>
      </c>
      <c r="I78" s="1"/>
      <c r="J78" s="1"/>
      <c r="K78" s="1"/>
      <c r="L78" s="1"/>
    </row>
    <row r="79" ht="14.624267578125">
      <c r="A79" s="1"/>
      <c r="B79" s="19" t="s">
        <v>384</v>
      </c>
      <c r="C79" s="7"/>
      <c r="D79" s="7"/>
      <c r="E79" s="7"/>
      <c r="F79" s="7"/>
      <c r="G79" s="7"/>
      <c r="H79" s="31">
        <f>IFERROR(IF(C77&lt;=0,"n.m.",H77/C77-1),"")</f>
        <v>-0.03757007822685787</v>
      </c>
      <c r="I79" s="1"/>
      <c r="J79" s="1"/>
      <c r="K79" s="1"/>
      <c r="L79" s="1"/>
    </row>
    <row r="80" ht="14.624267578125">
      <c r="A80" s="1"/>
      <c r="B80" s="33" t="s">
        <v>385</v>
      </c>
      <c r="C80" s="11"/>
      <c r="D80" s="11">
        <f>D77-C77</f>
        <v>-4520</v>
      </c>
      <c r="E80" s="11"/>
      <c r="F80" s="11">
        <f>F77-D77</f>
        <v>1230</v>
      </c>
      <c r="G80" s="11">
        <f>G77-F77</f>
        <v>1267</v>
      </c>
      <c r="H80" s="29">
        <f>H77-G77</f>
        <v>409.2900000000009</v>
      </c>
      <c r="I80" s="1"/>
      <c r="J80" s="1"/>
      <c r="K80" s="1"/>
      <c r="L80" s="1"/>
    </row>
    <row r="81" ht="14.624267578125">
      <c r="A81" s="1"/>
      <c r="B81" s="48" t="s">
        <v>408</v>
      </c>
      <c r="C81" s="50">
        <f>C65+C69+C73+C77</f>
        <v>394907</v>
      </c>
      <c r="D81" s="50">
        <f>D65+D69+D73+D77</f>
        <v>400398</v>
      </c>
      <c r="E81" s="50">
        <f>E65+E69+E73+E77</f>
        <v>400398</v>
      </c>
      <c r="F81" s="50">
        <f>F65+F69+F73+F77</f>
        <v>404081</v>
      </c>
      <c r="G81" s="50">
        <f>G65+G69+G73+G77</f>
        <v>409379</v>
      </c>
      <c r="H81" s="61">
        <f>H65+H69+H73+H77</f>
        <v>410570.795</v>
      </c>
      <c r="I81" s="1"/>
      <c r="J81" s="1"/>
      <c r="K81" s="1"/>
      <c r="L81" s="1"/>
    </row>
    <row r="82" ht="14.624267578125">
      <c r="A82" s="1"/>
      <c r="B82" s="19" t="s">
        <v>151</v>
      </c>
      <c r="C82" s="7"/>
      <c r="D82" s="7">
        <f>IFERROR(IF(C81&lt;=0,"n.m.",D81/C81-1),"")</f>
        <v>0.013904539549818073</v>
      </c>
      <c r="E82" s="7"/>
      <c r="F82" s="7">
        <f>IFERROR(IF(D81&lt;=0,"n.m.",F81/D81-1),"")</f>
        <v>0.009198347644094218</v>
      </c>
      <c r="G82" s="7">
        <f>IFERROR(IF(F81&lt;=0,"n.m.",G81/F81-1),"")</f>
        <v>0.013111232648899573</v>
      </c>
      <c r="H82" s="31">
        <f>IFERROR(IF(G81&lt;=0,"n.m.",H81/G81-1),"")</f>
        <v>0.002911226516259857</v>
      </c>
      <c r="I82" s="1"/>
      <c r="J82" s="1"/>
      <c r="K82" s="1"/>
      <c r="L82" s="1"/>
    </row>
    <row r="83" ht="14.624267578125">
      <c r="A83" s="1"/>
      <c r="B83" s="19" t="s">
        <v>138</v>
      </c>
      <c r="C83" s="7"/>
      <c r="D83" s="7"/>
      <c r="E83" s="7"/>
      <c r="F83" s="7"/>
      <c r="G83" s="7"/>
      <c r="H83" s="31">
        <f>IFERROR(IF(C81&lt;=0,"n.m.",H81/C81-1),"")</f>
        <v>0.03966451594932474</v>
      </c>
      <c r="I83" s="1"/>
      <c r="J83" s="1"/>
      <c r="K83" s="1"/>
      <c r="L83" s="1"/>
    </row>
    <row r="84" ht="14.624267578125">
      <c r="A84" s="1"/>
      <c r="B84" s="33" t="s">
        <v>164</v>
      </c>
      <c r="C84" s="22">
        <v>29376</v>
      </c>
      <c r="D84" s="22">
        <v>27839</v>
      </c>
      <c r="E84" s="11">
        <f>D84</f>
        <v>27839</v>
      </c>
      <c r="F84" s="22">
        <v>27441</v>
      </c>
      <c r="G84" s="22">
        <v>26885</v>
      </c>
      <c r="H84" s="29">
        <f>G84-H107</f>
        <v>21685</v>
      </c>
      <c r="I84" s="1" t="s">
        <v>409</v>
      </c>
      <c r="J84" s="1"/>
      <c r="K84" s="1"/>
      <c r="L84" s="1"/>
    </row>
    <row r="85" ht="14.624267578125">
      <c r="A85" s="1"/>
      <c r="B85" s="33" t="s">
        <v>165</v>
      </c>
      <c r="C85" s="22">
        <v>41729</v>
      </c>
      <c r="D85" s="22">
        <v>41963</v>
      </c>
      <c r="E85" s="11">
        <f>D85</f>
        <v>41963</v>
      </c>
      <c r="F85" s="22">
        <v>41622</v>
      </c>
      <c r="G85" s="22">
        <v>42976</v>
      </c>
      <c r="H85" s="29">
        <f>G85-H86</f>
        <v>42126</v>
      </c>
      <c r="I85" s="1"/>
      <c r="J85" s="1"/>
      <c r="K85" s="1"/>
      <c r="L85" s="1"/>
    </row>
    <row r="86" ht="14.624267578125">
      <c r="A86" s="1"/>
      <c r="B86" s="33" t="s">
        <v>410</v>
      </c>
      <c r="C86" s="11"/>
      <c r="D86" s="11"/>
      <c r="E86" s="11"/>
      <c r="F86" s="11"/>
      <c r="G86" s="11"/>
      <c r="H86" s="47">
        <v>850</v>
      </c>
      <c r="I86" s="1" t="s">
        <v>411</v>
      </c>
      <c r="J86" s="1"/>
      <c r="K86" s="1"/>
      <c r="L86" s="1"/>
    </row>
    <row r="87" ht="14.624267578125">
      <c r="A87" s="1"/>
      <c r="B87" s="33" t="s">
        <v>412</v>
      </c>
      <c r="C87" s="22">
        <v>12193</v>
      </c>
      <c r="D87" s="22">
        <v>12149</v>
      </c>
      <c r="E87" s="11">
        <f>D87</f>
        <v>12149</v>
      </c>
      <c r="F87" s="22">
        <v>11617</v>
      </c>
      <c r="G87" s="22">
        <v>12688</v>
      </c>
      <c r="H87" s="29">
        <f>G87</f>
        <v>12688</v>
      </c>
      <c r="I87" s="1"/>
      <c r="J87" s="1"/>
      <c r="K87" s="1"/>
      <c r="L87" s="1"/>
    </row>
    <row r="88" ht="14.624267578125">
      <c r="A88" s="1"/>
      <c r="B88" s="48" t="s">
        <v>413</v>
      </c>
      <c r="C88" s="50">
        <f>C81+C84+C85+C87</f>
        <v>478205</v>
      </c>
      <c r="D88" s="50">
        <f>D81+D84+D85+D87</f>
        <v>482349</v>
      </c>
      <c r="E88" s="50">
        <f>E81+E84+E85+E87</f>
        <v>482349</v>
      </c>
      <c r="F88" s="50">
        <f>F81+F84+F85+F87</f>
        <v>484761</v>
      </c>
      <c r="G88" s="50">
        <f>G81+G84+G85+G87</f>
        <v>491928</v>
      </c>
      <c r="H88" s="61">
        <f>H81+H84+H85+H87</f>
        <v>487069.795</v>
      </c>
      <c r="I88" s="1"/>
      <c r="J88" s="1"/>
      <c r="K88" s="1"/>
      <c r="L88" s="1"/>
    </row>
    <row r="89">
      <c r="A89" s="1"/>
      <c r="B89" s="33"/>
      <c r="C89" s="18"/>
      <c r="D89" s="18"/>
      <c r="E89" s="18"/>
      <c r="F89" s="18"/>
      <c r="G89" s="18"/>
      <c r="H89" s="45"/>
      <c r="I89" s="1"/>
      <c r="J89" s="1"/>
      <c r="K89" s="1"/>
      <c r="L89" s="1"/>
    </row>
    <row r="90" ht="14.624267578125">
      <c r="A90" s="1"/>
      <c r="B90" s="57" t="s">
        <v>414</v>
      </c>
      <c r="C90" s="18"/>
      <c r="D90" s="18"/>
      <c r="E90" s="18"/>
      <c r="F90" s="18"/>
      <c r="G90" s="18"/>
      <c r="H90" s="45"/>
      <c r="I90" s="1"/>
      <c r="J90" s="1"/>
      <c r="K90" s="1"/>
      <c r="L90" s="1"/>
    </row>
    <row r="91" ht="14.624267578125">
      <c r="A91" s="1"/>
      <c r="B91" s="33" t="s">
        <v>415</v>
      </c>
      <c r="C91" s="22">
        <v>5907</v>
      </c>
      <c r="D91" s="22">
        <v>4916</v>
      </c>
      <c r="E91" s="11">
        <f>D91</f>
        <v>4916</v>
      </c>
      <c r="F91" s="22">
        <v>4916</v>
      </c>
      <c r="G91" s="22">
        <v>5411</v>
      </c>
      <c r="H91" s="29">
        <f>G91</f>
        <v>5411</v>
      </c>
      <c r="I91" s="1"/>
      <c r="J91" s="1"/>
      <c r="K91" s="1"/>
      <c r="L91" s="1"/>
    </row>
    <row r="92" ht="14.624267578125">
      <c r="A92" s="1"/>
      <c r="B92" s="33" t="s">
        <v>416</v>
      </c>
      <c r="C92" s="22">
        <v>6396</v>
      </c>
      <c r="D92" s="22">
        <v>6312</v>
      </c>
      <c r="E92" s="11">
        <f>D92</f>
        <v>6312</v>
      </c>
      <c r="F92" s="22">
        <v>6229</v>
      </c>
      <c r="G92" s="22">
        <v>6108</v>
      </c>
      <c r="H92" s="41">
        <f>G92-H114*('Share Count'!H18-'Share Count'!H22)</f>
        <v>5973.077319587629</v>
      </c>
      <c r="I92" s="1"/>
      <c r="J92" s="1"/>
      <c r="K92" s="1"/>
      <c r="L92" s="1"/>
    </row>
    <row r="93" ht="14.624267578125">
      <c r="A93" s="1"/>
      <c r="B93" s="33" t="s">
        <v>417</v>
      </c>
      <c r="C93" s="22">
        <v>34278</v>
      </c>
      <c r="D93" s="22">
        <v>33663</v>
      </c>
      <c r="E93" s="11">
        <f>D93</f>
        <v>33663</v>
      </c>
      <c r="F93" s="22">
        <v>32610</v>
      </c>
      <c r="G93" s="22">
        <v>31616</v>
      </c>
      <c r="H93" s="41">
        <f>G93-('Share Count'!H14-H114*'Share Count'!H18)-H114*'Share Count'!H22+H113</f>
        <v>30497.922680412372</v>
      </c>
      <c r="I93" s="1" t="s">
        <v>418</v>
      </c>
      <c r="J93" s="1"/>
      <c r="K93" s="1"/>
      <c r="L93" s="1"/>
    </row>
    <row r="94" ht="14.624267578125">
      <c r="A94" s="1"/>
      <c r="B94" s="33" t="s">
        <v>419</v>
      </c>
      <c r="C94" s="22">
        <v>25438</v>
      </c>
      <c r="D94" s="22">
        <v>26067</v>
      </c>
      <c r="E94" s="11">
        <f>D94</f>
        <v>26067</v>
      </c>
      <c r="F94" s="22">
        <v>26796</v>
      </c>
      <c r="G94" s="22">
        <v>27676</v>
      </c>
      <c r="H94" s="41">
        <f>G94+'Income Statement'!H135-'Income Statement'!H138-H115</f>
        <v>28800.272260128793</v>
      </c>
      <c r="I94" s="1"/>
      <c r="J94" s="1"/>
      <c r="K94" s="1"/>
      <c r="L94" s="1"/>
    </row>
    <row r="95" ht="14.624267578125">
      <c r="A95" s="1"/>
      <c r="B95" s="33" t="s">
        <v>420</v>
      </c>
      <c r="C95" s="22">
        <v>-6373</v>
      </c>
      <c r="D95" s="22">
        <v>-5769</v>
      </c>
      <c r="E95" s="11">
        <f>D95</f>
        <v>-5769</v>
      </c>
      <c r="F95" s="22">
        <v>-6337</v>
      </c>
      <c r="G95" s="22">
        <v>-6716</v>
      </c>
      <c r="H95" s="29">
        <f>G95</f>
        <v>-6716</v>
      </c>
      <c r="I95" s="1" t="s">
        <v>421</v>
      </c>
      <c r="J95" s="1"/>
      <c r="K95" s="1"/>
      <c r="L95" s="1"/>
    </row>
    <row r="96" ht="14.624267578125">
      <c r="A96" s="1"/>
      <c r="B96" s="48" t="s">
        <v>422</v>
      </c>
      <c r="C96" s="50">
        <f>C91+C92+C93+C94+C95</f>
        <v>65646</v>
      </c>
      <c r="D96" s="50">
        <f>D91+D92+D93+D94+D95</f>
        <v>65189</v>
      </c>
      <c r="E96" s="50">
        <f>E91+E92+E93+E94+E95</f>
        <v>65189</v>
      </c>
      <c r="F96" s="50">
        <f>F91+F92+F93+F94+F95</f>
        <v>64214</v>
      </c>
      <c r="G96" s="50">
        <f>G91+G92+G93+G94+G95</f>
        <v>64095</v>
      </c>
      <c r="H96" s="61">
        <f>H91+H92+H93+H94+H95</f>
        <v>63966.2722601288</v>
      </c>
      <c r="I96" s="1"/>
      <c r="J96" s="1"/>
      <c r="K96" s="1"/>
      <c r="L96" s="1"/>
    </row>
    <row r="97" ht="14.624267578125">
      <c r="A97" s="1"/>
      <c r="B97" s="48" t="s">
        <v>423</v>
      </c>
      <c r="C97" s="50">
        <f>C88+C96</f>
        <v>543851</v>
      </c>
      <c r="D97" s="50">
        <f>D88+D96</f>
        <v>547538</v>
      </c>
      <c r="E97" s="50">
        <f>E88+E96</f>
        <v>547538</v>
      </c>
      <c r="F97" s="50">
        <f>F88+F96</f>
        <v>548975</v>
      </c>
      <c r="G97" s="50">
        <f>G88+G96</f>
        <v>556023</v>
      </c>
      <c r="H97" s="61">
        <f>H88+H96</f>
        <v>551036.0672601288</v>
      </c>
      <c r="I97" s="1"/>
      <c r="J97" s="1"/>
      <c r="K97" s="1"/>
      <c r="L97" s="1"/>
    </row>
    <row r="98" ht="14.624267578125">
      <c r="A98" s="1"/>
      <c r="B98" s="68" t="s">
        <v>424</v>
      </c>
      <c r="C98" s="66">
        <f>C60-C88-C96</f>
        <v>0</v>
      </c>
      <c r="D98" s="66">
        <f>D60-D88-D96</f>
        <v>0</v>
      </c>
      <c r="E98" s="66">
        <f>E60-E88-E96</f>
        <v>0</v>
      </c>
      <c r="F98" s="66">
        <f>F60-F88-F96</f>
        <v>0</v>
      </c>
      <c r="G98" s="66">
        <f>G60-G88-G96</f>
        <v>0</v>
      </c>
      <c r="H98" s="69">
        <f>H60-H88-H96</f>
        <v>0</v>
      </c>
      <c r="I98" s="1" t="s">
        <v>425</v>
      </c>
      <c r="J98" s="1"/>
      <c r="K98" s="1"/>
      <c r="L98" s="1"/>
    </row>
    <row r="99" ht="14.624267578125">
      <c r="A99" s="1"/>
      <c r="B99" s="33" t="s">
        <v>426</v>
      </c>
      <c r="C99" s="22">
        <v>543851</v>
      </c>
      <c r="D99" s="22">
        <v>547538</v>
      </c>
      <c r="E99" s="11"/>
      <c r="F99" s="22">
        <v>548975</v>
      </c>
      <c r="G99" s="22">
        <v>556023</v>
      </c>
      <c r="H99" s="29"/>
      <c r="I99" s="1"/>
      <c r="J99" s="1"/>
      <c r="K99" s="1"/>
      <c r="L99" s="1"/>
    </row>
    <row r="100" ht="14.624267578125">
      <c r="A100" s="1"/>
      <c r="B100" s="19" t="s">
        <v>427</v>
      </c>
      <c r="C100" s="38">
        <f>C60-C99</f>
        <v>0</v>
      </c>
      <c r="D100" s="38">
        <f>D60-D99</f>
        <v>0</v>
      </c>
      <c r="E100" s="38"/>
      <c r="F100" s="38">
        <f>F60-F99</f>
        <v>0</v>
      </c>
      <c r="G100" s="38">
        <f>G60-G99</f>
        <v>0</v>
      </c>
      <c r="H100" s="59"/>
      <c r="I100" s="1"/>
      <c r="J100" s="1"/>
      <c r="K100" s="1"/>
      <c r="L100" s="1"/>
    </row>
    <row r="101">
      <c r="A101" s="1"/>
      <c r="B101" s="33"/>
      <c r="C101" s="18"/>
      <c r="D101" s="18"/>
      <c r="E101" s="18"/>
      <c r="F101" s="18"/>
      <c r="G101" s="18"/>
      <c r="H101" s="45"/>
      <c r="I101" s="1"/>
      <c r="J101" s="1"/>
      <c r="K101" s="1"/>
      <c r="L101" s="1"/>
    </row>
    <row r="102" ht="23.24853515625">
      <c r="A102" s="1"/>
      <c r="B102" s="57" t="s">
        <v>428</v>
      </c>
      <c r="C102" s="18"/>
      <c r="D102" s="18"/>
      <c r="E102" s="18"/>
      <c r="F102" s="18"/>
      <c r="G102" s="18"/>
      <c r="H102" s="45"/>
      <c r="I102" s="1"/>
      <c r="J102" s="1"/>
      <c r="K102" s="1"/>
      <c r="L102" s="1"/>
    </row>
    <row r="103" ht="14.624267578125">
      <c r="A103" s="1"/>
      <c r="B103" s="33" t="s">
        <v>429</v>
      </c>
      <c r="C103" s="11"/>
      <c r="D103" s="11"/>
      <c r="E103" s="11"/>
      <c r="F103" s="11"/>
      <c r="G103" s="11"/>
      <c r="H103" s="29">
        <f>-G54</f>
        <v>4983</v>
      </c>
      <c r="I103" s="1"/>
      <c r="J103" s="1"/>
      <c r="K103" s="1"/>
      <c r="L103" s="1"/>
    </row>
    <row r="104" ht="14.624267578125">
      <c r="A104" s="1"/>
      <c r="B104" s="33" t="s">
        <v>430</v>
      </c>
      <c r="C104" s="11"/>
      <c r="D104" s="11"/>
      <c r="E104" s="11"/>
      <c r="F104" s="11"/>
      <c r="G104" s="11"/>
      <c r="H104" s="41">
        <f>'Income Statement'!H54</f>
        <v>-108.6071682191781</v>
      </c>
      <c r="I104" s="1" t="s">
        <v>431</v>
      </c>
      <c r="J104" s="1"/>
      <c r="K104" s="1"/>
      <c r="L104" s="1"/>
    </row>
    <row r="105" ht="14.624267578125">
      <c r="A105" s="1"/>
      <c r="B105" s="33" t="s">
        <v>432</v>
      </c>
      <c r="C105" s="11"/>
      <c r="D105" s="11"/>
      <c r="E105" s="11"/>
      <c r="F105" s="11"/>
      <c r="G105" s="11"/>
      <c r="H105" s="41">
        <f>'Income Statement'!H43</f>
        <v>416.3928317808219</v>
      </c>
      <c r="I105" s="1"/>
      <c r="J105" s="1"/>
      <c r="K105" s="1"/>
      <c r="L105" s="1"/>
    </row>
    <row r="106" ht="14.624267578125">
      <c r="A106" s="1"/>
      <c r="B106" s="33" t="s">
        <v>433</v>
      </c>
      <c r="C106" s="11"/>
      <c r="D106" s="11"/>
      <c r="E106" s="11"/>
      <c r="F106" s="11"/>
      <c r="G106" s="11"/>
      <c r="H106" s="47">
        <v>5500</v>
      </c>
      <c r="I106" s="1" t="s">
        <v>434</v>
      </c>
      <c r="J106" s="1"/>
      <c r="K106" s="1"/>
      <c r="L106" s="1"/>
    </row>
    <row r="107" ht="14.624267578125">
      <c r="A107" s="1"/>
      <c r="B107" s="33" t="s">
        <v>435</v>
      </c>
      <c r="C107" s="11"/>
      <c r="D107" s="11"/>
      <c r="E107" s="11"/>
      <c r="F107" s="11"/>
      <c r="G107" s="11"/>
      <c r="H107" s="47">
        <v>5200</v>
      </c>
      <c r="I107" s="1" t="s">
        <v>436</v>
      </c>
      <c r="J107" s="1"/>
      <c r="K107" s="1"/>
      <c r="L107" s="1"/>
    </row>
    <row r="108" ht="23.24853515625">
      <c r="A108" s="1"/>
      <c r="B108" s="33" t="s">
        <v>437</v>
      </c>
      <c r="C108" s="11"/>
      <c r="D108" s="11"/>
      <c r="E108" s="11"/>
      <c r="F108" s="11"/>
      <c r="G108" s="11"/>
      <c r="H108" s="29">
        <f>H106-H107</f>
        <v>300</v>
      </c>
      <c r="I108" s="1" t="s">
        <v>438</v>
      </c>
      <c r="J108" s="1"/>
      <c r="K108" s="1"/>
      <c r="L108" s="1"/>
    </row>
    <row r="109" ht="14.624267578125">
      <c r="A109" s="1"/>
      <c r="B109" s="48" t="s">
        <v>439</v>
      </c>
      <c r="C109" s="50"/>
      <c r="D109" s="50"/>
      <c r="E109" s="50"/>
      <c r="F109" s="50"/>
      <c r="G109" s="50"/>
      <c r="H109" s="61">
        <f>H103+H104-H105-H108</f>
        <v>4158</v>
      </c>
      <c r="I109" s="1"/>
      <c r="J109" s="1"/>
      <c r="K109" s="1"/>
      <c r="L109" s="1"/>
    </row>
    <row r="110" ht="14.624267578125">
      <c r="A110" s="1"/>
      <c r="B110" s="19" t="s">
        <v>440</v>
      </c>
      <c r="C110" s="46">
        <f>IFERROR(-C54/C50,"")</f>
        <v>0.015407520896527438</v>
      </c>
      <c r="D110" s="46">
        <f>IFERROR(-D54/D50,"")</f>
        <v>0.01530759749844033</v>
      </c>
      <c r="E110" s="46">
        <f>IFERROR(-E54/E50,"")</f>
        <v>0.01530759749844033</v>
      </c>
      <c r="F110" s="46">
        <f>IFERROR(-F54/F50,"")</f>
        <v>0.015265552578985415</v>
      </c>
      <c r="G110" s="46">
        <f>IFERROR(-G54/G50,"")</f>
        <v>0.015109340319470218</v>
      </c>
      <c r="H110" s="67">
        <f>IFERROR(-H54/H50,"")</f>
        <v>0.012780125607611138</v>
      </c>
      <c r="I110" s="1"/>
      <c r="J110" s="1"/>
      <c r="K110" s="1"/>
      <c r="L110" s="1"/>
    </row>
    <row r="111" ht="14.624267578125">
      <c r="A111" s="1"/>
      <c r="B111" s="33" t="s">
        <v>99</v>
      </c>
      <c r="C111" s="26"/>
      <c r="D111" s="26">
        <f>IFERROR((D110-C110)*10000,"")</f>
        <v>-0.9992339808710844</v>
      </c>
      <c r="E111" s="26"/>
      <c r="F111" s="26">
        <f>IFERROR((F110-D110)*10000,"")</f>
        <v>-0.4204491945491474</v>
      </c>
      <c r="G111" s="26">
        <f>IFERROR((G110-F110)*10000,"")</f>
        <v>-1.5621225951519686</v>
      </c>
      <c r="H111" s="60">
        <f>IFERROR((H110-G110)*10000,"")</f>
        <v>-23.2921471185908</v>
      </c>
      <c r="I111" s="1"/>
      <c r="J111" s="1"/>
      <c r="K111" s="1"/>
      <c r="L111" s="1"/>
    </row>
    <row r="112" ht="14.624267578125">
      <c r="A112" s="1"/>
      <c r="B112" s="33" t="s">
        <v>441</v>
      </c>
      <c r="C112" s="11"/>
      <c r="D112" s="11"/>
      <c r="E112" s="11"/>
      <c r="F112" s="11"/>
      <c r="G112" s="11"/>
      <c r="H112" s="47">
        <v>900</v>
      </c>
      <c r="I112" s="1"/>
      <c r="J112" s="1"/>
      <c r="K112" s="1"/>
      <c r="L112" s="1"/>
    </row>
    <row r="113" ht="23.24853515625">
      <c r="A113" s="1"/>
      <c r="B113" s="33" t="s">
        <v>442</v>
      </c>
      <c r="C113" s="11"/>
      <c r="D113" s="11"/>
      <c r="E113" s="11"/>
      <c r="F113" s="11"/>
      <c r="G113" s="11"/>
      <c r="H113" s="47">
        <v>80</v>
      </c>
      <c r="I113" s="1"/>
      <c r="J113" s="1"/>
      <c r="K113" s="1"/>
      <c r="L113" s="1"/>
    </row>
    <row r="114" ht="14.624267578125">
      <c r="A114" s="1"/>
      <c r="B114" s="33" t="s">
        <v>443</v>
      </c>
      <c r="C114" s="6"/>
      <c r="D114" s="6"/>
      <c r="E114" s="6"/>
      <c r="F114" s="6"/>
      <c r="G114" s="6"/>
      <c r="H114" s="63">
        <v>5</v>
      </c>
      <c r="I114" s="1" t="s">
        <v>444</v>
      </c>
      <c r="J114" s="1"/>
      <c r="K114" s="1"/>
      <c r="L114" s="1"/>
    </row>
    <row r="115" ht="14.624267578125">
      <c r="A115" s="1"/>
      <c r="B115" s="33" t="s">
        <v>445</v>
      </c>
      <c r="C115" s="11"/>
      <c r="D115" s="11"/>
      <c r="E115" s="11"/>
      <c r="F115" s="11"/>
      <c r="G115" s="11"/>
      <c r="H115" s="41">
        <f>'Share Count'!H42*'Share Count'!H26</f>
        <v>623.7383409338797</v>
      </c>
      <c r="I115" s="1" t="s">
        <v>446</v>
      </c>
      <c r="J115" s="1"/>
      <c r="K115" s="1"/>
      <c r="L115" s="1"/>
    </row>
    <row r="116" ht="23.24853515625">
      <c r="A116" s="1"/>
      <c r="B116" s="33" t="s">
        <v>447</v>
      </c>
      <c r="C116" s="11"/>
      <c r="D116" s="11"/>
      <c r="E116" s="11"/>
      <c r="F116" s="11"/>
      <c r="G116" s="11"/>
      <c r="H116" s="29">
        <f>H97-(H11+H13+H14+H15+H16+H50+H53+H54+H55+H56+H57+H58+H59)</f>
        <v>34178.15226012876</v>
      </c>
      <c r="I116" s="1"/>
      <c r="J116" s="1"/>
      <c r="K116" s="1"/>
      <c r="L116" s="1"/>
    </row>
    <row r="117" ht="23.24853515625">
      <c r="A117" s="1"/>
      <c r="B117" s="48" t="s">
        <v>448</v>
      </c>
      <c r="C117" s="50">
        <f>C11+C12</f>
        <v>36852</v>
      </c>
      <c r="D117" s="50">
        <f>D11+D12</f>
        <v>36377</v>
      </c>
      <c r="E117" s="50">
        <f>E11+E12</f>
        <v>36377</v>
      </c>
      <c r="F117" s="50">
        <f>F11+F12</f>
        <v>36197</v>
      </c>
      <c r="G117" s="50">
        <f>G11+G12</f>
        <v>39288</v>
      </c>
      <c r="H117" s="61">
        <f>H11+H12</f>
        <v>38885.15226012876</v>
      </c>
      <c r="I117" s="1"/>
      <c r="J117" s="1"/>
      <c r="K117" s="1"/>
      <c r="L117" s="1"/>
    </row>
    <row r="118">
      <c r="A118" s="1"/>
      <c r="B118" s="33"/>
      <c r="C118" s="18"/>
      <c r="D118" s="18"/>
      <c r="E118" s="18"/>
      <c r="F118" s="18"/>
      <c r="G118" s="18"/>
      <c r="H118" s="45"/>
      <c r="I118" s="1"/>
      <c r="J118" s="1"/>
      <c r="K118" s="1"/>
      <c r="L118" s="1"/>
    </row>
    <row r="119">
      <c r="A119" s="1"/>
      <c r="B119" s="33"/>
      <c r="C119" s="18"/>
      <c r="D119" s="18"/>
      <c r="E119" s="18"/>
      <c r="F119" s="18"/>
      <c r="G119" s="18"/>
      <c r="H119" s="45"/>
      <c r="I119" s="1"/>
      <c r="J119" s="1"/>
      <c r="K119" s="1"/>
      <c r="L119" s="1"/>
    </row>
    <row r="120">
      <c r="A120" s="1"/>
      <c r="B120" s="33"/>
      <c r="C120" s="18"/>
      <c r="D120" s="18"/>
      <c r="E120" s="18"/>
      <c r="F120" s="18"/>
      <c r="G120" s="18"/>
      <c r="H120" s="45"/>
      <c r="I120" s="1"/>
      <c r="J120" s="1"/>
      <c r="K120" s="1"/>
      <c r="L120" s="1"/>
    </row>
    <row r="12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</sheetData>
</worksheet>
</file>

<file path=xl/worksheets/sheet8.xml><?xml version="1.0" encoding="utf-8"?>
<worksheet xmlns="http://schemas.openxmlformats.org/spreadsheetml/2006/main" xmlns:r="http://schemas.openxmlformats.org/officeDocument/2006/relationships">
  <dimension ref="A1:L69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8" width="12" customWidth="1"/>
    <col min="9" max="9" width="7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>
      <c r="A2" s="1"/>
      <c r="B2" s="2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>
      <c r="A3" s="1"/>
      <c r="B3" s="12" t="s">
        <v>449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>
      <c r="A4" s="1"/>
      <c r="B4" s="8" t="s">
        <v>369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>
      <c r="A6" s="1"/>
      <c r="B6" s="49" t="s">
        <v>76</v>
      </c>
      <c r="C6" s="17" t="s">
        <v>77</v>
      </c>
      <c r="D6" s="17" t="s">
        <v>78</v>
      </c>
      <c r="E6" s="17" t="s">
        <v>79</v>
      </c>
      <c r="F6" s="17" t="s">
        <v>80</v>
      </c>
      <c r="G6" s="17" t="s">
        <v>81</v>
      </c>
      <c r="H6" s="17" t="s">
        <v>82</v>
      </c>
      <c r="I6" s="49" t="s">
        <v>83</v>
      </c>
      <c r="J6" s="1"/>
      <c r="K6" s="1"/>
      <c r="L6" s="1"/>
    </row>
    <row r="7">
      <c r="A7" s="1"/>
      <c r="B7" s="54" t="s">
        <v>84</v>
      </c>
      <c r="C7" s="37">
        <f>DATE(2025,9,30)</f>
        <v>45930</v>
      </c>
      <c r="D7" s="37">
        <f>DATE(2025,12,31)</f>
        <v>46022</v>
      </c>
      <c r="E7" s="37">
        <f>DATE(2025,12,31)</f>
        <v>46022</v>
      </c>
      <c r="F7" s="37">
        <f>DATE(2026,3,31)</f>
        <v>46112</v>
      </c>
      <c r="G7" s="37">
        <f>DATE(2026,6,30)</f>
        <v>46203</v>
      </c>
      <c r="H7" s="37">
        <f>DATE(2026,9,30)</f>
        <v>46295</v>
      </c>
      <c r="I7" s="30"/>
      <c r="J7" s="1"/>
      <c r="K7" s="1"/>
      <c r="L7" s="1"/>
    </row>
    <row r="8">
      <c r="A8" s="1"/>
      <c r="B8" s="40" t="s">
        <v>85</v>
      </c>
      <c r="C8" s="27">
        <f>C7-DATE(2025,6,30)</f>
        <v>92</v>
      </c>
      <c r="D8" s="27">
        <f>D7-DATE(2025,9,30)</f>
        <v>92</v>
      </c>
      <c r="E8" s="27">
        <f>E7-DATE(2024,12,31)</f>
        <v>365</v>
      </c>
      <c r="F8" s="27">
        <f>F7-DATE(2025,12,31)</f>
        <v>90</v>
      </c>
      <c r="G8" s="27">
        <f>G7-DATE(2026,3,31)</f>
        <v>91</v>
      </c>
      <c r="H8" s="27">
        <f>H7-DATE(2026,6,30)</f>
        <v>92</v>
      </c>
      <c r="I8" s="58"/>
      <c r="J8" s="1"/>
      <c r="K8" s="1"/>
      <c r="L8" s="1"/>
    </row>
    <row r="9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ht="14.624267578125">
      <c r="A10" s="1"/>
      <c r="B10" s="57" t="s">
        <v>450</v>
      </c>
      <c r="C10" s="18"/>
      <c r="D10" s="18"/>
      <c r="E10" s="18"/>
      <c r="F10" s="18"/>
      <c r="G10" s="18"/>
      <c r="H10" s="45"/>
      <c r="I10" s="1"/>
      <c r="J10" s="1"/>
      <c r="K10" s="1"/>
      <c r="L10" s="1"/>
    </row>
    <row r="11" ht="14.624267578125">
      <c r="A11" s="1"/>
      <c r="B11" s="33" t="s">
        <v>313</v>
      </c>
      <c r="C11" s="2">
        <f>Inputs!D229-Inputs!C229</f>
        <v>1452</v>
      </c>
      <c r="D11" s="2">
        <f>Inputs!E229-Inputs!D229</f>
        <v>1354</v>
      </c>
      <c r="E11" s="2">
        <f>Inputs!E229</f>
        <v>5307</v>
      </c>
      <c r="F11" s="2">
        <f>Inputs!F229</f>
        <v>1481</v>
      </c>
      <c r="G11" s="2">
        <f>Inputs!G229-Inputs!F229</f>
        <v>1553</v>
      </c>
      <c r="H11" s="41">
        <f>'Income Statement'!H135</f>
        <v>1862.010601062672</v>
      </c>
      <c r="I11" s="1" t="s">
        <v>451</v>
      </c>
      <c r="J11" s="1"/>
      <c r="K11" s="1"/>
      <c r="L11" s="1"/>
    </row>
    <row r="12" ht="14.624267578125">
      <c r="A12" s="1"/>
      <c r="B12" s="33" t="s">
        <v>452</v>
      </c>
      <c r="C12" s="2">
        <f>Inputs!D230-Inputs!C230</f>
        <v>436</v>
      </c>
      <c r="D12" s="2">
        <f>Inputs!E230-Inputs!D230</f>
        <v>512</v>
      </c>
      <c r="E12" s="2">
        <f>Inputs!E230</f>
        <v>1894</v>
      </c>
      <c r="F12" s="2">
        <f>Inputs!F230</f>
        <v>479</v>
      </c>
      <c r="G12" s="2">
        <f>Inputs!G230-Inputs!F230</f>
        <v>395</v>
      </c>
      <c r="H12" s="41">
        <f>'Income Statement'!H54</f>
        <v>-108.6071682191781</v>
      </c>
      <c r="I12" s="1"/>
      <c r="J12" s="1"/>
      <c r="K12" s="1"/>
      <c r="L12" s="1"/>
    </row>
    <row r="13" ht="14.624267578125">
      <c r="A13" s="1"/>
      <c r="B13" s="33" t="s">
        <v>453</v>
      </c>
      <c r="C13" s="2">
        <f>Inputs!D231-Inputs!C231</f>
        <v>130</v>
      </c>
      <c r="D13" s="2">
        <f>Inputs!E231-Inputs!D231</f>
        <v>133</v>
      </c>
      <c r="E13" s="2">
        <f>Inputs!E231</f>
        <v>547</v>
      </c>
      <c r="F13" s="2">
        <f>Inputs!F231</f>
        <v>129</v>
      </c>
      <c r="G13" s="2">
        <f>Inputs!G231-Inputs!F231</f>
        <v>128</v>
      </c>
      <c r="H13" s="47">
        <v>128</v>
      </c>
      <c r="I13" s="1" t="s">
        <v>454</v>
      </c>
      <c r="J13" s="1"/>
      <c r="K13" s="1"/>
      <c r="L13" s="1"/>
    </row>
    <row r="14" ht="14.624267578125">
      <c r="A14" s="1"/>
      <c r="B14" s="33" t="s">
        <v>232</v>
      </c>
      <c r="C14" s="2">
        <f>Inputs!D232-Inputs!C232</f>
        <v>72</v>
      </c>
      <c r="D14" s="2">
        <f>Inputs!E232-Inputs!D232</f>
        <v>70</v>
      </c>
      <c r="E14" s="2">
        <f>Inputs!E232</f>
        <v>290</v>
      </c>
      <c r="F14" s="2">
        <f>Inputs!F232</f>
        <v>64</v>
      </c>
      <c r="G14" s="2">
        <f>Inputs!G232-Inputs!F232</f>
        <v>63</v>
      </c>
      <c r="H14" s="41">
        <f>'Income Statement'!H103</f>
        <v>62</v>
      </c>
      <c r="I14" s="1"/>
      <c r="J14" s="1"/>
      <c r="K14" s="1"/>
      <c r="L14" s="1"/>
    </row>
    <row r="15" ht="14.624267578125">
      <c r="A15" s="1"/>
      <c r="B15" s="33" t="s">
        <v>455</v>
      </c>
      <c r="C15" s="11">
        <f>C16-C11-C12-C13-C14</f>
        <v>-593</v>
      </c>
      <c r="D15" s="11">
        <f>D16-D11-D12-D13-D14</f>
        <v>513</v>
      </c>
      <c r="E15" s="11">
        <f>E16-E11-E12-E13-E14</f>
        <v>-2299</v>
      </c>
      <c r="F15" s="11">
        <f>F16-F11-F12-F13-F14</f>
        <v>-1474</v>
      </c>
      <c r="G15" s="11">
        <f>G16-G11-G12-G13-G14</f>
        <v>-1100</v>
      </c>
      <c r="H15" s="41">
        <f>-('Balance Sheet'!H53-'Balance Sheet'!G53)-('Balance Sheet'!H14-'Balance Sheet'!G14)-('Balance Sheet'!H58-'Balance Sheet'!G58)-('Balance Sheet'!H59-'Balance Sheet'!G59)+('Balance Sheet'!H87-'Balance Sheet'!G87)+'Balance Sheet'!H113</f>
        <v>80</v>
      </c>
      <c r="I15" s="1" t="s">
        <v>456</v>
      </c>
      <c r="J15" s="1"/>
      <c r="K15" s="1"/>
      <c r="L15" s="1"/>
    </row>
    <row r="16" ht="14.624267578125">
      <c r="A16" s="1"/>
      <c r="B16" s="48" t="s">
        <v>457</v>
      </c>
      <c r="C16" s="39">
        <f>Inputs!D233-Inputs!C233</f>
        <v>1497</v>
      </c>
      <c r="D16" s="39">
        <f>Inputs!E233-Inputs!D233</f>
        <v>2582</v>
      </c>
      <c r="E16" s="39">
        <f>Inputs!E233</f>
        <v>5739</v>
      </c>
      <c r="F16" s="39">
        <f>Inputs!F233</f>
        <v>679</v>
      </c>
      <c r="G16" s="39">
        <f>Inputs!G233-Inputs!F233</f>
        <v>1039</v>
      </c>
      <c r="H16" s="61">
        <f>H11+H12+H13+H14+H15</f>
        <v>2023.403432843494</v>
      </c>
      <c r="I16" s="1"/>
      <c r="J16" s="1"/>
      <c r="K16" s="1"/>
      <c r="L16" s="1"/>
    </row>
    <row r="17" ht="14.624267578125">
      <c r="A17" s="1"/>
      <c r="B17" s="19" t="s">
        <v>151</v>
      </c>
      <c r="C17" s="7"/>
      <c r="D17" s="7">
        <f>IFERROR(IF(C16&lt;=0,"n.m.",D16/C16-1),"")</f>
        <v>0.7247828991315965</v>
      </c>
      <c r="E17" s="7"/>
      <c r="F17" s="7">
        <f>IFERROR(IF(D16&lt;=0,"n.m.",F16/D16-1),"")</f>
        <v>-0.7370255615801704</v>
      </c>
      <c r="G17" s="7">
        <f>IFERROR(IF(F16&lt;=0,"n.m.",G16/F16-1),"")</f>
        <v>0.5301914580265095</v>
      </c>
      <c r="H17" s="31">
        <f>IFERROR(IF(G16&lt;=0,"n.m.",H16/G16-1),"")</f>
        <v>0.9474527746328143</v>
      </c>
      <c r="I17" s="1"/>
      <c r="J17" s="1"/>
      <c r="K17" s="1"/>
      <c r="L17" s="1"/>
    </row>
    <row r="18" ht="14.624267578125">
      <c r="A18" s="1"/>
      <c r="B18" s="19" t="s">
        <v>138</v>
      </c>
      <c r="C18" s="7"/>
      <c r="D18" s="7"/>
      <c r="E18" s="7"/>
      <c r="F18" s="7"/>
      <c r="G18" s="7"/>
      <c r="H18" s="31">
        <f>IFERROR(IF(C16&lt;=0,"n.m.",H16/C16-1),"")</f>
        <v>0.3516388996950528</v>
      </c>
      <c r="I18" s="1"/>
      <c r="J18" s="1"/>
      <c r="K18" s="1"/>
      <c r="L18" s="1"/>
    </row>
    <row r="19">
      <c r="A19" s="1"/>
      <c r="B19" s="33"/>
      <c r="C19" s="18"/>
      <c r="D19" s="18"/>
      <c r="E19" s="18"/>
      <c r="F19" s="18"/>
      <c r="G19" s="18"/>
      <c r="H19" s="45"/>
      <c r="I19" s="1"/>
      <c r="J19" s="1"/>
      <c r="K19" s="1"/>
      <c r="L19" s="1"/>
    </row>
    <row r="20" ht="14.624267578125">
      <c r="A20" s="1"/>
      <c r="B20" s="57" t="s">
        <v>458</v>
      </c>
      <c r="C20" s="18"/>
      <c r="D20" s="18"/>
      <c r="E20" s="18"/>
      <c r="F20" s="18"/>
      <c r="G20" s="18"/>
      <c r="H20" s="45"/>
      <c r="I20" s="1"/>
      <c r="J20" s="1"/>
      <c r="K20" s="1"/>
      <c r="L20" s="1"/>
    </row>
    <row r="21" ht="14.624267578125">
      <c r="A21" s="1"/>
      <c r="B21" s="33" t="s">
        <v>459</v>
      </c>
      <c r="C21" s="2">
        <f>Inputs!D234-Inputs!C234</f>
        <v>4</v>
      </c>
      <c r="D21" s="2">
        <f>Inputs!E234-Inputs!D234</f>
        <v>1606</v>
      </c>
      <c r="E21" s="2">
        <f>Inputs!E234</f>
        <v>2719</v>
      </c>
      <c r="F21" s="2">
        <f>Inputs!F234</f>
        <v>52</v>
      </c>
      <c r="G21" s="2">
        <f>Inputs!G234-Inputs!F234</f>
        <v>7</v>
      </c>
      <c r="H21" s="29" t="s">
        <v>460</v>
      </c>
      <c r="I21" s="1"/>
      <c r="J21" s="1"/>
      <c r="K21" s="1"/>
      <c r="L21" s="1"/>
    </row>
    <row r="22" ht="23.24853515625">
      <c r="A22" s="1"/>
      <c r="B22" s="33" t="s">
        <v>461</v>
      </c>
      <c r="C22" s="2">
        <f>Inputs!D235-Inputs!C235</f>
        <v>4044</v>
      </c>
      <c r="D22" s="2">
        <f>Inputs!E235-Inputs!D235</f>
        <v>4334</v>
      </c>
      <c r="E22" s="2">
        <f>Inputs!E235</f>
        <v>16457</v>
      </c>
      <c r="F22" s="2">
        <f>Inputs!F235</f>
        <v>4026</v>
      </c>
      <c r="G22" s="2">
        <f>Inputs!G235-Inputs!F235</f>
        <v>4328</v>
      </c>
      <c r="H22" s="41">
        <f>-('Balance Sheet'!H15-'Balance Sheet'!G15)</f>
        <v>0</v>
      </c>
      <c r="I22" s="1" t="s">
        <v>462</v>
      </c>
      <c r="J22" s="1"/>
      <c r="K22" s="1"/>
      <c r="L22" s="1"/>
    </row>
    <row r="23" ht="14.624267578125">
      <c r="A23" s="1"/>
      <c r="B23" s="33" t="s">
        <v>463</v>
      </c>
      <c r="C23" s="2">
        <f>Inputs!D236-Inputs!C236</f>
        <v>-2471</v>
      </c>
      <c r="D23" s="2">
        <f>Inputs!E236-Inputs!D236</f>
        <v>-5125</v>
      </c>
      <c r="E23" s="2">
        <f>Inputs!E236</f>
        <v>-14475</v>
      </c>
      <c r="F23" s="2">
        <f>Inputs!F236</f>
        <v>-4800</v>
      </c>
      <c r="G23" s="2">
        <f>Inputs!G236-Inputs!F236</f>
        <v>-5976</v>
      </c>
      <c r="H23" s="29" t="s">
        <v>460</v>
      </c>
      <c r="I23" s="1"/>
      <c r="J23" s="1"/>
      <c r="K23" s="1"/>
      <c r="L23" s="1"/>
    </row>
    <row r="24" ht="14.624267578125">
      <c r="A24" s="1"/>
      <c r="B24" s="33" t="s">
        <v>464</v>
      </c>
      <c r="C24" s="2">
        <f>Inputs!D237-Inputs!C237</f>
        <v>1029</v>
      </c>
      <c r="D24" s="2">
        <f>Inputs!E237-Inputs!D237</f>
        <v>907</v>
      </c>
      <c r="E24" s="2">
        <f>Inputs!E237</f>
        <v>3748</v>
      </c>
      <c r="F24" s="2">
        <f>Inputs!F237</f>
        <v>816</v>
      </c>
      <c r="G24" s="2">
        <f>Inputs!G237-Inputs!F237</f>
        <v>951</v>
      </c>
      <c r="H24" s="41">
        <f>-('Balance Sheet'!H16-'Balance Sheet'!G16)</f>
        <v>900</v>
      </c>
      <c r="I24" s="1"/>
      <c r="J24" s="1"/>
      <c r="K24" s="1"/>
      <c r="L24" s="1"/>
    </row>
    <row r="25" ht="14.624267578125">
      <c r="A25" s="1"/>
      <c r="B25" s="33" t="s">
        <v>465</v>
      </c>
      <c r="C25" s="2">
        <f>Inputs!D238-Inputs!C238</f>
        <v>0</v>
      </c>
      <c r="D25" s="2">
        <f>Inputs!E238-Inputs!D238</f>
        <v>0</v>
      </c>
      <c r="E25" s="2">
        <f>Inputs!E238</f>
        <v>0</v>
      </c>
      <c r="F25" s="2">
        <f>Inputs!F238</f>
        <v>0</v>
      </c>
      <c r="G25" s="2">
        <f>Inputs!G238-Inputs!F238</f>
        <v>-795</v>
      </c>
      <c r="H25" s="29" t="s">
        <v>466</v>
      </c>
      <c r="I25" s="1"/>
      <c r="J25" s="1"/>
      <c r="K25" s="1"/>
      <c r="L25" s="1"/>
    </row>
    <row r="26" ht="14.624267578125">
      <c r="A26" s="1"/>
      <c r="B26" s="33" t="s">
        <v>467</v>
      </c>
      <c r="C26" s="2">
        <f>Inputs!D239-Inputs!C239</f>
        <v>-5334</v>
      </c>
      <c r="D26" s="2">
        <f>Inputs!E239-Inputs!D239</f>
        <v>-5586</v>
      </c>
      <c r="E26" s="2">
        <f>Inputs!E239</f>
        <v>-23780</v>
      </c>
      <c r="F26" s="2">
        <f>Inputs!F239</f>
        <v>-1414</v>
      </c>
      <c r="G26" s="2">
        <f>Inputs!G239-Inputs!F239</f>
        <v>-1131</v>
      </c>
      <c r="H26" s="41">
        <f>-(('Balance Sheet'!H50-'Balance Sheet'!G50)+'Balance Sheet'!H106)-'Income Statement'!H43</f>
        <v>-1469.307831780859</v>
      </c>
      <c r="I26" s="1"/>
      <c r="J26" s="1"/>
      <c r="K26" s="1"/>
      <c r="L26" s="1"/>
    </row>
    <row r="27" ht="14.624267578125">
      <c r="A27" s="1"/>
      <c r="B27" s="33" t="s">
        <v>468</v>
      </c>
      <c r="C27" s="2">
        <f>Inputs!D240-Inputs!C240</f>
        <v>-150</v>
      </c>
      <c r="D27" s="2">
        <f>Inputs!E240-Inputs!D240</f>
        <v>-74</v>
      </c>
      <c r="E27" s="2">
        <f>Inputs!E240</f>
        <v>-892</v>
      </c>
      <c r="F27" s="2">
        <f>Inputs!F240</f>
        <v>0</v>
      </c>
      <c r="G27" s="2">
        <f>Inputs!G240-Inputs!F240</f>
        <v>-206</v>
      </c>
      <c r="H27" s="29" t="s">
        <v>469</v>
      </c>
      <c r="I27" s="1"/>
      <c r="J27" s="1"/>
      <c r="K27" s="1"/>
      <c r="L27" s="1"/>
    </row>
    <row r="28" ht="14.624267578125">
      <c r="A28" s="1"/>
      <c r="B28" s="33" t="s">
        <v>470</v>
      </c>
      <c r="C28" s="2">
        <f>Inputs!D241-Inputs!C241</f>
        <v>81</v>
      </c>
      <c r="D28" s="2">
        <f>Inputs!E241-Inputs!D241</f>
        <v>176</v>
      </c>
      <c r="E28" s="2">
        <f>Inputs!E241</f>
        <v>615</v>
      </c>
      <c r="F28" s="2">
        <f>Inputs!F241</f>
        <v>231</v>
      </c>
      <c r="G28" s="2">
        <f>Inputs!G241-Inputs!F241</f>
        <v>319</v>
      </c>
      <c r="H28" s="41">
        <f>'Balance Sheet'!H107</f>
        <v>5200</v>
      </c>
      <c r="I28" s="1" t="s">
        <v>471</v>
      </c>
      <c r="J28" s="1"/>
      <c r="K28" s="1"/>
      <c r="L28" s="1"/>
    </row>
    <row r="29" ht="14.624267578125">
      <c r="A29" s="1"/>
      <c r="B29" s="33" t="s">
        <v>472</v>
      </c>
      <c r="C29" s="2">
        <f>Inputs!D242-Inputs!C242</f>
        <v>-325</v>
      </c>
      <c r="D29" s="2">
        <f>Inputs!E242-Inputs!D242</f>
        <v>-219</v>
      </c>
      <c r="E29" s="2">
        <f>Inputs!E242</f>
        <v>-650</v>
      </c>
      <c r="F29" s="2">
        <f>Inputs!F242</f>
        <v>-847</v>
      </c>
      <c r="G29" s="2">
        <f>Inputs!G242-Inputs!F242</f>
        <v>-384</v>
      </c>
      <c r="H29" s="41">
        <f>-('Balance Sheet'!H13-'Balance Sheet'!G13)</f>
        <v>0</v>
      </c>
      <c r="I29" s="1"/>
      <c r="J29" s="1"/>
      <c r="K29" s="1"/>
      <c r="L29" s="1"/>
    </row>
    <row r="30" ht="14.624267578125">
      <c r="A30" s="1"/>
      <c r="B30" s="33" t="s">
        <v>473</v>
      </c>
      <c r="C30" s="11">
        <f>C31-(C21+C22+C23+C24+C25+C26+C27+C28+C29)</f>
        <v>-513</v>
      </c>
      <c r="D30" s="11">
        <f>D31-(D21+D22+D23+D24+D25+D26+D27+D28+D29)</f>
        <v>-811</v>
      </c>
      <c r="E30" s="11">
        <f>E31-(E21+E22+E23+E24+E25+E26+E27+E28+E29)</f>
        <v>-1505</v>
      </c>
      <c r="F30" s="11">
        <f>F31-(F21+F22+F23+F24+F25+F26+F27+F28+F29)</f>
        <v>-1</v>
      </c>
      <c r="G30" s="11">
        <f>G31-(G21+G22+G23+G24+G25+G26+G27+G28+G29)</f>
        <v>15</v>
      </c>
      <c r="H30" s="41">
        <f>-(('Balance Sheet'!H55-'Balance Sheet'!G55)+H13)-(('Balance Sheet'!H57-'Balance Sheet'!G57)+H14)-('Balance Sheet'!H56-'Balance Sheet'!G56)</f>
        <v>-128</v>
      </c>
      <c r="I30" s="1" t="s">
        <v>474</v>
      </c>
      <c r="J30" s="1"/>
      <c r="K30" s="1"/>
      <c r="L30" s="1"/>
    </row>
    <row r="31" ht="14.624267578125">
      <c r="A31" s="1"/>
      <c r="B31" s="48" t="s">
        <v>475</v>
      </c>
      <c r="C31" s="39">
        <f>Inputs!D243-Inputs!C243</f>
        <v>-3635</v>
      </c>
      <c r="D31" s="39">
        <f>Inputs!E243-Inputs!D243</f>
        <v>-4792</v>
      </c>
      <c r="E31" s="39">
        <f>Inputs!E243</f>
        <v>-17763</v>
      </c>
      <c r="F31" s="39">
        <f>Inputs!F243</f>
        <v>-1937</v>
      </c>
      <c r="G31" s="39">
        <f>Inputs!G243-Inputs!F243</f>
        <v>-2872</v>
      </c>
      <c r="H31" s="61">
        <f>SUM(H21:H30)</f>
        <v>4502.6921682191405</v>
      </c>
      <c r="I31" s="1"/>
      <c r="J31" s="1"/>
      <c r="K31" s="1"/>
      <c r="L31" s="1"/>
    </row>
    <row r="32">
      <c r="A32" s="1"/>
      <c r="B32" s="33"/>
      <c r="C32" s="18"/>
      <c r="D32" s="18"/>
      <c r="E32" s="18"/>
      <c r="F32" s="18"/>
      <c r="G32" s="18"/>
      <c r="H32" s="45"/>
      <c r="I32" s="1"/>
      <c r="J32" s="1"/>
      <c r="K32" s="1"/>
      <c r="L32" s="1"/>
    </row>
    <row r="33" ht="14.624267578125">
      <c r="A33" s="1"/>
      <c r="B33" s="57" t="s">
        <v>476</v>
      </c>
      <c r="C33" s="18"/>
      <c r="D33" s="18"/>
      <c r="E33" s="18"/>
      <c r="F33" s="18"/>
      <c r="G33" s="18"/>
      <c r="H33" s="45"/>
      <c r="I33" s="1"/>
      <c r="J33" s="1"/>
      <c r="K33" s="1"/>
      <c r="L33" s="1"/>
    </row>
    <row r="34" ht="14.624267578125">
      <c r="A34" s="1"/>
      <c r="B34" s="33" t="s">
        <v>477</v>
      </c>
      <c r="C34" s="2">
        <f>Inputs!D244-Inputs!C244</f>
        <v>-11215</v>
      </c>
      <c r="D34" s="2">
        <f>Inputs!E244-Inputs!D244</f>
        <v>5491</v>
      </c>
      <c r="E34" s="2">
        <f>Inputs!E244</f>
        <v>9874</v>
      </c>
      <c r="F34" s="2">
        <f>Inputs!F244</f>
        <v>3683</v>
      </c>
      <c r="G34" s="2">
        <f>Inputs!G244-Inputs!F244</f>
        <v>5298</v>
      </c>
      <c r="H34" s="41">
        <f>('Balance Sheet'!H81-'Balance Sheet'!G81)</f>
        <v>1191.7949999999837</v>
      </c>
      <c r="I34" s="1"/>
      <c r="J34" s="1"/>
      <c r="K34" s="1"/>
      <c r="L34" s="1"/>
    </row>
    <row r="35" ht="14.624267578125">
      <c r="A35" s="1"/>
      <c r="B35" s="33" t="s">
        <v>478</v>
      </c>
      <c r="C35" s="2">
        <f>Inputs!D245-Inputs!C245</f>
        <v>12755</v>
      </c>
      <c r="D35" s="2">
        <f>Inputs!E245-Inputs!D245</f>
        <v>-1544</v>
      </c>
      <c r="E35" s="2">
        <f>Inputs!E245</f>
        <v>-1345</v>
      </c>
      <c r="F35" s="2">
        <f>Inputs!F245</f>
        <v>-406</v>
      </c>
      <c r="G35" s="2">
        <f>Inputs!G245-Inputs!F245</f>
        <v>-545</v>
      </c>
      <c r="H35" s="41">
        <f>('Balance Sheet'!H84-'Balance Sheet'!G84)</f>
        <v>-5200</v>
      </c>
      <c r="I35" s="1"/>
      <c r="J35" s="1"/>
      <c r="K35" s="1"/>
      <c r="L35" s="1"/>
    </row>
    <row r="36" ht="14.624267578125">
      <c r="A36" s="1"/>
      <c r="B36" s="33" t="s">
        <v>479</v>
      </c>
      <c r="C36" s="2">
        <f>Inputs!D246-Inputs!C246</f>
        <v>22265</v>
      </c>
      <c r="D36" s="2">
        <f>Inputs!E246-Inputs!D246</f>
        <v>18848</v>
      </c>
      <c r="E36" s="2">
        <f>Inputs!E246</f>
        <v>69755</v>
      </c>
      <c r="F36" s="2">
        <f>Inputs!F246</f>
        <v>22811</v>
      </c>
      <c r="G36" s="2">
        <f>Inputs!G246-Inputs!F246</f>
        <v>27662</v>
      </c>
      <c r="H36" s="29" t="s">
        <v>480</v>
      </c>
      <c r="I36" s="1"/>
      <c r="J36" s="1"/>
      <c r="K36" s="1"/>
      <c r="L36" s="1"/>
    </row>
    <row r="37" ht="23.24853515625">
      <c r="A37" s="1"/>
      <c r="B37" s="33" t="s">
        <v>481</v>
      </c>
      <c r="C37" s="2">
        <f>Inputs!D247-Inputs!C247</f>
        <v>-25015</v>
      </c>
      <c r="D37" s="2">
        <f>Inputs!E247-Inputs!D247</f>
        <v>-18583</v>
      </c>
      <c r="E37" s="2">
        <f>Inputs!E247</f>
        <v>-63084</v>
      </c>
      <c r="F37" s="2">
        <f>Inputs!F247</f>
        <v>-23053</v>
      </c>
      <c r="G37" s="2">
        <f>Inputs!G247-Inputs!F247</f>
        <v>-26078</v>
      </c>
      <c r="H37" s="41">
        <f>('Balance Sheet'!H85-'Balance Sheet'!G85)</f>
        <v>-850</v>
      </c>
      <c r="I37" s="1" t="s">
        <v>482</v>
      </c>
      <c r="J37" s="1"/>
      <c r="K37" s="1"/>
      <c r="L37" s="1"/>
    </row>
    <row r="38" ht="14.624267578125">
      <c r="A38" s="1"/>
      <c r="B38" s="33" t="s">
        <v>483</v>
      </c>
      <c r="C38" s="2">
        <f>Inputs!D248-Inputs!C248</f>
        <v>-500</v>
      </c>
      <c r="D38" s="2">
        <f>Inputs!E248-Inputs!D248</f>
        <v>-750</v>
      </c>
      <c r="E38" s="2">
        <f>Inputs!E248</f>
        <v>-2500</v>
      </c>
      <c r="F38" s="2">
        <f>Inputs!F248</f>
        <v>-1134</v>
      </c>
      <c r="G38" s="2">
        <f>Inputs!G248-Inputs!F248</f>
        <v>-1200</v>
      </c>
      <c r="H38" s="41">
        <f>-'Share Count'!H14</f>
        <v>-1333</v>
      </c>
      <c r="I38" s="1"/>
      <c r="J38" s="1"/>
      <c r="K38" s="1"/>
      <c r="L38" s="1"/>
    </row>
    <row r="39" ht="14.624267578125">
      <c r="A39" s="1"/>
      <c r="B39" s="33" t="s">
        <v>484</v>
      </c>
      <c r="C39" s="2">
        <f>Inputs!D249-Inputs!C249</f>
        <v>0</v>
      </c>
      <c r="D39" s="2">
        <f>Inputs!E249-Inputs!D249</f>
        <v>-1000</v>
      </c>
      <c r="E39" s="2">
        <f>Inputs!E249</f>
        <v>-1000</v>
      </c>
      <c r="F39" s="2">
        <f>Inputs!F249</f>
        <v>0</v>
      </c>
      <c r="G39" s="2">
        <f>Inputs!G249-Inputs!F249</f>
        <v>495</v>
      </c>
      <c r="H39" s="41">
        <f>('Balance Sheet'!H91-'Balance Sheet'!G91)</f>
        <v>0</v>
      </c>
      <c r="I39" s="1"/>
      <c r="J39" s="1"/>
      <c r="K39" s="1"/>
      <c r="L39" s="1"/>
    </row>
    <row r="40" ht="14.624267578125">
      <c r="A40" s="1"/>
      <c r="B40" s="33" t="s">
        <v>485</v>
      </c>
      <c r="C40" s="2">
        <f>Inputs!D250-Inputs!C250</f>
        <v>-665</v>
      </c>
      <c r="D40" s="2">
        <f>Inputs!E250-Inputs!D250</f>
        <v>-658</v>
      </c>
      <c r="E40" s="2">
        <f>Inputs!E250</f>
        <v>-2672</v>
      </c>
      <c r="F40" s="2">
        <f>Inputs!F250</f>
        <v>-645</v>
      </c>
      <c r="G40" s="2">
        <f>Inputs!G250-Inputs!F250</f>
        <v>-636</v>
      </c>
      <c r="H40" s="41">
        <f>-'Balance Sheet'!H115</f>
        <v>-623.7383409338797</v>
      </c>
      <c r="I40" s="1"/>
      <c r="J40" s="1"/>
      <c r="K40" s="1"/>
      <c r="L40" s="1"/>
    </row>
    <row r="41" ht="14.624267578125">
      <c r="A41" s="1"/>
      <c r="B41" s="33" t="s">
        <v>486</v>
      </c>
      <c r="C41" s="2">
        <f>Inputs!D251-Inputs!C251</f>
        <v>-104</v>
      </c>
      <c r="D41" s="2">
        <f>Inputs!E251-Inputs!D251</f>
        <v>-56</v>
      </c>
      <c r="E41" s="2">
        <f>Inputs!E251</f>
        <v>-324</v>
      </c>
      <c r="F41" s="2">
        <f>Inputs!F251</f>
        <v>-104</v>
      </c>
      <c r="G41" s="2">
        <f>Inputs!G251-Inputs!F251</f>
        <v>-34</v>
      </c>
      <c r="H41" s="41">
        <f>-'Income Statement'!H138</f>
        <v>-114</v>
      </c>
      <c r="I41" s="1"/>
      <c r="J41" s="1"/>
      <c r="K41" s="1"/>
      <c r="L41" s="1"/>
    </row>
    <row r="42" ht="23.24853515625">
      <c r="A42" s="1"/>
      <c r="B42" s="33" t="s">
        <v>487</v>
      </c>
      <c r="C42" s="11">
        <f>C43-(C34+C35+C36+C37+C38+C39+C40+C41)</f>
        <v>18</v>
      </c>
      <c r="D42" s="11">
        <f>D43-(D34+D35+D36+D37+D38+D39+D40+D41)</f>
        <v>-13</v>
      </c>
      <c r="E42" s="11">
        <f>E43-(E34+E35+E36+E37+E38+E39+E40+E41)</f>
        <v>-71</v>
      </c>
      <c r="F42" s="11">
        <f>F43-(F34+F35+F36+F37+F38+F39+F40+F41)</f>
        <v>-74</v>
      </c>
      <c r="G42" s="11">
        <f>G43-(G34+G35+G36+G37+G38+G39+G40+G41)</f>
        <v>-38</v>
      </c>
      <c r="H42" s="105">
        <v>0</v>
      </c>
      <c r="I42" s="1"/>
      <c r="J42" s="1"/>
      <c r="K42" s="1"/>
      <c r="L42" s="1"/>
    </row>
    <row r="43" ht="14.624267578125">
      <c r="A43" s="1"/>
      <c r="B43" s="48" t="s">
        <v>488</v>
      </c>
      <c r="C43" s="39">
        <f>Inputs!D252-Inputs!C252</f>
        <v>-2461</v>
      </c>
      <c r="D43" s="39">
        <f>Inputs!E252-Inputs!D252</f>
        <v>1735</v>
      </c>
      <c r="E43" s="39">
        <f>Inputs!E252</f>
        <v>8633</v>
      </c>
      <c r="F43" s="39">
        <f>Inputs!F252</f>
        <v>1078</v>
      </c>
      <c r="G43" s="39">
        <f>Inputs!G252-Inputs!F252</f>
        <v>4924</v>
      </c>
      <c r="H43" s="61">
        <f>SUM(H34:H42)</f>
        <v>-6928.943340933896</v>
      </c>
      <c r="I43" s="1"/>
      <c r="J43" s="1"/>
      <c r="K43" s="1"/>
      <c r="L43" s="1"/>
    </row>
    <row r="44">
      <c r="A44" s="1"/>
      <c r="B44" s="33"/>
      <c r="C44" s="18"/>
      <c r="D44" s="18"/>
      <c r="E44" s="18"/>
      <c r="F44" s="18"/>
      <c r="G44" s="18"/>
      <c r="H44" s="45"/>
      <c r="I44" s="1"/>
      <c r="J44" s="1"/>
      <c r="K44" s="1"/>
      <c r="L44" s="1"/>
    </row>
    <row r="45" ht="14.624267578125">
      <c r="A45" s="1"/>
      <c r="B45" s="57" t="s">
        <v>489</v>
      </c>
      <c r="C45" s="18"/>
      <c r="D45" s="18"/>
      <c r="E45" s="18"/>
      <c r="F45" s="18"/>
      <c r="G45" s="18"/>
      <c r="H45" s="45"/>
      <c r="I45" s="1"/>
      <c r="J45" s="1"/>
      <c r="K45" s="1"/>
      <c r="L45" s="1"/>
    </row>
    <row r="46" ht="14.624267578125">
      <c r="A46" s="1"/>
      <c r="B46" s="48" t="s">
        <v>490</v>
      </c>
      <c r="C46" s="50">
        <f>C16+C31+C43</f>
        <v>-4599</v>
      </c>
      <c r="D46" s="50">
        <f>D16+D31+D43</f>
        <v>-475</v>
      </c>
      <c r="E46" s="50">
        <f>E16+E31+E43</f>
        <v>-3391</v>
      </c>
      <c r="F46" s="50">
        <f>F16+F31+F43</f>
        <v>-180</v>
      </c>
      <c r="G46" s="50">
        <f>G16+G31+G43</f>
        <v>3091</v>
      </c>
      <c r="H46" s="61">
        <f>H16+H31+H43</f>
        <v>-402.8477398712621</v>
      </c>
      <c r="I46" s="1"/>
      <c r="J46" s="1"/>
      <c r="K46" s="1"/>
      <c r="L46" s="1"/>
    </row>
    <row r="47" ht="14.624267578125">
      <c r="A47" s="1"/>
      <c r="B47" s="33" t="s">
        <v>491</v>
      </c>
      <c r="C47" s="2">
        <f>Inputs!C255</f>
        <v>41451</v>
      </c>
      <c r="D47" s="11">
        <f>C48</f>
        <v>36852</v>
      </c>
      <c r="E47" s="2">
        <f>Inputs!E254</f>
        <v>39768</v>
      </c>
      <c r="F47" s="11">
        <f>D48</f>
        <v>36377</v>
      </c>
      <c r="G47" s="11">
        <f>F48</f>
        <v>36197</v>
      </c>
      <c r="H47" s="29">
        <f>G48</f>
        <v>39288</v>
      </c>
      <c r="I47" s="1"/>
      <c r="J47" s="1"/>
      <c r="K47" s="1"/>
      <c r="L47" s="1"/>
    </row>
    <row r="48" ht="14.624267578125">
      <c r="A48" s="1"/>
      <c r="B48" s="48" t="s">
        <v>492</v>
      </c>
      <c r="C48" s="50">
        <f>C47+C46</f>
        <v>36852</v>
      </c>
      <c r="D48" s="50">
        <f>D47+D46</f>
        <v>36377</v>
      </c>
      <c r="E48" s="50">
        <f>E47+E46</f>
        <v>36377</v>
      </c>
      <c r="F48" s="50">
        <f>F47+F46</f>
        <v>36197</v>
      </c>
      <c r="G48" s="50">
        <f>G47+G46</f>
        <v>39288</v>
      </c>
      <c r="H48" s="61">
        <f>H47+H46</f>
        <v>38885.152260128736</v>
      </c>
      <c r="I48" s="1"/>
      <c r="J48" s="1"/>
      <c r="K48" s="1"/>
      <c r="L48" s="1"/>
    </row>
    <row r="49" ht="23.24853515625">
      <c r="A49" s="1"/>
      <c r="B49" s="33" t="s">
        <v>493</v>
      </c>
      <c r="C49" s="2">
        <f>'Balance Sheet'!C117</f>
        <v>36852</v>
      </c>
      <c r="D49" s="2">
        <f>'Balance Sheet'!D117</f>
        <v>36377</v>
      </c>
      <c r="E49" s="2">
        <f>'Balance Sheet'!E117</f>
        <v>36377</v>
      </c>
      <c r="F49" s="2">
        <f>'Balance Sheet'!F117</f>
        <v>36197</v>
      </c>
      <c r="G49" s="2">
        <f>'Balance Sheet'!G117</f>
        <v>39288</v>
      </c>
      <c r="H49" s="41">
        <f>'Balance Sheet'!H117</f>
        <v>38885.15226012876</v>
      </c>
      <c r="I49" s="1"/>
      <c r="J49" s="1"/>
      <c r="K49" s="1"/>
      <c r="L49" s="1"/>
    </row>
    <row r="50" ht="23.24853515625">
      <c r="A50" s="1"/>
      <c r="B50" s="48" t="s">
        <v>494</v>
      </c>
      <c r="C50" s="35">
        <f>C48-C49</f>
        <v>0</v>
      </c>
      <c r="D50" s="35">
        <f>D48-D49</f>
        <v>0</v>
      </c>
      <c r="E50" s="35">
        <f>E48-E49</f>
        <v>0</v>
      </c>
      <c r="F50" s="35">
        <f>F48-F49</f>
        <v>0</v>
      </c>
      <c r="G50" s="35">
        <f>G48-G49</f>
        <v>0</v>
      </c>
      <c r="H50" s="28">
        <f>H48-H49</f>
        <v>0</v>
      </c>
      <c r="I50" s="1" t="s">
        <v>495</v>
      </c>
      <c r="J50" s="1"/>
      <c r="K50" s="1"/>
      <c r="L50" s="1"/>
    </row>
    <row r="51" ht="14.624267578125">
      <c r="A51" s="1"/>
      <c r="B51" s="33" t="s">
        <v>496</v>
      </c>
      <c r="C51" s="2">
        <f>Inputs!D253-Inputs!C253</f>
        <v>-4599</v>
      </c>
      <c r="D51" s="2">
        <f>Inputs!E253-Inputs!D253</f>
        <v>-475</v>
      </c>
      <c r="E51" s="2">
        <f>Inputs!E253</f>
        <v>-3391</v>
      </c>
      <c r="F51" s="2">
        <f>Inputs!F253</f>
        <v>-180</v>
      </c>
      <c r="G51" s="2">
        <f>Inputs!G253-Inputs!F253</f>
        <v>3091</v>
      </c>
      <c r="H51" s="29"/>
      <c r="I51" s="1"/>
      <c r="J51" s="1"/>
      <c r="K51" s="1"/>
      <c r="L51" s="1"/>
    </row>
    <row r="52" ht="14.624267578125">
      <c r="A52" s="1"/>
      <c r="B52" s="19" t="s">
        <v>497</v>
      </c>
      <c r="C52" s="38">
        <f>C46-C51</f>
        <v>0</v>
      </c>
      <c r="D52" s="38">
        <f>D46-D51</f>
        <v>0</v>
      </c>
      <c r="E52" s="38">
        <f>E46-E51</f>
        <v>0</v>
      </c>
      <c r="F52" s="38">
        <f>F46-F51</f>
        <v>0</v>
      </c>
      <c r="G52" s="38">
        <f>G46-G51</f>
        <v>0</v>
      </c>
      <c r="H52" s="59"/>
      <c r="I52" s="1"/>
      <c r="J52" s="1"/>
      <c r="K52" s="1"/>
      <c r="L52" s="1"/>
    </row>
    <row r="53">
      <c r="A53" s="1"/>
      <c r="B53" s="33"/>
      <c r="C53" s="18"/>
      <c r="D53" s="18"/>
      <c r="E53" s="18"/>
      <c r="F53" s="18"/>
      <c r="G53" s="18"/>
      <c r="H53" s="45"/>
      <c r="I53" s="1"/>
      <c r="J53" s="1"/>
      <c r="K53" s="1"/>
      <c r="L53" s="1"/>
    </row>
    <row r="54" ht="14.624267578125">
      <c r="A54" s="1"/>
      <c r="B54" s="57" t="s">
        <v>498</v>
      </c>
      <c r="C54" s="18"/>
      <c r="D54" s="18"/>
      <c r="E54" s="18"/>
      <c r="F54" s="18"/>
      <c r="G54" s="18"/>
      <c r="H54" s="45"/>
      <c r="I54" s="1"/>
      <c r="J54" s="1"/>
      <c r="K54" s="1"/>
      <c r="L54" s="1"/>
    </row>
    <row r="55" ht="14.624267578125">
      <c r="A55" s="1"/>
      <c r="B55" s="33" t="s">
        <v>499</v>
      </c>
      <c r="C55" s="11" t="s">
        <v>105</v>
      </c>
      <c r="D55" s="11" t="s">
        <v>105</v>
      </c>
      <c r="E55" s="11" t="s">
        <v>105</v>
      </c>
      <c r="F55" s="11" t="s">
        <v>105</v>
      </c>
      <c r="G55" s="11" t="s">
        <v>105</v>
      </c>
      <c r="H55" s="29" t="s">
        <v>105</v>
      </c>
      <c r="I55" s="1" t="s">
        <v>500</v>
      </c>
      <c r="J55" s="1"/>
      <c r="K55" s="1"/>
      <c r="L55" s="1"/>
    </row>
    <row r="56" ht="14.624267578125">
      <c r="A56" s="1"/>
      <c r="B56" s="33" t="s">
        <v>501</v>
      </c>
      <c r="C56" s="11" t="s">
        <v>502</v>
      </c>
      <c r="D56" s="11" t="s">
        <v>502</v>
      </c>
      <c r="E56" s="11" t="s">
        <v>502</v>
      </c>
      <c r="F56" s="11" t="s">
        <v>502</v>
      </c>
      <c r="G56" s="11" t="s">
        <v>502</v>
      </c>
      <c r="H56" s="29" t="s">
        <v>502</v>
      </c>
      <c r="I56" s="1" t="s">
        <v>503</v>
      </c>
      <c r="J56" s="1"/>
      <c r="K56" s="1"/>
      <c r="L56" s="1"/>
    </row>
    <row r="57">
      <c r="A57" s="1"/>
      <c r="B57" s="33"/>
      <c r="C57" s="18"/>
      <c r="D57" s="18"/>
      <c r="E57" s="18"/>
      <c r="F57" s="18"/>
      <c r="G57" s="18"/>
      <c r="H57" s="45"/>
      <c r="I57" s="1"/>
      <c r="J57" s="1"/>
      <c r="K57" s="1"/>
      <c r="L57" s="1"/>
    </row>
    <row r="58">
      <c r="A58" s="1"/>
      <c r="B58" s="33"/>
      <c r="C58" s="18"/>
      <c r="D58" s="18"/>
      <c r="E58" s="18"/>
      <c r="F58" s="18"/>
      <c r="G58" s="18"/>
      <c r="H58" s="45"/>
      <c r="I58" s="1"/>
      <c r="J58" s="1"/>
      <c r="K58" s="1"/>
      <c r="L58" s="1"/>
    </row>
    <row r="59">
      <c r="A59" s="1"/>
      <c r="B59" s="33"/>
      <c r="C59" s="18"/>
      <c r="D59" s="18"/>
      <c r="E59" s="18"/>
      <c r="F59" s="18"/>
      <c r="G59" s="18"/>
      <c r="H59" s="45"/>
      <c r="I59" s="1"/>
      <c r="J59" s="1"/>
      <c r="K59" s="1"/>
      <c r="L59" s="1"/>
    </row>
    <row r="60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</sheetData>
</worksheet>
</file>

<file path=xl/worksheets/sheet9.xml><?xml version="1.0" encoding="utf-8"?>
<worksheet xmlns="http://schemas.openxmlformats.org/spreadsheetml/2006/main" xmlns:r="http://schemas.openxmlformats.org/officeDocument/2006/relationships">
  <dimension ref="A1:L60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8" width="12" customWidth="1"/>
    <col min="9" max="9" width="70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>
      <c r="A2" s="1"/>
      <c r="B2" s="2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>
      <c r="A3" s="1"/>
      <c r="B3" s="12" t="s">
        <v>504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>
      <c r="A4" s="1"/>
      <c r="B4" s="8" t="s">
        <v>505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>
      <c r="A6" s="1"/>
      <c r="B6" s="49" t="s">
        <v>76</v>
      </c>
      <c r="C6" s="17" t="s">
        <v>77</v>
      </c>
      <c r="D6" s="17" t="s">
        <v>78</v>
      </c>
      <c r="E6" s="17" t="s">
        <v>79</v>
      </c>
      <c r="F6" s="17" t="s">
        <v>80</v>
      </c>
      <c r="G6" s="17" t="s">
        <v>81</v>
      </c>
      <c r="H6" s="17" t="s">
        <v>82</v>
      </c>
      <c r="I6" s="49" t="s">
        <v>83</v>
      </c>
      <c r="J6" s="1"/>
      <c r="K6" s="1"/>
      <c r="L6" s="1"/>
    </row>
    <row r="7">
      <c r="A7" s="1"/>
      <c r="B7" s="54" t="s">
        <v>84</v>
      </c>
      <c r="C7" s="37">
        <f>DATE(2025,9,30)</f>
        <v>45930</v>
      </c>
      <c r="D7" s="37">
        <f>DATE(2025,12,31)</f>
        <v>46022</v>
      </c>
      <c r="E7" s="37">
        <f>DATE(2025,12,31)</f>
        <v>46022</v>
      </c>
      <c r="F7" s="37">
        <f>DATE(2026,3,31)</f>
        <v>46112</v>
      </c>
      <c r="G7" s="37">
        <f>DATE(2026,6,30)</f>
        <v>46203</v>
      </c>
      <c r="H7" s="37">
        <f>DATE(2026,9,30)</f>
        <v>46295</v>
      </c>
      <c r="I7" s="30"/>
      <c r="J7" s="1"/>
      <c r="K7" s="1"/>
      <c r="L7" s="1"/>
    </row>
    <row r="8">
      <c r="A8" s="1"/>
      <c r="B8" s="40" t="s">
        <v>85</v>
      </c>
      <c r="C8" s="27">
        <f>C7-DATE(2025,6,30)</f>
        <v>92</v>
      </c>
      <c r="D8" s="27">
        <f>D7-DATE(2025,9,30)</f>
        <v>92</v>
      </c>
      <c r="E8" s="27">
        <f>E7-DATE(2024,12,31)</f>
        <v>365</v>
      </c>
      <c r="F8" s="27">
        <f>F7-DATE(2025,12,31)</f>
        <v>90</v>
      </c>
      <c r="G8" s="27">
        <f>G7-DATE(2026,3,31)</f>
        <v>91</v>
      </c>
      <c r="H8" s="27">
        <f>H7-DATE(2026,6,30)</f>
        <v>92</v>
      </c>
      <c r="I8" s="58"/>
      <c r="J8" s="1"/>
      <c r="K8" s="1"/>
      <c r="L8" s="1"/>
    </row>
    <row r="9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ht="14.624267578125">
      <c r="A10" s="1"/>
      <c r="B10" s="57" t="s">
        <v>506</v>
      </c>
      <c r="C10" s="18"/>
      <c r="D10" s="18"/>
      <c r="E10" s="18"/>
      <c r="F10" s="18"/>
      <c r="G10" s="18"/>
      <c r="H10" s="45"/>
      <c r="I10" s="1"/>
      <c r="J10" s="1"/>
      <c r="K10" s="1"/>
      <c r="L10" s="1"/>
    </row>
    <row r="11" ht="14.624267578125">
      <c r="A11" s="1"/>
      <c r="B11" s="33" t="s">
        <v>507</v>
      </c>
      <c r="C11" s="22">
        <v>1279.246</v>
      </c>
      <c r="D11" s="22">
        <v>1262.47</v>
      </c>
      <c r="E11" s="11">
        <f>D11</f>
        <v>1262.47</v>
      </c>
      <c r="F11" s="22">
        <v>1245.879</v>
      </c>
      <c r="G11" s="22">
        <v>1221.626</v>
      </c>
      <c r="H11" s="29">
        <f>G11-H18+H22</f>
        <v>1194.6414639175257</v>
      </c>
      <c r="I11" s="1" t="s">
        <v>508</v>
      </c>
      <c r="J11" s="1"/>
      <c r="K11" s="1"/>
      <c r="L11" s="1"/>
    </row>
    <row r="12" ht="14.624267578125">
      <c r="A12" s="1"/>
      <c r="B12" s="33" t="s">
        <v>509</v>
      </c>
      <c r="C12" s="2">
        <f>C11-Inputs!D141</f>
        <v>-10.18899999999985</v>
      </c>
      <c r="D12" s="11">
        <f>D11-C11</f>
        <v>-16.776000000000067</v>
      </c>
      <c r="E12" s="11"/>
      <c r="F12" s="11">
        <f>F11-D11</f>
        <v>-16.591000000000122</v>
      </c>
      <c r="G12" s="11">
        <f>G11-F11</f>
        <v>-24.25299999999993</v>
      </c>
      <c r="H12" s="29">
        <f>H11-G11</f>
        <v>-26.98453608247428</v>
      </c>
      <c r="I12" s="1"/>
      <c r="J12" s="1"/>
      <c r="K12" s="1"/>
      <c r="L12" s="1"/>
    </row>
    <row r="13" ht="14.624267578125">
      <c r="A13" s="1"/>
      <c r="B13" s="19" t="s">
        <v>138</v>
      </c>
      <c r="C13" s="7"/>
      <c r="D13" s="7"/>
      <c r="E13" s="7"/>
      <c r="F13" s="15">
        <f>IFERROR(IF(Inputs!C141&lt;=0,"n.m.",F11/Inputs!C141-1),"")</f>
        <v>-0.04861252700377772</v>
      </c>
      <c r="G13" s="15">
        <f>IFERROR(IF(Inputs!D141&lt;=0,"n.m.",G11/Inputs!D141-1),"")</f>
        <v>-0.052588149073043544</v>
      </c>
      <c r="H13" s="31">
        <f>IFERROR(IF(C11&lt;=0,"n.m.",H11/C11-1),"")</f>
        <v>-0.06613625220049502</v>
      </c>
      <c r="I13" s="1"/>
      <c r="J13" s="1"/>
      <c r="K13" s="1"/>
      <c r="L13" s="1"/>
    </row>
    <row r="14" ht="14.624267578125">
      <c r="A14" s="1"/>
      <c r="B14" s="33" t="s">
        <v>510</v>
      </c>
      <c r="C14" s="2">
        <f>-'Cash Flow Statement'!C38</f>
        <v>500</v>
      </c>
      <c r="D14" s="2">
        <f>-'Cash Flow Statement'!D38</f>
        <v>750</v>
      </c>
      <c r="E14" s="2">
        <f>-'Cash Flow Statement'!E38</f>
        <v>2500</v>
      </c>
      <c r="F14" s="2">
        <f>-'Cash Flow Statement'!F38</f>
        <v>1134</v>
      </c>
      <c r="G14" s="2">
        <f>-'Cash Flow Statement'!G38</f>
        <v>1200</v>
      </c>
      <c r="H14" s="29">
        <f>(H15-(F14+G14))/H16</f>
        <v>1333</v>
      </c>
      <c r="I14" s="1" t="s">
        <v>511</v>
      </c>
      <c r="J14" s="1"/>
      <c r="K14" s="1"/>
      <c r="L14" s="1"/>
    </row>
    <row r="15" ht="14.624267578125">
      <c r="A15" s="1"/>
      <c r="B15" s="33" t="s">
        <v>512</v>
      </c>
      <c r="C15" s="11"/>
      <c r="D15" s="11"/>
      <c r="E15" s="11"/>
      <c r="F15" s="11"/>
      <c r="G15" s="11"/>
      <c r="H15" s="41">
        <f>Guidance!G33</f>
        <v>5000</v>
      </c>
      <c r="I15" s="1" t="s">
        <v>513</v>
      </c>
      <c r="J15" s="1"/>
      <c r="K15" s="1"/>
      <c r="L15" s="1"/>
    </row>
    <row r="16" ht="23.24853515625">
      <c r="A16" s="1"/>
      <c r="B16" s="33" t="s">
        <v>514</v>
      </c>
      <c r="C16" s="26"/>
      <c r="D16" s="26"/>
      <c r="E16" s="26"/>
      <c r="F16" s="26"/>
      <c r="G16" s="26"/>
      <c r="H16" s="62">
        <v>2</v>
      </c>
      <c r="I16" s="1"/>
      <c r="J16" s="1"/>
      <c r="K16" s="1"/>
      <c r="L16" s="1"/>
    </row>
    <row r="17" ht="14.624267578125">
      <c r="A17" s="1"/>
      <c r="B17" s="33" t="s">
        <v>515</v>
      </c>
      <c r="C17" s="11"/>
      <c r="D17" s="11">
        <f>D14-C14</f>
        <v>250</v>
      </c>
      <c r="E17" s="11"/>
      <c r="F17" s="11">
        <f>F14-D14</f>
        <v>384</v>
      </c>
      <c r="G17" s="11">
        <f>G14-F14</f>
        <v>66</v>
      </c>
      <c r="H17" s="29">
        <f>H14-G14</f>
        <v>133</v>
      </c>
      <c r="I17" s="1"/>
      <c r="J17" s="1"/>
      <c r="K17" s="1"/>
      <c r="L17" s="1"/>
    </row>
    <row r="18" ht="14.624267578125">
      <c r="A18" s="1"/>
      <c r="B18" s="33" t="s">
        <v>516</v>
      </c>
      <c r="C18" s="11"/>
      <c r="D18" s="22">
        <v>16.877</v>
      </c>
      <c r="E18" s="22">
        <v>59.477</v>
      </c>
      <c r="F18" s="22">
        <v>22.2</v>
      </c>
      <c r="G18" s="22">
        <v>24.4</v>
      </c>
      <c r="H18" s="29">
        <f>H14/H20</f>
        <v>27.484536082474225</v>
      </c>
      <c r="I18" s="1" t="s">
        <v>517</v>
      </c>
      <c r="J18" s="1"/>
      <c r="K18" s="1"/>
      <c r="L18" s="1"/>
    </row>
    <row r="19" ht="14.624267578125">
      <c r="A19" s="1"/>
      <c r="B19" s="33" t="s">
        <v>509</v>
      </c>
      <c r="C19" s="11"/>
      <c r="D19" s="11" t="str">
        <f>IF(AND(ISNUMBER(C18),ISNUMBER(D18)),D18-C18,"n/a")</f>
        <v>n/a</v>
      </c>
      <c r="E19" s="11"/>
      <c r="F19" s="11">
        <f>F18-D18</f>
        <v>5.323</v>
      </c>
      <c r="G19" s="11">
        <f>G18-F18</f>
        <v>2.1999999999999993</v>
      </c>
      <c r="H19" s="29">
        <f>H18-G18</f>
        <v>3.0845360824742265</v>
      </c>
      <c r="I19" s="1"/>
      <c r="J19" s="1"/>
      <c r="K19" s="1"/>
      <c r="L19" s="1"/>
    </row>
    <row r="20" ht="14.624267578125">
      <c r="A20" s="1"/>
      <c r="B20" s="33" t="s">
        <v>518</v>
      </c>
      <c r="C20" s="6"/>
      <c r="D20" s="6">
        <f>IFERROR(D14/D18,"")</f>
        <v>44.43917757895361</v>
      </c>
      <c r="E20" s="6">
        <f>IFERROR(E14/E18,"")</f>
        <v>42.03305479429023</v>
      </c>
      <c r="F20" s="6">
        <f>IFERROR(F14/F18,"")</f>
        <v>51.08108108108108</v>
      </c>
      <c r="G20" s="6">
        <f>IFERROR(G14/G18,"")</f>
        <v>49.18032786885246</v>
      </c>
      <c r="H20" s="63">
        <v>48.5</v>
      </c>
      <c r="I20" s="1" t="s">
        <v>519</v>
      </c>
      <c r="J20" s="1"/>
      <c r="K20" s="1"/>
      <c r="L20" s="1"/>
    </row>
    <row r="21" ht="14.624267578125">
      <c r="A21" s="1"/>
      <c r="B21" s="33" t="s">
        <v>520</v>
      </c>
      <c r="C21" s="6"/>
      <c r="D21" s="83" t="str">
        <f>IF(AND(ISNUMBER(C20),ISNUMBER(D20)),D20-C20,"n/a")</f>
        <v>n/a</v>
      </c>
      <c r="E21" s="83"/>
      <c r="F21" s="83">
        <f>F20-D20</f>
        <v>6.6419035021274695</v>
      </c>
      <c r="G21" s="83">
        <f>G20-F20</f>
        <v>-1.9007532122286221</v>
      </c>
      <c r="H21" s="90">
        <f>H20-G20</f>
        <v>-0.6803278688524586</v>
      </c>
      <c r="I21" s="1"/>
      <c r="J21" s="1"/>
      <c r="K21" s="1"/>
      <c r="L21" s="1"/>
    </row>
    <row r="22" ht="14.624267578125">
      <c r="A22" s="1"/>
      <c r="B22" s="33" t="s">
        <v>521</v>
      </c>
      <c r="C22" s="11"/>
      <c r="D22" s="11">
        <f>D11-C11+D18</f>
        <v>0.10099999999993159</v>
      </c>
      <c r="E22" s="11"/>
      <c r="F22" s="11">
        <f>F11-D11+F18</f>
        <v>5.608999999999877</v>
      </c>
      <c r="G22" s="11">
        <f>G11-F11+G18</f>
        <v>0.14700000000006952</v>
      </c>
      <c r="H22" s="47">
        <v>0.5</v>
      </c>
      <c r="I22" s="1"/>
      <c r="J22" s="1"/>
      <c r="K22" s="1"/>
      <c r="L22" s="1"/>
    </row>
    <row r="23" ht="14.624267578125">
      <c r="A23" s="1"/>
      <c r="B23" s="33" t="s">
        <v>509</v>
      </c>
      <c r="C23" s="11"/>
      <c r="D23" s="11" t="str">
        <f>IF(AND(ISNUMBER(C22),ISNUMBER(D22)),D22-C22,"n/a")</f>
        <v>n/a</v>
      </c>
      <c r="E23" s="11"/>
      <c r="F23" s="11">
        <f>F22-D22</f>
        <v>5.507999999999946</v>
      </c>
      <c r="G23" s="11">
        <f>G22-F22</f>
        <v>-5.461999999999808</v>
      </c>
      <c r="H23" s="29">
        <f>H22-G22</f>
        <v>0.3529999999999305</v>
      </c>
      <c r="I23" s="1"/>
      <c r="J23" s="1"/>
      <c r="K23" s="1"/>
      <c r="L23" s="1"/>
    </row>
    <row r="24">
      <c r="A24" s="1"/>
      <c r="B24" s="33"/>
      <c r="C24" s="18"/>
      <c r="D24" s="18"/>
      <c r="E24" s="18"/>
      <c r="F24" s="18"/>
      <c r="G24" s="18"/>
      <c r="H24" s="45"/>
      <c r="I24" s="1"/>
      <c r="J24" s="1"/>
      <c r="K24" s="1"/>
      <c r="L24" s="1"/>
    </row>
    <row r="25" ht="14.624267578125">
      <c r="A25" s="1"/>
      <c r="B25" s="57" t="s">
        <v>522</v>
      </c>
      <c r="C25" s="18"/>
      <c r="D25" s="18"/>
      <c r="E25" s="18"/>
      <c r="F25" s="18"/>
      <c r="G25" s="18"/>
      <c r="H25" s="45"/>
      <c r="I25" s="1"/>
      <c r="J25" s="1"/>
      <c r="K25" s="1"/>
      <c r="L25" s="1"/>
    </row>
    <row r="26" ht="14.624267578125">
      <c r="A26" s="1"/>
      <c r="B26" s="48" t="s">
        <v>523</v>
      </c>
      <c r="C26" s="43">
        <v>1280.571</v>
      </c>
      <c r="D26" s="43">
        <v>1267.341</v>
      </c>
      <c r="E26" s="43">
        <v>1286.788</v>
      </c>
      <c r="F26" s="43">
        <v>1248.628</v>
      </c>
      <c r="G26" s="43">
        <v>1224.867</v>
      </c>
      <c r="H26" s="28">
        <f>G11-H29*(H18-H22)</f>
        <v>1199.4968094882302</v>
      </c>
      <c r="I26" s="1"/>
      <c r="J26" s="1"/>
      <c r="K26" s="1"/>
      <c r="L26" s="1"/>
    </row>
    <row r="27" ht="14.624267578125">
      <c r="A27" s="1"/>
      <c r="B27" s="33" t="s">
        <v>509</v>
      </c>
      <c r="C27" s="2">
        <f>C26-Inputs!D139</f>
        <v>-11.721000000000004</v>
      </c>
      <c r="D27" s="11">
        <f>D26-C26</f>
        <v>-13.230000000000018</v>
      </c>
      <c r="E27" s="11"/>
      <c r="F27" s="11">
        <f>F26-D26</f>
        <v>-18.712999999999965</v>
      </c>
      <c r="G27" s="11">
        <f>G26-F26</f>
        <v>-23.760999999999967</v>
      </c>
      <c r="H27" s="29">
        <f>H26-G26</f>
        <v>-25.370190511769806</v>
      </c>
      <c r="I27" s="1"/>
      <c r="J27" s="1"/>
      <c r="K27" s="1"/>
      <c r="L27" s="1"/>
    </row>
    <row r="28" ht="14.624267578125">
      <c r="A28" s="1"/>
      <c r="B28" s="19" t="s">
        <v>138</v>
      </c>
      <c r="C28" s="7"/>
      <c r="D28" s="7"/>
      <c r="E28" s="7"/>
      <c r="F28" s="15">
        <f>IFERROR(IF(Inputs!C139&lt;=0,"n.m.",F26/Inputs!C139-1),"")</f>
        <v>-0.04499497880236225</v>
      </c>
      <c r="G28" s="15">
        <f>IFERROR(IF(Inputs!D139&lt;=0,"n.m.",G26/Inputs!D139-1),"")</f>
        <v>-0.052174740693279764</v>
      </c>
      <c r="H28" s="31">
        <f>IFERROR(IF(C26&lt;=0,"n.m.",H26/C26-1),"")</f>
        <v>-0.06331096870987218</v>
      </c>
      <c r="I28" s="1"/>
      <c r="J28" s="1"/>
      <c r="K28" s="1"/>
      <c r="L28" s="1"/>
    </row>
    <row r="29" ht="23.24853515625">
      <c r="A29" s="1"/>
      <c r="B29" s="33" t="s">
        <v>524</v>
      </c>
      <c r="C29" s="44">
        <f>IFERROR((Inputs!D141-C26)/(Inputs!D141-C11),"")</f>
        <v>0.8699577976249055</v>
      </c>
      <c r="D29" s="16">
        <f>IFERROR((C11-D26)/(C11-D11),"")</f>
        <v>0.7096447305674864</v>
      </c>
      <c r="E29" s="16"/>
      <c r="F29" s="16">
        <f>IFERROR((D11-F26)/(D11-F11),"")</f>
        <v>0.8343077572177685</v>
      </c>
      <c r="G29" s="16">
        <f>IFERROR((F11-G26)/(F11-G11),"")</f>
        <v>0.8663670473755826</v>
      </c>
      <c r="H29" s="53">
        <f>AVERAGE(C29,D29,F29,G29)</f>
        <v>0.8200693331964357</v>
      </c>
      <c r="I29" s="1" t="s">
        <v>525</v>
      </c>
      <c r="J29" s="1"/>
      <c r="K29" s="1"/>
      <c r="L29" s="1"/>
    </row>
    <row r="30" ht="14.624267578125">
      <c r="A30" s="1"/>
      <c r="B30" s="33" t="s">
        <v>526</v>
      </c>
      <c r="C30" s="11">
        <f>C32-C26</f>
        <v>16.095000000000027</v>
      </c>
      <c r="D30" s="11">
        <f>D32-D26</f>
        <v>17.73700000000008</v>
      </c>
      <c r="E30" s="11">
        <f>E32-E26</f>
        <v>15.912000000000035</v>
      </c>
      <c r="F30" s="11">
        <f>F32-F26</f>
        <v>17.94399999999996</v>
      </c>
      <c r="G30" s="11">
        <f>G32-G26</f>
        <v>14.173000000000002</v>
      </c>
      <c r="H30" s="47">
        <v>14.5</v>
      </c>
      <c r="I30" s="1" t="s">
        <v>527</v>
      </c>
      <c r="J30" s="1"/>
      <c r="K30" s="1"/>
      <c r="L30" s="1"/>
    </row>
    <row r="31" ht="14.624267578125">
      <c r="A31" s="1"/>
      <c r="B31" s="33" t="s">
        <v>509</v>
      </c>
      <c r="C31" s="11"/>
      <c r="D31" s="11">
        <f>D30-C30</f>
        <v>1.6420000000000528</v>
      </c>
      <c r="E31" s="11"/>
      <c r="F31" s="11">
        <f>F30-D30</f>
        <v>0.20699999999987995</v>
      </c>
      <c r="G31" s="11">
        <f>G30-F30</f>
        <v>-3.770999999999958</v>
      </c>
      <c r="H31" s="29">
        <f>H30-G30</f>
        <v>0.3269999999999982</v>
      </c>
      <c r="I31" s="1"/>
      <c r="J31" s="1"/>
      <c r="K31" s="1"/>
      <c r="L31" s="1"/>
    </row>
    <row r="32" ht="14.624267578125">
      <c r="A32" s="1"/>
      <c r="B32" s="48" t="s">
        <v>528</v>
      </c>
      <c r="C32" s="36">
        <v>1296.666</v>
      </c>
      <c r="D32" s="36">
        <v>1285.078</v>
      </c>
      <c r="E32" s="36">
        <v>1302.7</v>
      </c>
      <c r="F32" s="36">
        <v>1266.572</v>
      </c>
      <c r="G32" s="36">
        <v>1239.04</v>
      </c>
      <c r="H32" s="61">
        <f>H26+H30</f>
        <v>1213.9968094882302</v>
      </c>
      <c r="I32" s="1"/>
      <c r="J32" s="1"/>
      <c r="K32" s="1"/>
      <c r="L32" s="1"/>
    </row>
    <row r="33" ht="14.624267578125">
      <c r="A33" s="1"/>
      <c r="B33" s="33" t="s">
        <v>509</v>
      </c>
      <c r="C33" s="2">
        <f>C32-Inputs!D140</f>
        <v>-8.33900000000017</v>
      </c>
      <c r="D33" s="11">
        <f>D32-C32</f>
        <v>-11.587999999999965</v>
      </c>
      <c r="E33" s="11"/>
      <c r="F33" s="11">
        <f>F32-D32</f>
        <v>-18.506000000000085</v>
      </c>
      <c r="G33" s="11">
        <f>G32-F32</f>
        <v>-27.531999999999925</v>
      </c>
      <c r="H33" s="29">
        <f>H32-G32</f>
        <v>-25.043190511769808</v>
      </c>
      <c r="I33" s="1"/>
      <c r="J33" s="1"/>
      <c r="K33" s="1"/>
      <c r="L33" s="1"/>
    </row>
    <row r="34" ht="14.624267578125">
      <c r="A34" s="1"/>
      <c r="B34" s="19" t="s">
        <v>138</v>
      </c>
      <c r="C34" s="7"/>
      <c r="D34" s="7"/>
      <c r="E34" s="7"/>
      <c r="F34" s="15">
        <f>IFERROR(IF(Inputs!C140&lt;=0,"n.m.",F32/Inputs!C140-1),"")</f>
        <v>-0.043619496216603215</v>
      </c>
      <c r="G34" s="15">
        <f>IFERROR(IF(Inputs!D140&lt;=0,"n.m.",G32/Inputs!D140-1),"")</f>
        <v>-0.05054769905096157</v>
      </c>
      <c r="H34" s="31">
        <f>IFERROR(IF(C32&lt;=0,"n.m.",H32/C32-1),"")</f>
        <v>-0.06375519255673379</v>
      </c>
      <c r="I34" s="1"/>
      <c r="J34" s="1"/>
      <c r="K34" s="1"/>
      <c r="L34" s="1"/>
    </row>
    <row r="35" ht="14.624267578125">
      <c r="A35" s="1"/>
      <c r="B35" s="19" t="s">
        <v>529</v>
      </c>
      <c r="C35" s="38">
        <f>C26+C30-C32</f>
        <v>0</v>
      </c>
      <c r="D35" s="38">
        <f>D26+D30-D32</f>
        <v>0</v>
      </c>
      <c r="E35" s="38">
        <f>E26+E30-E32</f>
        <v>0</v>
      </c>
      <c r="F35" s="38">
        <f>F26+F30-F32</f>
        <v>0</v>
      </c>
      <c r="G35" s="38">
        <f>G26+G30-G32</f>
        <v>0</v>
      </c>
      <c r="H35" s="59">
        <f>H26+H30-H32</f>
        <v>0</v>
      </c>
      <c r="I35" s="1"/>
      <c r="J35" s="1"/>
      <c r="K35" s="1"/>
      <c r="L35" s="1"/>
    </row>
    <row r="36">
      <c r="A36" s="1"/>
      <c r="B36" s="33"/>
      <c r="C36" s="18"/>
      <c r="D36" s="18"/>
      <c r="E36" s="18"/>
      <c r="F36" s="18"/>
      <c r="G36" s="18"/>
      <c r="H36" s="45"/>
      <c r="I36" s="1"/>
      <c r="J36" s="1"/>
      <c r="K36" s="1"/>
      <c r="L36" s="1"/>
    </row>
    <row r="37" ht="14.624267578125">
      <c r="A37" s="1"/>
      <c r="B37" s="57" t="s">
        <v>530</v>
      </c>
      <c r="C37" s="18"/>
      <c r="D37" s="18"/>
      <c r="E37" s="18"/>
      <c r="F37" s="18"/>
      <c r="G37" s="18"/>
      <c r="H37" s="45"/>
      <c r="I37" s="1"/>
      <c r="J37" s="1"/>
      <c r="K37" s="1"/>
      <c r="L37" s="1"/>
    </row>
    <row r="38" ht="14.624267578125">
      <c r="A38" s="1"/>
      <c r="B38" s="48" t="s">
        <v>531</v>
      </c>
      <c r="C38" s="35"/>
      <c r="D38" s="35"/>
      <c r="E38" s="35"/>
      <c r="F38" s="35"/>
      <c r="G38" s="35"/>
      <c r="H38" s="28">
        <f>H32</f>
        <v>1213.9968094882302</v>
      </c>
      <c r="I38" s="1"/>
      <c r="J38" s="1"/>
      <c r="K38" s="1"/>
      <c r="L38" s="1"/>
    </row>
    <row r="39" ht="23.24853515625">
      <c r="A39" s="1"/>
      <c r="B39" s="33" t="s">
        <v>532</v>
      </c>
      <c r="C39" s="6"/>
      <c r="D39" s="6"/>
      <c r="E39" s="6"/>
      <c r="F39" s="6"/>
      <c r="G39" s="6"/>
      <c r="H39" s="55">
        <f>'Income Statement'!H173</f>
        <v>1.1556954599033273</v>
      </c>
      <c r="I39" s="1"/>
      <c r="J39" s="1"/>
      <c r="K39" s="1"/>
      <c r="L39" s="1"/>
    </row>
    <row r="40" ht="14.624267578125">
      <c r="A40" s="1"/>
      <c r="B40" s="33" t="s">
        <v>533</v>
      </c>
      <c r="C40" s="11"/>
      <c r="D40" s="11"/>
      <c r="E40" s="11"/>
      <c r="F40" s="11"/>
      <c r="G40" s="11"/>
      <c r="H40" s="47">
        <v>10</v>
      </c>
      <c r="I40" s="1"/>
      <c r="J40" s="1"/>
      <c r="K40" s="1"/>
      <c r="L40" s="1"/>
    </row>
    <row r="41" ht="14.624267578125">
      <c r="A41" s="1"/>
      <c r="B41" s="33" t="s">
        <v>534</v>
      </c>
      <c r="C41" s="6"/>
      <c r="D41" s="6"/>
      <c r="E41" s="6"/>
      <c r="F41" s="6"/>
      <c r="G41" s="6"/>
      <c r="H41" s="89">
        <f>'Income Statement'!H170/(H32+H40)-'Income Statement'!H173</f>
        <v>-0.009441980983484255</v>
      </c>
      <c r="I41" s="1"/>
      <c r="J41" s="1"/>
      <c r="K41" s="1"/>
      <c r="L41" s="1"/>
    </row>
    <row r="42" ht="14.624267578125">
      <c r="A42" s="1"/>
      <c r="B42" s="33" t="s">
        <v>535</v>
      </c>
      <c r="C42" s="9">
        <v>0.52</v>
      </c>
      <c r="D42" s="9">
        <v>0.52</v>
      </c>
      <c r="E42" s="9">
        <v>2.08</v>
      </c>
      <c r="F42" s="9">
        <v>0.52</v>
      </c>
      <c r="G42" s="9">
        <v>0.52</v>
      </c>
      <c r="H42" s="63">
        <v>0.52</v>
      </c>
      <c r="I42" s="1" t="s">
        <v>536</v>
      </c>
      <c r="J42" s="1"/>
      <c r="K42" s="1"/>
      <c r="L42" s="1"/>
    </row>
    <row r="43">
      <c r="A43" s="1"/>
      <c r="B43" s="33"/>
      <c r="C43" s="18"/>
      <c r="D43" s="18"/>
      <c r="E43" s="18"/>
      <c r="F43" s="18"/>
      <c r="G43" s="18"/>
      <c r="H43" s="45"/>
      <c r="I43" s="1"/>
      <c r="J43" s="1"/>
      <c r="K43" s="1"/>
      <c r="L43" s="1"/>
    </row>
    <row r="44">
      <c r="A44" s="1"/>
      <c r="B44" s="33"/>
      <c r="C44" s="18"/>
      <c r="D44" s="18"/>
      <c r="E44" s="18"/>
      <c r="F44" s="18"/>
      <c r="G44" s="18"/>
      <c r="H44" s="45"/>
      <c r="I44" s="1"/>
      <c r="J44" s="1"/>
      <c r="K44" s="1"/>
      <c r="L44" s="1"/>
    </row>
    <row r="45">
      <c r="A45" s="1"/>
      <c r="B45" s="33"/>
      <c r="C45" s="18"/>
      <c r="D45" s="18"/>
      <c r="E45" s="18"/>
      <c r="F45" s="18"/>
      <c r="G45" s="18"/>
      <c r="H45" s="45"/>
      <c r="I45" s="1"/>
      <c r="J45" s="1"/>
      <c r="K45" s="1"/>
      <c r="L45" s="1"/>
    </row>
    <row r="4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</sheetData>
</worksheet>
</file>

<file path=xl/worksheets/sheet10.xml><?xml version="1.0" encoding="utf-8"?>
<worksheet xmlns="http://schemas.openxmlformats.org/spreadsheetml/2006/main" xmlns:r="http://schemas.openxmlformats.org/officeDocument/2006/relationships">
  <dimension ref="A1:L60"/>
  <sheetViews>
    <sheetView showGridLines="0" workbookViewId="0"/>
  </sheetViews>
  <sheetFormatPr defaultColWidth="8.42578125" defaultRowHeight="15"/>
  <cols>
    <col min="1" max="1" width="2" customWidth="1"/>
    <col min="2" max="2" width="12" customWidth="1"/>
    <col min="3" max="3" width="8" customWidth="1"/>
    <col min="4" max="4" width="40" customWidth="1"/>
    <col min="5" max="7" width="12" customWidth="1"/>
    <col min="8" max="8" width="14" customWidth="1"/>
    <col min="9" max="9" width="22" customWidth="1"/>
    <col min="10" max="10" width="48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>
      <c r="A2" s="1"/>
      <c r="B2" s="2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>
      <c r="A3" s="1"/>
      <c r="B3" s="12" t="s">
        <v>537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>
      <c r="A4" s="1"/>
      <c r="B4" s="8" t="s">
        <v>538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>
      <c r="A6" s="1"/>
      <c r="B6" s="1" t="s">
        <v>539</v>
      </c>
      <c r="C6" s="1"/>
      <c r="D6" s="1"/>
      <c r="E6" s="1"/>
      <c r="F6" s="1"/>
      <c r="G6" s="1"/>
      <c r="H6" s="1"/>
      <c r="I6" s="1"/>
      <c r="J6" s="1"/>
      <c r="K6" s="1"/>
      <c r="L6" s="1"/>
    </row>
    <row r="7">
      <c r="A7" s="1"/>
      <c r="B7" s="1"/>
      <c r="C7" s="1"/>
      <c r="D7" s="1" t="s">
        <v>540</v>
      </c>
      <c r="E7" s="24">
        <v>0.0025</v>
      </c>
      <c r="F7" s="1"/>
      <c r="G7" s="1"/>
      <c r="H7" s="1"/>
      <c r="I7" s="1"/>
      <c r="J7" s="1"/>
      <c r="K7" s="1"/>
      <c r="L7" s="1"/>
    </row>
    <row r="8">
      <c r="A8" s="1"/>
      <c r="B8" s="1"/>
      <c r="C8" s="1"/>
      <c r="D8" s="1" t="s">
        <v>541</v>
      </c>
      <c r="E8" s="25">
        <v>0.01</v>
      </c>
      <c r="F8" s="1"/>
      <c r="G8" s="1"/>
      <c r="H8" s="1"/>
      <c r="I8" s="1"/>
      <c r="J8" s="1"/>
      <c r="K8" s="1"/>
      <c r="L8" s="1"/>
    </row>
    <row r="9">
      <c r="A9" s="1"/>
      <c r="B9" s="88" t="s">
        <v>542</v>
      </c>
      <c r="C9" s="20" t="s">
        <v>76</v>
      </c>
      <c r="D9" s="20" t="s">
        <v>25</v>
      </c>
      <c r="E9" s="34" t="s">
        <v>543</v>
      </c>
      <c r="F9" s="34" t="s">
        <v>544</v>
      </c>
      <c r="G9" s="34" t="s">
        <v>545</v>
      </c>
      <c r="H9" s="34" t="s">
        <v>546</v>
      </c>
      <c r="I9" s="34" t="s">
        <v>547</v>
      </c>
      <c r="J9" s="20" t="s">
        <v>548</v>
      </c>
      <c r="K9" s="1"/>
      <c r="L9" s="1"/>
    </row>
    <row r="10">
      <c r="A10" s="1"/>
      <c r="B10" s="5">
        <v>45947</v>
      </c>
      <c r="C10" s="1" t="s">
        <v>549</v>
      </c>
      <c r="D10" s="1" t="s">
        <v>550</v>
      </c>
      <c r="E10" s="25">
        <v>0.01</v>
      </c>
      <c r="F10" s="25">
        <v>0.02</v>
      </c>
      <c r="G10" s="7">
        <f>AVERAGE(E10,F10)</f>
        <v>0.015</v>
      </c>
      <c r="H10" s="15">
        <f>'Revenue summary'!D51/'Revenue summary'!C51-1</f>
        <v>0.010882016036655173</v>
      </c>
      <c r="I10" s="18" t="str">
        <f>IF(ISNUMBER(H10),IF(AND(H10&gt;=E10-$E$7,H10&lt;=F10+$E$7),"In line",IF(H10&gt;F10,"Beat","Miss")),"")</f>
        <v>In line</v>
      </c>
      <c r="J10" s="1" t="s">
        <v>551</v>
      </c>
      <c r="K10" s="1"/>
      <c r="L10" s="1"/>
    </row>
    <row r="11">
      <c r="A11" s="1"/>
      <c r="B11" s="5">
        <v>45947</v>
      </c>
      <c r="C11" s="1" t="s">
        <v>549</v>
      </c>
      <c r="D11" s="1" t="s">
        <v>552</v>
      </c>
      <c r="E11" s="25">
        <v>0.02</v>
      </c>
      <c r="F11" s="25">
        <v>0.02</v>
      </c>
      <c r="G11" s="7">
        <f>AVERAGE(E11,F11)</f>
        <v>0.02</v>
      </c>
      <c r="H11" s="15">
        <f>'Revenue summary'!D300/'Revenue summary'!C300-1</f>
        <v>0.018750000000000044</v>
      </c>
      <c r="I11" s="18" t="str">
        <f>IF(ISNUMBER(H11),IF(AND(H11&gt;=E11-$E$7,H11&lt;=F11+$E$7),"In line",IF(H11&gt;F11,"Beat","Miss")),"")</f>
        <v>In line</v>
      </c>
      <c r="J11" s="1" t="s">
        <v>553</v>
      </c>
      <c r="K11" s="1"/>
      <c r="L11" s="1"/>
    </row>
    <row r="12">
      <c r="A12" s="1"/>
      <c r="B12" s="5">
        <v>45947</v>
      </c>
      <c r="C12" s="1" t="s">
        <v>549</v>
      </c>
      <c r="D12" s="1" t="s">
        <v>554</v>
      </c>
      <c r="E12" s="104">
        <v>0</v>
      </c>
      <c r="F12" s="104">
        <v>0</v>
      </c>
      <c r="G12" s="103">
        <f>AVERAGE(E12,F12)</f>
        <v>0</v>
      </c>
      <c r="H12" s="15">
        <f>'Revenue summary'!D387/'Revenue summary'!C387-1</f>
        <v>-0.007702182284980763</v>
      </c>
      <c r="I12" s="18" t="str">
        <f>IF(ISNUMBER(H12),IF(AND(H12&gt;=E12-$E$7,H12&lt;=F12+$E$7),"In line",IF(H12&gt;F12,"Beat","Miss")),"")</f>
        <v>Miss</v>
      </c>
      <c r="J12" s="1" t="s">
        <v>555</v>
      </c>
      <c r="K12" s="1"/>
      <c r="L12" s="1"/>
    </row>
    <row r="13">
      <c r="A13" s="1"/>
      <c r="B13" s="5">
        <v>45947</v>
      </c>
      <c r="C13" s="1" t="s">
        <v>549</v>
      </c>
      <c r="D13" s="1" t="s">
        <v>556</v>
      </c>
      <c r="E13" s="104">
        <v>0</v>
      </c>
      <c r="F13" s="104">
        <v>0</v>
      </c>
      <c r="G13" s="103">
        <f>AVERAGE(E13,F13)</f>
        <v>0</v>
      </c>
      <c r="H13" s="15">
        <f>('Income Statement'!D116+'Income Statement'!D161+'Income Statement'!D162)/('Income Statement'!C116+'Income Statement'!C161+'Income Statement'!C162)-1</f>
        <v>-0.0033478406427853713</v>
      </c>
      <c r="I13" s="18" t="str">
        <f>IF(ISNUMBER(H13),IF(AND(H13&gt;=E13-$E$7,H13&lt;=F13+$E$7),"In line",IF(H13&gt;F13,"Miss","Beat")),"")</f>
        <v>Beat</v>
      </c>
      <c r="J13" s="1" t="s">
        <v>557</v>
      </c>
      <c r="K13" s="1"/>
      <c r="L13" s="1"/>
    </row>
    <row r="14">
      <c r="A14" s="1"/>
      <c r="B14" s="5">
        <v>46043</v>
      </c>
      <c r="C14" s="1" t="s">
        <v>558</v>
      </c>
      <c r="D14" s="1" t="s">
        <v>550</v>
      </c>
      <c r="E14" s="25">
        <v>-0.03</v>
      </c>
      <c r="F14" s="25">
        <v>-0.02</v>
      </c>
      <c r="G14" s="7">
        <f>AVERAGE(E14,F14)</f>
        <v>-0.025</v>
      </c>
      <c r="H14" s="15">
        <f>'Revenue summary'!F51/'Revenue summary'!D51-1</f>
        <v>-0.018508026440037795</v>
      </c>
      <c r="I14" s="18" t="str">
        <f>IF(ISNUMBER(H14),IF(AND(H14&gt;=E14-$E$7,H14&lt;=F14+$E$7),"In line",IF(H14&gt;F14,"Beat","Miss")),"")</f>
        <v>In line</v>
      </c>
      <c r="J14" s="1" t="s">
        <v>559</v>
      </c>
      <c r="K14" s="1"/>
      <c r="L14" s="1"/>
    </row>
    <row r="15">
      <c r="A15" s="1"/>
      <c r="B15" s="5">
        <v>46043</v>
      </c>
      <c r="C15" s="1" t="s">
        <v>558</v>
      </c>
      <c r="D15" s="1" t="s">
        <v>552</v>
      </c>
      <c r="E15" s="25">
        <v>-0.03</v>
      </c>
      <c r="F15" s="25">
        <v>-0.02</v>
      </c>
      <c r="G15" s="7">
        <f>AVERAGE(E15,F15)</f>
        <v>-0.025</v>
      </c>
      <c r="H15" s="15">
        <f>'Revenue summary'!F300/'Revenue summary'!D300-1</f>
        <v>-0.02800746865830883</v>
      </c>
      <c r="I15" s="18" t="str">
        <f>IF(ISNUMBER(H15),IF(AND(H15&gt;=E15-$E$7,H15&lt;=F15+$E$7),"In line",IF(H15&gt;F15,"Beat","Miss")),"")</f>
        <v>In line</v>
      </c>
      <c r="J15" s="1" t="s">
        <v>553</v>
      </c>
      <c r="K15" s="1"/>
      <c r="L15" s="1"/>
    </row>
    <row r="16">
      <c r="A16" s="1"/>
      <c r="B16" s="5">
        <v>46043</v>
      </c>
      <c r="C16" s="1" t="s">
        <v>558</v>
      </c>
      <c r="D16" s="1" t="s">
        <v>554</v>
      </c>
      <c r="E16" s="25">
        <v>-0.03</v>
      </c>
      <c r="F16" s="25">
        <v>-0.02</v>
      </c>
      <c r="G16" s="7">
        <f>AVERAGE(E16,F16)</f>
        <v>-0.025</v>
      </c>
      <c r="H16" s="15">
        <f>'Revenue summary'!F387/'Revenue summary'!D387-1</f>
        <v>0.004527813712807305</v>
      </c>
      <c r="I16" s="18" t="str">
        <f>IF(ISNUMBER(H16),IF(AND(H16&gt;=E16-$E$7,H16&lt;=F16+$E$7),"In line",IF(H16&gt;F16,"Beat","Miss")),"")</f>
        <v>Beat</v>
      </c>
      <c r="J16" s="1"/>
      <c r="K16" s="1"/>
      <c r="L16" s="1"/>
    </row>
    <row r="17">
      <c r="A17" s="1"/>
      <c r="B17" s="5">
        <v>46043</v>
      </c>
      <c r="C17" s="1" t="s">
        <v>558</v>
      </c>
      <c r="D17" s="1" t="s">
        <v>560</v>
      </c>
      <c r="E17" s="25">
        <v>-0.05</v>
      </c>
      <c r="F17" s="25">
        <v>-0.04</v>
      </c>
      <c r="G17" s="7">
        <f>AVERAGE(E17,F17)</f>
        <v>-0.045</v>
      </c>
      <c r="H17" s="15">
        <f>'Income Statement'!F116/'Income Statement'!D116-1</f>
        <v>-0.058990536277602534</v>
      </c>
      <c r="I17" s="18" t="str">
        <f>IF(ISNUMBER(H17),IF(AND(H17&gt;=E17-$E$7,H17&lt;=F17+$E$7),"In line",IF(H17&gt;F17,"Miss","Beat")),"")</f>
        <v>Beat</v>
      </c>
      <c r="J17" s="1" t="s">
        <v>561</v>
      </c>
      <c r="K17" s="1"/>
      <c r="L17" s="1"/>
    </row>
    <row r="18">
      <c r="A18" s="1"/>
      <c r="B18" s="5">
        <v>46129</v>
      </c>
      <c r="C18" s="1" t="s">
        <v>562</v>
      </c>
      <c r="D18" s="1" t="s">
        <v>550</v>
      </c>
      <c r="E18" s="104">
        <v>0</v>
      </c>
      <c r="F18" s="104">
        <v>0</v>
      </c>
      <c r="G18" s="103">
        <f>AVERAGE(E18,F18)</f>
        <v>0</v>
      </c>
      <c r="H18" s="15">
        <f>'Revenue summary'!G51/'Revenue summary'!F51-1</f>
        <v>0.021935732153165244</v>
      </c>
      <c r="I18" s="18" t="str">
        <f>IF(ISNUMBER(H18),IF(AND(H18&gt;=E18-$E$7,H18&lt;=F18+$E$7),"In line",IF(H18&gt;F18,"Beat","Miss")),"")</f>
        <v>Beat</v>
      </c>
      <c r="J18" s="1" t="s">
        <v>555</v>
      </c>
      <c r="K18" s="1"/>
      <c r="L18" s="1"/>
    </row>
    <row r="19">
      <c r="A19" s="1"/>
      <c r="B19" s="5">
        <v>46129</v>
      </c>
      <c r="C19" s="1" t="s">
        <v>562</v>
      </c>
      <c r="D19" s="1" t="s">
        <v>552</v>
      </c>
      <c r="E19" s="25">
        <v>0.01</v>
      </c>
      <c r="F19" s="25">
        <v>0.01</v>
      </c>
      <c r="G19" s="7">
        <f>AVERAGE(E19,F19)</f>
        <v>0.01</v>
      </c>
      <c r="H19" s="15">
        <f>'Revenue summary'!G300/'Revenue summary'!F300-1</f>
        <v>0.006311745334796948</v>
      </c>
      <c r="I19" s="18" t="str">
        <f>IF(ISNUMBER(H19),IF(AND(H19&gt;=E19-$E$7,H19&lt;=F19+$E$7),"In line",IF(H19&gt;F19,"Beat","Miss")),"")</f>
        <v>Miss</v>
      </c>
      <c r="J19" s="1" t="s">
        <v>563</v>
      </c>
      <c r="K19" s="1"/>
      <c r="L19" s="1"/>
    </row>
    <row r="20">
      <c r="A20" s="1"/>
      <c r="B20" s="5">
        <v>46129</v>
      </c>
      <c r="C20" s="1" t="s">
        <v>562</v>
      </c>
      <c r="D20" s="1" t="s">
        <v>554</v>
      </c>
      <c r="E20" s="25">
        <v>-0.01</v>
      </c>
      <c r="F20" s="25">
        <v>-0.01</v>
      </c>
      <c r="G20" s="7">
        <f>AVERAGE(E20,F20)</f>
        <v>-0.01</v>
      </c>
      <c r="H20" s="15">
        <f>'Revenue summary'!G387/'Revenue summary'!F387-1</f>
        <v>0.05859626529298123</v>
      </c>
      <c r="I20" s="18" t="str">
        <f>IF(ISNUMBER(H20),IF(AND(H20&gt;=E20-$E$7,H20&lt;=F20+$E$7),"In line",IF(H20&gt;F20,"Beat","Miss")),"")</f>
        <v>Beat</v>
      </c>
      <c r="J20" s="1" t="s">
        <v>564</v>
      </c>
      <c r="K20" s="1"/>
      <c r="L20" s="1"/>
    </row>
    <row r="21">
      <c r="A21" s="1"/>
      <c r="B21" s="5">
        <v>46129</v>
      </c>
      <c r="C21" s="1" t="s">
        <v>562</v>
      </c>
      <c r="D21" s="1" t="s">
        <v>560</v>
      </c>
      <c r="E21" s="25">
        <v>0.03</v>
      </c>
      <c r="F21" s="25">
        <v>0.04</v>
      </c>
      <c r="G21" s="7">
        <f>AVERAGE(E21,F21)</f>
        <v>0.035</v>
      </c>
      <c r="H21" s="15">
        <f>'Income Statement'!G116/'Income Statement'!F116-1</f>
        <v>0.02413677505866585</v>
      </c>
      <c r="I21" s="18" t="str">
        <f>IF(ISNUMBER(H21),IF(AND(H21&gt;=E21-$E$7,H21&lt;=F21+$E$7),"In line",IF(H21&gt;F21,"Miss","Beat")),"")</f>
        <v>Beat</v>
      </c>
      <c r="J21" s="1" t="s">
        <v>561</v>
      </c>
      <c r="K21" s="1"/>
      <c r="L21" s="1"/>
    </row>
    <row r="22">
      <c r="A22" s="1"/>
      <c r="B22" s="5">
        <v>46129</v>
      </c>
      <c r="C22" s="1" t="s">
        <v>562</v>
      </c>
      <c r="D22" s="1" t="s">
        <v>565</v>
      </c>
      <c r="E22" s="22">
        <v>1200</v>
      </c>
      <c r="F22" s="22">
        <v>1200</v>
      </c>
      <c r="G22" s="11">
        <f>AVERAGE(E22,F22)</f>
        <v>1200</v>
      </c>
      <c r="H22" s="2">
        <f>'Share Count'!G14</f>
        <v>1200</v>
      </c>
      <c r="I22" s="18" t="str">
        <f>IF(ISNUMBER(H22),IF(AND(H22&gt;=E22-$E$8*ABS(G22),H22&lt;=F22+$E$8*ABS(G22)),"In line",IF(H22&gt;F22,"Beat","Miss")),"")</f>
        <v>In line</v>
      </c>
      <c r="J22" s="1"/>
      <c r="K22" s="1"/>
      <c r="L22" s="1"/>
    </row>
    <row r="23">
      <c r="A23" s="1"/>
      <c r="B23" s="5">
        <v>46220</v>
      </c>
      <c r="C23" s="1" t="s">
        <v>566</v>
      </c>
      <c r="D23" s="1" t="s">
        <v>550</v>
      </c>
      <c r="E23" s="25">
        <v>0.01</v>
      </c>
      <c r="F23" s="25">
        <v>0.01</v>
      </c>
      <c r="G23" s="7">
        <f>AVERAGE(E23,F23)</f>
        <v>0.01</v>
      </c>
      <c r="H23" s="15">
        <f>'Revenue summary'!H51/'Revenue summary'!G51-1</f>
        <v>0.009642475234833414</v>
      </c>
      <c r="I23" s="18" t="s">
        <v>567</v>
      </c>
      <c r="J23" s="1" t="s">
        <v>568</v>
      </c>
      <c r="K23" s="1"/>
      <c r="L23" s="1"/>
    </row>
    <row r="24">
      <c r="A24" s="1"/>
      <c r="B24" s="5">
        <v>46220</v>
      </c>
      <c r="C24" s="1" t="s">
        <v>566</v>
      </c>
      <c r="D24" s="1" t="s">
        <v>552</v>
      </c>
      <c r="E24" s="25">
        <v>0.015</v>
      </c>
      <c r="F24" s="25">
        <v>0.015</v>
      </c>
      <c r="G24" s="7">
        <f>AVERAGE(E24,F24)</f>
        <v>0.015</v>
      </c>
      <c r="H24" s="15">
        <f>'Revenue summary'!H300/'Revenue summary'!G300-1</f>
        <v>0.01524902808077444</v>
      </c>
      <c r="I24" s="18" t="s">
        <v>567</v>
      </c>
      <c r="J24" s="1" t="s">
        <v>569</v>
      </c>
      <c r="K24" s="1"/>
      <c r="L24" s="1"/>
    </row>
    <row r="25">
      <c r="A25" s="1"/>
      <c r="B25" s="5">
        <v>46220</v>
      </c>
      <c r="C25" s="1" t="s">
        <v>566</v>
      </c>
      <c r="D25" s="1" t="s">
        <v>554</v>
      </c>
      <c r="E25" s="104">
        <v>0</v>
      </c>
      <c r="F25" s="104">
        <v>0</v>
      </c>
      <c r="G25" s="103">
        <f>AVERAGE(E25,F25)</f>
        <v>0</v>
      </c>
      <c r="H25" s="15">
        <f>'Revenue summary'!H387/'Revenue summary'!G387-1</f>
        <v>-0.0028631386861314168</v>
      </c>
      <c r="I25" s="18" t="s">
        <v>567</v>
      </c>
      <c r="J25" s="1" t="s">
        <v>569</v>
      </c>
      <c r="K25" s="1"/>
      <c r="L25" s="1"/>
    </row>
    <row r="26">
      <c r="A26" s="1"/>
      <c r="B26" s="5">
        <v>46220</v>
      </c>
      <c r="C26" s="1" t="s">
        <v>566</v>
      </c>
      <c r="D26" s="1" t="s">
        <v>570</v>
      </c>
      <c r="E26" s="25">
        <v>0.02</v>
      </c>
      <c r="F26" s="25">
        <v>0.02</v>
      </c>
      <c r="G26" s="7">
        <f>AVERAGE(E26,F26)</f>
        <v>0.02</v>
      </c>
      <c r="H26" s="15">
        <f>'Income Statement'!H119/'Income Statement'!G119-1</f>
        <v>0.01639934533551557</v>
      </c>
      <c r="I26" s="18" t="s">
        <v>567</v>
      </c>
      <c r="J26" s="1" t="s">
        <v>571</v>
      </c>
      <c r="K26" s="1"/>
      <c r="L26" s="1"/>
    </row>
    <row r="27">
      <c r="A27" s="1"/>
      <c r="B27" s="5">
        <v>46220</v>
      </c>
      <c r="C27" s="1" t="s">
        <v>572</v>
      </c>
      <c r="D27" s="1" t="s">
        <v>573</v>
      </c>
      <c r="E27" s="111">
        <v>0.035</v>
      </c>
      <c r="F27" s="111">
        <v>0.04</v>
      </c>
      <c r="G27" s="112">
        <f>AVERAGE(E27,F27)</f>
        <v>0.037500000000000006</v>
      </c>
      <c r="H27" s="7" t="s">
        <v>574</v>
      </c>
      <c r="I27" s="18"/>
      <c r="J27" s="1" t="s">
        <v>575</v>
      </c>
      <c r="K27" s="1"/>
      <c r="L27" s="1"/>
    </row>
    <row r="28">
      <c r="A28" s="1"/>
      <c r="B28" s="5">
        <v>46220</v>
      </c>
      <c r="C28" s="1" t="s">
        <v>572</v>
      </c>
      <c r="D28" s="1" t="s">
        <v>576</v>
      </c>
      <c r="E28" s="111">
        <v>0.01</v>
      </c>
      <c r="F28" s="111">
        <v>0.015</v>
      </c>
      <c r="G28" s="112">
        <f>AVERAGE(E28,F28)</f>
        <v>0.0125</v>
      </c>
      <c r="H28" s="7" t="s">
        <v>574</v>
      </c>
      <c r="I28" s="18"/>
      <c r="J28" s="1" t="s">
        <v>577</v>
      </c>
      <c r="K28" s="1"/>
      <c r="L28" s="1"/>
    </row>
    <row r="29">
      <c r="A29" s="1"/>
      <c r="B29" s="5">
        <v>46220</v>
      </c>
      <c r="C29" s="1" t="s">
        <v>572</v>
      </c>
      <c r="D29" s="1" t="s">
        <v>578</v>
      </c>
      <c r="E29" s="111">
        <v>0.1</v>
      </c>
      <c r="F29" s="111">
        <v>0.1</v>
      </c>
      <c r="G29" s="112">
        <f>AVERAGE(E29,F29)</f>
        <v>0.1</v>
      </c>
      <c r="H29" s="7" t="s">
        <v>574</v>
      </c>
      <c r="I29" s="18"/>
      <c r="J29" s="1" t="s">
        <v>579</v>
      </c>
      <c r="K29" s="1"/>
      <c r="L29" s="1"/>
    </row>
    <row r="30">
      <c r="A30" s="1"/>
      <c r="B30" s="5">
        <v>46220</v>
      </c>
      <c r="C30" s="1" t="s">
        <v>572</v>
      </c>
      <c r="D30" s="1" t="s">
        <v>580</v>
      </c>
      <c r="E30" s="111">
        <v>0.0175</v>
      </c>
      <c r="F30" s="111">
        <v>0.0175</v>
      </c>
      <c r="G30" s="112">
        <f>AVERAGE(E30,F30)</f>
        <v>0.0175</v>
      </c>
      <c r="H30" s="7" t="s">
        <v>574</v>
      </c>
      <c r="I30" s="18"/>
      <c r="J30" s="1" t="s">
        <v>581</v>
      </c>
      <c r="K30" s="1"/>
      <c r="L30" s="1"/>
    </row>
    <row r="31">
      <c r="A31" s="1"/>
      <c r="B31" s="5">
        <v>46220</v>
      </c>
      <c r="C31" s="1" t="s">
        <v>572</v>
      </c>
      <c r="D31" s="1" t="s">
        <v>582</v>
      </c>
      <c r="E31" s="111">
        <v>0.0055</v>
      </c>
      <c r="F31" s="111">
        <v>0.0055</v>
      </c>
      <c r="G31" s="112">
        <f>AVERAGE(E31,F31)</f>
        <v>0.0055</v>
      </c>
      <c r="H31" s="46" t="s">
        <v>574</v>
      </c>
      <c r="I31" s="18"/>
      <c r="J31" s="1" t="s">
        <v>583</v>
      </c>
      <c r="K31" s="1"/>
      <c r="L31" s="1"/>
    </row>
    <row r="32">
      <c r="A32" s="1"/>
      <c r="B32" s="5">
        <v>46220</v>
      </c>
      <c r="C32" s="1" t="s">
        <v>572</v>
      </c>
      <c r="D32" s="1" t="s">
        <v>584</v>
      </c>
      <c r="E32" s="111">
        <v>0.145</v>
      </c>
      <c r="F32" s="111">
        <v>0.145</v>
      </c>
      <c r="G32" s="112">
        <f>AVERAGE(E32,F32)</f>
        <v>0.145</v>
      </c>
      <c r="H32" s="7" t="s">
        <v>574</v>
      </c>
      <c r="I32" s="18"/>
      <c r="J32" s="1" t="s">
        <v>585</v>
      </c>
      <c r="K32" s="1"/>
      <c r="L32" s="1"/>
    </row>
    <row r="33">
      <c r="A33" s="1"/>
      <c r="B33" s="5">
        <v>46220</v>
      </c>
      <c r="C33" s="1" t="s">
        <v>572</v>
      </c>
      <c r="D33" s="1" t="s">
        <v>565</v>
      </c>
      <c r="E33" s="22">
        <v>5000</v>
      </c>
      <c r="F33" s="22">
        <v>5000</v>
      </c>
      <c r="G33" s="11">
        <f>AVERAGE(E33,F33)</f>
        <v>5000</v>
      </c>
      <c r="H33" s="11" t="s">
        <v>574</v>
      </c>
      <c r="I33" s="18"/>
      <c r="J33" s="1" t="s">
        <v>586</v>
      </c>
      <c r="K33" s="1"/>
      <c r="L33" s="1"/>
    </row>
    <row r="34">
      <c r="A34" s="1"/>
      <c r="B34" s="5">
        <v>46280</v>
      </c>
      <c r="C34" s="1" t="s">
        <v>566</v>
      </c>
      <c r="D34" s="1" t="s">
        <v>587</v>
      </c>
      <c r="E34" s="2">
        <f>'Income Statement'!H197</f>
        <v>535</v>
      </c>
      <c r="F34" s="2">
        <f>'Income Statement'!H197</f>
        <v>535</v>
      </c>
      <c r="G34" s="11">
        <f>AVERAGE(E34,F34)</f>
        <v>535</v>
      </c>
      <c r="H34" s="2">
        <f>-'Income Statement'!H53</f>
        <v>535</v>
      </c>
      <c r="I34" s="18" t="s">
        <v>567</v>
      </c>
      <c r="J34" s="1" t="s">
        <v>588</v>
      </c>
      <c r="K34" s="1"/>
      <c r="L34" s="1"/>
    </row>
    <row r="35">
      <c r="A35" s="1"/>
      <c r="B35" s="5">
        <v>46280</v>
      </c>
      <c r="C35" s="1" t="s">
        <v>566</v>
      </c>
      <c r="D35" s="1" t="s">
        <v>589</v>
      </c>
      <c r="E35" s="2">
        <f>'Income Statement'!H200</f>
        <v>65</v>
      </c>
      <c r="F35" s="2">
        <f>'Income Statement'!H200</f>
        <v>65</v>
      </c>
      <c r="G35" s="11">
        <f>AVERAGE(E35,F35)</f>
        <v>65</v>
      </c>
      <c r="H35" s="2">
        <f>'Income Statement'!H200</f>
        <v>65</v>
      </c>
      <c r="I35" s="18" t="s">
        <v>567</v>
      </c>
      <c r="J35" s="1" t="s">
        <v>590</v>
      </c>
      <c r="K35" s="1"/>
      <c r="L35" s="1"/>
    </row>
    <row r="36">
      <c r="A36" s="1"/>
      <c r="B36" s="1"/>
      <c r="C36" s="1"/>
      <c r="D36" s="1"/>
      <c r="E36" s="18"/>
      <c r="F36" s="18"/>
      <c r="G36" s="18"/>
      <c r="H36" s="18"/>
      <c r="I36" s="18"/>
      <c r="J36" s="1"/>
      <c r="K36" s="1"/>
      <c r="L36" s="1"/>
    </row>
    <row r="37">
      <c r="A37" s="1"/>
      <c r="B37" s="4" t="s">
        <v>591</v>
      </c>
      <c r="C37" s="1"/>
      <c r="D37" s="1"/>
      <c r="E37" s="18"/>
      <c r="F37" s="18"/>
      <c r="G37" s="18"/>
      <c r="H37" s="18"/>
      <c r="I37" s="18"/>
      <c r="J37" s="1"/>
      <c r="K37" s="1"/>
      <c r="L37" s="1"/>
    </row>
    <row r="38">
      <c r="A38" s="1"/>
      <c r="B38" s="1" t="s">
        <v>592</v>
      </c>
      <c r="C38" s="1"/>
      <c r="D38" s="1"/>
      <c r="E38" s="18"/>
      <c r="F38" s="18"/>
      <c r="G38" s="18"/>
      <c r="H38" s="2">
        <f>'Revenue summary'!G51*(1+G23)</f>
        <v>5364.11</v>
      </c>
      <c r="I38" s="18"/>
      <c r="J38" s="1"/>
      <c r="K38" s="1"/>
      <c r="L38" s="1"/>
    </row>
    <row r="39">
      <c r="A39" s="1"/>
      <c r="B39" s="1" t="s">
        <v>593</v>
      </c>
      <c r="C39" s="1"/>
      <c r="D39" s="1"/>
      <c r="E39" s="18"/>
      <c r="F39" s="18"/>
      <c r="G39" s="18"/>
      <c r="H39" s="2">
        <f>'Revenue summary'!H315</f>
        <v>46</v>
      </c>
      <c r="I39" s="18"/>
      <c r="J39" s="1"/>
      <c r="K39" s="1"/>
      <c r="L39" s="1"/>
    </row>
    <row r="40">
      <c r="A40" s="1"/>
      <c r="B40" s="1" t="s">
        <v>594</v>
      </c>
      <c r="C40" s="1"/>
      <c r="D40" s="1"/>
      <c r="E40" s="18"/>
      <c r="F40" s="18"/>
      <c r="G40" s="18"/>
      <c r="H40" s="2">
        <f>'Income Statement'!G116*(1+G26)</f>
        <v>3116.1</v>
      </c>
      <c r="I40" s="18"/>
      <c r="J40" s="1"/>
      <c r="K40" s="1"/>
      <c r="L40" s="1"/>
    </row>
    <row r="41">
      <c r="A41" s="1"/>
      <c r="B41" s="1" t="s">
        <v>595</v>
      </c>
      <c r="C41" s="1"/>
      <c r="D41" s="1"/>
      <c r="E41" s="18"/>
      <c r="F41" s="18"/>
      <c r="G41" s="18"/>
      <c r="H41" s="2">
        <f>G31*'Revenue summary'!H118*'Revenue summary'!H8/365</f>
        <v>458.032114958904</v>
      </c>
      <c r="I41" s="18"/>
      <c r="J41" s="1"/>
      <c r="K41" s="1"/>
      <c r="L41" s="1"/>
    </row>
    <row r="42">
      <c r="A42" s="1"/>
      <c r="B42" s="12" t="s">
        <v>596</v>
      </c>
      <c r="C42" s="12"/>
      <c r="D42" s="12"/>
      <c r="E42" s="32"/>
      <c r="F42" s="32"/>
      <c r="G42" s="32"/>
      <c r="H42" s="50">
        <f>H38-H39-H40-H41</f>
        <v>1743.9778850410958</v>
      </c>
      <c r="I42" s="18"/>
      <c r="J42" s="1"/>
      <c r="K42" s="1"/>
      <c r="L42" s="1"/>
    </row>
    <row r="43">
      <c r="A43" s="1"/>
      <c r="B43" s="1" t="s">
        <v>597</v>
      </c>
      <c r="C43" s="1"/>
      <c r="D43" s="1"/>
      <c r="E43" s="18"/>
      <c r="F43" s="18"/>
      <c r="G43" s="18"/>
      <c r="H43" s="11">
        <f>H42*G32</f>
        <v>252.87679333095886</v>
      </c>
      <c r="I43" s="18"/>
      <c r="J43" s="1"/>
      <c r="K43" s="1"/>
      <c r="L43" s="1"/>
    </row>
    <row r="44">
      <c r="A44" s="1"/>
      <c r="B44" s="1" t="s">
        <v>598</v>
      </c>
      <c r="C44" s="1"/>
      <c r="D44" s="1"/>
      <c r="E44" s="18"/>
      <c r="F44" s="18"/>
      <c r="G44" s="18"/>
      <c r="H44" s="2">
        <f>'Income Statement'!H138</f>
        <v>114</v>
      </c>
      <c r="I44" s="18"/>
      <c r="J44" s="1"/>
      <c r="K44" s="1"/>
      <c r="L44" s="1"/>
    </row>
    <row r="45">
      <c r="A45" s="1"/>
      <c r="B45" s="12" t="s">
        <v>599</v>
      </c>
      <c r="C45" s="12"/>
      <c r="D45" s="12"/>
      <c r="E45" s="32"/>
      <c r="F45" s="32"/>
      <c r="G45" s="32"/>
      <c r="H45" s="50">
        <f>H42-H43-H44</f>
        <v>1377.1010917101369</v>
      </c>
      <c r="I45" s="18"/>
      <c r="J45" s="1"/>
      <c r="K45" s="1"/>
      <c r="L45" s="1"/>
    </row>
    <row r="46">
      <c r="A46" s="1"/>
      <c r="B46" s="1" t="s">
        <v>600</v>
      </c>
      <c r="C46" s="1"/>
      <c r="D46" s="1"/>
      <c r="E46" s="18"/>
      <c r="F46" s="18"/>
      <c r="G46" s="18"/>
      <c r="H46" s="2">
        <f>'Share Count'!H32</f>
        <v>1213.9968094882302</v>
      </c>
      <c r="I46" s="18"/>
      <c r="J46" s="1"/>
      <c r="K46" s="1"/>
      <c r="L46" s="1"/>
    </row>
    <row r="47">
      <c r="A47" s="1"/>
      <c r="B47" s="12" t="s">
        <v>601</v>
      </c>
      <c r="C47" s="12"/>
      <c r="D47" s="12"/>
      <c r="E47" s="32"/>
      <c r="F47" s="32"/>
      <c r="G47" s="32"/>
      <c r="H47" s="64">
        <f>H45/H46</f>
        <v>1.1343531391080546</v>
      </c>
      <c r="I47" s="18"/>
      <c r="J47" s="1"/>
      <c r="K47" s="1"/>
      <c r="L47" s="1"/>
    </row>
    <row r="48">
      <c r="A48" s="1"/>
      <c r="B48" s="1"/>
      <c r="C48" s="1"/>
      <c r="D48" s="1"/>
      <c r="E48" s="18"/>
      <c r="F48" s="18"/>
      <c r="G48" s="18"/>
      <c r="H48" s="18"/>
      <c r="I48" s="18"/>
      <c r="J48" s="1"/>
      <c r="K48" s="1"/>
      <c r="L48" s="1"/>
    </row>
    <row r="49">
      <c r="A49" s="1"/>
      <c r="B49" s="1"/>
      <c r="C49" s="1"/>
      <c r="D49" s="1"/>
      <c r="E49" s="18"/>
      <c r="F49" s="18"/>
      <c r="G49" s="18"/>
      <c r="H49" s="18"/>
      <c r="I49" s="18"/>
      <c r="J49" s="1"/>
      <c r="K49" s="1"/>
      <c r="L49" s="1"/>
    </row>
    <row r="50">
      <c r="A50" s="1"/>
      <c r="B50" s="1"/>
      <c r="C50" s="1"/>
      <c r="D50" s="1"/>
      <c r="E50" s="18"/>
      <c r="F50" s="18"/>
      <c r="G50" s="18"/>
      <c r="H50" s="18"/>
      <c r="I50" s="18"/>
      <c r="J50" s="1"/>
      <c r="K50" s="1"/>
      <c r="L50" s="1"/>
    </row>
    <row r="51">
      <c r="A51" s="1"/>
      <c r="B51" s="1"/>
      <c r="C51" s="1"/>
      <c r="D51" s="1"/>
      <c r="E51" s="18"/>
      <c r="F51" s="18"/>
      <c r="G51" s="18"/>
      <c r="H51" s="18"/>
      <c r="I51" s="18"/>
      <c r="J51" s="1"/>
      <c r="K51" s="1"/>
      <c r="L51" s="1"/>
    </row>
    <row r="52">
      <c r="A52" s="1"/>
      <c r="B52" s="1"/>
      <c r="C52" s="1"/>
      <c r="D52" s="1"/>
      <c r="E52" s="18"/>
      <c r="F52" s="18"/>
      <c r="G52" s="18"/>
      <c r="H52" s="18"/>
      <c r="I52" s="18"/>
      <c r="J52" s="1"/>
      <c r="K52" s="1"/>
      <c r="L52" s="1"/>
    </row>
    <row r="53">
      <c r="A53" s="1"/>
      <c r="B53" s="1"/>
      <c r="C53" s="1"/>
      <c r="D53" s="1"/>
      <c r="E53" s="18"/>
      <c r="F53" s="18"/>
      <c r="G53" s="18"/>
      <c r="H53" s="18"/>
      <c r="I53" s="18"/>
      <c r="J53" s="1"/>
      <c r="K53" s="1"/>
      <c r="L53" s="1"/>
    </row>
    <row r="54">
      <c r="A54" s="1"/>
      <c r="B54" s="1"/>
      <c r="C54" s="1"/>
      <c r="D54" s="1"/>
      <c r="E54" s="18"/>
      <c r="F54" s="18"/>
      <c r="G54" s="18"/>
      <c r="H54" s="18"/>
      <c r="I54" s="18"/>
      <c r="J54" s="1"/>
      <c r="K54" s="1"/>
      <c r="L54" s="1"/>
    </row>
    <row r="55">
      <c r="A55" s="1"/>
      <c r="B55" s="1"/>
      <c r="C55" s="1"/>
      <c r="D55" s="1"/>
      <c r="E55" s="18"/>
      <c r="F55" s="18"/>
      <c r="G55" s="18"/>
      <c r="H55" s="18"/>
      <c r="I55" s="18"/>
      <c r="J55" s="1"/>
      <c r="K55" s="1"/>
      <c r="L55" s="1"/>
    </row>
    <row r="56">
      <c r="A56" s="1"/>
      <c r="B56" s="1"/>
      <c r="C56" s="1"/>
      <c r="D56" s="1"/>
      <c r="E56" s="18"/>
      <c r="F56" s="18"/>
      <c r="G56" s="18"/>
      <c r="H56" s="18"/>
      <c r="I56" s="18"/>
      <c r="J56" s="1"/>
      <c r="K56" s="1"/>
      <c r="L56" s="1"/>
    </row>
    <row r="57">
      <c r="A57" s="1"/>
      <c r="B57" s="1"/>
      <c r="C57" s="1"/>
      <c r="D57" s="1"/>
      <c r="E57" s="18"/>
      <c r="F57" s="18"/>
      <c r="G57" s="18"/>
      <c r="H57" s="18"/>
      <c r="I57" s="18"/>
      <c r="J57" s="1"/>
      <c r="K57" s="1"/>
      <c r="L57" s="1"/>
    </row>
    <row r="58">
      <c r="A58" s="1"/>
      <c r="B58" s="1"/>
      <c r="C58" s="1"/>
      <c r="D58" s="1"/>
      <c r="E58" s="18"/>
      <c r="F58" s="18"/>
      <c r="G58" s="18"/>
      <c r="H58" s="18"/>
      <c r="I58" s="18"/>
      <c r="J58" s="1"/>
      <c r="K58" s="1"/>
      <c r="L58" s="1"/>
    </row>
    <row r="59">
      <c r="A59" s="1"/>
      <c r="B59" s="1"/>
      <c r="C59" s="1"/>
      <c r="D59" s="1"/>
      <c r="E59" s="18"/>
      <c r="F59" s="18"/>
      <c r="G59" s="18"/>
      <c r="H59" s="18"/>
      <c r="I59" s="18"/>
      <c r="J59" s="1"/>
      <c r="K59" s="1"/>
      <c r="L59" s="1"/>
    </row>
    <row r="60">
      <c r="A60" s="1"/>
      <c r="B60" s="1"/>
      <c r="C60" s="1"/>
      <c r="D60" s="1"/>
      <c r="E60" s="18"/>
      <c r="F60" s="18"/>
      <c r="G60" s="18"/>
      <c r="H60" s="18"/>
      <c r="I60" s="18"/>
      <c r="J60" s="1"/>
      <c r="K60" s="1"/>
      <c r="L60" s="1"/>
    </row>
  </sheetData>
</worksheet>
</file>

<file path=xl/worksheets/sheet11.xml><?xml version="1.0" encoding="utf-8"?>
<worksheet xmlns="http://schemas.openxmlformats.org/spreadsheetml/2006/main" xmlns:r="http://schemas.openxmlformats.org/officeDocument/2006/relationships">
  <dimension ref="A1:L283"/>
  <sheetViews>
    <sheetView showGridLines="0" workbookViewId="0"/>
  </sheetViews>
  <sheetFormatPr defaultColWidth="8.42578125" defaultRowHeight="15"/>
  <cols>
    <col min="1" max="1" width="2" customWidth="1"/>
    <col min="2" max="2" width="32" customWidth="1"/>
    <col min="3" max="9" width="16" customWidth="1"/>
    <col min="10" max="11" width="14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>
      <c r="A2" s="1"/>
      <c r="B2" s="2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>
      <c r="A3" s="1"/>
      <c r="B3" s="12" t="s">
        <v>602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>
      <c r="A4" s="1"/>
      <c r="B4" s="8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>
      <c r="A6" s="1"/>
      <c r="B6" s="57" t="s">
        <v>603</v>
      </c>
      <c r="C6" s="18"/>
      <c r="D6" s="18"/>
      <c r="E6" s="18"/>
      <c r="F6" s="18"/>
      <c r="G6" s="18"/>
      <c r="H6" s="18"/>
      <c r="I6" s="18"/>
      <c r="J6" s="18"/>
      <c r="K6" s="18"/>
      <c r="L6" s="1"/>
    </row>
    <row r="7">
      <c r="A7" s="1"/>
      <c r="B7" s="48" t="s">
        <v>604</v>
      </c>
      <c r="C7" s="32" t="s">
        <v>605</v>
      </c>
      <c r="D7" s="95" t="s">
        <v>606</v>
      </c>
      <c r="E7" s="18"/>
      <c r="F7" s="18"/>
      <c r="G7" s="18"/>
      <c r="H7" s="18"/>
      <c r="I7" s="18"/>
      <c r="J7" s="18"/>
      <c r="K7" s="18"/>
      <c r="L7" s="1"/>
    </row>
    <row r="8">
      <c r="A8" s="1"/>
      <c r="B8" s="33" t="s">
        <v>607</v>
      </c>
      <c r="C8" s="18" t="s">
        <v>7</v>
      </c>
      <c r="D8" s="92" t="s">
        <v>608</v>
      </c>
      <c r="E8" s="18"/>
      <c r="F8" s="18"/>
      <c r="G8" s="18"/>
      <c r="H8" s="18"/>
      <c r="I8" s="18"/>
      <c r="J8" s="18"/>
      <c r="K8" s="18"/>
      <c r="L8" s="1"/>
    </row>
    <row r="9" ht="23.24853515625">
      <c r="A9" s="1"/>
      <c r="B9" s="33" t="s">
        <v>609</v>
      </c>
      <c r="C9" s="99" t="s">
        <v>5</v>
      </c>
      <c r="D9" s="92" t="s">
        <v>608</v>
      </c>
      <c r="E9" s="18"/>
      <c r="F9" s="18"/>
      <c r="G9" s="18"/>
      <c r="H9" s="18"/>
      <c r="I9" s="18"/>
      <c r="J9" s="18"/>
      <c r="K9" s="18"/>
      <c r="L9" s="1"/>
    </row>
    <row r="10" ht="14.624267578125">
      <c r="A10" s="1"/>
      <c r="B10" s="33" t="s">
        <v>610</v>
      </c>
      <c r="C10" s="18" t="s">
        <v>611</v>
      </c>
      <c r="D10" s="92" t="s">
        <v>608</v>
      </c>
      <c r="E10" s="18"/>
      <c r="F10" s="18"/>
      <c r="G10" s="18"/>
      <c r="H10" s="18"/>
      <c r="I10" s="18"/>
      <c r="J10" s="18"/>
      <c r="K10" s="18"/>
      <c r="L10" s="1"/>
    </row>
    <row r="11" ht="14.624267578125">
      <c r="A11" s="1"/>
      <c r="B11" s="33" t="s">
        <v>612</v>
      </c>
      <c r="C11" s="14">
        <v>19109</v>
      </c>
      <c r="D11" s="92" t="s">
        <v>608</v>
      </c>
      <c r="E11" s="18"/>
      <c r="F11" s="18"/>
      <c r="G11" s="18"/>
      <c r="H11" s="18"/>
      <c r="I11" s="18"/>
      <c r="J11" s="18"/>
      <c r="K11" s="18"/>
      <c r="L11" s="1"/>
    </row>
    <row r="12" ht="14.624267578125">
      <c r="A12" s="1"/>
      <c r="B12" s="33" t="s">
        <v>613</v>
      </c>
      <c r="C12" s="18" t="s">
        <v>614</v>
      </c>
      <c r="D12" s="92" t="s">
        <v>608</v>
      </c>
      <c r="E12" s="18"/>
      <c r="F12" s="18"/>
      <c r="G12" s="18"/>
      <c r="H12" s="18"/>
      <c r="I12" s="18"/>
      <c r="J12" s="18"/>
      <c r="K12" s="18"/>
      <c r="L12" s="1"/>
    </row>
    <row r="13" ht="14.624267578125">
      <c r="A13" s="1"/>
      <c r="B13" s="33" t="s">
        <v>615</v>
      </c>
      <c r="C13" s="18"/>
      <c r="D13" s="92" t="s">
        <v>616</v>
      </c>
      <c r="E13" s="18"/>
      <c r="F13" s="18"/>
      <c r="G13" s="18"/>
      <c r="H13" s="18"/>
      <c r="I13" s="18"/>
      <c r="J13" s="18"/>
      <c r="K13" s="18"/>
      <c r="L13" s="1"/>
    </row>
    <row r="14" ht="14.624267578125">
      <c r="A14" s="1"/>
      <c r="B14" s="33" t="s">
        <v>617</v>
      </c>
      <c r="C14" s="99" t="s">
        <v>618</v>
      </c>
      <c r="D14" s="92" t="s">
        <v>608</v>
      </c>
      <c r="E14" s="18"/>
      <c r="F14" s="18"/>
      <c r="G14" s="18"/>
      <c r="H14" s="18"/>
      <c r="I14" s="18"/>
      <c r="J14" s="18"/>
      <c r="K14" s="18"/>
      <c r="L14" s="1"/>
    </row>
    <row r="15" ht="14.624267578125">
      <c r="A15" s="1"/>
      <c r="B15" s="33" t="s">
        <v>619</v>
      </c>
      <c r="C15" s="13">
        <v>46295</v>
      </c>
      <c r="D15" s="92" t="s">
        <v>608</v>
      </c>
      <c r="E15" s="18"/>
      <c r="F15" s="18"/>
      <c r="G15" s="18"/>
      <c r="H15" s="18"/>
      <c r="I15" s="18"/>
      <c r="J15" s="18"/>
      <c r="K15" s="18"/>
      <c r="L15" s="1"/>
    </row>
    <row r="16" ht="14.624267578125">
      <c r="A16" s="1"/>
      <c r="B16" s="33" t="s">
        <v>620</v>
      </c>
      <c r="C16" s="13">
        <v>46311</v>
      </c>
      <c r="D16" s="92" t="s">
        <v>608</v>
      </c>
      <c r="E16" s="18"/>
      <c r="F16" s="18"/>
      <c r="G16" s="18"/>
      <c r="H16" s="18"/>
      <c r="I16" s="18"/>
      <c r="J16" s="18"/>
      <c r="K16" s="18"/>
      <c r="L16" s="1"/>
    </row>
    <row r="17" ht="14.624267578125">
      <c r="A17" s="1"/>
      <c r="B17" s="33" t="s">
        <v>621</v>
      </c>
      <c r="C17" s="18" t="s">
        <v>622</v>
      </c>
      <c r="D17" s="92" t="s">
        <v>608</v>
      </c>
      <c r="E17" s="18"/>
      <c r="F17" s="18"/>
      <c r="G17" s="18"/>
      <c r="H17" s="18"/>
      <c r="I17" s="18"/>
      <c r="J17" s="18"/>
      <c r="K17" s="18"/>
      <c r="L17" s="1"/>
    </row>
    <row r="18" ht="14.624267578125">
      <c r="A18" s="1"/>
      <c r="B18" s="33" t="s">
        <v>623</v>
      </c>
      <c r="C18" s="76">
        <v>22</v>
      </c>
      <c r="D18" s="92" t="s">
        <v>608</v>
      </c>
      <c r="E18" s="18"/>
      <c r="F18" s="18"/>
      <c r="G18" s="18"/>
      <c r="H18" s="18"/>
      <c r="I18" s="18"/>
      <c r="J18" s="18"/>
      <c r="K18" s="18"/>
      <c r="L18" s="1"/>
    </row>
    <row r="19" ht="14.624267578125">
      <c r="A19" s="1"/>
      <c r="B19" s="33" t="s">
        <v>624</v>
      </c>
      <c r="C19" s="9">
        <v>1.17</v>
      </c>
      <c r="D19" s="92" t="s">
        <v>608</v>
      </c>
      <c r="E19" s="18"/>
      <c r="F19" s="18"/>
      <c r="G19" s="18"/>
      <c r="H19" s="18"/>
      <c r="I19" s="18"/>
      <c r="J19" s="18"/>
      <c r="K19" s="18"/>
      <c r="L19" s="1"/>
    </row>
    <row r="20" ht="14.624267578125">
      <c r="A20" s="1"/>
      <c r="B20" s="33" t="s">
        <v>625</v>
      </c>
      <c r="C20" s="9">
        <v>1.12</v>
      </c>
      <c r="D20" s="92" t="s">
        <v>608</v>
      </c>
      <c r="E20" s="18"/>
      <c r="F20" s="18"/>
      <c r="G20" s="18"/>
      <c r="H20" s="18"/>
      <c r="I20" s="18"/>
      <c r="J20" s="18"/>
      <c r="K20" s="18"/>
      <c r="L20" s="1"/>
    </row>
    <row r="21" ht="14.624267578125">
      <c r="A21" s="1"/>
      <c r="B21" s="33" t="s">
        <v>626</v>
      </c>
      <c r="C21" s="9">
        <v>1.52</v>
      </c>
      <c r="D21" s="92" t="s">
        <v>608</v>
      </c>
      <c r="E21" s="18"/>
      <c r="F21" s="18"/>
      <c r="G21" s="18"/>
      <c r="H21" s="18"/>
      <c r="I21" s="18"/>
      <c r="J21" s="18"/>
      <c r="K21" s="18"/>
      <c r="L21" s="1"/>
    </row>
    <row r="22" ht="14.624267578125">
      <c r="A22" s="1"/>
      <c r="B22" s="33" t="s">
        <v>627</v>
      </c>
      <c r="C22" s="9">
        <v>0.64</v>
      </c>
      <c r="D22" s="92" t="s">
        <v>608</v>
      </c>
      <c r="E22" s="18"/>
      <c r="F22" s="18"/>
      <c r="G22" s="18"/>
      <c r="H22" s="18"/>
      <c r="I22" s="18"/>
      <c r="J22" s="18"/>
      <c r="K22" s="18"/>
      <c r="L22" s="1"/>
    </row>
    <row r="23" ht="14.624267578125">
      <c r="A23" s="1"/>
      <c r="B23" s="33" t="s">
        <v>628</v>
      </c>
      <c r="C23" s="9">
        <v>0.21</v>
      </c>
      <c r="D23" s="92" t="s">
        <v>608</v>
      </c>
      <c r="E23" s="18"/>
      <c r="F23" s="18"/>
      <c r="G23" s="18"/>
      <c r="H23" s="18"/>
      <c r="I23" s="18"/>
      <c r="J23" s="18"/>
      <c r="K23" s="18"/>
      <c r="L23" s="1"/>
    </row>
    <row r="24" ht="14.624267578125">
      <c r="A24" s="1"/>
      <c r="B24" s="33" t="s">
        <v>629</v>
      </c>
      <c r="C24" s="76">
        <v>16</v>
      </c>
      <c r="D24" s="92" t="s">
        <v>608</v>
      </c>
      <c r="E24" s="18"/>
      <c r="F24" s="18"/>
      <c r="G24" s="18"/>
      <c r="H24" s="18"/>
      <c r="I24" s="18"/>
      <c r="J24" s="18"/>
      <c r="K24" s="18"/>
      <c r="L24" s="1"/>
    </row>
    <row r="25" ht="14.624267578125">
      <c r="A25" s="1"/>
      <c r="B25" s="33" t="s">
        <v>630</v>
      </c>
      <c r="C25" s="18"/>
      <c r="D25" s="92" t="s">
        <v>616</v>
      </c>
      <c r="E25" s="18"/>
      <c r="F25" s="18"/>
      <c r="G25" s="18"/>
      <c r="H25" s="18"/>
      <c r="I25" s="18"/>
      <c r="J25" s="18"/>
      <c r="K25" s="18"/>
      <c r="L25" s="1"/>
    </row>
    <row r="26" ht="14.624267578125">
      <c r="A26" s="1"/>
      <c r="B26" s="33" t="s">
        <v>631</v>
      </c>
      <c r="C26" s="18"/>
      <c r="D26" s="92" t="s">
        <v>616</v>
      </c>
      <c r="E26" s="18"/>
      <c r="F26" s="18"/>
      <c r="G26" s="18"/>
      <c r="H26" s="18"/>
      <c r="I26" s="18"/>
      <c r="J26" s="18"/>
      <c r="K26" s="18"/>
      <c r="L26" s="1"/>
    </row>
    <row r="27" ht="14.624267578125">
      <c r="A27" s="1"/>
      <c r="B27" s="33" t="s">
        <v>632</v>
      </c>
      <c r="C27" s="18"/>
      <c r="D27" s="92" t="s">
        <v>616</v>
      </c>
      <c r="E27" s="18"/>
      <c r="F27" s="18"/>
      <c r="G27" s="18"/>
      <c r="H27" s="18"/>
      <c r="I27" s="18"/>
      <c r="J27" s="18"/>
      <c r="K27" s="18"/>
      <c r="L27" s="1"/>
    </row>
    <row r="28" ht="14.624267578125">
      <c r="A28" s="1"/>
      <c r="B28" s="33" t="s">
        <v>633</v>
      </c>
      <c r="C28" s="9">
        <v>1.05</v>
      </c>
      <c r="D28" s="92" t="s">
        <v>608</v>
      </c>
      <c r="E28" s="18"/>
      <c r="F28" s="18"/>
      <c r="G28" s="18"/>
      <c r="H28" s="18"/>
      <c r="I28" s="18"/>
      <c r="J28" s="18"/>
      <c r="K28" s="18"/>
      <c r="L28" s="1"/>
    </row>
    <row r="29" ht="14.624267578125">
      <c r="A29" s="1"/>
      <c r="B29" s="33" t="s">
        <v>634</v>
      </c>
      <c r="C29" s="9">
        <v>1.09</v>
      </c>
      <c r="D29" s="92" t="s">
        <v>608</v>
      </c>
      <c r="E29" s="18"/>
      <c r="F29" s="18"/>
      <c r="G29" s="18"/>
      <c r="H29" s="18"/>
      <c r="I29" s="18"/>
      <c r="J29" s="18"/>
      <c r="K29" s="18"/>
      <c r="L29" s="1"/>
    </row>
    <row r="30" ht="14.624267578125">
      <c r="A30" s="1"/>
      <c r="B30" s="33" t="s">
        <v>635</v>
      </c>
      <c r="C30" s="9">
        <v>1.52</v>
      </c>
      <c r="D30" s="92" t="s">
        <v>608</v>
      </c>
      <c r="E30" s="18"/>
      <c r="F30" s="18"/>
      <c r="G30" s="18"/>
      <c r="H30" s="18"/>
      <c r="I30" s="18"/>
      <c r="J30" s="18"/>
      <c r="K30" s="18"/>
      <c r="L30" s="1"/>
    </row>
    <row r="31" ht="14.624267578125">
      <c r="A31" s="1"/>
      <c r="B31" s="33" t="s">
        <v>636</v>
      </c>
      <c r="C31" s="9">
        <v>0.37</v>
      </c>
      <c r="D31" s="92" t="s">
        <v>608</v>
      </c>
      <c r="E31" s="18"/>
      <c r="F31" s="18"/>
      <c r="G31" s="18"/>
      <c r="H31" s="18"/>
      <c r="I31" s="18"/>
      <c r="J31" s="18"/>
      <c r="K31" s="18"/>
      <c r="L31" s="1"/>
    </row>
    <row r="32" ht="14.624267578125">
      <c r="A32" s="1"/>
      <c r="B32" s="33" t="s">
        <v>637</v>
      </c>
      <c r="C32" s="9">
        <v>0.33</v>
      </c>
      <c r="D32" s="92" t="s">
        <v>608</v>
      </c>
      <c r="E32" s="18"/>
      <c r="F32" s="18"/>
      <c r="G32" s="18"/>
      <c r="H32" s="18"/>
      <c r="I32" s="18"/>
      <c r="J32" s="18"/>
      <c r="K32" s="18"/>
      <c r="L32" s="1"/>
    </row>
    <row r="33" ht="14.624267578125">
      <c r="A33" s="1"/>
      <c r="B33" s="33" t="s">
        <v>638</v>
      </c>
      <c r="C33" s="76">
        <v>16</v>
      </c>
      <c r="D33" s="92" t="s">
        <v>608</v>
      </c>
      <c r="E33" s="18"/>
      <c r="F33" s="18"/>
      <c r="G33" s="18"/>
      <c r="H33" s="18"/>
      <c r="I33" s="18"/>
      <c r="J33" s="18"/>
      <c r="K33" s="18"/>
      <c r="L33" s="1"/>
    </row>
    <row r="34" ht="14.624267578125">
      <c r="A34" s="1"/>
      <c r="B34" s="33" t="s">
        <v>639</v>
      </c>
      <c r="C34" s="18"/>
      <c r="D34" s="92" t="s">
        <v>616</v>
      </c>
      <c r="E34" s="18"/>
      <c r="F34" s="18"/>
      <c r="G34" s="18"/>
      <c r="H34" s="18"/>
      <c r="I34" s="18"/>
      <c r="J34" s="18"/>
      <c r="K34" s="18"/>
      <c r="L34" s="1"/>
    </row>
    <row r="35" ht="14.624267578125">
      <c r="A35" s="1"/>
      <c r="B35" s="33" t="s">
        <v>640</v>
      </c>
      <c r="C35" s="22">
        <v>5359.23</v>
      </c>
      <c r="D35" s="92" t="s">
        <v>608</v>
      </c>
      <c r="E35" s="18"/>
      <c r="F35" s="18"/>
      <c r="G35" s="18"/>
      <c r="H35" s="18"/>
      <c r="I35" s="18"/>
      <c r="J35" s="18"/>
      <c r="K35" s="18"/>
      <c r="L35" s="1"/>
    </row>
    <row r="36" ht="14.624267578125">
      <c r="A36" s="1"/>
      <c r="B36" s="33" t="s">
        <v>641</v>
      </c>
      <c r="C36" s="22">
        <v>5367</v>
      </c>
      <c r="D36" s="92" t="s">
        <v>608</v>
      </c>
      <c r="E36" s="18"/>
      <c r="F36" s="18"/>
      <c r="G36" s="18"/>
      <c r="H36" s="18"/>
      <c r="I36" s="18"/>
      <c r="J36" s="18"/>
      <c r="K36" s="18"/>
      <c r="L36" s="1"/>
    </row>
    <row r="37" ht="14.624267578125">
      <c r="A37" s="1"/>
      <c r="B37" s="33" t="s">
        <v>642</v>
      </c>
      <c r="C37" s="22">
        <v>5377</v>
      </c>
      <c r="D37" s="92" t="s">
        <v>608</v>
      </c>
      <c r="E37" s="18"/>
      <c r="F37" s="18"/>
      <c r="G37" s="18"/>
      <c r="H37" s="18"/>
      <c r="I37" s="18"/>
      <c r="J37" s="18"/>
      <c r="K37" s="18"/>
      <c r="L37" s="1"/>
    </row>
    <row r="38" ht="14.624267578125">
      <c r="A38" s="1"/>
      <c r="B38" s="33" t="s">
        <v>643</v>
      </c>
      <c r="C38" s="22">
        <v>5315.28</v>
      </c>
      <c r="D38" s="92" t="s">
        <v>608</v>
      </c>
      <c r="E38" s="18"/>
      <c r="F38" s="18"/>
      <c r="G38" s="18"/>
      <c r="H38" s="18"/>
      <c r="I38" s="18"/>
      <c r="J38" s="18"/>
      <c r="K38" s="18"/>
      <c r="L38" s="1"/>
    </row>
    <row r="39" ht="14.624267578125">
      <c r="A39" s="1"/>
      <c r="B39" s="33" t="s">
        <v>644</v>
      </c>
      <c r="C39" s="22">
        <v>18.71</v>
      </c>
      <c r="D39" s="92" t="s">
        <v>608</v>
      </c>
      <c r="E39" s="18"/>
      <c r="F39" s="18"/>
      <c r="G39" s="18"/>
      <c r="H39" s="18"/>
      <c r="I39" s="18"/>
      <c r="J39" s="18"/>
      <c r="K39" s="18"/>
      <c r="L39" s="1"/>
    </row>
    <row r="40" ht="14.624267578125">
      <c r="A40" s="1"/>
      <c r="B40" s="33" t="s">
        <v>645</v>
      </c>
      <c r="C40" s="76">
        <v>10</v>
      </c>
      <c r="D40" s="92" t="s">
        <v>608</v>
      </c>
      <c r="E40" s="18"/>
      <c r="F40" s="18"/>
      <c r="G40" s="18"/>
      <c r="H40" s="18"/>
      <c r="I40" s="18"/>
      <c r="J40" s="18"/>
      <c r="K40" s="18"/>
      <c r="L40" s="1"/>
    </row>
    <row r="41" ht="14.624267578125">
      <c r="A41" s="1"/>
      <c r="B41" s="33" t="s">
        <v>646</v>
      </c>
      <c r="C41" s="22">
        <v>5364.11</v>
      </c>
      <c r="D41" s="92" t="s">
        <v>608</v>
      </c>
      <c r="E41" s="18"/>
      <c r="F41" s="18"/>
      <c r="G41" s="18"/>
      <c r="H41" s="18"/>
      <c r="I41" s="18"/>
      <c r="J41" s="18"/>
      <c r="K41" s="18"/>
      <c r="L41" s="1"/>
    </row>
    <row r="42" ht="14.624267578125">
      <c r="A42" s="1"/>
      <c r="B42" s="33" t="s">
        <v>647</v>
      </c>
      <c r="C42" s="18"/>
      <c r="D42" s="92" t="s">
        <v>616</v>
      </c>
      <c r="E42" s="18"/>
      <c r="F42" s="18"/>
      <c r="G42" s="18"/>
      <c r="H42" s="18"/>
      <c r="I42" s="18"/>
      <c r="J42" s="18"/>
      <c r="K42" s="18"/>
      <c r="L42" s="1"/>
    </row>
    <row r="43" ht="14.624267578125">
      <c r="A43" s="1"/>
      <c r="B43" s="33" t="s">
        <v>648</v>
      </c>
      <c r="C43" s="18"/>
      <c r="D43" s="92" t="s">
        <v>616</v>
      </c>
      <c r="E43" s="18"/>
      <c r="F43" s="18"/>
      <c r="G43" s="18"/>
      <c r="H43" s="18"/>
      <c r="I43" s="18"/>
      <c r="J43" s="18"/>
      <c r="K43" s="18"/>
      <c r="L43" s="1"/>
    </row>
    <row r="44" ht="14.624267578125">
      <c r="A44" s="1"/>
      <c r="B44" s="33" t="s">
        <v>649</v>
      </c>
      <c r="C44" s="18"/>
      <c r="D44" s="92" t="s">
        <v>616</v>
      </c>
      <c r="E44" s="18"/>
      <c r="F44" s="18"/>
      <c r="G44" s="18"/>
      <c r="H44" s="18"/>
      <c r="I44" s="18"/>
      <c r="J44" s="18"/>
      <c r="K44" s="18"/>
      <c r="L44" s="1"/>
    </row>
    <row r="45" ht="14.624267578125">
      <c r="A45" s="1"/>
      <c r="B45" s="33" t="s">
        <v>650</v>
      </c>
      <c r="C45" s="22">
        <v>2229.23</v>
      </c>
      <c r="D45" s="92" t="s">
        <v>608</v>
      </c>
      <c r="E45" s="18"/>
      <c r="F45" s="18"/>
      <c r="G45" s="18"/>
      <c r="H45" s="18"/>
      <c r="I45" s="18"/>
      <c r="J45" s="18"/>
      <c r="K45" s="18"/>
      <c r="L45" s="1"/>
    </row>
    <row r="46" ht="14.624267578125">
      <c r="A46" s="1"/>
      <c r="B46" s="33" t="s">
        <v>651</v>
      </c>
      <c r="C46" s="22">
        <v>1775.51</v>
      </c>
      <c r="D46" s="92" t="s">
        <v>608</v>
      </c>
      <c r="E46" s="18"/>
      <c r="F46" s="18"/>
      <c r="G46" s="18"/>
      <c r="H46" s="18"/>
      <c r="I46" s="18"/>
      <c r="J46" s="18"/>
      <c r="K46" s="18"/>
      <c r="L46" s="1"/>
    </row>
    <row r="47" ht="14.624267578125">
      <c r="A47" s="1"/>
      <c r="B47" s="33" t="s">
        <v>652</v>
      </c>
      <c r="C47" s="22">
        <v>1850.57</v>
      </c>
      <c r="D47" s="92" t="s">
        <v>608</v>
      </c>
      <c r="E47" s="18"/>
      <c r="F47" s="18"/>
      <c r="G47" s="18"/>
      <c r="H47" s="18"/>
      <c r="I47" s="18"/>
      <c r="J47" s="18"/>
      <c r="K47" s="18"/>
      <c r="L47" s="1"/>
    </row>
    <row r="48" ht="14.624267578125">
      <c r="A48" s="1"/>
      <c r="B48" s="33" t="s">
        <v>653</v>
      </c>
      <c r="C48" s="22">
        <v>1421.77</v>
      </c>
      <c r="D48" s="92" t="s">
        <v>608</v>
      </c>
      <c r="E48" s="18"/>
      <c r="F48" s="18"/>
      <c r="G48" s="18"/>
      <c r="H48" s="18"/>
      <c r="I48" s="18"/>
      <c r="J48" s="18"/>
      <c r="K48" s="18"/>
      <c r="L48" s="1"/>
    </row>
    <row r="49" ht="14.624267578125">
      <c r="A49" s="1"/>
      <c r="B49" s="33" t="s">
        <v>654</v>
      </c>
      <c r="C49" s="22">
        <v>1445.03</v>
      </c>
      <c r="D49" s="92" t="s">
        <v>608</v>
      </c>
      <c r="E49" s="18"/>
      <c r="F49" s="18"/>
      <c r="G49" s="18"/>
      <c r="H49" s="18"/>
      <c r="I49" s="18"/>
      <c r="J49" s="18"/>
      <c r="K49" s="18"/>
      <c r="L49" s="1"/>
    </row>
    <row r="50" ht="14.624267578125">
      <c r="A50" s="1"/>
      <c r="B50" s="33" t="s">
        <v>655</v>
      </c>
      <c r="C50" s="78">
        <v>2.98</v>
      </c>
      <c r="D50" s="92" t="s">
        <v>608</v>
      </c>
      <c r="E50" s="18"/>
      <c r="F50" s="18"/>
      <c r="G50" s="18"/>
      <c r="H50" s="18"/>
      <c r="I50" s="18"/>
      <c r="J50" s="18"/>
      <c r="K50" s="18"/>
      <c r="L50" s="1"/>
    </row>
    <row r="51" ht="14.624267578125">
      <c r="A51" s="1"/>
      <c r="B51" s="33" t="s">
        <v>656</v>
      </c>
      <c r="C51" s="78">
        <v>15.09</v>
      </c>
      <c r="D51" s="92" t="s">
        <v>608</v>
      </c>
      <c r="E51" s="18"/>
      <c r="F51" s="18"/>
      <c r="G51" s="18"/>
      <c r="H51" s="18"/>
      <c r="I51" s="18"/>
      <c r="J51" s="18"/>
      <c r="K51" s="18"/>
      <c r="L51" s="1"/>
    </row>
    <row r="52" ht="14.624267578125">
      <c r="A52" s="1"/>
      <c r="B52" s="33" t="s">
        <v>657</v>
      </c>
      <c r="C52" s="18"/>
      <c r="D52" s="92" t="s">
        <v>616</v>
      </c>
      <c r="E52" s="18"/>
      <c r="F52" s="18"/>
      <c r="G52" s="18"/>
      <c r="H52" s="18"/>
      <c r="I52" s="18"/>
      <c r="J52" s="18"/>
      <c r="K52" s="18"/>
      <c r="L52" s="1"/>
    </row>
    <row r="53" ht="14.624267578125">
      <c r="A53" s="1"/>
      <c r="B53" s="33" t="s">
        <v>658</v>
      </c>
      <c r="C53" s="18"/>
      <c r="D53" s="92" t="s">
        <v>616</v>
      </c>
      <c r="E53" s="18"/>
      <c r="F53" s="18"/>
      <c r="G53" s="18"/>
      <c r="H53" s="18"/>
      <c r="I53" s="18"/>
      <c r="J53" s="18"/>
      <c r="K53" s="18"/>
      <c r="L53" s="1"/>
    </row>
    <row r="54" ht="14.624267578125">
      <c r="A54" s="1"/>
      <c r="B54" s="33" t="s">
        <v>659</v>
      </c>
      <c r="C54" s="18"/>
      <c r="D54" s="92" t="s">
        <v>616</v>
      </c>
      <c r="E54" s="18"/>
      <c r="F54" s="18"/>
      <c r="G54" s="18"/>
      <c r="H54" s="18"/>
      <c r="I54" s="18"/>
      <c r="J54" s="18"/>
      <c r="K54" s="18"/>
      <c r="L54" s="1"/>
    </row>
    <row r="55" ht="14.624267578125">
      <c r="A55" s="1"/>
      <c r="B55" s="33" t="s">
        <v>660</v>
      </c>
      <c r="C55" s="18"/>
      <c r="D55" s="92" t="s">
        <v>616</v>
      </c>
      <c r="E55" s="18"/>
      <c r="F55" s="18"/>
      <c r="G55" s="18"/>
      <c r="H55" s="18"/>
      <c r="I55" s="18"/>
      <c r="J55" s="18"/>
      <c r="K55" s="18"/>
      <c r="L55" s="1"/>
    </row>
    <row r="56" ht="14.624267578125">
      <c r="A56" s="1"/>
      <c r="B56" s="33" t="s">
        <v>661</v>
      </c>
      <c r="C56" s="18"/>
      <c r="D56" s="92" t="s">
        <v>616</v>
      </c>
      <c r="E56" s="18"/>
      <c r="F56" s="18"/>
      <c r="G56" s="18"/>
      <c r="H56" s="18"/>
      <c r="I56" s="18"/>
      <c r="J56" s="18"/>
      <c r="K56" s="18"/>
      <c r="L56" s="1"/>
    </row>
    <row r="57" ht="14.624267578125">
      <c r="A57" s="1"/>
      <c r="B57" s="33" t="s">
        <v>662</v>
      </c>
      <c r="C57" s="18"/>
      <c r="D57" s="92" t="s">
        <v>616</v>
      </c>
      <c r="E57" s="18"/>
      <c r="F57" s="18"/>
      <c r="G57" s="18"/>
      <c r="H57" s="18"/>
      <c r="I57" s="18"/>
      <c r="J57" s="18"/>
      <c r="K57" s="18"/>
      <c r="L57" s="1"/>
    </row>
    <row r="58" ht="14.624267578125">
      <c r="A58" s="1"/>
      <c r="B58" s="33" t="s">
        <v>663</v>
      </c>
      <c r="C58" s="18"/>
      <c r="D58" s="92" t="s">
        <v>616</v>
      </c>
      <c r="E58" s="18"/>
      <c r="F58" s="18"/>
      <c r="G58" s="18"/>
      <c r="H58" s="18"/>
      <c r="I58" s="18"/>
      <c r="J58" s="18"/>
      <c r="K58" s="18"/>
      <c r="L58" s="1"/>
    </row>
    <row r="59" ht="14.624267578125">
      <c r="A59" s="1"/>
      <c r="B59" s="33" t="s">
        <v>664</v>
      </c>
      <c r="C59" s="18"/>
      <c r="D59" s="92" t="s">
        <v>616</v>
      </c>
      <c r="E59" s="18"/>
      <c r="F59" s="18"/>
      <c r="G59" s="18"/>
      <c r="H59" s="18"/>
      <c r="I59" s="18"/>
      <c r="J59" s="18"/>
      <c r="K59" s="18"/>
      <c r="L59" s="1"/>
    </row>
    <row r="60" ht="14.624267578125">
      <c r="A60" s="1"/>
      <c r="B60" s="33" t="s">
        <v>665</v>
      </c>
      <c r="C60" s="18"/>
      <c r="D60" s="92" t="s">
        <v>616</v>
      </c>
      <c r="E60" s="18"/>
      <c r="F60" s="18"/>
      <c r="G60" s="18"/>
      <c r="H60" s="18"/>
      <c r="I60" s="18"/>
      <c r="J60" s="18"/>
      <c r="K60" s="18"/>
      <c r="L60" s="1"/>
    </row>
    <row r="61" ht="14.624267578125">
      <c r="A61" s="1"/>
      <c r="B61" s="33" t="s">
        <v>666</v>
      </c>
      <c r="C61" s="22">
        <v>39700.75</v>
      </c>
      <c r="D61" s="92" t="s">
        <v>608</v>
      </c>
      <c r="E61" s="18"/>
      <c r="F61" s="18"/>
      <c r="G61" s="18"/>
      <c r="H61" s="18"/>
      <c r="I61" s="18"/>
      <c r="J61" s="18"/>
      <c r="K61" s="18"/>
      <c r="L61" s="1"/>
    </row>
    <row r="62" ht="14.624267578125">
      <c r="A62" s="1"/>
      <c r="B62" s="33" t="s">
        <v>667</v>
      </c>
      <c r="C62" s="18"/>
      <c r="D62" s="92" t="s">
        <v>616</v>
      </c>
      <c r="E62" s="18"/>
      <c r="F62" s="18"/>
      <c r="G62" s="18"/>
      <c r="H62" s="18"/>
      <c r="I62" s="18"/>
      <c r="J62" s="18"/>
      <c r="K62" s="18"/>
      <c r="L62" s="1"/>
    </row>
    <row r="63" ht="14.624267578125">
      <c r="A63" s="1"/>
      <c r="B63" s="33" t="s">
        <v>668</v>
      </c>
      <c r="C63" s="78">
        <v>9.86</v>
      </c>
      <c r="D63" s="92" t="s">
        <v>608</v>
      </c>
      <c r="E63" s="18"/>
      <c r="F63" s="18"/>
      <c r="G63" s="18"/>
      <c r="H63" s="18"/>
      <c r="I63" s="18"/>
      <c r="J63" s="18"/>
      <c r="K63" s="18"/>
      <c r="L63" s="1"/>
    </row>
    <row r="64" ht="14.624267578125">
      <c r="A64" s="1"/>
      <c r="B64" s="33" t="s">
        <v>669</v>
      </c>
      <c r="C64" s="9">
        <v>54.03</v>
      </c>
      <c r="D64" s="92" t="s">
        <v>608</v>
      </c>
      <c r="E64" s="18"/>
      <c r="F64" s="18"/>
      <c r="G64" s="18"/>
      <c r="H64" s="18"/>
      <c r="I64" s="18"/>
      <c r="J64" s="18"/>
      <c r="K64" s="18"/>
      <c r="L64" s="1"/>
    </row>
    <row r="65" ht="14.624267578125">
      <c r="A65" s="1"/>
      <c r="B65" s="33" t="s">
        <v>670</v>
      </c>
      <c r="C65" s="9">
        <v>54</v>
      </c>
      <c r="D65" s="92" t="s">
        <v>608</v>
      </c>
      <c r="E65" s="18"/>
      <c r="F65" s="18"/>
      <c r="G65" s="18"/>
      <c r="H65" s="18"/>
      <c r="I65" s="18"/>
      <c r="J65" s="18"/>
      <c r="K65" s="18"/>
      <c r="L65" s="1"/>
    </row>
    <row r="66" ht="14.624267578125">
      <c r="A66" s="1"/>
      <c r="B66" s="33" t="s">
        <v>671</v>
      </c>
      <c r="C66" s="9">
        <v>61</v>
      </c>
      <c r="D66" s="92" t="s">
        <v>608</v>
      </c>
      <c r="E66" s="18"/>
      <c r="F66" s="18"/>
      <c r="G66" s="18"/>
      <c r="H66" s="18"/>
      <c r="I66" s="18"/>
      <c r="J66" s="18"/>
      <c r="K66" s="18"/>
      <c r="L66" s="1"/>
    </row>
    <row r="67" ht="14.624267578125">
      <c r="A67" s="1"/>
      <c r="B67" s="33" t="s">
        <v>672</v>
      </c>
      <c r="C67" s="9">
        <v>45</v>
      </c>
      <c r="D67" s="92" t="s">
        <v>608</v>
      </c>
      <c r="E67" s="18"/>
      <c r="F67" s="18"/>
      <c r="G67" s="18"/>
      <c r="H67" s="18"/>
      <c r="I67" s="18"/>
      <c r="J67" s="18"/>
      <c r="K67" s="18"/>
      <c r="L67" s="1"/>
    </row>
    <row r="68" ht="14.624267578125">
      <c r="A68" s="1"/>
      <c r="B68" s="33" t="s">
        <v>673</v>
      </c>
      <c r="C68" s="9">
        <v>3.35</v>
      </c>
      <c r="D68" s="92" t="s">
        <v>608</v>
      </c>
      <c r="E68" s="18"/>
      <c r="F68" s="18"/>
      <c r="G68" s="18"/>
      <c r="H68" s="18"/>
      <c r="I68" s="18"/>
      <c r="J68" s="18"/>
      <c r="K68" s="18"/>
      <c r="L68" s="1"/>
    </row>
    <row r="69" ht="14.624267578125">
      <c r="A69" s="1"/>
      <c r="B69" s="33" t="s">
        <v>674</v>
      </c>
      <c r="C69" s="76">
        <v>19</v>
      </c>
      <c r="D69" s="92" t="s">
        <v>608</v>
      </c>
      <c r="E69" s="18"/>
      <c r="F69" s="18"/>
      <c r="G69" s="18"/>
      <c r="H69" s="18"/>
      <c r="I69" s="18"/>
      <c r="J69" s="18"/>
      <c r="K69" s="18"/>
      <c r="L69" s="1"/>
    </row>
    <row r="70" ht="14.624267578125">
      <c r="A70" s="1"/>
      <c r="B70" s="33" t="s">
        <v>675</v>
      </c>
      <c r="C70" s="18" t="s">
        <v>676</v>
      </c>
      <c r="D70" s="92" t="s">
        <v>608</v>
      </c>
      <c r="E70" s="18"/>
      <c r="F70" s="18"/>
      <c r="G70" s="18"/>
      <c r="H70" s="18"/>
      <c r="I70" s="18"/>
      <c r="J70" s="18"/>
      <c r="K70" s="18"/>
      <c r="L70" s="1"/>
    </row>
    <row r="71" ht="14.624267578125">
      <c r="A71" s="1"/>
      <c r="B71" s="33" t="s">
        <v>677</v>
      </c>
      <c r="C71" s="78">
        <v>2.64</v>
      </c>
      <c r="D71" s="92" t="s">
        <v>608</v>
      </c>
      <c r="E71" s="18"/>
      <c r="F71" s="18"/>
      <c r="G71" s="18"/>
      <c r="H71" s="18"/>
      <c r="I71" s="18"/>
      <c r="J71" s="18"/>
      <c r="K71" s="18"/>
      <c r="L71" s="1"/>
    </row>
    <row r="72" ht="14.624267578125">
      <c r="A72" s="1"/>
      <c r="B72" s="33" t="s">
        <v>678</v>
      </c>
      <c r="C72" s="9">
        <v>46.11</v>
      </c>
      <c r="D72" s="92" t="s">
        <v>608</v>
      </c>
      <c r="E72" s="18"/>
      <c r="F72" s="18"/>
      <c r="G72" s="18"/>
      <c r="H72" s="18"/>
      <c r="I72" s="18"/>
      <c r="J72" s="18"/>
      <c r="K72" s="18"/>
      <c r="L72" s="1"/>
    </row>
    <row r="73" ht="14.624267578125">
      <c r="A73" s="1"/>
      <c r="B73" s="33" t="s">
        <v>679</v>
      </c>
      <c r="C73" s="18" t="s">
        <v>680</v>
      </c>
      <c r="D73" s="92" t="s">
        <v>608</v>
      </c>
      <c r="E73" s="18"/>
      <c r="F73" s="18"/>
      <c r="G73" s="18"/>
      <c r="H73" s="18"/>
      <c r="I73" s="18"/>
      <c r="J73" s="18"/>
      <c r="K73" s="18"/>
      <c r="L73" s="1"/>
    </row>
    <row r="74" ht="14.624267578125">
      <c r="A74" s="1"/>
      <c r="B74" s="33" t="s">
        <v>681</v>
      </c>
      <c r="C74" s="18" t="s">
        <v>15</v>
      </c>
      <c r="D74" s="92" t="s">
        <v>608</v>
      </c>
      <c r="E74" s="18"/>
      <c r="F74" s="18"/>
      <c r="G74" s="18"/>
      <c r="H74" s="18"/>
      <c r="I74" s="18"/>
      <c r="J74" s="18"/>
      <c r="K74" s="18"/>
      <c r="L74" s="1"/>
    </row>
    <row r="75" ht="31.872802734375">
      <c r="A75" s="1"/>
      <c r="B75" s="33" t="s">
        <v>682</v>
      </c>
      <c r="C75" s="99" t="s">
        <v>683</v>
      </c>
      <c r="D75" s="92" t="s">
        <v>608</v>
      </c>
      <c r="E75" s="18"/>
      <c r="F75" s="18"/>
      <c r="G75" s="18"/>
      <c r="H75" s="18"/>
      <c r="I75" s="18"/>
      <c r="J75" s="18"/>
      <c r="K75" s="18"/>
      <c r="L75" s="1"/>
    </row>
    <row r="76" ht="14.624267578125">
      <c r="A76" s="1"/>
      <c r="B76" s="33" t="s">
        <v>684</v>
      </c>
      <c r="C76" s="13">
        <v>46306</v>
      </c>
      <c r="D76" s="92" t="s">
        <v>608</v>
      </c>
      <c r="E76" s="18"/>
      <c r="F76" s="18"/>
      <c r="G76" s="18"/>
      <c r="H76" s="18"/>
      <c r="I76" s="18"/>
      <c r="J76" s="18"/>
      <c r="K76" s="18"/>
      <c r="L76" s="1"/>
    </row>
    <row r="77" ht="14.624267578125">
      <c r="A77" s="1"/>
      <c r="B77" s="33" t="s">
        <v>685</v>
      </c>
      <c r="C77" s="18"/>
      <c r="D77" s="92" t="s">
        <v>616</v>
      </c>
      <c r="E77" s="18"/>
      <c r="F77" s="18"/>
      <c r="G77" s="18"/>
      <c r="H77" s="18"/>
      <c r="I77" s="18"/>
      <c r="J77" s="18"/>
      <c r="K77" s="18"/>
      <c r="L77" s="1"/>
    </row>
    <row r="78">
      <c r="A78" s="1"/>
      <c r="B78" s="33"/>
      <c r="C78" s="18"/>
      <c r="D78" s="18"/>
      <c r="E78" s="18"/>
      <c r="F78" s="18"/>
      <c r="G78" s="18"/>
      <c r="H78" s="18"/>
      <c r="I78" s="18"/>
      <c r="J78" s="18"/>
      <c r="K78" s="18"/>
      <c r="L78" s="1"/>
    </row>
    <row r="79" ht="23.24853515625">
      <c r="A79" s="1"/>
      <c r="B79" s="57" t="s">
        <v>686</v>
      </c>
      <c r="C79" s="18"/>
      <c r="D79" s="18"/>
      <c r="E79" s="18"/>
      <c r="F79" s="18"/>
      <c r="G79" s="18"/>
      <c r="H79" s="18"/>
      <c r="I79" s="18"/>
      <c r="J79" s="18"/>
      <c r="K79" s="18"/>
      <c r="L79" s="1"/>
    </row>
    <row r="80" ht="14.624267578125">
      <c r="A80" s="1"/>
      <c r="B80" s="33" t="s">
        <v>687</v>
      </c>
      <c r="C80" s="18" t="s">
        <v>688</v>
      </c>
      <c r="D80" s="18"/>
      <c r="E80" s="18"/>
      <c r="F80" s="18"/>
      <c r="G80" s="18"/>
      <c r="H80" s="18"/>
      <c r="I80" s="18"/>
      <c r="J80" s="18"/>
      <c r="K80" s="18"/>
      <c r="L80" s="1"/>
    </row>
    <row r="81" ht="14.624267578125">
      <c r="A81" s="1"/>
      <c r="B81" s="33" t="s">
        <v>607</v>
      </c>
      <c r="C81" s="18" t="s">
        <v>7</v>
      </c>
      <c r="D81" s="18"/>
      <c r="E81" s="18"/>
      <c r="F81" s="18"/>
      <c r="G81" s="18"/>
      <c r="H81" s="18"/>
      <c r="I81" s="18"/>
      <c r="J81" s="18"/>
      <c r="K81" s="18"/>
      <c r="L81" s="1"/>
    </row>
    <row r="82" ht="14.624267578125">
      <c r="A82" s="1"/>
      <c r="B82" s="33" t="s">
        <v>689</v>
      </c>
      <c r="C82" s="108" t="s">
        <v>618</v>
      </c>
      <c r="D82" s="18"/>
      <c r="E82" s="18"/>
      <c r="F82" s="18"/>
      <c r="G82" s="18"/>
      <c r="H82" s="18"/>
      <c r="I82" s="18"/>
      <c r="J82" s="18"/>
      <c r="K82" s="18"/>
      <c r="L82" s="1"/>
    </row>
    <row r="83" ht="14.624267578125">
      <c r="A83" s="1"/>
      <c r="B83" s="33" t="s">
        <v>690</v>
      </c>
      <c r="C83" s="13">
        <v>46295</v>
      </c>
      <c r="D83" s="18"/>
      <c r="E83" s="18"/>
      <c r="F83" s="18"/>
      <c r="G83" s="18"/>
      <c r="H83" s="18"/>
      <c r="I83" s="18"/>
      <c r="J83" s="18"/>
      <c r="K83" s="18"/>
      <c r="L83" s="1"/>
    </row>
    <row r="84" ht="14.624267578125">
      <c r="A84" s="1"/>
      <c r="B84" s="33" t="s">
        <v>691</v>
      </c>
      <c r="C84" s="13">
        <v>46306</v>
      </c>
      <c r="D84" s="18"/>
      <c r="E84" s="18"/>
      <c r="F84" s="18"/>
      <c r="G84" s="18"/>
      <c r="H84" s="18"/>
      <c r="I84" s="18"/>
      <c r="J84" s="18"/>
      <c r="K84" s="18"/>
      <c r="L84" s="1"/>
    </row>
    <row r="85" ht="14.624267578125">
      <c r="A85" s="1"/>
      <c r="B85" s="33" t="s">
        <v>692</v>
      </c>
      <c r="C85" s="76">
        <v>16</v>
      </c>
      <c r="D85" s="18"/>
      <c r="E85" s="18"/>
      <c r="F85" s="18"/>
      <c r="G85" s="18"/>
      <c r="H85" s="18"/>
      <c r="I85" s="18"/>
      <c r="J85" s="18"/>
      <c r="K85" s="18"/>
      <c r="L85" s="1"/>
    </row>
    <row r="86" ht="14.624267578125">
      <c r="A86" s="1"/>
      <c r="B86" s="33" t="s">
        <v>693</v>
      </c>
      <c r="C86" s="9">
        <v>1.17</v>
      </c>
      <c r="D86" s="18"/>
      <c r="E86" s="18"/>
      <c r="F86" s="18"/>
      <c r="G86" s="18"/>
      <c r="H86" s="18"/>
      <c r="I86" s="18"/>
      <c r="J86" s="18"/>
      <c r="K86" s="18"/>
      <c r="L86" s="1"/>
    </row>
    <row r="87" ht="14.624267578125">
      <c r="A87" s="1"/>
      <c r="B87" s="33" t="s">
        <v>694</v>
      </c>
      <c r="C87" s="92" t="s">
        <v>695</v>
      </c>
      <c r="D87" s="18"/>
      <c r="E87" s="18"/>
      <c r="F87" s="18"/>
      <c r="G87" s="18"/>
      <c r="H87" s="18"/>
      <c r="I87" s="18"/>
      <c r="J87" s="18"/>
      <c r="K87" s="18"/>
      <c r="L87" s="1"/>
    </row>
    <row r="88" ht="14.624267578125">
      <c r="A88" s="1"/>
      <c r="B88" s="33" t="s">
        <v>696</v>
      </c>
      <c r="C88" s="22">
        <v>5359.23</v>
      </c>
      <c r="D88" s="18"/>
      <c r="E88" s="18"/>
      <c r="F88" s="18"/>
      <c r="G88" s="18"/>
      <c r="H88" s="18"/>
      <c r="I88" s="18"/>
      <c r="J88" s="18"/>
      <c r="K88" s="18"/>
      <c r="L88" s="1"/>
    </row>
    <row r="89" ht="14.624267578125">
      <c r="A89" s="1"/>
      <c r="B89" s="33" t="s">
        <v>681</v>
      </c>
      <c r="C89" s="18" t="s">
        <v>15</v>
      </c>
      <c r="D89" s="18"/>
      <c r="E89" s="18"/>
      <c r="F89" s="18"/>
      <c r="G89" s="18"/>
      <c r="H89" s="18"/>
      <c r="I89" s="18"/>
      <c r="J89" s="18"/>
      <c r="K89" s="18"/>
      <c r="L89" s="1"/>
    </row>
    <row r="90" ht="14.624267578125">
      <c r="A90" s="1"/>
      <c r="B90" s="33" t="s">
        <v>697</v>
      </c>
      <c r="C90" s="92" t="s">
        <v>698</v>
      </c>
      <c r="D90" s="18"/>
      <c r="E90" s="18"/>
      <c r="F90" s="18"/>
      <c r="G90" s="18"/>
      <c r="H90" s="18"/>
      <c r="I90" s="18"/>
      <c r="J90" s="18"/>
      <c r="K90" s="18"/>
      <c r="L90" s="1"/>
    </row>
    <row r="91" ht="14.624267578125">
      <c r="A91" s="1"/>
      <c r="B91" s="33" t="s">
        <v>699</v>
      </c>
      <c r="C91" s="92" t="s">
        <v>700</v>
      </c>
      <c r="D91" s="18"/>
      <c r="E91" s="18"/>
      <c r="F91" s="18"/>
      <c r="G91" s="18"/>
      <c r="H91" s="18"/>
      <c r="I91" s="18"/>
      <c r="J91" s="18"/>
      <c r="K91" s="18"/>
      <c r="L91" s="1"/>
    </row>
    <row r="92">
      <c r="A92" s="1"/>
      <c r="B92" s="33"/>
      <c r="C92" s="18"/>
      <c r="D92" s="18"/>
      <c r="E92" s="18"/>
      <c r="F92" s="18"/>
      <c r="G92" s="18"/>
      <c r="H92" s="18"/>
      <c r="I92" s="18"/>
      <c r="J92" s="18"/>
      <c r="K92" s="18"/>
      <c r="L92" s="1"/>
    </row>
    <row r="93" ht="23.24853515625">
      <c r="A93" s="1"/>
      <c r="B93" s="57" t="s">
        <v>701</v>
      </c>
      <c r="C93" s="18"/>
      <c r="D93" s="18"/>
      <c r="E93" s="18"/>
      <c r="F93" s="18"/>
      <c r="G93" s="18"/>
      <c r="H93" s="18"/>
      <c r="I93" s="18"/>
      <c r="J93" s="18"/>
      <c r="K93" s="18"/>
      <c r="L93" s="1"/>
    </row>
    <row r="94" ht="14.624267578125">
      <c r="A94" s="1"/>
      <c r="B94" s="94" t="s">
        <v>690</v>
      </c>
      <c r="C94" s="32" t="s">
        <v>702</v>
      </c>
      <c r="D94" s="32" t="s">
        <v>703</v>
      </c>
      <c r="E94" s="32" t="s">
        <v>704</v>
      </c>
      <c r="F94" s="32" t="s">
        <v>705</v>
      </c>
      <c r="G94" s="32" t="s">
        <v>706</v>
      </c>
      <c r="H94" s="32" t="s">
        <v>707</v>
      </c>
      <c r="I94" s="32" t="s">
        <v>708</v>
      </c>
      <c r="J94" s="18" t="s">
        <v>709</v>
      </c>
      <c r="K94" s="18" t="s">
        <v>710</v>
      </c>
      <c r="L94" s="1"/>
    </row>
    <row r="95" ht="14.624267578125">
      <c r="A95" s="1"/>
      <c r="B95" s="73">
        <v>45747</v>
      </c>
      <c r="C95" s="13">
        <v>45764</v>
      </c>
      <c r="D95" s="9">
        <v>0.86</v>
      </c>
      <c r="E95" s="9">
        <v>0.89</v>
      </c>
      <c r="F95" s="9">
        <v>0.87</v>
      </c>
      <c r="G95" s="9">
        <v>0.87</v>
      </c>
      <c r="H95" s="22">
        <v>4940.42</v>
      </c>
      <c r="I95" s="22">
        <v>4947</v>
      </c>
      <c r="J95" s="110">
        <f>IF(AND(ISNUMBER(D95),ISNUMBER(E95)),IF(E95&gt;D95,1,0),"")</f>
        <v>1</v>
      </c>
      <c r="K95" s="109">
        <f>IF(AND(ISNUMBER(D95),ISNUMBER(E95)),E95-D95,"")</f>
        <v>0.030000000000000027</v>
      </c>
      <c r="L95" s="1"/>
    </row>
    <row r="96" ht="14.624267578125">
      <c r="A96" s="1"/>
      <c r="B96" s="73">
        <v>45838</v>
      </c>
      <c r="C96" s="13">
        <v>45856</v>
      </c>
      <c r="D96" s="9">
        <v>0.93</v>
      </c>
      <c r="E96" s="9">
        <v>0.93</v>
      </c>
      <c r="F96" s="9">
        <v>0.92</v>
      </c>
      <c r="G96" s="9">
        <v>0.9</v>
      </c>
      <c r="H96" s="22">
        <v>5025.96</v>
      </c>
      <c r="I96" s="22">
        <v>5035</v>
      </c>
      <c r="J96" s="110">
        <f>IF(AND(ISNUMBER(D96),ISNUMBER(E96)),IF(E96&gt;D96,1,0),"")</f>
        <v>0</v>
      </c>
      <c r="K96" s="109">
        <f>IF(AND(ISNUMBER(D96),ISNUMBER(E96)),E96-D96,"")</f>
        <v>0</v>
      </c>
      <c r="L96" s="1"/>
    </row>
    <row r="97" ht="14.624267578125">
      <c r="A97" s="1"/>
      <c r="B97" s="73">
        <v>45930</v>
      </c>
      <c r="C97" s="13">
        <v>45947</v>
      </c>
      <c r="D97" s="9">
        <v>0.99</v>
      </c>
      <c r="E97" s="9">
        <v>1.06</v>
      </c>
      <c r="F97" s="9">
        <v>0.99</v>
      </c>
      <c r="G97" s="9">
        <v>1.04</v>
      </c>
      <c r="H97" s="22">
        <v>5197.84</v>
      </c>
      <c r="I97" s="22">
        <v>5238</v>
      </c>
      <c r="J97" s="110">
        <f>IF(AND(ISNUMBER(D97),ISNUMBER(E97)),IF(E97&gt;D97,1,0),"")</f>
        <v>1</v>
      </c>
      <c r="K97" s="109">
        <f>IF(AND(ISNUMBER(D97),ISNUMBER(E97)),E97-D97,"")</f>
        <v>0.07000000000000006</v>
      </c>
      <c r="L97" s="1"/>
    </row>
    <row r="98" ht="14.624267578125">
      <c r="A98" s="1"/>
      <c r="B98" s="73">
        <v>46022</v>
      </c>
      <c r="C98" s="13">
        <v>46043</v>
      </c>
      <c r="D98" s="9">
        <v>1.09</v>
      </c>
      <c r="E98" s="9">
        <v>1.12</v>
      </c>
      <c r="F98" s="9">
        <v>1.09</v>
      </c>
      <c r="G98" s="9">
        <v>1</v>
      </c>
      <c r="H98" s="22">
        <v>5316.61</v>
      </c>
      <c r="I98" s="22">
        <v>5295</v>
      </c>
      <c r="J98" s="110">
        <f>IF(AND(ISNUMBER(D98),ISNUMBER(E98)),IF(E98&gt;D98,1,0),"")</f>
        <v>1</v>
      </c>
      <c r="K98" s="109">
        <f>IF(AND(ISNUMBER(D98),ISNUMBER(E98)),E98-D98,"")</f>
        <v>0.030000000000000027</v>
      </c>
      <c r="L98" s="1"/>
    </row>
    <row r="99" ht="14.624267578125">
      <c r="A99" s="1"/>
      <c r="B99" s="73">
        <v>46112</v>
      </c>
      <c r="C99" s="13">
        <v>46129</v>
      </c>
      <c r="D99" s="9">
        <v>1</v>
      </c>
      <c r="E99" s="9">
        <v>1.09</v>
      </c>
      <c r="F99" s="9">
        <v>0.99</v>
      </c>
      <c r="G99" s="9">
        <v>1.09</v>
      </c>
      <c r="H99" s="22">
        <v>5182.95</v>
      </c>
      <c r="I99" s="22">
        <v>5197</v>
      </c>
      <c r="J99" s="110">
        <f>IF(AND(ISNUMBER(D99),ISNUMBER(E99)),IF(E99&gt;D99,1,0),"")</f>
        <v>1</v>
      </c>
      <c r="K99" s="109">
        <f>IF(AND(ISNUMBER(D99),ISNUMBER(E99)),E99-D99,"")</f>
        <v>0.09000000000000008</v>
      </c>
      <c r="L99" s="1"/>
    </row>
    <row r="100" ht="14.624267578125">
      <c r="A100" s="1"/>
      <c r="B100" s="73">
        <v>46203</v>
      </c>
      <c r="C100" s="13">
        <v>46220</v>
      </c>
      <c r="D100" s="9">
        <v>1.08</v>
      </c>
      <c r="E100" s="9">
        <v>1.23</v>
      </c>
      <c r="F100" s="9">
        <v>1.08</v>
      </c>
      <c r="G100" s="9">
        <v>1.23</v>
      </c>
      <c r="H100" s="22">
        <v>5240.68</v>
      </c>
      <c r="I100" s="22">
        <v>5311</v>
      </c>
      <c r="J100" s="110">
        <f>IF(AND(ISNUMBER(D100),ISNUMBER(E100)),IF(E100&gt;D100,1,0),"")</f>
        <v>1</v>
      </c>
      <c r="K100" s="109">
        <f>IF(AND(ISNUMBER(D100),ISNUMBER(E100)),E100-D100,"")</f>
        <v>0.1499999999999999</v>
      </c>
      <c r="L100" s="1"/>
    </row>
    <row r="101">
      <c r="A101" s="1"/>
      <c r="B101" s="33"/>
      <c r="C101" s="18"/>
      <c r="D101" s="18"/>
      <c r="E101" s="18"/>
      <c r="F101" s="18"/>
      <c r="G101" s="18"/>
      <c r="H101" s="18"/>
      <c r="I101" s="18"/>
      <c r="J101" s="18"/>
      <c r="K101" s="18"/>
      <c r="L101" s="1"/>
    </row>
    <row r="102" ht="23.24853515625">
      <c r="A102" s="1"/>
      <c r="B102" s="57" t="s">
        <v>711</v>
      </c>
      <c r="C102" s="18"/>
      <c r="D102" s="18"/>
      <c r="E102" s="18"/>
      <c r="F102" s="18"/>
      <c r="G102" s="18"/>
      <c r="H102" s="18"/>
      <c r="I102" s="18"/>
      <c r="J102" s="18"/>
      <c r="K102" s="18"/>
      <c r="L102" s="1"/>
    </row>
    <row r="103" ht="14.624267578125">
      <c r="A103" s="1"/>
      <c r="B103" s="48" t="s">
        <v>712</v>
      </c>
      <c r="C103" s="32" t="s">
        <v>713</v>
      </c>
      <c r="D103" s="32" t="s">
        <v>714</v>
      </c>
      <c r="E103" s="95" t="s">
        <v>53</v>
      </c>
      <c r="F103" s="18"/>
      <c r="G103" s="18"/>
      <c r="H103" s="18"/>
      <c r="I103" s="18"/>
      <c r="J103" s="18"/>
      <c r="K103" s="18"/>
      <c r="L103" s="1"/>
    </row>
    <row r="104" ht="14.624267578125">
      <c r="A104" s="1"/>
      <c r="B104" s="33" t="s">
        <v>715</v>
      </c>
      <c r="C104" s="22">
        <v>4493</v>
      </c>
      <c r="D104" s="22">
        <v>4657</v>
      </c>
      <c r="E104" s="92" t="s">
        <v>716</v>
      </c>
      <c r="F104" s="18"/>
      <c r="G104" s="18"/>
      <c r="H104" s="18"/>
      <c r="I104" s="18"/>
      <c r="J104" s="18"/>
      <c r="K104" s="18"/>
      <c r="L104" s="1"/>
    </row>
    <row r="105" ht="14.624267578125">
      <c r="A105" s="1"/>
      <c r="B105" s="33" t="s">
        <v>263</v>
      </c>
      <c r="C105" s="22">
        <v>975</v>
      </c>
      <c r="D105" s="22">
        <v>961</v>
      </c>
      <c r="E105" s="92" t="s">
        <v>716</v>
      </c>
      <c r="F105" s="18"/>
      <c r="G105" s="18"/>
      <c r="H105" s="18"/>
      <c r="I105" s="18"/>
      <c r="J105" s="18"/>
      <c r="K105" s="18"/>
      <c r="L105" s="1"/>
    </row>
    <row r="106" ht="14.624267578125">
      <c r="A106" s="1"/>
      <c r="B106" s="33" t="s">
        <v>265</v>
      </c>
      <c r="C106" s="22">
        <v>520</v>
      </c>
      <c r="D106" s="22">
        <v>536</v>
      </c>
      <c r="E106" s="92" t="s">
        <v>716</v>
      </c>
      <c r="F106" s="18"/>
      <c r="G106" s="18"/>
      <c r="H106" s="18"/>
      <c r="I106" s="18"/>
      <c r="J106" s="18"/>
      <c r="K106" s="18"/>
      <c r="L106" s="1"/>
    </row>
    <row r="107" ht="14.624267578125">
      <c r="A107" s="1"/>
      <c r="B107" s="33" t="s">
        <v>268</v>
      </c>
      <c r="C107" s="22">
        <v>1736</v>
      </c>
      <c r="D107" s="22">
        <v>1844</v>
      </c>
      <c r="E107" s="92" t="s">
        <v>716</v>
      </c>
      <c r="F107" s="18"/>
      <c r="G107" s="18"/>
      <c r="H107" s="18"/>
      <c r="I107" s="18"/>
      <c r="J107" s="18"/>
      <c r="K107" s="18"/>
      <c r="L107" s="1"/>
    </row>
    <row r="108" ht="14.624267578125">
      <c r="A108" s="1"/>
      <c r="B108" s="33" t="s">
        <v>269</v>
      </c>
      <c r="C108" s="22">
        <v>409</v>
      </c>
      <c r="D108" s="22">
        <v>431</v>
      </c>
      <c r="E108" s="92" t="s">
        <v>716</v>
      </c>
      <c r="F108" s="18"/>
      <c r="G108" s="18"/>
      <c r="H108" s="18"/>
      <c r="I108" s="18"/>
      <c r="J108" s="18"/>
      <c r="K108" s="18"/>
      <c r="L108" s="1"/>
    </row>
    <row r="109" ht="14.624267578125">
      <c r="A109" s="1"/>
      <c r="B109" s="33" t="s">
        <v>270</v>
      </c>
      <c r="C109" s="22">
        <v>336</v>
      </c>
      <c r="D109" s="22">
        <v>292</v>
      </c>
      <c r="E109" s="92" t="s">
        <v>716</v>
      </c>
      <c r="F109" s="18"/>
      <c r="G109" s="18"/>
      <c r="H109" s="18"/>
      <c r="I109" s="18"/>
      <c r="J109" s="18"/>
      <c r="K109" s="18"/>
      <c r="L109" s="1"/>
    </row>
    <row r="110" ht="14.624267578125">
      <c r="A110" s="1"/>
      <c r="B110" s="33" t="s">
        <v>116</v>
      </c>
      <c r="C110" s="22">
        <v>48</v>
      </c>
      <c r="D110" s="22">
        <v>48</v>
      </c>
      <c r="E110" s="92" t="s">
        <v>716</v>
      </c>
      <c r="F110" s="18"/>
      <c r="G110" s="18"/>
      <c r="H110" s="18"/>
      <c r="I110" s="18"/>
      <c r="J110" s="18"/>
      <c r="K110" s="18"/>
      <c r="L110" s="1"/>
    </row>
    <row r="111" ht="14.624267578125">
      <c r="A111" s="1"/>
      <c r="B111" s="33" t="s">
        <v>452</v>
      </c>
      <c r="C111" s="22">
        <v>458</v>
      </c>
      <c r="D111" s="22">
        <v>488</v>
      </c>
      <c r="E111" s="92" t="s">
        <v>716</v>
      </c>
      <c r="F111" s="18"/>
      <c r="G111" s="18"/>
      <c r="H111" s="18"/>
      <c r="I111" s="18"/>
      <c r="J111" s="18"/>
      <c r="K111" s="18"/>
      <c r="L111" s="1"/>
    </row>
    <row r="112" ht="14.624267578125">
      <c r="A112" s="1"/>
      <c r="B112" s="33" t="s">
        <v>186</v>
      </c>
      <c r="C112" s="22">
        <v>344</v>
      </c>
      <c r="D112" s="22">
        <v>348</v>
      </c>
      <c r="E112" s="92" t="s">
        <v>716</v>
      </c>
      <c r="F112" s="18"/>
      <c r="G112" s="18"/>
      <c r="H112" s="18"/>
      <c r="I112" s="18"/>
      <c r="J112" s="18"/>
      <c r="K112" s="18"/>
      <c r="L112" s="1"/>
    </row>
    <row r="113" ht="14.624267578125">
      <c r="A113" s="1"/>
      <c r="B113" s="33" t="s">
        <v>187</v>
      </c>
      <c r="C113" s="22">
        <v>333</v>
      </c>
      <c r="D113" s="22">
        <v>351</v>
      </c>
      <c r="E113" s="92" t="s">
        <v>716</v>
      </c>
      <c r="F113" s="18"/>
      <c r="G113" s="18"/>
      <c r="H113" s="18"/>
      <c r="I113" s="18"/>
      <c r="J113" s="18"/>
      <c r="K113" s="18"/>
      <c r="L113" s="1"/>
    </row>
    <row r="114" ht="14.624267578125">
      <c r="A114" s="1"/>
      <c r="B114" s="33" t="s">
        <v>188</v>
      </c>
      <c r="C114" s="22">
        <v>273</v>
      </c>
      <c r="D114" s="22">
        <v>205</v>
      </c>
      <c r="E114" s="92" t="s">
        <v>716</v>
      </c>
      <c r="F114" s="18"/>
      <c r="G114" s="18"/>
      <c r="H114" s="18"/>
      <c r="I114" s="18"/>
      <c r="J114" s="18"/>
      <c r="K114" s="18"/>
      <c r="L114" s="1"/>
    </row>
    <row r="115" ht="14.624267578125">
      <c r="A115" s="1"/>
      <c r="B115" s="33" t="s">
        <v>190</v>
      </c>
      <c r="C115" s="22">
        <v>117</v>
      </c>
      <c r="D115" s="22">
        <v>108</v>
      </c>
      <c r="E115" s="92" t="s">
        <v>716</v>
      </c>
      <c r="F115" s="18"/>
      <c r="G115" s="18"/>
      <c r="H115" s="18"/>
      <c r="I115" s="18"/>
      <c r="J115" s="18"/>
      <c r="K115" s="18"/>
      <c r="L115" s="1"/>
    </row>
    <row r="116" ht="14.624267578125">
      <c r="A116" s="1"/>
      <c r="B116" s="33" t="s">
        <v>191</v>
      </c>
      <c r="C116" s="22">
        <v>108</v>
      </c>
      <c r="D116" s="22">
        <v>107</v>
      </c>
      <c r="E116" s="92" t="s">
        <v>716</v>
      </c>
      <c r="F116" s="18"/>
      <c r="G116" s="18"/>
      <c r="H116" s="18"/>
      <c r="I116" s="18"/>
      <c r="J116" s="18"/>
      <c r="K116" s="18"/>
      <c r="L116" s="1"/>
    </row>
    <row r="117" ht="14.624267578125">
      <c r="A117" s="1"/>
      <c r="B117" s="33" t="s">
        <v>193</v>
      </c>
      <c r="C117" s="22">
        <v>95</v>
      </c>
      <c r="D117" s="22">
        <v>99</v>
      </c>
      <c r="E117" s="92" t="s">
        <v>716</v>
      </c>
      <c r="F117" s="18"/>
      <c r="G117" s="18"/>
      <c r="H117" s="18"/>
      <c r="I117" s="18"/>
      <c r="J117" s="18"/>
      <c r="K117" s="18"/>
      <c r="L117" s="1"/>
    </row>
    <row r="118" ht="14.624267578125">
      <c r="A118" s="1"/>
      <c r="B118" s="33" t="s">
        <v>194</v>
      </c>
      <c r="C118" s="22">
        <v>-1</v>
      </c>
      <c r="D118" s="22">
        <v>-18</v>
      </c>
      <c r="E118" s="92" t="s">
        <v>716</v>
      </c>
      <c r="F118" s="18"/>
      <c r="G118" s="18"/>
      <c r="H118" s="18"/>
      <c r="I118" s="18"/>
      <c r="J118" s="18"/>
      <c r="K118" s="18"/>
      <c r="L118" s="1"/>
    </row>
    <row r="119" ht="14.624267578125">
      <c r="A119" s="1"/>
      <c r="B119" s="33" t="s">
        <v>196</v>
      </c>
      <c r="C119" s="22">
        <v>123</v>
      </c>
      <c r="D119" s="22">
        <v>200</v>
      </c>
      <c r="E119" s="92" t="s">
        <v>716</v>
      </c>
      <c r="F119" s="18"/>
      <c r="G119" s="18"/>
      <c r="H119" s="18"/>
      <c r="I119" s="18"/>
      <c r="J119" s="18"/>
      <c r="K119" s="18"/>
      <c r="L119" s="1"/>
    </row>
    <row r="120" ht="14.624267578125">
      <c r="A120" s="1"/>
      <c r="B120" s="33" t="s">
        <v>231</v>
      </c>
      <c r="C120" s="22">
        <v>1604</v>
      </c>
      <c r="D120" s="22">
        <v>1678</v>
      </c>
      <c r="E120" s="92" t="s">
        <v>716</v>
      </c>
      <c r="F120" s="18"/>
      <c r="G120" s="18"/>
      <c r="H120" s="18"/>
      <c r="I120" s="18"/>
      <c r="J120" s="18"/>
      <c r="K120" s="18"/>
      <c r="L120" s="1"/>
    </row>
    <row r="121" ht="14.624267578125">
      <c r="A121" s="1"/>
      <c r="B121" s="33" t="s">
        <v>294</v>
      </c>
      <c r="C121" s="22">
        <v>364</v>
      </c>
      <c r="D121" s="22">
        <v>373</v>
      </c>
      <c r="E121" s="92" t="s">
        <v>716</v>
      </c>
      <c r="F121" s="18"/>
      <c r="G121" s="18"/>
      <c r="H121" s="18"/>
      <c r="I121" s="18"/>
      <c r="J121" s="18"/>
      <c r="K121" s="18"/>
      <c r="L121" s="1"/>
    </row>
    <row r="122" ht="14.624267578125">
      <c r="A122" s="1"/>
      <c r="B122" s="33" t="s">
        <v>295</v>
      </c>
      <c r="C122" s="22">
        <v>230</v>
      </c>
      <c r="D122" s="22">
        <v>231</v>
      </c>
      <c r="E122" s="92" t="s">
        <v>716</v>
      </c>
      <c r="F122" s="18"/>
      <c r="G122" s="18"/>
      <c r="H122" s="18"/>
      <c r="I122" s="18"/>
      <c r="J122" s="18"/>
      <c r="K122" s="18"/>
      <c r="L122" s="1"/>
    </row>
    <row r="123" ht="14.624267578125">
      <c r="A123" s="1"/>
      <c r="B123" s="33" t="s">
        <v>296</v>
      </c>
      <c r="C123" s="22">
        <v>168</v>
      </c>
      <c r="D123" s="22">
        <v>181</v>
      </c>
      <c r="E123" s="92" t="s">
        <v>716</v>
      </c>
      <c r="F123" s="18"/>
      <c r="G123" s="18"/>
      <c r="H123" s="18"/>
      <c r="I123" s="18"/>
      <c r="J123" s="18"/>
      <c r="K123" s="18"/>
      <c r="L123" s="1"/>
    </row>
    <row r="124" ht="14.624267578125">
      <c r="A124" s="1"/>
      <c r="B124" s="33" t="s">
        <v>297</v>
      </c>
      <c r="C124" s="22">
        <v>82</v>
      </c>
      <c r="D124" s="22">
        <v>89</v>
      </c>
      <c r="E124" s="92" t="s">
        <v>716</v>
      </c>
      <c r="F124" s="18"/>
      <c r="G124" s="18"/>
      <c r="H124" s="18"/>
      <c r="I124" s="18"/>
      <c r="J124" s="18"/>
      <c r="K124" s="18"/>
      <c r="L124" s="1"/>
    </row>
    <row r="125" ht="14.624267578125">
      <c r="A125" s="1"/>
      <c r="B125" s="33" t="s">
        <v>298</v>
      </c>
      <c r="C125" s="22">
        <v>75</v>
      </c>
      <c r="D125" s="22">
        <v>82</v>
      </c>
      <c r="E125" s="92" t="s">
        <v>716</v>
      </c>
      <c r="F125" s="18"/>
      <c r="G125" s="18"/>
      <c r="H125" s="18"/>
      <c r="I125" s="18"/>
      <c r="J125" s="18"/>
      <c r="K125" s="18"/>
      <c r="L125" s="1"/>
    </row>
    <row r="126" ht="14.624267578125">
      <c r="A126" s="1"/>
      <c r="B126" s="33" t="s">
        <v>232</v>
      </c>
      <c r="C126" s="22">
        <v>75</v>
      </c>
      <c r="D126" s="22">
        <v>73</v>
      </c>
      <c r="E126" s="92" t="s">
        <v>716</v>
      </c>
      <c r="F126" s="18"/>
      <c r="G126" s="18"/>
      <c r="H126" s="18"/>
      <c r="I126" s="18"/>
      <c r="J126" s="18"/>
      <c r="K126" s="18"/>
      <c r="L126" s="1"/>
    </row>
    <row r="127" ht="14.624267578125">
      <c r="A127" s="1"/>
      <c r="B127" s="33" t="s">
        <v>299</v>
      </c>
      <c r="C127" s="22">
        <v>69</v>
      </c>
      <c r="D127" s="22">
        <v>55</v>
      </c>
      <c r="E127" s="92" t="s">
        <v>716</v>
      </c>
      <c r="F127" s="18"/>
      <c r="G127" s="18"/>
      <c r="H127" s="18"/>
      <c r="I127" s="18"/>
      <c r="J127" s="18"/>
      <c r="K127" s="18"/>
      <c r="L127" s="1"/>
    </row>
    <row r="128" ht="14.624267578125">
      <c r="A128" s="1"/>
      <c r="B128" s="33" t="s">
        <v>300</v>
      </c>
      <c r="C128" s="22">
        <v>239</v>
      </c>
      <c r="D128" s="22">
        <v>224</v>
      </c>
      <c r="E128" s="92" t="s">
        <v>716</v>
      </c>
      <c r="F128" s="18"/>
      <c r="G128" s="18"/>
      <c r="H128" s="18"/>
      <c r="I128" s="18"/>
      <c r="J128" s="18"/>
      <c r="K128" s="18"/>
      <c r="L128" s="1"/>
    </row>
    <row r="129" ht="14.624267578125">
      <c r="A129" s="1"/>
      <c r="B129" s="33" t="s">
        <v>307</v>
      </c>
      <c r="C129" s="22">
        <v>274</v>
      </c>
      <c r="D129" s="22">
        <v>273</v>
      </c>
      <c r="E129" s="92" t="s">
        <v>716</v>
      </c>
      <c r="F129" s="18"/>
      <c r="G129" s="18"/>
      <c r="H129" s="18"/>
      <c r="I129" s="18"/>
      <c r="J129" s="18"/>
      <c r="K129" s="18"/>
      <c r="L129" s="1"/>
    </row>
    <row r="130" ht="14.624267578125">
      <c r="A130" s="1"/>
      <c r="B130" s="33" t="s">
        <v>314</v>
      </c>
      <c r="C130" s="22">
        <v>104</v>
      </c>
      <c r="D130" s="22">
        <v>60</v>
      </c>
      <c r="E130" s="92" t="s">
        <v>716</v>
      </c>
      <c r="F130" s="18"/>
      <c r="G130" s="18"/>
      <c r="H130" s="18"/>
      <c r="I130" s="18"/>
      <c r="J130" s="18"/>
      <c r="K130" s="18"/>
      <c r="L130" s="1"/>
    </row>
    <row r="131" ht="14.624267578125">
      <c r="A131" s="1"/>
      <c r="B131" s="33" t="s">
        <v>717</v>
      </c>
      <c r="C131" s="22">
        <v>454</v>
      </c>
      <c r="D131" s="22">
        <v>396</v>
      </c>
      <c r="E131" s="92" t="s">
        <v>716</v>
      </c>
      <c r="F131" s="18"/>
      <c r="G131" s="18"/>
      <c r="H131" s="18"/>
      <c r="I131" s="18"/>
      <c r="J131" s="18"/>
      <c r="K131" s="18"/>
      <c r="L131" s="1"/>
    </row>
    <row r="132" ht="14.624267578125">
      <c r="A132" s="1"/>
      <c r="B132" s="33" t="s">
        <v>718</v>
      </c>
      <c r="C132" s="22">
        <v>-38</v>
      </c>
      <c r="D132" s="22">
        <v>-28</v>
      </c>
      <c r="E132" s="92" t="s">
        <v>719</v>
      </c>
      <c r="F132" s="18"/>
      <c r="G132" s="18"/>
      <c r="H132" s="18"/>
      <c r="I132" s="18"/>
      <c r="J132" s="18"/>
      <c r="K132" s="18"/>
      <c r="L132" s="1"/>
    </row>
    <row r="133" ht="14.624267578125">
      <c r="A133" s="1"/>
      <c r="B133" s="33" t="s">
        <v>720</v>
      </c>
      <c r="C133" s="22">
        <v>-29</v>
      </c>
      <c r="D133" s="22">
        <v>-21</v>
      </c>
      <c r="E133" s="92" t="s">
        <v>719</v>
      </c>
      <c r="F133" s="18"/>
      <c r="G133" s="18"/>
      <c r="H133" s="18"/>
      <c r="I133" s="18"/>
      <c r="J133" s="18"/>
      <c r="K133" s="18"/>
      <c r="L133" s="1"/>
    </row>
    <row r="134" ht="14.624267578125">
      <c r="A134" s="1"/>
      <c r="B134" s="33" t="s">
        <v>721</v>
      </c>
      <c r="C134" s="102">
        <v>0</v>
      </c>
      <c r="D134" s="102">
        <v>0</v>
      </c>
      <c r="E134" s="92" t="s">
        <v>719</v>
      </c>
      <c r="F134" s="18"/>
      <c r="G134" s="18"/>
      <c r="H134" s="18"/>
      <c r="I134" s="18"/>
      <c r="J134" s="18"/>
      <c r="K134" s="18"/>
      <c r="L134" s="1"/>
    </row>
    <row r="135" ht="14.624267578125">
      <c r="A135" s="1"/>
      <c r="B135" s="33" t="s">
        <v>722</v>
      </c>
      <c r="C135" s="102">
        <v>0</v>
      </c>
      <c r="D135" s="102">
        <v>0</v>
      </c>
      <c r="E135" s="92" t="s">
        <v>719</v>
      </c>
      <c r="F135" s="18"/>
      <c r="G135" s="18"/>
      <c r="H135" s="18"/>
      <c r="I135" s="18"/>
      <c r="J135" s="18"/>
      <c r="K135" s="18"/>
      <c r="L135" s="1"/>
    </row>
    <row r="136" ht="14.624267578125">
      <c r="A136" s="1"/>
      <c r="B136" s="33" t="s">
        <v>723</v>
      </c>
      <c r="C136" s="102">
        <v>0</v>
      </c>
      <c r="D136" s="22">
        <v>-18</v>
      </c>
      <c r="E136" s="92" t="s">
        <v>719</v>
      </c>
      <c r="F136" s="18"/>
      <c r="G136" s="18"/>
      <c r="H136" s="18"/>
      <c r="I136" s="18"/>
      <c r="J136" s="18"/>
      <c r="K136" s="18"/>
      <c r="L136" s="1"/>
    </row>
    <row r="137" ht="14.624267578125">
      <c r="A137" s="1"/>
      <c r="B137" s="33" t="s">
        <v>724</v>
      </c>
      <c r="C137" s="102">
        <v>0</v>
      </c>
      <c r="D137" s="22">
        <v>-13</v>
      </c>
      <c r="E137" s="92" t="s">
        <v>719</v>
      </c>
      <c r="F137" s="18"/>
      <c r="G137" s="18"/>
      <c r="H137" s="18"/>
      <c r="I137" s="18"/>
      <c r="J137" s="18"/>
      <c r="K137" s="18"/>
      <c r="L137" s="1"/>
    </row>
    <row r="138" ht="14.624267578125">
      <c r="A138" s="1"/>
      <c r="B138" s="33" t="s">
        <v>725</v>
      </c>
      <c r="C138" s="80">
        <v>90</v>
      </c>
      <c r="D138" s="80">
        <v>91</v>
      </c>
      <c r="E138" s="92" t="s">
        <v>726</v>
      </c>
      <c r="F138" s="18"/>
      <c r="G138" s="18"/>
      <c r="H138" s="18"/>
      <c r="I138" s="18"/>
      <c r="J138" s="18"/>
      <c r="K138" s="18"/>
      <c r="L138" s="1"/>
    </row>
    <row r="139" ht="14.624267578125">
      <c r="A139" s="1"/>
      <c r="B139" s="33" t="s">
        <v>727</v>
      </c>
      <c r="C139" s="22">
        <v>1307.457</v>
      </c>
      <c r="D139" s="22">
        <v>1292.292</v>
      </c>
      <c r="E139" s="92" t="s">
        <v>728</v>
      </c>
      <c r="F139" s="18"/>
      <c r="G139" s="18"/>
      <c r="H139" s="18"/>
      <c r="I139" s="18"/>
      <c r="J139" s="18"/>
      <c r="K139" s="18"/>
      <c r="L139" s="1"/>
    </row>
    <row r="140" ht="14.624267578125">
      <c r="A140" s="1"/>
      <c r="B140" s="33" t="s">
        <v>729</v>
      </c>
      <c r="C140" s="22">
        <v>1324.339</v>
      </c>
      <c r="D140" s="22">
        <v>1305.005</v>
      </c>
      <c r="E140" s="92" t="s">
        <v>728</v>
      </c>
      <c r="F140" s="18"/>
      <c r="G140" s="18"/>
      <c r="H140" s="18"/>
      <c r="I140" s="18"/>
      <c r="J140" s="18"/>
      <c r="K140" s="18"/>
      <c r="L140" s="1"/>
    </row>
    <row r="141" ht="14.624267578125">
      <c r="A141" s="1"/>
      <c r="B141" s="33" t="s">
        <v>730</v>
      </c>
      <c r="C141" s="22">
        <v>1309.539</v>
      </c>
      <c r="D141" s="22">
        <v>1289.435</v>
      </c>
      <c r="E141" s="92" t="s">
        <v>728</v>
      </c>
      <c r="F141" s="18"/>
      <c r="G141" s="18"/>
      <c r="H141" s="18"/>
      <c r="I141" s="18"/>
      <c r="J141" s="18"/>
      <c r="K141" s="18"/>
      <c r="L141" s="1"/>
    </row>
    <row r="142" ht="14.624267578125">
      <c r="A142" s="1"/>
      <c r="B142" s="33" t="s">
        <v>731</v>
      </c>
      <c r="C142" s="9">
        <v>0.87</v>
      </c>
      <c r="D142" s="9">
        <v>0.9</v>
      </c>
      <c r="E142" s="92" t="s">
        <v>728</v>
      </c>
      <c r="F142" s="18"/>
      <c r="G142" s="18"/>
      <c r="H142" s="18"/>
      <c r="I142" s="18"/>
      <c r="J142" s="18"/>
      <c r="K142" s="18"/>
      <c r="L142" s="1"/>
    </row>
    <row r="143" ht="14.624267578125">
      <c r="A143" s="1"/>
      <c r="B143" s="33" t="s">
        <v>732</v>
      </c>
      <c r="C143" s="22">
        <v>124061</v>
      </c>
      <c r="D143" s="22">
        <v>121829</v>
      </c>
      <c r="E143" s="92" t="s">
        <v>733</v>
      </c>
      <c r="F143" s="18"/>
      <c r="G143" s="18"/>
      <c r="H143" s="18"/>
      <c r="I143" s="18"/>
      <c r="J143" s="18"/>
      <c r="K143" s="18"/>
      <c r="L143" s="1"/>
    </row>
    <row r="144" ht="14.624267578125">
      <c r="A144" s="1"/>
      <c r="B144" s="33" t="s">
        <v>734</v>
      </c>
      <c r="C144" s="24">
        <v>0.0316</v>
      </c>
      <c r="D144" s="24">
        <v>0.0316</v>
      </c>
      <c r="E144" s="92" t="s">
        <v>735</v>
      </c>
      <c r="F144" s="18"/>
      <c r="G144" s="18"/>
      <c r="H144" s="18"/>
      <c r="I144" s="18"/>
      <c r="J144" s="18"/>
      <c r="K144" s="18"/>
      <c r="L144" s="1"/>
    </row>
    <row r="145" ht="14.624267578125">
      <c r="A145" s="1"/>
      <c r="B145" s="33" t="s">
        <v>736</v>
      </c>
      <c r="C145" s="22">
        <v>976</v>
      </c>
      <c r="D145" s="22">
        <v>962</v>
      </c>
      <c r="E145" s="92" t="s">
        <v>735</v>
      </c>
      <c r="F145" s="18"/>
      <c r="G145" s="18"/>
      <c r="H145" s="18"/>
      <c r="I145" s="18"/>
      <c r="J145" s="18"/>
      <c r="K145" s="18"/>
      <c r="L145" s="1"/>
    </row>
    <row r="146" ht="14.624267578125">
      <c r="A146" s="1"/>
      <c r="B146" s="33" t="s">
        <v>737</v>
      </c>
      <c r="C146" s="22">
        <v>155214</v>
      </c>
      <c r="D146" s="22">
        <v>158491</v>
      </c>
      <c r="E146" s="92" t="s">
        <v>733</v>
      </c>
      <c r="F146" s="18"/>
      <c r="G146" s="18"/>
      <c r="H146" s="18"/>
      <c r="I146" s="18"/>
      <c r="J146" s="18"/>
      <c r="K146" s="18"/>
      <c r="L146" s="1"/>
    </row>
    <row r="147" ht="14.624267578125">
      <c r="A147" s="1"/>
      <c r="B147" s="33" t="s">
        <v>738</v>
      </c>
      <c r="C147" s="24">
        <v>0.057</v>
      </c>
      <c r="D147" s="24">
        <v>0.0572</v>
      </c>
      <c r="E147" s="92" t="s">
        <v>735</v>
      </c>
      <c r="F147" s="18"/>
      <c r="G147" s="18"/>
      <c r="H147" s="18"/>
      <c r="I147" s="18"/>
      <c r="J147" s="18"/>
      <c r="K147" s="18"/>
      <c r="L147" s="1"/>
    </row>
    <row r="148" ht="14.624267578125">
      <c r="A148" s="1"/>
      <c r="B148" s="33" t="s">
        <v>739</v>
      </c>
      <c r="C148" s="22">
        <v>2184</v>
      </c>
      <c r="D148" s="22">
        <v>2262</v>
      </c>
      <c r="E148" s="92" t="s">
        <v>735</v>
      </c>
      <c r="F148" s="18"/>
      <c r="G148" s="18"/>
      <c r="H148" s="18"/>
      <c r="I148" s="18"/>
      <c r="J148" s="18"/>
      <c r="K148" s="18"/>
      <c r="L148" s="1"/>
    </row>
    <row r="149" ht="14.624267578125">
      <c r="A149" s="1"/>
      <c r="B149" s="33" t="s">
        <v>740</v>
      </c>
      <c r="C149" s="22">
        <v>19832</v>
      </c>
      <c r="D149" s="22">
        <v>19687</v>
      </c>
      <c r="E149" s="92" t="s">
        <v>733</v>
      </c>
      <c r="F149" s="18"/>
      <c r="G149" s="18"/>
      <c r="H149" s="18"/>
      <c r="I149" s="18"/>
      <c r="J149" s="18"/>
      <c r="K149" s="18"/>
      <c r="L149" s="1"/>
    </row>
    <row r="150" ht="14.624267578125">
      <c r="A150" s="1"/>
      <c r="B150" s="33" t="s">
        <v>741</v>
      </c>
      <c r="C150" s="24">
        <v>0.0612</v>
      </c>
      <c r="D150" s="24">
        <v>0.0622</v>
      </c>
      <c r="E150" s="92" t="s">
        <v>735</v>
      </c>
      <c r="F150" s="18"/>
      <c r="G150" s="18"/>
      <c r="H150" s="18"/>
      <c r="I150" s="18"/>
      <c r="J150" s="18"/>
      <c r="K150" s="18"/>
      <c r="L150" s="1"/>
    </row>
    <row r="151" ht="14.624267578125">
      <c r="A151" s="1"/>
      <c r="B151" s="33" t="s">
        <v>742</v>
      </c>
      <c r="C151" s="22">
        <v>302</v>
      </c>
      <c r="D151" s="22">
        <v>308</v>
      </c>
      <c r="E151" s="92" t="s">
        <v>735</v>
      </c>
      <c r="F151" s="18"/>
      <c r="G151" s="18"/>
      <c r="H151" s="18"/>
      <c r="I151" s="18"/>
      <c r="J151" s="18"/>
      <c r="K151" s="18"/>
      <c r="L151" s="1"/>
    </row>
    <row r="152" ht="14.624267578125">
      <c r="A152" s="1"/>
      <c r="B152" s="33" t="s">
        <v>743</v>
      </c>
      <c r="C152" s="22">
        <v>8734</v>
      </c>
      <c r="D152" s="22">
        <v>8613</v>
      </c>
      <c r="E152" s="92" t="s">
        <v>733</v>
      </c>
      <c r="F152" s="18"/>
      <c r="G152" s="18"/>
      <c r="H152" s="18"/>
      <c r="I152" s="18"/>
      <c r="J152" s="18"/>
      <c r="K152" s="18"/>
      <c r="L152" s="1"/>
    </row>
    <row r="153" ht="14.624267578125">
      <c r="A153" s="1"/>
      <c r="B153" s="33" t="s">
        <v>744</v>
      </c>
      <c r="C153" s="24">
        <v>0.0684</v>
      </c>
      <c r="D153" s="24">
        <v>0.06849999999999999</v>
      </c>
      <c r="E153" s="92" t="s">
        <v>735</v>
      </c>
      <c r="F153" s="18"/>
      <c r="G153" s="18"/>
      <c r="H153" s="18"/>
      <c r="I153" s="18"/>
      <c r="J153" s="18"/>
      <c r="K153" s="18"/>
      <c r="L153" s="1"/>
    </row>
    <row r="154" ht="14.624267578125">
      <c r="A154" s="1"/>
      <c r="B154" s="33" t="s">
        <v>745</v>
      </c>
      <c r="C154" s="22">
        <v>145</v>
      </c>
      <c r="D154" s="22">
        <v>144</v>
      </c>
      <c r="E154" s="92" t="s">
        <v>735</v>
      </c>
      <c r="F154" s="18"/>
      <c r="G154" s="18"/>
      <c r="H154" s="18"/>
      <c r="I154" s="18"/>
      <c r="J154" s="18"/>
      <c r="K154" s="18"/>
      <c r="L154" s="1"/>
    </row>
    <row r="155" ht="14.624267578125">
      <c r="A155" s="1"/>
      <c r="B155" s="33" t="s">
        <v>746</v>
      </c>
      <c r="C155" s="22">
        <v>55658</v>
      </c>
      <c r="D155" s="22">
        <v>56789</v>
      </c>
      <c r="E155" s="92" t="s">
        <v>733</v>
      </c>
      <c r="F155" s="18"/>
      <c r="G155" s="18"/>
      <c r="H155" s="18"/>
      <c r="I155" s="18"/>
      <c r="J155" s="18"/>
      <c r="K155" s="18"/>
      <c r="L155" s="1"/>
    </row>
    <row r="156" ht="14.624267578125">
      <c r="A156" s="1"/>
      <c r="B156" s="33" t="s">
        <v>747</v>
      </c>
      <c r="C156" s="24">
        <v>0.0404</v>
      </c>
      <c r="D156" s="24">
        <v>0.0408</v>
      </c>
      <c r="E156" s="92" t="s">
        <v>735</v>
      </c>
      <c r="F156" s="18"/>
      <c r="G156" s="18"/>
      <c r="H156" s="18"/>
      <c r="I156" s="18"/>
      <c r="J156" s="18"/>
      <c r="K156" s="18"/>
      <c r="L156" s="1"/>
    </row>
    <row r="157" ht="14.624267578125">
      <c r="A157" s="1"/>
      <c r="B157" s="33" t="s">
        <v>748</v>
      </c>
      <c r="C157" s="22">
        <v>562</v>
      </c>
      <c r="D157" s="22">
        <v>579</v>
      </c>
      <c r="E157" s="92" t="s">
        <v>735</v>
      </c>
      <c r="F157" s="18"/>
      <c r="G157" s="18"/>
      <c r="H157" s="18"/>
      <c r="I157" s="18"/>
      <c r="J157" s="18"/>
      <c r="K157" s="18"/>
      <c r="L157" s="1"/>
    </row>
    <row r="158" ht="14.624267578125">
      <c r="A158" s="1"/>
      <c r="B158" s="33" t="s">
        <v>749</v>
      </c>
      <c r="C158" s="22">
        <v>9569</v>
      </c>
      <c r="D158" s="22">
        <v>9586</v>
      </c>
      <c r="E158" s="92" t="s">
        <v>733</v>
      </c>
      <c r="F158" s="18"/>
      <c r="G158" s="18"/>
      <c r="H158" s="18"/>
      <c r="I158" s="18"/>
      <c r="J158" s="18"/>
      <c r="K158" s="18"/>
      <c r="L158" s="1"/>
    </row>
    <row r="159" ht="14.624267578125">
      <c r="A159" s="1"/>
      <c r="B159" s="33" t="s">
        <v>750</v>
      </c>
      <c r="C159" s="24">
        <v>0.0748</v>
      </c>
      <c r="D159" s="24">
        <v>0.0747</v>
      </c>
      <c r="E159" s="92" t="s">
        <v>735</v>
      </c>
      <c r="F159" s="18"/>
      <c r="G159" s="18"/>
      <c r="H159" s="18"/>
      <c r="I159" s="18"/>
      <c r="J159" s="18"/>
      <c r="K159" s="18"/>
      <c r="L159" s="1"/>
    </row>
    <row r="160" ht="14.624267578125">
      <c r="A160" s="1"/>
      <c r="B160" s="33" t="s">
        <v>751</v>
      </c>
      <c r="C160" s="22">
        <v>177</v>
      </c>
      <c r="D160" s="22">
        <v>178</v>
      </c>
      <c r="E160" s="92" t="s">
        <v>735</v>
      </c>
      <c r="F160" s="18"/>
      <c r="G160" s="18"/>
      <c r="H160" s="18"/>
      <c r="I160" s="18"/>
      <c r="J160" s="18"/>
      <c r="K160" s="18"/>
      <c r="L160" s="1"/>
    </row>
    <row r="161" ht="14.624267578125">
      <c r="A161" s="1"/>
      <c r="B161" s="33" t="s">
        <v>752</v>
      </c>
      <c r="C161" s="22">
        <v>23248</v>
      </c>
      <c r="D161" s="22">
        <v>24158</v>
      </c>
      <c r="E161" s="92" t="s">
        <v>733</v>
      </c>
      <c r="F161" s="18"/>
      <c r="G161" s="18"/>
      <c r="H161" s="18"/>
      <c r="I161" s="18"/>
      <c r="J161" s="18"/>
      <c r="K161" s="18"/>
      <c r="L161" s="1"/>
    </row>
    <row r="162" ht="14.624267578125">
      <c r="A162" s="1"/>
      <c r="B162" s="33" t="s">
        <v>753</v>
      </c>
      <c r="C162" s="24">
        <v>0.0719</v>
      </c>
      <c r="D162" s="24">
        <v>0.0732</v>
      </c>
      <c r="E162" s="92" t="s">
        <v>735</v>
      </c>
      <c r="F162" s="18"/>
      <c r="G162" s="18"/>
      <c r="H162" s="18"/>
      <c r="I162" s="18"/>
      <c r="J162" s="18"/>
      <c r="K162" s="18"/>
      <c r="L162" s="1"/>
    </row>
    <row r="163" ht="14.624267578125">
      <c r="A163" s="1"/>
      <c r="B163" s="33" t="s">
        <v>754</v>
      </c>
      <c r="C163" s="22">
        <v>412</v>
      </c>
      <c r="D163" s="22">
        <v>441</v>
      </c>
      <c r="E163" s="92" t="s">
        <v>735</v>
      </c>
      <c r="F163" s="18"/>
      <c r="G163" s="18"/>
      <c r="H163" s="18"/>
      <c r="I163" s="18"/>
      <c r="J163" s="18"/>
      <c r="K163" s="18"/>
      <c r="L163" s="1"/>
    </row>
    <row r="164" ht="14.624267578125">
      <c r="A164" s="1"/>
      <c r="B164" s="33" t="s">
        <v>755</v>
      </c>
      <c r="C164" s="22">
        <v>29291</v>
      </c>
      <c r="D164" s="22">
        <v>30387</v>
      </c>
      <c r="E164" s="92" t="s">
        <v>733</v>
      </c>
      <c r="F164" s="18"/>
      <c r="G164" s="18"/>
      <c r="H164" s="18"/>
      <c r="I164" s="18"/>
      <c r="J164" s="18"/>
      <c r="K164" s="18"/>
      <c r="L164" s="1"/>
    </row>
    <row r="165" ht="14.624267578125">
      <c r="A165" s="1"/>
      <c r="B165" s="33" t="s">
        <v>756</v>
      </c>
      <c r="C165" s="24">
        <v>0.0833</v>
      </c>
      <c r="D165" s="24">
        <v>0.0837</v>
      </c>
      <c r="E165" s="92" t="s">
        <v>735</v>
      </c>
      <c r="F165" s="18"/>
      <c r="G165" s="18"/>
      <c r="H165" s="18"/>
      <c r="I165" s="18"/>
      <c r="J165" s="18"/>
      <c r="K165" s="18"/>
      <c r="L165" s="1"/>
    </row>
    <row r="166" ht="14.624267578125">
      <c r="A166" s="1"/>
      <c r="B166" s="33" t="s">
        <v>757</v>
      </c>
      <c r="C166" s="22">
        <v>602</v>
      </c>
      <c r="D166" s="22">
        <v>634</v>
      </c>
      <c r="E166" s="92" t="s">
        <v>735</v>
      </c>
      <c r="F166" s="18"/>
      <c r="G166" s="18"/>
      <c r="H166" s="18"/>
      <c r="I166" s="18"/>
      <c r="J166" s="18"/>
      <c r="K166" s="18"/>
      <c r="L166" s="1"/>
    </row>
    <row r="167" ht="14.624267578125">
      <c r="A167" s="1"/>
      <c r="B167" s="33" t="s">
        <v>758</v>
      </c>
      <c r="C167" s="22">
        <v>4849</v>
      </c>
      <c r="D167" s="22">
        <v>4890</v>
      </c>
      <c r="E167" s="92" t="s">
        <v>733</v>
      </c>
      <c r="F167" s="18"/>
      <c r="G167" s="18"/>
      <c r="H167" s="18"/>
      <c r="I167" s="18"/>
      <c r="J167" s="18"/>
      <c r="K167" s="18"/>
      <c r="L167" s="1"/>
    </row>
    <row r="168" ht="14.624267578125">
      <c r="A168" s="1"/>
      <c r="B168" s="33" t="s">
        <v>759</v>
      </c>
      <c r="C168" s="24">
        <v>0.116</v>
      </c>
      <c r="D168" s="24">
        <v>0.1135</v>
      </c>
      <c r="E168" s="92" t="s">
        <v>735</v>
      </c>
      <c r="F168" s="18"/>
      <c r="G168" s="18"/>
      <c r="H168" s="18"/>
      <c r="I168" s="18"/>
      <c r="J168" s="18"/>
      <c r="K168" s="18"/>
      <c r="L168" s="1"/>
    </row>
    <row r="169" ht="14.624267578125">
      <c r="A169" s="1"/>
      <c r="B169" s="33" t="s">
        <v>760</v>
      </c>
      <c r="C169" s="22">
        <v>138</v>
      </c>
      <c r="D169" s="22">
        <v>139</v>
      </c>
      <c r="E169" s="92" t="s">
        <v>735</v>
      </c>
      <c r="F169" s="18"/>
      <c r="G169" s="18"/>
      <c r="H169" s="18"/>
      <c r="I169" s="18"/>
      <c r="J169" s="18"/>
      <c r="K169" s="18"/>
      <c r="L169" s="1"/>
    </row>
    <row r="170" ht="14.624267578125">
      <c r="A170" s="1"/>
      <c r="B170" s="33" t="s">
        <v>761</v>
      </c>
      <c r="C170" s="22">
        <v>1133</v>
      </c>
      <c r="D170" s="22">
        <v>1240</v>
      </c>
      <c r="E170" s="92" t="s">
        <v>733</v>
      </c>
      <c r="F170" s="18"/>
      <c r="G170" s="18"/>
      <c r="H170" s="18"/>
      <c r="I170" s="18"/>
      <c r="J170" s="18"/>
      <c r="K170" s="18"/>
      <c r="L170" s="1"/>
    </row>
    <row r="171" ht="14.624267578125">
      <c r="A171" s="1"/>
      <c r="B171" s="33" t="s">
        <v>762</v>
      </c>
      <c r="C171" s="24">
        <v>0.0593</v>
      </c>
      <c r="D171" s="24">
        <v>0.061500000000000006</v>
      </c>
      <c r="E171" s="92" t="s">
        <v>735</v>
      </c>
      <c r="F171" s="18"/>
      <c r="G171" s="18"/>
      <c r="H171" s="18"/>
      <c r="I171" s="18"/>
      <c r="J171" s="18"/>
      <c r="K171" s="18"/>
      <c r="L171" s="1"/>
    </row>
    <row r="172" ht="14.624267578125">
      <c r="A172" s="1"/>
      <c r="B172" s="33" t="s">
        <v>763</v>
      </c>
      <c r="C172" s="22">
        <v>17</v>
      </c>
      <c r="D172" s="22">
        <v>19</v>
      </c>
      <c r="E172" s="92" t="s">
        <v>735</v>
      </c>
      <c r="F172" s="18"/>
      <c r="G172" s="18"/>
      <c r="H172" s="18"/>
      <c r="I172" s="18"/>
      <c r="J172" s="18"/>
      <c r="K172" s="18"/>
      <c r="L172" s="1"/>
    </row>
    <row r="173" ht="14.624267578125">
      <c r="A173" s="1"/>
      <c r="B173" s="33" t="s">
        <v>764</v>
      </c>
      <c r="C173" s="22">
        <v>5628</v>
      </c>
      <c r="D173" s="22">
        <v>5896</v>
      </c>
      <c r="E173" s="92" t="s">
        <v>733</v>
      </c>
      <c r="F173" s="18"/>
      <c r="G173" s="18"/>
      <c r="H173" s="18"/>
      <c r="I173" s="18"/>
      <c r="J173" s="18"/>
      <c r="K173" s="18"/>
      <c r="L173" s="1"/>
    </row>
    <row r="174" ht="14.624267578125">
      <c r="A174" s="1"/>
      <c r="B174" s="33" t="s">
        <v>765</v>
      </c>
      <c r="C174" s="24">
        <v>0.0572</v>
      </c>
      <c r="D174" s="24">
        <v>0.059800000000000006</v>
      </c>
      <c r="E174" s="92" t="s">
        <v>735</v>
      </c>
      <c r="F174" s="18"/>
      <c r="G174" s="18"/>
      <c r="H174" s="18"/>
      <c r="I174" s="18"/>
      <c r="J174" s="18"/>
      <c r="K174" s="18"/>
      <c r="L174" s="1"/>
    </row>
    <row r="175" ht="14.624267578125">
      <c r="A175" s="1"/>
      <c r="B175" s="33" t="s">
        <v>766</v>
      </c>
      <c r="C175" s="22">
        <v>80</v>
      </c>
      <c r="D175" s="22">
        <v>88</v>
      </c>
      <c r="E175" s="92" t="s">
        <v>735</v>
      </c>
      <c r="F175" s="18"/>
      <c r="G175" s="18"/>
      <c r="H175" s="18"/>
      <c r="I175" s="18"/>
      <c r="J175" s="18"/>
      <c r="K175" s="18"/>
      <c r="L175" s="1"/>
    </row>
    <row r="176" ht="14.624267578125">
      <c r="A176" s="1"/>
      <c r="B176" s="33" t="s">
        <v>767</v>
      </c>
      <c r="C176" s="22">
        <v>38997</v>
      </c>
      <c r="D176" s="22">
        <v>39417</v>
      </c>
      <c r="E176" s="92" t="s">
        <v>733</v>
      </c>
      <c r="F176" s="18"/>
      <c r="G176" s="18"/>
      <c r="H176" s="18"/>
      <c r="I176" s="18"/>
      <c r="J176" s="18"/>
      <c r="K176" s="18"/>
      <c r="L176" s="1"/>
    </row>
    <row r="177" ht="14.624267578125">
      <c r="A177" s="1"/>
      <c r="B177" s="33" t="s">
        <v>768</v>
      </c>
      <c r="C177" s="24">
        <v>0.0453</v>
      </c>
      <c r="D177" s="24">
        <v>0.0451</v>
      </c>
      <c r="E177" s="92" t="s">
        <v>735</v>
      </c>
      <c r="F177" s="18"/>
      <c r="G177" s="18"/>
      <c r="H177" s="18"/>
      <c r="I177" s="18"/>
      <c r="J177" s="18"/>
      <c r="K177" s="18"/>
      <c r="L177" s="1"/>
    </row>
    <row r="178" ht="14.624267578125">
      <c r="A178" s="1"/>
      <c r="B178" s="33" t="s">
        <v>769</v>
      </c>
      <c r="C178" s="22">
        <v>441</v>
      </c>
      <c r="D178" s="22">
        <v>448</v>
      </c>
      <c r="E178" s="92" t="s">
        <v>735</v>
      </c>
      <c r="F178" s="18"/>
      <c r="G178" s="18"/>
      <c r="H178" s="18"/>
      <c r="I178" s="18"/>
      <c r="J178" s="18"/>
      <c r="K178" s="18"/>
      <c r="L178" s="1"/>
    </row>
    <row r="179" ht="14.624267578125">
      <c r="A179" s="1"/>
      <c r="B179" s="33" t="s">
        <v>770</v>
      </c>
      <c r="C179" s="22">
        <v>109208</v>
      </c>
      <c r="D179" s="22">
        <v>116193</v>
      </c>
      <c r="E179" s="92" t="s">
        <v>733</v>
      </c>
      <c r="F179" s="18"/>
      <c r="G179" s="18"/>
      <c r="H179" s="18"/>
      <c r="I179" s="18"/>
      <c r="J179" s="18"/>
      <c r="K179" s="18"/>
      <c r="L179" s="1"/>
    </row>
    <row r="180" ht="14.624267578125">
      <c r="A180" s="1"/>
      <c r="B180" s="33" t="s">
        <v>771</v>
      </c>
      <c r="C180" s="24">
        <v>0.0237</v>
      </c>
      <c r="D180" s="24">
        <v>0.025099999999999997</v>
      </c>
      <c r="E180" s="92" t="s">
        <v>735</v>
      </c>
      <c r="F180" s="18"/>
      <c r="G180" s="18"/>
      <c r="H180" s="18"/>
      <c r="I180" s="18"/>
      <c r="J180" s="18"/>
      <c r="K180" s="18"/>
      <c r="L180" s="1"/>
    </row>
    <row r="181" ht="14.624267578125">
      <c r="A181" s="1"/>
      <c r="B181" s="33" t="s">
        <v>772</v>
      </c>
      <c r="C181" s="22">
        <v>640</v>
      </c>
      <c r="D181" s="22">
        <v>726</v>
      </c>
      <c r="E181" s="92" t="s">
        <v>735</v>
      </c>
      <c r="F181" s="18"/>
      <c r="G181" s="18"/>
      <c r="H181" s="18"/>
      <c r="I181" s="18"/>
      <c r="J181" s="18"/>
      <c r="K181" s="18"/>
      <c r="L181" s="1"/>
    </row>
    <row r="182" ht="14.624267578125">
      <c r="A182" s="1"/>
      <c r="B182" s="33" t="s">
        <v>773</v>
      </c>
      <c r="C182" s="22">
        <v>136897</v>
      </c>
      <c r="D182" s="22">
        <v>135607</v>
      </c>
      <c r="E182" s="92" t="s">
        <v>733</v>
      </c>
      <c r="F182" s="18"/>
      <c r="G182" s="18"/>
      <c r="H182" s="18"/>
      <c r="I182" s="18"/>
      <c r="J182" s="18"/>
      <c r="K182" s="18"/>
      <c r="L182" s="1"/>
    </row>
    <row r="183" ht="14.624267578125">
      <c r="A183" s="1"/>
      <c r="B183" s="33" t="s">
        <v>774</v>
      </c>
      <c r="C183" s="24">
        <v>0.022</v>
      </c>
      <c r="D183" s="24">
        <v>0.0222</v>
      </c>
      <c r="E183" s="92" t="s">
        <v>735</v>
      </c>
      <c r="F183" s="18"/>
      <c r="G183" s="18"/>
      <c r="H183" s="18"/>
      <c r="I183" s="18"/>
      <c r="J183" s="18"/>
      <c r="K183" s="18"/>
      <c r="L183" s="1"/>
    </row>
    <row r="184" ht="14.624267578125">
      <c r="A184" s="1"/>
      <c r="B184" s="33" t="s">
        <v>775</v>
      </c>
      <c r="C184" s="22">
        <v>743</v>
      </c>
      <c r="D184" s="22">
        <v>751</v>
      </c>
      <c r="E184" s="92" t="s">
        <v>735</v>
      </c>
      <c r="F184" s="18"/>
      <c r="G184" s="18"/>
      <c r="H184" s="18"/>
      <c r="I184" s="18"/>
      <c r="J184" s="18"/>
      <c r="K184" s="18"/>
      <c r="L184" s="1"/>
    </row>
    <row r="185" ht="14.624267578125">
      <c r="A185" s="1"/>
      <c r="B185" s="33" t="s">
        <v>776</v>
      </c>
      <c r="C185" s="22">
        <v>40204</v>
      </c>
      <c r="D185" s="22">
        <v>41997</v>
      </c>
      <c r="E185" s="92" t="s">
        <v>733</v>
      </c>
      <c r="F185" s="18"/>
      <c r="G185" s="18"/>
      <c r="H185" s="18"/>
      <c r="I185" s="18"/>
      <c r="J185" s="18"/>
      <c r="K185" s="18"/>
      <c r="L185" s="1"/>
    </row>
    <row r="186" ht="14.624267578125">
      <c r="A186" s="1"/>
      <c r="B186" s="33" t="s">
        <v>777</v>
      </c>
      <c r="C186" s="24">
        <v>0.0356</v>
      </c>
      <c r="D186" s="24">
        <v>0.035</v>
      </c>
      <c r="E186" s="92" t="s">
        <v>735</v>
      </c>
      <c r="F186" s="18"/>
      <c r="G186" s="18"/>
      <c r="H186" s="18"/>
      <c r="I186" s="18"/>
      <c r="J186" s="18"/>
      <c r="K186" s="18"/>
      <c r="L186" s="1"/>
    </row>
    <row r="187" ht="14.624267578125">
      <c r="A187" s="1"/>
      <c r="B187" s="33" t="s">
        <v>778</v>
      </c>
      <c r="C187" s="22">
        <v>353</v>
      </c>
      <c r="D187" s="22">
        <v>367</v>
      </c>
      <c r="E187" s="92" t="s">
        <v>735</v>
      </c>
      <c r="F187" s="18"/>
      <c r="G187" s="18"/>
      <c r="H187" s="18"/>
      <c r="I187" s="18"/>
      <c r="J187" s="18"/>
      <c r="K187" s="18"/>
      <c r="L187" s="1"/>
    </row>
    <row r="188" ht="14.624267578125">
      <c r="A188" s="1"/>
      <c r="B188" s="33" t="s">
        <v>779</v>
      </c>
      <c r="C188" s="22">
        <v>30332</v>
      </c>
      <c r="D188" s="22">
        <v>26241</v>
      </c>
      <c r="E188" s="92" t="s">
        <v>733</v>
      </c>
      <c r="F188" s="18"/>
      <c r="G188" s="18"/>
      <c r="H188" s="18"/>
      <c r="I188" s="18"/>
      <c r="J188" s="18"/>
      <c r="K188" s="18"/>
      <c r="L188" s="1"/>
    </row>
    <row r="189" ht="14.624267578125">
      <c r="A189" s="1"/>
      <c r="B189" s="33" t="s">
        <v>780</v>
      </c>
      <c r="C189" s="24">
        <v>0.0449</v>
      </c>
      <c r="D189" s="24">
        <v>0.0447</v>
      </c>
      <c r="E189" s="92" t="s">
        <v>735</v>
      </c>
      <c r="F189" s="18"/>
      <c r="G189" s="18"/>
      <c r="H189" s="18"/>
      <c r="I189" s="18"/>
      <c r="J189" s="18"/>
      <c r="K189" s="18"/>
      <c r="L189" s="1"/>
    </row>
    <row r="190" ht="14.624267578125">
      <c r="A190" s="1"/>
      <c r="B190" s="33" t="s">
        <v>781</v>
      </c>
      <c r="C190" s="22">
        <v>336</v>
      </c>
      <c r="D190" s="22">
        <v>292</v>
      </c>
      <c r="E190" s="92" t="s">
        <v>735</v>
      </c>
      <c r="F190" s="18"/>
      <c r="G190" s="18"/>
      <c r="H190" s="18"/>
      <c r="I190" s="18"/>
      <c r="J190" s="18"/>
      <c r="K190" s="18"/>
      <c r="L190" s="1"/>
    </row>
    <row r="191" ht="14.624267578125">
      <c r="A191" s="1"/>
      <c r="B191" s="33" t="s">
        <v>782</v>
      </c>
      <c r="C191" s="22">
        <v>32418</v>
      </c>
      <c r="D191" s="22">
        <v>34213</v>
      </c>
      <c r="E191" s="92" t="s">
        <v>733</v>
      </c>
      <c r="F191" s="18"/>
      <c r="G191" s="18"/>
      <c r="H191" s="18"/>
      <c r="I191" s="18"/>
      <c r="J191" s="18"/>
      <c r="K191" s="18"/>
      <c r="L191" s="1"/>
    </row>
    <row r="192" ht="14.624267578125">
      <c r="A192" s="1"/>
      <c r="B192" s="33" t="s">
        <v>783</v>
      </c>
      <c r="C192" s="24">
        <v>0.0505</v>
      </c>
      <c r="D192" s="24">
        <v>0.050199999999999995</v>
      </c>
      <c r="E192" s="92" t="s">
        <v>735</v>
      </c>
      <c r="F192" s="18"/>
      <c r="G192" s="18"/>
      <c r="H192" s="18"/>
      <c r="I192" s="18"/>
      <c r="J192" s="18"/>
      <c r="K192" s="18"/>
      <c r="L192" s="1"/>
    </row>
    <row r="193" ht="14.624267578125">
      <c r="A193" s="1"/>
      <c r="B193" s="33" t="s">
        <v>784</v>
      </c>
      <c r="C193" s="22">
        <v>409</v>
      </c>
      <c r="D193" s="22">
        <v>431</v>
      </c>
      <c r="E193" s="92" t="s">
        <v>735</v>
      </c>
      <c r="F193" s="18"/>
      <c r="G193" s="18"/>
      <c r="H193" s="18"/>
      <c r="I193" s="18"/>
      <c r="J193" s="18"/>
      <c r="K193" s="18"/>
      <c r="L193" s="1"/>
    </row>
    <row r="194" ht="14.624267578125">
      <c r="A194" s="1"/>
      <c r="B194" s="33" t="s">
        <v>785</v>
      </c>
      <c r="C194" s="22">
        <v>105895</v>
      </c>
      <c r="D194" s="22">
        <v>106686</v>
      </c>
      <c r="E194" s="92" t="s">
        <v>733</v>
      </c>
      <c r="F194" s="18"/>
      <c r="G194" s="18"/>
      <c r="H194" s="18"/>
      <c r="I194" s="18"/>
      <c r="J194" s="18"/>
      <c r="K194" s="18"/>
      <c r="L194" s="1"/>
    </row>
    <row r="195" ht="14.624267578125">
      <c r="A195" s="1"/>
      <c r="B195" s="33" t="s">
        <v>786</v>
      </c>
      <c r="C195" s="22">
        <v>1435</v>
      </c>
      <c r="D195" s="22">
        <v>1496</v>
      </c>
      <c r="E195" s="92" t="s">
        <v>787</v>
      </c>
      <c r="F195" s="18"/>
      <c r="G195" s="18"/>
      <c r="H195" s="18"/>
      <c r="I195" s="18"/>
      <c r="J195" s="18"/>
      <c r="K195" s="18"/>
      <c r="L195" s="1"/>
    </row>
    <row r="196" ht="14.624267578125">
      <c r="A196" s="1"/>
      <c r="B196" s="33" t="s">
        <v>788</v>
      </c>
      <c r="C196" s="22">
        <v>813</v>
      </c>
      <c r="D196" s="22">
        <v>828</v>
      </c>
      <c r="E196" s="92" t="s">
        <v>787</v>
      </c>
      <c r="F196" s="18"/>
      <c r="G196" s="18"/>
      <c r="H196" s="18"/>
      <c r="I196" s="18"/>
      <c r="J196" s="18"/>
      <c r="K196" s="18"/>
      <c r="L196" s="1"/>
    </row>
    <row r="197" ht="14.624267578125">
      <c r="A197" s="1"/>
      <c r="B197" s="33" t="s">
        <v>789</v>
      </c>
      <c r="C197" s="22">
        <v>327</v>
      </c>
      <c r="D197" s="22">
        <v>384</v>
      </c>
      <c r="E197" s="92" t="s">
        <v>787</v>
      </c>
      <c r="F197" s="18"/>
      <c r="G197" s="18"/>
      <c r="H197" s="18"/>
      <c r="I197" s="18"/>
      <c r="J197" s="18"/>
      <c r="K197" s="18"/>
      <c r="L197" s="1"/>
    </row>
    <row r="198" ht="14.624267578125">
      <c r="A198" s="1"/>
      <c r="B198" s="33" t="s">
        <v>790</v>
      </c>
      <c r="C198" s="22">
        <v>503</v>
      </c>
      <c r="D198" s="22">
        <v>519</v>
      </c>
      <c r="E198" s="92" t="s">
        <v>787</v>
      </c>
      <c r="F198" s="18"/>
      <c r="G198" s="18"/>
      <c r="H198" s="18"/>
      <c r="I198" s="18"/>
      <c r="J198" s="18"/>
      <c r="K198" s="18"/>
      <c r="L198" s="1"/>
    </row>
    <row r="199" ht="14.624267578125">
      <c r="A199" s="1"/>
      <c r="B199" s="33" t="s">
        <v>791</v>
      </c>
      <c r="C199" s="22">
        <v>434</v>
      </c>
      <c r="D199" s="22">
        <v>434</v>
      </c>
      <c r="E199" s="92" t="s">
        <v>787</v>
      </c>
      <c r="F199" s="18"/>
      <c r="G199" s="18"/>
      <c r="H199" s="18"/>
      <c r="I199" s="18"/>
      <c r="J199" s="18"/>
      <c r="K199" s="18"/>
      <c r="L199" s="1"/>
    </row>
    <row r="200" ht="14.624267578125">
      <c r="A200" s="1"/>
      <c r="B200" s="33" t="s">
        <v>792</v>
      </c>
      <c r="C200" s="22">
        <v>39</v>
      </c>
      <c r="D200" s="22">
        <v>39</v>
      </c>
      <c r="E200" s="92" t="s">
        <v>787</v>
      </c>
      <c r="F200" s="18"/>
      <c r="G200" s="18"/>
      <c r="H200" s="18"/>
      <c r="I200" s="18"/>
      <c r="J200" s="18"/>
      <c r="K200" s="18"/>
      <c r="L200" s="1"/>
    </row>
    <row r="201" ht="14.624267578125">
      <c r="A201" s="1"/>
      <c r="B201" s="33" t="s">
        <v>793</v>
      </c>
      <c r="C201" s="22">
        <v>287</v>
      </c>
      <c r="D201" s="22">
        <v>286</v>
      </c>
      <c r="E201" s="92" t="s">
        <v>787</v>
      </c>
      <c r="F201" s="18"/>
      <c r="G201" s="18"/>
      <c r="H201" s="18"/>
      <c r="I201" s="18"/>
      <c r="J201" s="18"/>
      <c r="K201" s="18"/>
      <c r="L201" s="1"/>
    </row>
    <row r="202" ht="14.624267578125">
      <c r="A202" s="1"/>
      <c r="B202" s="33" t="s">
        <v>794</v>
      </c>
      <c r="C202" s="22">
        <v>903</v>
      </c>
      <c r="D202" s="22">
        <v>940</v>
      </c>
      <c r="E202" s="92" t="s">
        <v>787</v>
      </c>
      <c r="F202" s="18"/>
      <c r="G202" s="18"/>
      <c r="H202" s="18"/>
      <c r="I202" s="18"/>
      <c r="J202" s="18"/>
      <c r="K202" s="18"/>
      <c r="L202" s="1"/>
    </row>
    <row r="203" ht="14.624267578125">
      <c r="A203" s="1"/>
      <c r="B203" s="33" t="s">
        <v>795</v>
      </c>
      <c r="C203" s="22">
        <v>185</v>
      </c>
      <c r="D203" s="22">
        <v>186</v>
      </c>
      <c r="E203" s="92" t="s">
        <v>787</v>
      </c>
      <c r="F203" s="18"/>
      <c r="G203" s="18"/>
      <c r="H203" s="18"/>
      <c r="I203" s="18"/>
      <c r="J203" s="18"/>
      <c r="K203" s="18"/>
      <c r="L203" s="1"/>
    </row>
    <row r="204" ht="14.624267578125">
      <c r="A204" s="1"/>
      <c r="B204" s="33" t="s">
        <v>796</v>
      </c>
      <c r="C204" s="22">
        <v>127.7</v>
      </c>
      <c r="D204" s="22">
        <v>131.2</v>
      </c>
      <c r="E204" s="92" t="s">
        <v>797</v>
      </c>
      <c r="F204" s="18"/>
      <c r="G204" s="18"/>
      <c r="H204" s="18"/>
      <c r="I204" s="18"/>
      <c r="J204" s="18"/>
      <c r="K204" s="18"/>
      <c r="L204" s="1"/>
    </row>
    <row r="205" ht="14.624267578125">
      <c r="A205" s="1"/>
      <c r="B205" s="33" t="s">
        <v>798</v>
      </c>
      <c r="C205" s="22">
        <v>210.2</v>
      </c>
      <c r="D205" s="22">
        <v>213.7</v>
      </c>
      <c r="E205" s="92" t="s">
        <v>797</v>
      </c>
      <c r="F205" s="18"/>
      <c r="G205" s="18"/>
      <c r="H205" s="18"/>
      <c r="I205" s="18"/>
      <c r="J205" s="18"/>
      <c r="K205" s="18"/>
      <c r="L205" s="1"/>
    </row>
    <row r="206" ht="14.624267578125">
      <c r="A206" s="1"/>
      <c r="B206" s="33" t="s">
        <v>799</v>
      </c>
      <c r="C206" s="22">
        <v>1883</v>
      </c>
      <c r="D206" s="22">
        <v>1872</v>
      </c>
      <c r="E206" s="92" t="s">
        <v>787</v>
      </c>
      <c r="F206" s="18"/>
      <c r="G206" s="18"/>
      <c r="H206" s="18"/>
      <c r="I206" s="18"/>
      <c r="J206" s="18"/>
      <c r="K206" s="18"/>
      <c r="L206" s="1"/>
    </row>
    <row r="207" ht="14.624267578125">
      <c r="A207" s="1"/>
      <c r="B207" s="33" t="s">
        <v>800</v>
      </c>
      <c r="C207" s="22">
        <v>-381</v>
      </c>
      <c r="D207" s="22">
        <v>-306</v>
      </c>
      <c r="E207" s="92" t="s">
        <v>787</v>
      </c>
      <c r="F207" s="18"/>
      <c r="G207" s="18"/>
      <c r="H207" s="18"/>
      <c r="I207" s="18"/>
      <c r="J207" s="18"/>
      <c r="K207" s="18"/>
      <c r="L207" s="1"/>
    </row>
    <row r="208" ht="14.624267578125">
      <c r="A208" s="1"/>
      <c r="B208" s="33" t="s">
        <v>801</v>
      </c>
      <c r="C208" s="22">
        <v>132</v>
      </c>
      <c r="D208" s="22">
        <v>104</v>
      </c>
      <c r="E208" s="92" t="s">
        <v>787</v>
      </c>
      <c r="F208" s="18"/>
      <c r="G208" s="18"/>
      <c r="H208" s="18"/>
      <c r="I208" s="18"/>
      <c r="J208" s="18"/>
      <c r="K208" s="18"/>
      <c r="L208" s="1"/>
    </row>
    <row r="209" ht="14.624267578125">
      <c r="A209" s="1"/>
      <c r="B209" s="33" t="s">
        <v>802</v>
      </c>
      <c r="C209" s="22">
        <v>947</v>
      </c>
      <c r="D209" s="22">
        <v>941</v>
      </c>
      <c r="E209" s="92" t="s">
        <v>787</v>
      </c>
      <c r="F209" s="18"/>
      <c r="G209" s="18"/>
      <c r="H209" s="18"/>
      <c r="I209" s="18"/>
      <c r="J209" s="18"/>
      <c r="K209" s="18"/>
      <c r="L209" s="1"/>
    </row>
    <row r="210" ht="14.624267578125">
      <c r="A210" s="1"/>
      <c r="B210" s="33" t="s">
        <v>803</v>
      </c>
      <c r="C210" s="22">
        <v>557</v>
      </c>
      <c r="D210" s="22">
        <v>574</v>
      </c>
      <c r="E210" s="92" t="s">
        <v>787</v>
      </c>
      <c r="F210" s="18"/>
      <c r="G210" s="18"/>
      <c r="H210" s="18"/>
      <c r="I210" s="18"/>
      <c r="J210" s="18"/>
      <c r="K210" s="18"/>
      <c r="L210" s="1"/>
    </row>
    <row r="211" ht="14.624267578125">
      <c r="A211" s="1"/>
      <c r="B211" s="33" t="s">
        <v>804</v>
      </c>
      <c r="C211" s="22">
        <v>36</v>
      </c>
      <c r="D211" s="22">
        <v>34</v>
      </c>
      <c r="E211" s="92" t="s">
        <v>787</v>
      </c>
      <c r="F211" s="18"/>
      <c r="G211" s="18"/>
      <c r="H211" s="18"/>
      <c r="I211" s="18"/>
      <c r="J211" s="18"/>
      <c r="K211" s="18"/>
      <c r="L211" s="1"/>
    </row>
    <row r="212" ht="14.624267578125">
      <c r="A212" s="1"/>
      <c r="B212" s="33" t="s">
        <v>805</v>
      </c>
      <c r="C212" s="22">
        <v>193</v>
      </c>
      <c r="D212" s="22">
        <v>202</v>
      </c>
      <c r="E212" s="92" t="s">
        <v>787</v>
      </c>
      <c r="F212" s="18"/>
      <c r="G212" s="18"/>
      <c r="H212" s="18"/>
      <c r="I212" s="18"/>
      <c r="J212" s="18"/>
      <c r="K212" s="18"/>
      <c r="L212" s="1"/>
    </row>
    <row r="213" ht="14.624267578125">
      <c r="A213" s="1"/>
      <c r="B213" s="33" t="s">
        <v>806</v>
      </c>
      <c r="C213" s="22">
        <v>517</v>
      </c>
      <c r="D213" s="22">
        <v>519</v>
      </c>
      <c r="E213" s="92" t="s">
        <v>787</v>
      </c>
      <c r="F213" s="18"/>
      <c r="G213" s="18"/>
      <c r="H213" s="18"/>
      <c r="I213" s="18"/>
      <c r="J213" s="18"/>
      <c r="K213" s="18"/>
      <c r="L213" s="1"/>
    </row>
    <row r="214" ht="14.624267578125">
      <c r="A214" s="1"/>
      <c r="B214" s="33" t="s">
        <v>807</v>
      </c>
      <c r="C214" s="22">
        <v>201</v>
      </c>
      <c r="D214" s="22">
        <v>213</v>
      </c>
      <c r="E214" s="92" t="s">
        <v>787</v>
      </c>
      <c r="F214" s="18"/>
      <c r="G214" s="18"/>
      <c r="H214" s="18"/>
      <c r="I214" s="18"/>
      <c r="J214" s="18"/>
      <c r="K214" s="18"/>
      <c r="L214" s="1"/>
    </row>
    <row r="215" ht="14.624267578125">
      <c r="A215" s="1"/>
      <c r="B215" s="33" t="s">
        <v>808</v>
      </c>
      <c r="C215" s="22">
        <v>178</v>
      </c>
      <c r="D215" s="22">
        <v>181</v>
      </c>
      <c r="E215" s="92" t="s">
        <v>797</v>
      </c>
      <c r="F215" s="18"/>
      <c r="G215" s="18"/>
      <c r="H215" s="18"/>
      <c r="I215" s="18"/>
      <c r="J215" s="18"/>
      <c r="K215" s="18"/>
      <c r="L215" s="1"/>
    </row>
    <row r="216" ht="14.624267578125">
      <c r="A216" s="1"/>
      <c r="B216" s="33" t="s">
        <v>809</v>
      </c>
      <c r="C216" s="22">
        <v>145.7</v>
      </c>
      <c r="D216" s="22">
        <v>151.1</v>
      </c>
      <c r="E216" s="92" t="s">
        <v>797</v>
      </c>
      <c r="F216" s="18"/>
      <c r="G216" s="18"/>
      <c r="H216" s="18"/>
      <c r="I216" s="18"/>
      <c r="J216" s="18"/>
      <c r="K216" s="18"/>
      <c r="L216" s="1"/>
    </row>
    <row r="217" ht="14.624267578125">
      <c r="A217" s="1"/>
      <c r="B217" s="33" t="s">
        <v>810</v>
      </c>
      <c r="C217" s="22">
        <v>189</v>
      </c>
      <c r="D217" s="22">
        <v>219</v>
      </c>
      <c r="E217" s="92" t="s">
        <v>787</v>
      </c>
      <c r="F217" s="18"/>
      <c r="G217" s="18"/>
      <c r="H217" s="18"/>
      <c r="I217" s="18"/>
      <c r="J217" s="18"/>
      <c r="K217" s="18"/>
      <c r="L217" s="1"/>
    </row>
    <row r="218" ht="14.624267578125">
      <c r="A218" s="1"/>
      <c r="B218" s="33" t="s">
        <v>811</v>
      </c>
      <c r="C218" s="22">
        <v>-432</v>
      </c>
      <c r="D218" s="22">
        <v>-522</v>
      </c>
      <c r="E218" s="92" t="s">
        <v>787</v>
      </c>
      <c r="F218" s="18"/>
      <c r="G218" s="18"/>
      <c r="H218" s="18"/>
      <c r="I218" s="18"/>
      <c r="J218" s="18"/>
      <c r="K218" s="18"/>
      <c r="L218" s="1"/>
    </row>
    <row r="219" ht="14.624267578125">
      <c r="A219" s="1"/>
      <c r="B219" s="33" t="s">
        <v>812</v>
      </c>
      <c r="C219" s="22">
        <v>-1</v>
      </c>
      <c r="D219" s="102">
        <v>0</v>
      </c>
      <c r="E219" s="92" t="s">
        <v>787</v>
      </c>
      <c r="F219" s="18"/>
      <c r="G219" s="18"/>
      <c r="H219" s="18"/>
      <c r="I219" s="18"/>
      <c r="J219" s="18"/>
      <c r="K219" s="18"/>
      <c r="L219" s="1"/>
    </row>
    <row r="220" ht="14.624267578125">
      <c r="A220" s="1"/>
      <c r="B220" s="33" t="s">
        <v>813</v>
      </c>
      <c r="C220" s="22">
        <v>-58</v>
      </c>
      <c r="D220" s="22">
        <v>-60</v>
      </c>
      <c r="E220" s="92" t="s">
        <v>787</v>
      </c>
      <c r="F220" s="18"/>
      <c r="G220" s="18"/>
      <c r="H220" s="18"/>
      <c r="I220" s="18"/>
      <c r="J220" s="18"/>
      <c r="K220" s="18"/>
      <c r="L220" s="1"/>
    </row>
    <row r="221" ht="14.624267578125">
      <c r="A221" s="1"/>
      <c r="B221" s="33" t="s">
        <v>814</v>
      </c>
      <c r="C221" s="22">
        <v>613</v>
      </c>
      <c r="D221" s="22">
        <v>670</v>
      </c>
      <c r="E221" s="92" t="s">
        <v>787</v>
      </c>
      <c r="F221" s="18"/>
      <c r="G221" s="18"/>
      <c r="H221" s="18"/>
      <c r="I221" s="18"/>
      <c r="J221" s="18"/>
      <c r="K221" s="18"/>
      <c r="L221" s="1"/>
    </row>
    <row r="222" ht="14.624267578125">
      <c r="A222" s="1"/>
      <c r="B222" s="33" t="s">
        <v>815</v>
      </c>
      <c r="C222" s="102">
        <v>0</v>
      </c>
      <c r="D222" s="102">
        <v>0</v>
      </c>
      <c r="E222" s="92" t="s">
        <v>787</v>
      </c>
      <c r="F222" s="18"/>
      <c r="G222" s="18"/>
      <c r="H222" s="18"/>
      <c r="I222" s="18"/>
      <c r="J222" s="18"/>
      <c r="K222" s="18"/>
      <c r="L222" s="1"/>
    </row>
    <row r="223" ht="14.624267578125">
      <c r="A223" s="1"/>
      <c r="B223" s="33" t="s">
        <v>816</v>
      </c>
      <c r="C223" s="22">
        <v>747</v>
      </c>
      <c r="D223" s="22">
        <v>747</v>
      </c>
      <c r="E223" s="92" t="s">
        <v>787</v>
      </c>
      <c r="F223" s="18"/>
      <c r="G223" s="18"/>
      <c r="H223" s="18"/>
      <c r="I223" s="18"/>
      <c r="J223" s="18"/>
      <c r="K223" s="18"/>
      <c r="L223" s="1"/>
    </row>
    <row r="224" ht="14.624267578125">
      <c r="A224" s="1"/>
      <c r="B224" s="33" t="s">
        <v>817</v>
      </c>
      <c r="C224" s="22">
        <v>-1420</v>
      </c>
      <c r="D224" s="22">
        <v>-1459</v>
      </c>
      <c r="E224" s="92" t="s">
        <v>787</v>
      </c>
      <c r="F224" s="18"/>
      <c r="G224" s="18"/>
      <c r="H224" s="18"/>
      <c r="I224" s="18"/>
      <c r="J224" s="18"/>
      <c r="K224" s="18"/>
      <c r="L224" s="1"/>
    </row>
    <row r="225" ht="14.624267578125">
      <c r="A225" s="1"/>
      <c r="B225" s="33" t="s">
        <v>818</v>
      </c>
      <c r="C225" s="22">
        <v>-112</v>
      </c>
      <c r="D225" s="22">
        <v>-126</v>
      </c>
      <c r="E225" s="92" t="s">
        <v>787</v>
      </c>
      <c r="F225" s="18"/>
      <c r="G225" s="18"/>
      <c r="H225" s="18"/>
      <c r="I225" s="18"/>
      <c r="J225" s="18"/>
      <c r="K225" s="18"/>
      <c r="L225" s="1"/>
    </row>
    <row r="226">
      <c r="A226" s="1"/>
      <c r="B226" s="33"/>
      <c r="C226" s="18"/>
      <c r="D226" s="18"/>
      <c r="E226" s="18"/>
      <c r="F226" s="18"/>
      <c r="G226" s="18"/>
      <c r="H226" s="18"/>
      <c r="I226" s="18"/>
      <c r="J226" s="18"/>
      <c r="K226" s="18"/>
      <c r="L226" s="1"/>
    </row>
    <row r="227" ht="23.24853515625">
      <c r="A227" s="1"/>
      <c r="B227" s="57" t="s">
        <v>819</v>
      </c>
      <c r="C227" s="18"/>
      <c r="D227" s="18"/>
      <c r="E227" s="18"/>
      <c r="F227" s="18"/>
      <c r="G227" s="18"/>
      <c r="H227" s="18"/>
      <c r="I227" s="18"/>
      <c r="J227" s="18"/>
      <c r="K227" s="18"/>
      <c r="L227" s="1"/>
    </row>
    <row r="228" ht="14.624267578125">
      <c r="A228" s="1"/>
      <c r="B228" s="48" t="s">
        <v>712</v>
      </c>
      <c r="C228" s="32" t="s">
        <v>820</v>
      </c>
      <c r="D228" s="32" t="s">
        <v>821</v>
      </c>
      <c r="E228" s="32" t="s">
        <v>822</v>
      </c>
      <c r="F228" s="32" t="s">
        <v>823</v>
      </c>
      <c r="G228" s="32" t="s">
        <v>824</v>
      </c>
      <c r="H228" s="95" t="s">
        <v>53</v>
      </c>
      <c r="I228" s="18"/>
      <c r="J228" s="18"/>
      <c r="K228" s="18"/>
      <c r="L228" s="1"/>
    </row>
    <row r="229" ht="14.624267578125">
      <c r="A229" s="1"/>
      <c r="B229" s="33" t="s">
        <v>313</v>
      </c>
      <c r="C229" s="22">
        <v>2501</v>
      </c>
      <c r="D229" s="22">
        <v>3953</v>
      </c>
      <c r="E229" s="22">
        <v>5307</v>
      </c>
      <c r="F229" s="22">
        <v>1481</v>
      </c>
      <c r="G229" s="22">
        <v>3034</v>
      </c>
      <c r="H229" s="92" t="s">
        <v>825</v>
      </c>
      <c r="I229" s="18"/>
      <c r="J229" s="18"/>
      <c r="K229" s="18"/>
      <c r="L229" s="1"/>
    </row>
    <row r="230" ht="14.624267578125">
      <c r="A230" s="1"/>
      <c r="B230" s="33" t="s">
        <v>452</v>
      </c>
      <c r="C230" s="22">
        <v>946</v>
      </c>
      <c r="D230" s="22">
        <v>1382</v>
      </c>
      <c r="E230" s="22">
        <v>1894</v>
      </c>
      <c r="F230" s="22">
        <v>479</v>
      </c>
      <c r="G230" s="22">
        <v>874</v>
      </c>
      <c r="H230" s="92" t="s">
        <v>825</v>
      </c>
      <c r="I230" s="18"/>
      <c r="J230" s="18"/>
      <c r="K230" s="18"/>
      <c r="L230" s="1"/>
    </row>
    <row r="231" ht="14.624267578125">
      <c r="A231" s="1"/>
      <c r="B231" s="33" t="s">
        <v>453</v>
      </c>
      <c r="C231" s="22">
        <v>284</v>
      </c>
      <c r="D231" s="22">
        <v>414</v>
      </c>
      <c r="E231" s="22">
        <v>547</v>
      </c>
      <c r="F231" s="22">
        <v>129</v>
      </c>
      <c r="G231" s="22">
        <v>257</v>
      </c>
      <c r="H231" s="92" t="s">
        <v>825</v>
      </c>
      <c r="I231" s="18"/>
      <c r="J231" s="18"/>
      <c r="K231" s="18"/>
      <c r="L231" s="1"/>
    </row>
    <row r="232" ht="14.624267578125">
      <c r="A232" s="1"/>
      <c r="B232" s="33" t="s">
        <v>232</v>
      </c>
      <c r="C232" s="22">
        <v>148</v>
      </c>
      <c r="D232" s="22">
        <v>220</v>
      </c>
      <c r="E232" s="22">
        <v>290</v>
      </c>
      <c r="F232" s="22">
        <v>64</v>
      </c>
      <c r="G232" s="22">
        <v>127</v>
      </c>
      <c r="H232" s="92" t="s">
        <v>825</v>
      </c>
      <c r="I232" s="18"/>
      <c r="J232" s="18"/>
      <c r="K232" s="18"/>
      <c r="L232" s="1"/>
    </row>
    <row r="233" ht="14.624267578125">
      <c r="A233" s="1"/>
      <c r="B233" s="33" t="s">
        <v>457</v>
      </c>
      <c r="C233" s="22">
        <v>1660</v>
      </c>
      <c r="D233" s="22">
        <v>3157</v>
      </c>
      <c r="E233" s="22">
        <v>5739</v>
      </c>
      <c r="F233" s="22">
        <v>679</v>
      </c>
      <c r="G233" s="22">
        <v>1718</v>
      </c>
      <c r="H233" s="92" t="s">
        <v>825</v>
      </c>
      <c r="I233" s="18"/>
      <c r="J233" s="18"/>
      <c r="K233" s="18"/>
      <c r="L233" s="1"/>
    </row>
    <row r="234" ht="14.624267578125">
      <c r="A234" s="1"/>
      <c r="B234" s="33" t="s">
        <v>459</v>
      </c>
      <c r="C234" s="22">
        <v>1109</v>
      </c>
      <c r="D234" s="22">
        <v>1113</v>
      </c>
      <c r="E234" s="22">
        <v>2719</v>
      </c>
      <c r="F234" s="22">
        <v>52</v>
      </c>
      <c r="G234" s="22">
        <v>59</v>
      </c>
      <c r="H234" s="92" t="s">
        <v>825</v>
      </c>
      <c r="I234" s="18"/>
      <c r="J234" s="18"/>
      <c r="K234" s="18"/>
      <c r="L234" s="1"/>
    </row>
    <row r="235" ht="14.624267578125">
      <c r="A235" s="1"/>
      <c r="B235" s="33" t="s">
        <v>826</v>
      </c>
      <c r="C235" s="22">
        <v>8079</v>
      </c>
      <c r="D235" s="22">
        <v>12123</v>
      </c>
      <c r="E235" s="22">
        <v>16457</v>
      </c>
      <c r="F235" s="22">
        <v>4026</v>
      </c>
      <c r="G235" s="22">
        <v>8354</v>
      </c>
      <c r="H235" s="92" t="s">
        <v>825</v>
      </c>
      <c r="I235" s="18"/>
      <c r="J235" s="18"/>
      <c r="K235" s="18"/>
      <c r="L235" s="1"/>
    </row>
    <row r="236" ht="14.624267578125">
      <c r="A236" s="1"/>
      <c r="B236" s="33" t="s">
        <v>463</v>
      </c>
      <c r="C236" s="22">
        <v>-6879</v>
      </c>
      <c r="D236" s="22">
        <v>-9350</v>
      </c>
      <c r="E236" s="22">
        <v>-14475</v>
      </c>
      <c r="F236" s="22">
        <v>-4800</v>
      </c>
      <c r="G236" s="22">
        <v>-10776</v>
      </c>
      <c r="H236" s="92" t="s">
        <v>825</v>
      </c>
      <c r="I236" s="18"/>
      <c r="J236" s="18"/>
      <c r="K236" s="18"/>
      <c r="L236" s="1"/>
    </row>
    <row r="237" ht="14.624267578125">
      <c r="A237" s="1"/>
      <c r="B237" s="33" t="s">
        <v>827</v>
      </c>
      <c r="C237" s="22">
        <v>1812</v>
      </c>
      <c r="D237" s="22">
        <v>2841</v>
      </c>
      <c r="E237" s="22">
        <v>3748</v>
      </c>
      <c r="F237" s="22">
        <v>816</v>
      </c>
      <c r="G237" s="22">
        <v>1767</v>
      </c>
      <c r="H237" s="92" t="s">
        <v>825</v>
      </c>
      <c r="I237" s="18"/>
      <c r="J237" s="18"/>
      <c r="K237" s="18"/>
      <c r="L237" s="1"/>
    </row>
    <row r="238" ht="14.624267578125">
      <c r="A238" s="1"/>
      <c r="B238" s="33" t="s">
        <v>465</v>
      </c>
      <c r="C238" s="102">
        <v>0</v>
      </c>
      <c r="D238" s="102">
        <v>0</v>
      </c>
      <c r="E238" s="102">
        <v>0</v>
      </c>
      <c r="F238" s="102">
        <v>0</v>
      </c>
      <c r="G238" s="22">
        <v>-795</v>
      </c>
      <c r="H238" s="92" t="s">
        <v>825</v>
      </c>
      <c r="I238" s="18"/>
      <c r="J238" s="18"/>
      <c r="K238" s="18"/>
      <c r="L238" s="1"/>
    </row>
    <row r="239" ht="14.624267578125">
      <c r="A239" s="1"/>
      <c r="B239" s="33" t="s">
        <v>467</v>
      </c>
      <c r="C239" s="22">
        <v>-12860</v>
      </c>
      <c r="D239" s="22">
        <v>-18194</v>
      </c>
      <c r="E239" s="22">
        <v>-23780</v>
      </c>
      <c r="F239" s="22">
        <v>-1414</v>
      </c>
      <c r="G239" s="22">
        <v>-2545</v>
      </c>
      <c r="H239" s="92" t="s">
        <v>825</v>
      </c>
      <c r="I239" s="18"/>
      <c r="J239" s="18"/>
      <c r="K239" s="18"/>
      <c r="L239" s="1"/>
    </row>
    <row r="240" ht="14.624267578125">
      <c r="A240" s="1"/>
      <c r="B240" s="33" t="s">
        <v>828</v>
      </c>
      <c r="C240" s="22">
        <v>-668</v>
      </c>
      <c r="D240" s="22">
        <v>-818</v>
      </c>
      <c r="E240" s="22">
        <v>-892</v>
      </c>
      <c r="F240" s="102">
        <v>0</v>
      </c>
      <c r="G240" s="22">
        <v>-206</v>
      </c>
      <c r="H240" s="92" t="s">
        <v>825</v>
      </c>
      <c r="I240" s="18"/>
      <c r="J240" s="18"/>
      <c r="K240" s="18"/>
      <c r="L240" s="1"/>
    </row>
    <row r="241" ht="14.624267578125">
      <c r="A241" s="1"/>
      <c r="B241" s="33" t="s">
        <v>829</v>
      </c>
      <c r="C241" s="22">
        <v>358</v>
      </c>
      <c r="D241" s="22">
        <v>439</v>
      </c>
      <c r="E241" s="22">
        <v>615</v>
      </c>
      <c r="F241" s="22">
        <v>231</v>
      </c>
      <c r="G241" s="22">
        <v>550</v>
      </c>
      <c r="H241" s="92" t="s">
        <v>825</v>
      </c>
      <c r="I241" s="18"/>
      <c r="J241" s="18"/>
      <c r="K241" s="18"/>
      <c r="L241" s="1"/>
    </row>
    <row r="242" ht="14.624267578125">
      <c r="A242" s="1"/>
      <c r="B242" s="33" t="s">
        <v>830</v>
      </c>
      <c r="C242" s="22">
        <v>-106</v>
      </c>
      <c r="D242" s="22">
        <v>-431</v>
      </c>
      <c r="E242" s="22">
        <v>-650</v>
      </c>
      <c r="F242" s="22">
        <v>-847</v>
      </c>
      <c r="G242" s="22">
        <v>-1231</v>
      </c>
      <c r="H242" s="92" t="s">
        <v>825</v>
      </c>
      <c r="I242" s="18"/>
      <c r="J242" s="18"/>
      <c r="K242" s="18"/>
      <c r="L242" s="1"/>
    </row>
    <row r="243" ht="14.624267578125">
      <c r="A243" s="1"/>
      <c r="B243" s="33" t="s">
        <v>475</v>
      </c>
      <c r="C243" s="22">
        <v>-9336</v>
      </c>
      <c r="D243" s="22">
        <v>-12971</v>
      </c>
      <c r="E243" s="22">
        <v>-17763</v>
      </c>
      <c r="F243" s="22">
        <v>-1937</v>
      </c>
      <c r="G243" s="22">
        <v>-4809</v>
      </c>
      <c r="H243" s="92" t="s">
        <v>825</v>
      </c>
      <c r="I243" s="18"/>
      <c r="J243" s="18"/>
      <c r="K243" s="18"/>
      <c r="L243" s="1"/>
    </row>
    <row r="244" ht="14.624267578125">
      <c r="A244" s="1"/>
      <c r="B244" s="33" t="s">
        <v>477</v>
      </c>
      <c r="C244" s="22">
        <v>15598</v>
      </c>
      <c r="D244" s="22">
        <v>4383</v>
      </c>
      <c r="E244" s="22">
        <v>9874</v>
      </c>
      <c r="F244" s="22">
        <v>3683</v>
      </c>
      <c r="G244" s="22">
        <v>8981</v>
      </c>
      <c r="H244" s="92" t="s">
        <v>825</v>
      </c>
      <c r="I244" s="18"/>
      <c r="J244" s="18"/>
      <c r="K244" s="18"/>
      <c r="L244" s="1"/>
    </row>
    <row r="245" ht="14.624267578125">
      <c r="A245" s="1"/>
      <c r="B245" s="33" t="s">
        <v>478</v>
      </c>
      <c r="C245" s="22">
        <v>-12556</v>
      </c>
      <c r="D245" s="22">
        <v>199</v>
      </c>
      <c r="E245" s="22">
        <v>-1345</v>
      </c>
      <c r="F245" s="22">
        <v>-406</v>
      </c>
      <c r="G245" s="22">
        <v>-951</v>
      </c>
      <c r="H245" s="92" t="s">
        <v>825</v>
      </c>
      <c r="I245" s="18"/>
      <c r="J245" s="18"/>
      <c r="K245" s="18"/>
      <c r="L245" s="1"/>
    </row>
    <row r="246" ht="14.624267578125">
      <c r="A246" s="1"/>
      <c r="B246" s="33" t="s">
        <v>831</v>
      </c>
      <c r="C246" s="22">
        <v>28642</v>
      </c>
      <c r="D246" s="22">
        <v>50907</v>
      </c>
      <c r="E246" s="22">
        <v>69755</v>
      </c>
      <c r="F246" s="22">
        <v>22811</v>
      </c>
      <c r="G246" s="22">
        <v>50473</v>
      </c>
      <c r="H246" s="92" t="s">
        <v>825</v>
      </c>
      <c r="I246" s="18"/>
      <c r="J246" s="18"/>
      <c r="K246" s="18"/>
      <c r="L246" s="1"/>
    </row>
    <row r="247" ht="14.624267578125">
      <c r="A247" s="1"/>
      <c r="B247" s="33" t="s">
        <v>832</v>
      </c>
      <c r="C247" s="22">
        <v>-19486</v>
      </c>
      <c r="D247" s="22">
        <v>-44501</v>
      </c>
      <c r="E247" s="22">
        <v>-63084</v>
      </c>
      <c r="F247" s="22">
        <v>-23053</v>
      </c>
      <c r="G247" s="22">
        <v>-49131</v>
      </c>
      <c r="H247" s="92" t="s">
        <v>825</v>
      </c>
      <c r="I247" s="18"/>
      <c r="J247" s="18"/>
      <c r="K247" s="18"/>
      <c r="L247" s="1"/>
    </row>
    <row r="248" ht="14.624267578125">
      <c r="A248" s="1"/>
      <c r="B248" s="33" t="s">
        <v>483</v>
      </c>
      <c r="C248" s="22">
        <v>-1250</v>
      </c>
      <c r="D248" s="22">
        <v>-1750</v>
      </c>
      <c r="E248" s="22">
        <v>-2500</v>
      </c>
      <c r="F248" s="22">
        <v>-1134</v>
      </c>
      <c r="G248" s="22">
        <v>-2334</v>
      </c>
      <c r="H248" s="92" t="s">
        <v>825</v>
      </c>
      <c r="I248" s="18"/>
      <c r="J248" s="18"/>
      <c r="K248" s="18"/>
      <c r="L248" s="1"/>
    </row>
    <row r="249" ht="14.624267578125">
      <c r="A249" s="1"/>
      <c r="B249" s="33" t="s">
        <v>484</v>
      </c>
      <c r="C249" s="102">
        <v>0</v>
      </c>
      <c r="D249" s="102">
        <v>0</v>
      </c>
      <c r="E249" s="22">
        <v>-1000</v>
      </c>
      <c r="F249" s="102">
        <v>0</v>
      </c>
      <c r="G249" s="22">
        <v>495</v>
      </c>
      <c r="H249" s="92" t="s">
        <v>825</v>
      </c>
      <c r="I249" s="18"/>
      <c r="J249" s="18"/>
      <c r="K249" s="18"/>
      <c r="L249" s="1"/>
    </row>
    <row r="250" ht="14.624267578125">
      <c r="A250" s="1"/>
      <c r="B250" s="33" t="s">
        <v>833</v>
      </c>
      <c r="C250" s="22">
        <v>-1349</v>
      </c>
      <c r="D250" s="22">
        <v>-2014</v>
      </c>
      <c r="E250" s="22">
        <v>-2672</v>
      </c>
      <c r="F250" s="22">
        <v>-645</v>
      </c>
      <c r="G250" s="22">
        <v>-1281</v>
      </c>
      <c r="H250" s="92" t="s">
        <v>825</v>
      </c>
      <c r="I250" s="18"/>
      <c r="J250" s="18"/>
      <c r="K250" s="18"/>
      <c r="L250" s="1"/>
    </row>
    <row r="251" ht="14.624267578125">
      <c r="A251" s="1"/>
      <c r="B251" s="33" t="s">
        <v>834</v>
      </c>
      <c r="C251" s="22">
        <v>-164</v>
      </c>
      <c r="D251" s="22">
        <v>-268</v>
      </c>
      <c r="E251" s="22">
        <v>-324</v>
      </c>
      <c r="F251" s="22">
        <v>-104</v>
      </c>
      <c r="G251" s="22">
        <v>-138</v>
      </c>
      <c r="H251" s="92" t="s">
        <v>825</v>
      </c>
      <c r="I251" s="18"/>
      <c r="J251" s="18"/>
      <c r="K251" s="18"/>
      <c r="L251" s="1"/>
    </row>
    <row r="252" ht="14.624267578125">
      <c r="A252" s="1"/>
      <c r="B252" s="33" t="s">
        <v>488</v>
      </c>
      <c r="C252" s="22">
        <v>9359</v>
      </c>
      <c r="D252" s="22">
        <v>6898</v>
      </c>
      <c r="E252" s="22">
        <v>8633</v>
      </c>
      <c r="F252" s="22">
        <v>1078</v>
      </c>
      <c r="G252" s="22">
        <v>6002</v>
      </c>
      <c r="H252" s="92" t="s">
        <v>825</v>
      </c>
      <c r="I252" s="18"/>
      <c r="J252" s="18"/>
      <c r="K252" s="18"/>
      <c r="L252" s="1"/>
    </row>
    <row r="253" ht="14.624267578125">
      <c r="A253" s="1"/>
      <c r="B253" s="33" t="s">
        <v>490</v>
      </c>
      <c r="C253" s="22">
        <v>1683</v>
      </c>
      <c r="D253" s="22">
        <v>-2916</v>
      </c>
      <c r="E253" s="22">
        <v>-3391</v>
      </c>
      <c r="F253" s="22">
        <v>-180</v>
      </c>
      <c r="G253" s="22">
        <v>2911</v>
      </c>
      <c r="H253" s="92" t="s">
        <v>825</v>
      </c>
      <c r="I253" s="18"/>
      <c r="J253" s="18"/>
      <c r="K253" s="18"/>
      <c r="L253" s="1"/>
    </row>
    <row r="254" ht="14.624267578125">
      <c r="A254" s="1"/>
      <c r="B254" s="33" t="s">
        <v>491</v>
      </c>
      <c r="C254" s="22">
        <v>39768</v>
      </c>
      <c r="D254" s="22">
        <v>39768</v>
      </c>
      <c r="E254" s="22">
        <v>39768</v>
      </c>
      <c r="F254" s="22">
        <v>36377</v>
      </c>
      <c r="G254" s="22">
        <v>36377</v>
      </c>
      <c r="H254" s="92" t="s">
        <v>825</v>
      </c>
      <c r="I254" s="18"/>
      <c r="J254" s="18"/>
      <c r="K254" s="18"/>
      <c r="L254" s="1"/>
    </row>
    <row r="255" ht="14.624267578125">
      <c r="A255" s="1"/>
      <c r="B255" s="33" t="s">
        <v>492</v>
      </c>
      <c r="C255" s="22">
        <v>41451</v>
      </c>
      <c r="D255" s="22">
        <v>36852</v>
      </c>
      <c r="E255" s="22">
        <v>36377</v>
      </c>
      <c r="F255" s="22">
        <v>36197</v>
      </c>
      <c r="G255" s="22">
        <v>39288</v>
      </c>
      <c r="H255" s="92" t="s">
        <v>825</v>
      </c>
      <c r="I255" s="18"/>
      <c r="J255" s="18"/>
      <c r="K255" s="18"/>
      <c r="L255" s="1"/>
    </row>
    <row r="256">
      <c r="A256" s="1"/>
      <c r="B256" s="33"/>
      <c r="C256" s="18"/>
      <c r="D256" s="18"/>
      <c r="E256" s="18"/>
      <c r="F256" s="18"/>
      <c r="G256" s="18"/>
      <c r="H256" s="18"/>
      <c r="I256" s="18"/>
      <c r="J256" s="18"/>
      <c r="K256" s="18"/>
      <c r="L256" s="1"/>
    </row>
    <row r="257" ht="23.24853515625">
      <c r="A257" s="1"/>
      <c r="B257" s="57" t="s">
        <v>835</v>
      </c>
      <c r="C257" s="18"/>
      <c r="D257" s="18"/>
      <c r="E257" s="18"/>
      <c r="F257" s="18"/>
      <c r="G257" s="18"/>
      <c r="H257" s="18"/>
      <c r="I257" s="18"/>
      <c r="J257" s="18"/>
      <c r="K257" s="18"/>
      <c r="L257" s="1"/>
    </row>
    <row r="258" ht="14.624267578125">
      <c r="A258" s="1"/>
      <c r="B258" s="33" t="s">
        <v>836</v>
      </c>
      <c r="C258" s="6">
        <f>C72</f>
        <v>46.11</v>
      </c>
      <c r="D258" s="92" t="s">
        <v>608</v>
      </c>
      <c r="E258" s="18"/>
      <c r="F258" s="18"/>
      <c r="G258" s="18"/>
      <c r="H258" s="18"/>
      <c r="I258" s="18"/>
      <c r="J258" s="18"/>
      <c r="K258" s="18"/>
      <c r="L258" s="1"/>
    </row>
    <row r="259" ht="14.624267578125">
      <c r="A259" s="1"/>
      <c r="B259" s="33" t="s">
        <v>837</v>
      </c>
      <c r="C259" s="2">
        <f>'Share Count'!G11</f>
        <v>1221.626</v>
      </c>
      <c r="D259" s="92" t="s">
        <v>838</v>
      </c>
      <c r="E259" s="18"/>
      <c r="F259" s="18"/>
      <c r="G259" s="18"/>
      <c r="H259" s="18"/>
      <c r="I259" s="18"/>
      <c r="J259" s="18"/>
      <c r="K259" s="18"/>
      <c r="L259" s="1"/>
    </row>
    <row r="260" ht="14.624267578125">
      <c r="A260" s="1"/>
      <c r="B260" s="33" t="s">
        <v>839</v>
      </c>
      <c r="C260" s="11">
        <f>C258*C259</f>
        <v>56329.17486</v>
      </c>
      <c r="D260" s="92" t="s">
        <v>840</v>
      </c>
      <c r="E260" s="18"/>
      <c r="F260" s="18"/>
      <c r="G260" s="18"/>
      <c r="H260" s="18"/>
      <c r="I260" s="18"/>
      <c r="J260" s="18"/>
      <c r="K260" s="18"/>
      <c r="L260" s="1"/>
    </row>
    <row r="261" ht="14.624267578125">
      <c r="A261" s="1"/>
      <c r="B261" s="33" t="s">
        <v>841</v>
      </c>
      <c r="C261" s="11" t="s">
        <v>842</v>
      </c>
      <c r="D261" s="92" t="s">
        <v>843</v>
      </c>
      <c r="E261" s="18"/>
      <c r="F261" s="18"/>
      <c r="G261" s="18"/>
      <c r="H261" s="18"/>
      <c r="I261" s="18"/>
      <c r="J261" s="18"/>
      <c r="K261" s="18"/>
      <c r="L261" s="1"/>
    </row>
    <row r="262" ht="14.624267578125">
      <c r="A262" s="1"/>
      <c r="B262" s="33" t="s">
        <v>844</v>
      </c>
      <c r="C262" s="11" t="s">
        <v>614</v>
      </c>
      <c r="D262" s="92" t="s">
        <v>845</v>
      </c>
      <c r="E262" s="18"/>
      <c r="F262" s="18"/>
      <c r="G262" s="18"/>
      <c r="H262" s="18"/>
      <c r="I262" s="18"/>
      <c r="J262" s="18"/>
      <c r="K262" s="18"/>
      <c r="L262" s="1"/>
    </row>
    <row r="263" ht="14.624267578125">
      <c r="A263" s="1"/>
      <c r="B263" s="33" t="s">
        <v>846</v>
      </c>
      <c r="C263" s="25">
        <v>0.78</v>
      </c>
      <c r="D263" s="92" t="s">
        <v>847</v>
      </c>
      <c r="E263" s="18"/>
      <c r="F263" s="18"/>
      <c r="G263" s="18"/>
      <c r="H263" s="18"/>
      <c r="I263" s="18"/>
      <c r="J263" s="18"/>
      <c r="K263" s="18"/>
      <c r="L263" s="1"/>
    </row>
    <row r="264" ht="14.624267578125">
      <c r="A264" s="1"/>
      <c r="B264" s="33" t="s">
        <v>848</v>
      </c>
      <c r="C264" s="76">
        <v>8</v>
      </c>
      <c r="D264" s="92" t="s">
        <v>849</v>
      </c>
      <c r="E264" s="18"/>
      <c r="F264" s="18"/>
      <c r="G264" s="18"/>
      <c r="H264" s="18"/>
      <c r="I264" s="18"/>
      <c r="J264" s="18"/>
      <c r="K264" s="18"/>
      <c r="L264" s="1"/>
    </row>
    <row r="265" ht="14.624267578125">
      <c r="A265" s="1"/>
      <c r="B265" s="33" t="s">
        <v>850</v>
      </c>
      <c r="C265" s="26">
        <f>SUM(J95:J100)</f>
        <v>5</v>
      </c>
      <c r="D265" s="92"/>
      <c r="E265" s="18"/>
      <c r="F265" s="18"/>
      <c r="G265" s="18"/>
      <c r="H265" s="18"/>
      <c r="I265" s="18"/>
      <c r="J265" s="18"/>
      <c r="K265" s="18"/>
      <c r="L265" s="1"/>
    </row>
    <row r="266" ht="14.624267578125">
      <c r="A266" s="1"/>
      <c r="B266" s="33" t="s">
        <v>851</v>
      </c>
      <c r="C266" s="26">
        <f>COUNT(J95:J100)</f>
        <v>6</v>
      </c>
      <c r="D266" s="92" t="s">
        <v>852</v>
      </c>
      <c r="E266" s="18"/>
      <c r="F266" s="18"/>
      <c r="G266" s="18"/>
      <c r="H266" s="18"/>
      <c r="I266" s="18"/>
      <c r="J266" s="18"/>
      <c r="K266" s="18"/>
      <c r="L266" s="1"/>
    </row>
    <row r="267" ht="14.624267578125">
      <c r="A267" s="1"/>
      <c r="B267" s="33" t="s">
        <v>853</v>
      </c>
      <c r="C267" s="7">
        <f>(C264*C263+C265)/(C264+C266)</f>
        <v>0.8028571428571428</v>
      </c>
      <c r="D267" s="92"/>
      <c r="E267" s="18"/>
      <c r="F267" s="18"/>
      <c r="G267" s="18"/>
      <c r="H267" s="18"/>
      <c r="I267" s="18"/>
      <c r="J267" s="18"/>
      <c r="K267" s="18"/>
      <c r="L267" s="1"/>
    </row>
    <row r="268" ht="14.624267578125">
      <c r="A268" s="1"/>
      <c r="B268" s="33" t="s">
        <v>854</v>
      </c>
      <c r="C268" s="6">
        <f>AVERAGE(K95:K100)</f>
        <v>0.06166666666666668</v>
      </c>
      <c r="D268" s="92"/>
      <c r="E268" s="18"/>
      <c r="F268" s="18"/>
      <c r="G268" s="18"/>
      <c r="H268" s="18"/>
      <c r="I268" s="18"/>
      <c r="J268" s="18"/>
      <c r="K268" s="18"/>
      <c r="L268" s="1"/>
    </row>
    <row r="269" ht="14.624267578125">
      <c r="A269" s="1"/>
      <c r="B269" s="33" t="s">
        <v>855</v>
      </c>
      <c r="C269" s="25">
        <v>-0.35</v>
      </c>
      <c r="D269" s="92" t="s">
        <v>856</v>
      </c>
      <c r="E269" s="18"/>
      <c r="F269" s="18"/>
      <c r="G269" s="18"/>
      <c r="H269" s="18"/>
      <c r="I269" s="18"/>
      <c r="J269" s="18"/>
      <c r="K269" s="18"/>
      <c r="L269" s="1"/>
    </row>
    <row r="270" ht="14.624267578125">
      <c r="A270" s="1"/>
      <c r="B270" s="33" t="s">
        <v>857</v>
      </c>
      <c r="C270" s="7">
        <f>C267+C269</f>
        <v>0.45285714285714285</v>
      </c>
      <c r="D270" s="18"/>
      <c r="E270" s="18"/>
      <c r="F270" s="18"/>
      <c r="G270" s="18"/>
      <c r="H270" s="18"/>
      <c r="I270" s="18"/>
      <c r="J270" s="18"/>
      <c r="K270" s="18"/>
      <c r="L270" s="1"/>
    </row>
    <row r="271">
      <c r="A271" s="1"/>
      <c r="B271" s="33"/>
      <c r="C271" s="18"/>
      <c r="D271" s="18"/>
      <c r="E271" s="18"/>
      <c r="F271" s="18"/>
      <c r="G271" s="18"/>
      <c r="H271" s="18"/>
      <c r="I271" s="18"/>
      <c r="J271" s="18"/>
      <c r="K271" s="18"/>
      <c r="L271" s="1"/>
    </row>
    <row r="272">
      <c r="A272" s="1"/>
      <c r="B272" s="33"/>
      <c r="C272" s="18"/>
      <c r="D272" s="18"/>
      <c r="E272" s="18"/>
      <c r="F272" s="18"/>
      <c r="G272" s="18"/>
      <c r="H272" s="18"/>
      <c r="I272" s="18"/>
      <c r="J272" s="18"/>
      <c r="K272" s="18"/>
      <c r="L272" s="1"/>
    </row>
    <row r="273">
      <c r="A273" s="1"/>
      <c r="B273" s="33"/>
      <c r="C273" s="18"/>
      <c r="D273" s="18"/>
      <c r="E273" s="18"/>
      <c r="F273" s="18"/>
      <c r="G273" s="18"/>
      <c r="H273" s="18"/>
      <c r="I273" s="18"/>
      <c r="J273" s="18"/>
      <c r="K273" s="18"/>
      <c r="L273" s="1"/>
    </row>
    <row r="274">
      <c r="A274" s="1"/>
      <c r="B274" s="33"/>
      <c r="C274" s="18"/>
      <c r="D274" s="18"/>
      <c r="E274" s="18"/>
      <c r="F274" s="18"/>
      <c r="G274" s="18"/>
      <c r="H274" s="18"/>
      <c r="I274" s="18"/>
      <c r="J274" s="18"/>
      <c r="K274" s="18"/>
      <c r="L274" s="1"/>
    </row>
    <row r="275">
      <c r="A275" s="1"/>
      <c r="B275" s="33"/>
      <c r="C275" s="18"/>
      <c r="D275" s="18"/>
      <c r="E275" s="18"/>
      <c r="F275" s="18"/>
      <c r="G275" s="18"/>
      <c r="H275" s="18"/>
      <c r="I275" s="18"/>
      <c r="J275" s="18"/>
      <c r="K275" s="18"/>
      <c r="L275" s="1"/>
    </row>
    <row r="276">
      <c r="A276" s="1"/>
      <c r="B276" s="33"/>
      <c r="C276" s="18"/>
      <c r="D276" s="18"/>
      <c r="E276" s="18"/>
      <c r="F276" s="18"/>
      <c r="G276" s="18"/>
      <c r="H276" s="18"/>
      <c r="I276" s="18"/>
      <c r="J276" s="18"/>
      <c r="K276" s="18"/>
      <c r="L276" s="1"/>
    </row>
    <row r="277">
      <c r="A277" s="1"/>
      <c r="B277" s="33"/>
      <c r="C277" s="18"/>
      <c r="D277" s="18"/>
      <c r="E277" s="18"/>
      <c r="F277" s="18"/>
      <c r="G277" s="18"/>
      <c r="H277" s="18"/>
      <c r="I277" s="18"/>
      <c r="J277" s="18"/>
      <c r="K277" s="18"/>
      <c r="L277" s="1"/>
    </row>
    <row r="278">
      <c r="A278" s="1"/>
      <c r="B278" s="33"/>
      <c r="C278" s="18"/>
      <c r="D278" s="18"/>
      <c r="E278" s="18"/>
      <c r="F278" s="18"/>
      <c r="G278" s="18"/>
      <c r="H278" s="18"/>
      <c r="I278" s="18"/>
      <c r="J278" s="18"/>
      <c r="K278" s="18"/>
      <c r="L278" s="1"/>
    </row>
    <row r="279">
      <c r="A279" s="1"/>
      <c r="B279" s="33"/>
      <c r="C279" s="18"/>
      <c r="D279" s="18"/>
      <c r="E279" s="18"/>
      <c r="F279" s="18"/>
      <c r="G279" s="18"/>
      <c r="H279" s="18"/>
      <c r="I279" s="18"/>
      <c r="J279" s="18"/>
      <c r="K279" s="18"/>
      <c r="L279" s="1"/>
    </row>
    <row r="280">
      <c r="A280" s="1"/>
      <c r="B280" s="33"/>
      <c r="C280" s="18"/>
      <c r="D280" s="18"/>
      <c r="E280" s="18"/>
      <c r="F280" s="18"/>
      <c r="G280" s="18"/>
      <c r="H280" s="18"/>
      <c r="I280" s="18"/>
      <c r="J280" s="18"/>
      <c r="K280" s="18"/>
      <c r="L280" s="1"/>
    </row>
    <row r="28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</sheetData>
</worksheet>
</file>

<file path=xl/worksheets/sheet12.xml><?xml version="1.0" encoding="utf-8"?>
<worksheet xmlns="http://schemas.openxmlformats.org/spreadsheetml/2006/main" xmlns:r="http://schemas.openxmlformats.org/officeDocument/2006/relationships">
  <dimension ref="A1:L60"/>
  <sheetViews>
    <sheetView showGridLines="0" workbookViewId="0"/>
  </sheetViews>
  <sheetFormatPr defaultColWidth="8.42578125" defaultRowHeight="15"/>
  <cols>
    <col min="1" max="1" width="2" customWidth="1"/>
    <col min="2" max="2" width="6" customWidth="1"/>
    <col min="3" max="3" width="14" customWidth="1"/>
    <col min="4" max="4" width="28" customWidth="1"/>
    <col min="5" max="6" width="60" customWidth="1"/>
    <col min="7" max="7" width="12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>
      <c r="A2" s="1"/>
      <c r="B2" s="2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>
      <c r="A3" s="1"/>
      <c r="B3" s="12" t="s">
        <v>858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>
      <c r="A4" s="1"/>
      <c r="B4" s="8" t="s">
        <v>38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>
      <c r="A6" s="1"/>
      <c r="B6" s="1" t="s">
        <v>859</v>
      </c>
      <c r="C6" s="1"/>
      <c r="D6" s="1"/>
      <c r="E6" s="1"/>
      <c r="F6" s="1"/>
      <c r="G6" s="1"/>
      <c r="H6" s="1"/>
      <c r="I6" s="1"/>
      <c r="J6" s="1"/>
      <c r="K6" s="1"/>
      <c r="L6" s="1"/>
    </row>
    <row r="7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>
      <c r="A8" s="1"/>
      <c r="B8" s="20" t="s">
        <v>860</v>
      </c>
      <c r="C8" s="88" t="s">
        <v>861</v>
      </c>
      <c r="D8" s="20" t="s">
        <v>862</v>
      </c>
      <c r="E8" s="20" t="s">
        <v>863</v>
      </c>
      <c r="F8" s="20" t="s">
        <v>864</v>
      </c>
      <c r="G8" s="88" t="s">
        <v>865</v>
      </c>
      <c r="H8" s="1"/>
      <c r="I8" s="1"/>
      <c r="J8" s="1"/>
      <c r="K8" s="1"/>
      <c r="L8" s="1"/>
    </row>
    <row r="9">
      <c r="A9" s="1"/>
      <c r="B9" s="97" t="s">
        <v>866</v>
      </c>
      <c r="C9" s="98">
        <v>46306</v>
      </c>
      <c r="D9" s="97" t="s">
        <v>867</v>
      </c>
      <c r="E9" s="96" t="s">
        <v>868</v>
      </c>
      <c r="F9" s="96" t="s">
        <v>869</v>
      </c>
      <c r="G9" s="98" t="s">
        <v>870</v>
      </c>
      <c r="H9" s="1"/>
      <c r="I9" s="1"/>
      <c r="J9" s="1"/>
      <c r="K9" s="1"/>
      <c r="L9" s="1"/>
    </row>
    <row r="10">
      <c r="A10" s="1"/>
      <c r="B10" s="97" t="s">
        <v>871</v>
      </c>
      <c r="C10" s="98">
        <v>46306</v>
      </c>
      <c r="D10" s="97" t="s">
        <v>867</v>
      </c>
      <c r="E10" s="96" t="s">
        <v>872</v>
      </c>
      <c r="F10" s="96" t="s">
        <v>873</v>
      </c>
      <c r="G10" s="98" t="s">
        <v>870</v>
      </c>
      <c r="H10" s="1"/>
      <c r="I10" s="1"/>
      <c r="J10" s="1"/>
      <c r="K10" s="1"/>
      <c r="L10" s="1"/>
    </row>
    <row r="11" ht="26.25">
      <c r="A11" s="1"/>
      <c r="B11" s="97" t="s">
        <v>874</v>
      </c>
      <c r="C11" s="98">
        <v>46220</v>
      </c>
      <c r="D11" s="97" t="s">
        <v>875</v>
      </c>
      <c r="E11" s="96" t="s">
        <v>876</v>
      </c>
      <c r="F11" s="96" t="s">
        <v>877</v>
      </c>
      <c r="G11" s="98">
        <v>46307</v>
      </c>
      <c r="H11" s="1"/>
      <c r="I11" s="1"/>
      <c r="J11" s="1"/>
      <c r="K11" s="1"/>
      <c r="L11" s="1"/>
    </row>
    <row r="12" ht="26.25">
      <c r="A12" s="1"/>
      <c r="B12" s="97" t="s">
        <v>878</v>
      </c>
      <c r="C12" s="98">
        <v>46220</v>
      </c>
      <c r="D12" s="97" t="s">
        <v>879</v>
      </c>
      <c r="E12" s="96" t="s">
        <v>880</v>
      </c>
      <c r="F12" s="96" t="s">
        <v>881</v>
      </c>
      <c r="G12" s="98">
        <v>46307</v>
      </c>
      <c r="H12" s="1"/>
      <c r="I12" s="1"/>
      <c r="J12" s="1"/>
      <c r="K12" s="1"/>
      <c r="L12" s="1"/>
    </row>
    <row r="13" ht="26.25">
      <c r="A13" s="1"/>
      <c r="B13" s="97" t="s">
        <v>882</v>
      </c>
      <c r="C13" s="98">
        <v>46043</v>
      </c>
      <c r="D13" s="97" t="s">
        <v>875</v>
      </c>
      <c r="E13" s="96" t="s">
        <v>883</v>
      </c>
      <c r="F13" s="96" t="s">
        <v>884</v>
      </c>
      <c r="G13" s="98">
        <v>46307</v>
      </c>
      <c r="H13" s="1"/>
      <c r="I13" s="1"/>
      <c r="J13" s="1"/>
      <c r="K13" s="1"/>
      <c r="L13" s="1"/>
    </row>
    <row r="14" ht="26.25">
      <c r="A14" s="1"/>
      <c r="B14" s="97" t="s">
        <v>885</v>
      </c>
      <c r="C14" s="98">
        <v>46129</v>
      </c>
      <c r="D14" s="97" t="s">
        <v>875</v>
      </c>
      <c r="E14" s="96" t="s">
        <v>886</v>
      </c>
      <c r="F14" s="96" t="s">
        <v>887</v>
      </c>
      <c r="G14" s="98">
        <v>46307</v>
      </c>
      <c r="H14" s="1"/>
      <c r="I14" s="1"/>
      <c r="J14" s="1"/>
      <c r="K14" s="1"/>
      <c r="L14" s="1"/>
    </row>
    <row r="15" ht="26.25">
      <c r="A15" s="1"/>
      <c r="B15" s="97" t="s">
        <v>888</v>
      </c>
      <c r="C15" s="98">
        <v>46129</v>
      </c>
      <c r="D15" s="97" t="s">
        <v>879</v>
      </c>
      <c r="E15" s="96" t="s">
        <v>889</v>
      </c>
      <c r="F15" s="96" t="s">
        <v>890</v>
      </c>
      <c r="G15" s="98">
        <v>46307</v>
      </c>
      <c r="H15" s="1"/>
      <c r="I15" s="1"/>
      <c r="J15" s="1"/>
      <c r="K15" s="1"/>
      <c r="L15" s="1"/>
    </row>
    <row r="16" ht="26.25">
      <c r="A16" s="1"/>
      <c r="B16" s="97" t="s">
        <v>891</v>
      </c>
      <c r="C16" s="98">
        <v>46234</v>
      </c>
      <c r="D16" s="97" t="s">
        <v>892</v>
      </c>
      <c r="E16" s="96" t="s">
        <v>893</v>
      </c>
      <c r="F16" s="96" t="s">
        <v>894</v>
      </c>
      <c r="G16" s="98">
        <v>46307</v>
      </c>
      <c r="H16" s="1"/>
      <c r="I16" s="1"/>
      <c r="J16" s="1"/>
      <c r="K16" s="1"/>
      <c r="L16" s="1"/>
    </row>
    <row r="17" ht="26.25">
      <c r="A17" s="1"/>
      <c r="B17" s="97" t="s">
        <v>895</v>
      </c>
      <c r="C17" s="98">
        <v>46143</v>
      </c>
      <c r="D17" s="97" t="s">
        <v>896</v>
      </c>
      <c r="E17" s="96" t="s">
        <v>897</v>
      </c>
      <c r="F17" s="96" t="s">
        <v>898</v>
      </c>
      <c r="G17" s="98">
        <v>46307</v>
      </c>
      <c r="H17" s="1"/>
      <c r="I17" s="1"/>
      <c r="J17" s="1"/>
      <c r="K17" s="1"/>
      <c r="L17" s="1"/>
    </row>
    <row r="18" ht="26.25">
      <c r="A18" s="1"/>
      <c r="B18" s="97" t="s">
        <v>899</v>
      </c>
      <c r="C18" s="98">
        <v>45960</v>
      </c>
      <c r="D18" s="97" t="s">
        <v>900</v>
      </c>
      <c r="E18" s="96" t="s">
        <v>901</v>
      </c>
      <c r="F18" s="96" t="s">
        <v>902</v>
      </c>
      <c r="G18" s="98">
        <v>46307</v>
      </c>
      <c r="H18" s="1"/>
      <c r="I18" s="1"/>
      <c r="J18" s="1"/>
      <c r="K18" s="1"/>
      <c r="L18" s="1"/>
    </row>
    <row r="19" ht="26.25">
      <c r="A19" s="1"/>
      <c r="B19" s="97" t="s">
        <v>903</v>
      </c>
      <c r="C19" s="98">
        <v>46077</v>
      </c>
      <c r="D19" s="97" t="s">
        <v>904</v>
      </c>
      <c r="E19" s="96" t="s">
        <v>905</v>
      </c>
      <c r="F19" s="96" t="s">
        <v>906</v>
      </c>
      <c r="G19" s="98">
        <v>46307</v>
      </c>
      <c r="H19" s="1"/>
      <c r="I19" s="1"/>
      <c r="J19" s="1"/>
      <c r="K19" s="1"/>
      <c r="L19" s="1"/>
    </row>
    <row r="20" ht="26.25">
      <c r="A20" s="1"/>
      <c r="B20" s="97" t="s">
        <v>907</v>
      </c>
      <c r="C20" s="98">
        <v>46220</v>
      </c>
      <c r="D20" s="97" t="s">
        <v>908</v>
      </c>
      <c r="E20" s="96" t="s">
        <v>909</v>
      </c>
      <c r="F20" s="96" t="s">
        <v>910</v>
      </c>
      <c r="G20" s="98">
        <v>46307</v>
      </c>
      <c r="H20" s="1"/>
      <c r="I20" s="1"/>
      <c r="J20" s="1"/>
      <c r="K20" s="1"/>
      <c r="L20" s="1"/>
    </row>
    <row r="21" ht="26.25">
      <c r="A21" s="1"/>
      <c r="B21" s="97" t="s">
        <v>911</v>
      </c>
      <c r="C21" s="98">
        <v>46280</v>
      </c>
      <c r="D21" s="97" t="s">
        <v>912</v>
      </c>
      <c r="E21" s="96" t="s">
        <v>913</v>
      </c>
      <c r="F21" s="96" t="s">
        <v>914</v>
      </c>
      <c r="G21" s="98">
        <v>46307</v>
      </c>
      <c r="H21" s="1"/>
      <c r="I21" s="1"/>
      <c r="J21" s="1"/>
      <c r="K21" s="1"/>
      <c r="L21" s="1"/>
    </row>
    <row r="22" ht="26.25">
      <c r="A22" s="1"/>
      <c r="B22" s="97" t="s">
        <v>915</v>
      </c>
      <c r="C22" s="98">
        <v>46304</v>
      </c>
      <c r="D22" s="97" t="s">
        <v>916</v>
      </c>
      <c r="E22" s="96" t="s">
        <v>917</v>
      </c>
      <c r="F22" s="96" t="s">
        <v>918</v>
      </c>
      <c r="G22" s="98">
        <v>46307</v>
      </c>
      <c r="H22" s="1"/>
      <c r="I22" s="1"/>
      <c r="J22" s="1"/>
      <c r="K22" s="1"/>
      <c r="L22" s="1"/>
    </row>
    <row r="23" ht="26.25">
      <c r="A23" s="1"/>
      <c r="B23" s="97" t="s">
        <v>919</v>
      </c>
      <c r="C23" s="98">
        <v>46220</v>
      </c>
      <c r="D23" s="97" t="s">
        <v>920</v>
      </c>
      <c r="E23" s="96" t="s">
        <v>921</v>
      </c>
      <c r="F23" s="96" t="s">
        <v>922</v>
      </c>
      <c r="G23" s="98">
        <v>46307</v>
      </c>
      <c r="H23" s="1"/>
      <c r="I23" s="1"/>
      <c r="J23" s="1"/>
      <c r="K23" s="1"/>
      <c r="L23" s="1"/>
    </row>
    <row r="24" ht="26.25">
      <c r="A24" s="1"/>
      <c r="B24" s="97" t="s">
        <v>923</v>
      </c>
      <c r="C24" s="98">
        <v>46280</v>
      </c>
      <c r="D24" s="97" t="s">
        <v>920</v>
      </c>
      <c r="E24" s="96" t="s">
        <v>924</v>
      </c>
      <c r="F24" s="96" t="s">
        <v>925</v>
      </c>
      <c r="G24" s="98">
        <v>46307</v>
      </c>
      <c r="H24" s="1"/>
      <c r="I24" s="1"/>
      <c r="J24" s="1"/>
      <c r="K24" s="1"/>
      <c r="L24" s="1"/>
    </row>
    <row r="25" ht="26.25">
      <c r="A25" s="1"/>
      <c r="B25" s="97" t="s">
        <v>926</v>
      </c>
      <c r="C25" s="98">
        <v>46129</v>
      </c>
      <c r="D25" s="97" t="s">
        <v>927</v>
      </c>
      <c r="E25" s="96" t="s">
        <v>928</v>
      </c>
      <c r="F25" s="96" t="s">
        <v>929</v>
      </c>
      <c r="G25" s="98">
        <v>46307</v>
      </c>
      <c r="H25" s="1"/>
      <c r="I25" s="1"/>
      <c r="J25" s="1"/>
      <c r="K25" s="1"/>
      <c r="L25" s="1"/>
    </row>
    <row r="26" ht="26.25">
      <c r="A26" s="1"/>
      <c r="B26" s="97" t="s">
        <v>930</v>
      </c>
      <c r="C26" s="98">
        <v>46043</v>
      </c>
      <c r="D26" s="97" t="s">
        <v>920</v>
      </c>
      <c r="E26" s="96" t="s">
        <v>931</v>
      </c>
      <c r="F26" s="96" t="s">
        <v>932</v>
      </c>
      <c r="G26" s="98">
        <v>46307</v>
      </c>
      <c r="H26" s="1"/>
      <c r="I26" s="1"/>
      <c r="J26" s="1"/>
      <c r="K26" s="1"/>
      <c r="L26" s="1"/>
    </row>
    <row r="27" ht="26.25">
      <c r="A27" s="1"/>
      <c r="B27" s="97" t="s">
        <v>933</v>
      </c>
      <c r="C27" s="98">
        <v>45947</v>
      </c>
      <c r="D27" s="97" t="s">
        <v>934</v>
      </c>
      <c r="E27" s="96" t="s">
        <v>935</v>
      </c>
      <c r="F27" s="96" t="s">
        <v>936</v>
      </c>
      <c r="G27" s="98">
        <v>46307</v>
      </c>
      <c r="H27" s="1"/>
      <c r="I27" s="1"/>
      <c r="J27" s="1"/>
      <c r="K27" s="1"/>
      <c r="L27" s="1"/>
    </row>
    <row r="28" ht="26.25">
      <c r="A28" s="1"/>
      <c r="B28" s="97" t="s">
        <v>937</v>
      </c>
      <c r="C28" s="98">
        <v>46303</v>
      </c>
      <c r="D28" s="97" t="s">
        <v>938</v>
      </c>
      <c r="E28" s="96" t="s">
        <v>939</v>
      </c>
      <c r="F28" s="96" t="s">
        <v>940</v>
      </c>
      <c r="G28" s="98">
        <v>46307</v>
      </c>
      <c r="H28" s="1"/>
      <c r="I28" s="1"/>
      <c r="J28" s="1"/>
      <c r="K28" s="1"/>
      <c r="L28" s="1"/>
    </row>
    <row r="29" ht="26.25">
      <c r="A29" s="1"/>
      <c r="B29" s="97" t="s">
        <v>941</v>
      </c>
      <c r="C29" s="98">
        <v>46303</v>
      </c>
      <c r="D29" s="97" t="s">
        <v>942</v>
      </c>
      <c r="E29" s="96" t="s">
        <v>943</v>
      </c>
      <c r="F29" s="96" t="s">
        <v>944</v>
      </c>
      <c r="G29" s="98">
        <v>46307</v>
      </c>
      <c r="H29" s="1"/>
      <c r="I29" s="1"/>
      <c r="J29" s="1"/>
      <c r="K29" s="1"/>
      <c r="L29" s="1"/>
    </row>
    <row r="30" ht="26.25">
      <c r="A30" s="1"/>
      <c r="B30" s="97" t="s">
        <v>945</v>
      </c>
      <c r="C30" s="98">
        <v>46283</v>
      </c>
      <c r="D30" s="97" t="s">
        <v>946</v>
      </c>
      <c r="E30" s="96" t="s">
        <v>947</v>
      </c>
      <c r="F30" s="96" t="s">
        <v>948</v>
      </c>
      <c r="G30" s="98">
        <v>46307</v>
      </c>
      <c r="H30" s="1"/>
      <c r="I30" s="1"/>
      <c r="J30" s="1"/>
      <c r="K30" s="1"/>
      <c r="L30" s="1"/>
    </row>
    <row r="31" ht="26.25">
      <c r="A31" s="1"/>
      <c r="B31" s="97" t="s">
        <v>949</v>
      </c>
      <c r="C31" s="98">
        <v>46282</v>
      </c>
      <c r="D31" s="97" t="s">
        <v>946</v>
      </c>
      <c r="E31" s="96" t="s">
        <v>950</v>
      </c>
      <c r="F31" s="96" t="s">
        <v>951</v>
      </c>
      <c r="G31" s="98">
        <v>46307</v>
      </c>
      <c r="H31" s="1"/>
      <c r="I31" s="1"/>
      <c r="J31" s="1"/>
      <c r="K31" s="1"/>
      <c r="L31" s="1"/>
    </row>
    <row r="32" ht="26.25">
      <c r="A32" s="1"/>
      <c r="B32" s="97" t="s">
        <v>952</v>
      </c>
      <c r="C32" s="98">
        <v>46281</v>
      </c>
      <c r="D32" s="97" t="s">
        <v>953</v>
      </c>
      <c r="E32" s="96" t="s">
        <v>954</v>
      </c>
      <c r="F32" s="96" t="s">
        <v>955</v>
      </c>
      <c r="G32" s="98">
        <v>46307</v>
      </c>
      <c r="H32" s="1"/>
      <c r="I32" s="1"/>
      <c r="J32" s="1"/>
      <c r="K32" s="1"/>
      <c r="L32" s="1"/>
    </row>
    <row r="33" ht="37.5">
      <c r="A33" s="1"/>
      <c r="B33" s="97" t="s">
        <v>956</v>
      </c>
      <c r="C33" s="98">
        <v>46280</v>
      </c>
      <c r="D33" s="97" t="s">
        <v>957</v>
      </c>
      <c r="E33" s="96" t="s">
        <v>958</v>
      </c>
      <c r="F33" s="96" t="s">
        <v>959</v>
      </c>
      <c r="G33" s="98">
        <v>46307</v>
      </c>
      <c r="H33" s="1"/>
      <c r="I33" s="1"/>
      <c r="J33" s="1"/>
      <c r="K33" s="1"/>
      <c r="L33" s="1"/>
    </row>
    <row r="34" ht="26.25">
      <c r="A34" s="1"/>
      <c r="B34" s="97" t="s">
        <v>960</v>
      </c>
      <c r="C34" s="98">
        <v>46304</v>
      </c>
      <c r="D34" s="97" t="s">
        <v>961</v>
      </c>
      <c r="E34" s="96" t="s">
        <v>962</v>
      </c>
      <c r="F34" s="96" t="s">
        <v>963</v>
      </c>
      <c r="G34" s="98">
        <v>46307</v>
      </c>
      <c r="H34" s="1"/>
      <c r="I34" s="1"/>
      <c r="J34" s="1"/>
      <c r="K34" s="1"/>
      <c r="L34" s="1"/>
    </row>
    <row r="35" ht="26.25">
      <c r="A35" s="1"/>
      <c r="B35" s="97" t="s">
        <v>964</v>
      </c>
      <c r="C35" s="98">
        <v>46280</v>
      </c>
      <c r="D35" s="97" t="s">
        <v>965</v>
      </c>
      <c r="E35" s="96" t="s">
        <v>966</v>
      </c>
      <c r="F35" s="96" t="s">
        <v>967</v>
      </c>
      <c r="G35" s="98">
        <v>46307</v>
      </c>
      <c r="H35" s="1"/>
      <c r="I35" s="1"/>
      <c r="J35" s="1"/>
      <c r="K35" s="1"/>
      <c r="L35" s="1"/>
    </row>
    <row r="36" ht="26.25">
      <c r="A36" s="1"/>
      <c r="B36" s="97" t="s">
        <v>968</v>
      </c>
      <c r="C36" s="98">
        <v>46298</v>
      </c>
      <c r="D36" s="97" t="s">
        <v>969</v>
      </c>
      <c r="E36" s="96" t="s">
        <v>970</v>
      </c>
      <c r="F36" s="96" t="s">
        <v>971</v>
      </c>
      <c r="G36" s="98">
        <v>46307</v>
      </c>
      <c r="H36" s="1"/>
      <c r="I36" s="1"/>
      <c r="J36" s="1"/>
      <c r="K36" s="1"/>
      <c r="L36" s="1"/>
    </row>
    <row r="37" ht="39">
      <c r="A37" s="1"/>
      <c r="B37" s="97" t="s">
        <v>972</v>
      </c>
      <c r="C37" s="113" t="s">
        <v>973</v>
      </c>
      <c r="D37" s="97" t="s">
        <v>974</v>
      </c>
      <c r="E37" s="96" t="s">
        <v>975</v>
      </c>
      <c r="F37" s="96" t="s">
        <v>976</v>
      </c>
      <c r="G37" s="98">
        <v>46307</v>
      </c>
      <c r="H37" s="1"/>
      <c r="I37" s="1"/>
      <c r="J37" s="1"/>
      <c r="K37" s="1"/>
      <c r="L37" s="1"/>
    </row>
    <row r="38" ht="26.25">
      <c r="A38" s="1"/>
      <c r="B38" s="97" t="s">
        <v>977</v>
      </c>
      <c r="C38" s="98">
        <v>46306</v>
      </c>
      <c r="D38" s="97" t="s">
        <v>978</v>
      </c>
      <c r="E38" s="96" t="s">
        <v>979</v>
      </c>
      <c r="F38" s="96" t="s">
        <v>980</v>
      </c>
      <c r="G38" s="98" t="s">
        <v>870</v>
      </c>
      <c r="H38" s="1"/>
      <c r="I38" s="1"/>
      <c r="J38" s="1"/>
      <c r="K38" s="1"/>
      <c r="L38" s="1"/>
    </row>
    <row r="3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>
      <c r="A40" s="1"/>
      <c r="B40" s="1" t="s">
        <v>981</v>
      </c>
      <c r="C40" s="1"/>
      <c r="D40" s="1"/>
      <c r="E40" s="1"/>
      <c r="F40" s="1"/>
      <c r="G40" s="1"/>
      <c r="H40" s="1"/>
      <c r="I40" s="1"/>
      <c r="J40" s="1"/>
      <c r="K40" s="1"/>
      <c r="L40" s="1"/>
    </row>
    <row r="41">
      <c r="A41" s="1"/>
      <c r="B41" s="1" t="s">
        <v>982</v>
      </c>
      <c r="C41" s="1"/>
      <c r="D41" s="1"/>
      <c r="E41" s="1"/>
      <c r="F41" s="1"/>
      <c r="G41" s="1"/>
      <c r="H41" s="1"/>
      <c r="I41" s="1"/>
      <c r="J41" s="1"/>
      <c r="K41" s="1"/>
      <c r="L41" s="1"/>
    </row>
    <row r="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</sheetData>
</worksheet>
</file>