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2"/>
    <sheet name="Segment - Business Insurance" sheetId="3" r:id="rId3"/>
    <sheet name="Segment - Bond &amp; Specialty" sheetId="4" r:id="rId4"/>
    <sheet name="Segment - Personal Insurance" sheetId="5" r:id="rId5"/>
    <sheet name="Income Statement" sheetId="6" r:id="rId6"/>
    <sheet name="Balance Sheet" sheetId="7" r:id="rId7"/>
    <sheet name="Cash Flow Statement" sheetId="8" r:id="rId8"/>
    <sheet name="Geo" sheetId="9" r:id="rId9"/>
    <sheet name="Share Count" sheetId="10" r:id="rId10"/>
    <sheet name="Guidance" sheetId="11" r:id="rId11"/>
    <sheet name="Sources" sheetId="12" r:id="rId12"/>
    <sheet name="Inputs" sheetId="13" r:id="rId13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C10" authorId="0">
      <text>
        <t>Retrieved 2026-10-12 (this run)</t>
      </text>
    </comment>
    <comment ref="C13" authorId="0">
      <text>
        <t>Retrieved 2026-10-12 (this run)</t>
      </text>
    </comment>
    <comment ref="C16" authorId="0">
      <text>
        <t>Retrieved 2026-10-12 (this run)</t>
      </text>
    </comment>
    <comment ref="C19" authorId="0">
      <text>
        <t>Retrieved 2026-10-12 (this run)</t>
      </text>
    </comment>
    <comment ref="C22" authorId="0">
      <text>
        <t>Retrieved 2026-10-12 (this run)</t>
      </text>
    </comment>
    <comment ref="C25" authorId="0">
      <text>
        <t>Retrieved 2026-10-12 (this run)</t>
      </text>
    </comment>
    <comment ref="C28" authorId="0">
      <text>
        <t>Retrieved 2026-10-12 (this run)</t>
      </text>
    </comment>
    <comment ref="C31" authorId="0">
      <text>
        <t>Retrieved 2026-10-12 (this run)</t>
      </text>
    </comment>
    <comment ref="C34" authorId="0">
      <text>
        <t>Retrieved 2026-10-12 (this run)</t>
      </text>
    </comment>
    <comment ref="C37" authorId="0">
      <text>
        <t>Retrieved 2026-10-12 (this run)</t>
      </text>
    </comment>
    <comment ref="C40" authorId="0">
      <text>
        <t>Retrieved 2026-10-12 (this run)</t>
      </text>
    </comment>
    <comment ref="C43" authorId="0">
      <text>
        <t>Retrieved 2026-10-12 (this run)</t>
      </text>
    </comment>
    <comment ref="C46" authorId="0">
      <text>
        <t>Retrieved supplied with task</t>
      </text>
    </comment>
    <comment ref="C49" authorId="0">
      <text>
        <t>Retrieved supplied with task</t>
      </text>
    </comment>
    <comment ref="C52" authorId="0">
      <text>
        <t>Retrieved 2026-10-12 (this run)</t>
      </text>
    </comment>
    <comment ref="C55" authorId="0">
      <text>
        <t>Retrieved 2026-10-12 (this run)</t>
      </text>
    </comment>
    <comment ref="C58" authorId="0">
      <text>
        <t>Retrieved 2026-10-12 (this run)</t>
      </text>
    </comment>
    <comment ref="C61" authorId="0">
      <text>
        <t>Retrieved 2026-10-12 (this run)</t>
      </text>
    </comment>
    <comment ref="C64" authorId="0">
      <text>
        <t>Retrieved 2026-10-12 (this run)</t>
      </text>
    </comment>
    <comment ref="C67" authorId="0">
      <text>
        <t>Retrieved 2026-10-12 (this run)</t>
      </text>
    </comment>
    <comment ref="C70" authorId="0">
      <text>
        <t>Retrieved 2026-10-12 (this run)</t>
      </text>
    </comment>
    <comment ref="C73" authorId="0">
      <text>
        <t>Retrieved 2026-10-12 (this run)</t>
      </text>
    </comment>
    <comment ref="C76" authorId="0">
      <text>
        <t>Retrieved 2026-10-12 (this run)</t>
      </text>
    </comment>
    <comment ref="C79" authorId="0">
      <text>
        <t>Retrieved 2026-10-12 (this run)</t>
      </text>
    </comment>
    <comment ref="C82" authorId="0">
      <text>
        <t>Retrieved 2026-10-12 (this run)</t>
      </text>
    </comment>
    <comment ref="C85" authorId="0">
      <text>
        <t>Retrieved 2026-10-12 (this run)</t>
      </text>
    </comment>
    <comment ref="C88" authorId="0">
      <text>
        <t>Retrieved 2026-10-12 (this run)</t>
      </text>
    </comment>
    <comment ref="C91" authorId="0">
      <text>
        <t>Retrieved 2026-10-12 (this run)</t>
      </text>
    </comment>
    <comment ref="C94" authorId="0">
      <text>
        <t>Retrieved 2026-10-12 (this run)</t>
      </text>
    </comment>
    <comment ref="C97" authorId="0">
      <text>
        <t>Retrieved 2026-10-12 (this run)</t>
      </text>
    </comment>
    <comment ref="C100" authorId="0">
      <text>
        <t>Retrieved via playbook</t>
      </text>
    </comment>
    <comment ref="C103" authorId="0">
      <text>
        <t>Retrieved 2026-10-12 (this run)</t>
      </text>
    </comment>
    <comment ref="C106" authorId="0">
      <text>
        <t>Retrieved 2026-10-12 (this run)</t>
      </text>
    </comment>
    <comment ref="C109" authorId="0">
      <text>
        <t>Retrieved 2026-10-12 (this run)</t>
      </text>
    </comment>
    <comment ref="C112" authorId="0">
      <text>
        <t>Retrieved 2026-10-12 (this run)</t>
      </text>
    </comment>
  </commentList>
</comments>
</file>

<file path=xl/comments2.xml><?xml version="1.0" encoding="utf-8"?>
<comments xmlns="http://schemas.openxmlformats.org/spreadsheetml/2006/main">
  <authors>
    <author>api</author>
  </authors>
  <commentList>
    <comment ref="B215" authorId="0">
      <text>
        <t>a992finsupp63026.htm | Selected Statistics - Business Insurance, Policyholder dividends, 1Q2025 | 9</t>
      </text>
    </comment>
    <comment ref="C215" authorId="0">
      <text>
        <t>a992finsupp63026.htm | Selected Statistics - Business Insurance, Policyholder dividends, 2Q2025 | 5</t>
      </text>
    </comment>
    <comment ref="D215" authorId="0">
      <text>
        <t>a992finsupp63026.htm | Selected Statistics - Business Insurance, Policyholder dividends, 3Q2025 | 9</t>
      </text>
    </comment>
    <comment ref="E215" authorId="0">
      <text>
        <t>a992finsupp63026.htm | Selected Statistics - Business Insurance, Policyholder dividends, 4Q2025 | 5</t>
      </text>
    </comment>
    <comment ref="G215" authorId="0">
      <text>
        <t>a992finsupp63026.htm | Selected Statistics - Business Insurance, Policyholder dividends, 1Q2026 | 8</t>
      </text>
    </comment>
    <comment ref="H215" authorId="0">
      <text>
        <t>a992finsupp63026.htm | Selected Statistics - Business Insurance, Policyholder dividends, 2Q2026 | 4</t>
      </text>
    </comment>
  </commentList>
</comments>
</file>

<file path=xl/comments3.xml><?xml version="1.0" encoding="utf-8"?>
<comments xmlns="http://schemas.openxmlformats.org/spreadsheetml/2006/main">
  <authors>
    <author>api</author>
  </authors>
  <commentList>
    <comment ref="B168" authorId="0">
      <text>
        <t>a992finsupp63026.htm | Selected Statistics - Bond &amp; Specialty Insurance, Policyholder dividends, 1Q2025 | 4</t>
      </text>
    </comment>
    <comment ref="C168" authorId="0">
      <text>
        <t>a992finsupp63026.htm | Selected Statistics - Bond &amp; Specialty Insurance, Policyholder dividends, 2Q2025 | 5</t>
      </text>
    </comment>
    <comment ref="D168" authorId="0">
      <text>
        <t>a992finsupp63026.htm | Selected Statistics - Bond &amp; Specialty Insurance, Policyholder dividends, 3Q2025 | 3</t>
      </text>
    </comment>
    <comment ref="E168" authorId="0">
      <text>
        <t>a992finsupp63026.htm | Selected Statistics - Bond &amp; Specialty Insurance, Policyholder dividends, 4Q2025 | 5</t>
      </text>
    </comment>
    <comment ref="G168" authorId="0">
      <text>
        <t>a992finsupp63026.htm | Selected Statistics - Bond &amp; Specialty Insurance, Policyholder dividends, 1Q2026 | 4</t>
      </text>
    </comment>
    <comment ref="H168" authorId="0">
      <text>
        <t>a992finsupp63026.htm | Selected Statistics - Bond &amp; Specialty Insurance, Policyholder dividends, 2Q2026 | 4</t>
      </text>
    </comment>
  </commentList>
</comments>
</file>

<file path=xl/sharedStrings.xml><?xml version="1.0" encoding="utf-8"?>
<sst xmlns="http://schemas.openxmlformats.org/spreadsheetml/2006/main" count="3780" uniqueCount="1004">
  <si>
    <t>The Travelers Companies, Inc. (NYSE: TRV)</t>
  </si>
  <si>
    <t>Cover</t>
  </si>
  <si>
    <t>$ millions, except per share</t>
  </si>
  <si>
    <t>Summary tab: columns follow the block headers below (rows 22, 35, 40, 58), not model periods</t>
  </si>
  <si>
    <t>Notes / sources</t>
  </si>
  <si>
    <t>Company Model — built by Shortcut</t>
  </si>
  <si>
    <t>Company</t>
  </si>
  <si>
    <t>Ticker</t>
  </si>
  <si>
    <t>Exchange</t>
  </si>
  <si>
    <t>NYSE</t>
  </si>
  <si>
    <t>Fiscal year end</t>
  </si>
  <si>
    <t>Reporting currency</t>
  </si>
  <si>
    <t>Forecast period</t>
  </si>
  <si>
    <t>FQ3 2026 = 3Q26E: quarter ended 30-Sep-2026 (issuer fiscal quarter = calendar quarter; supplied label 2026-09-30 is exact)</t>
  </si>
  <si>
    <t>EPS basis</t>
  </si>
  <si>
    <t>Core income per diluted share (TRV non-GAAP: net income ex after-tax realized investment gains/losses) = CapIQ normalized diluted EPS</t>
  </si>
  <si>
    <t>Revenue basis</t>
  </si>
  <si>
    <t>Net earned premiums (CapIQ revenue = TRV "Premiums"); GAAP total revenues shown separately</t>
  </si>
  <si>
    <t>Information cutoff</t>
  </si>
  <si>
    <t>2026-10-11 22:24 UTC</t>
  </si>
  <si>
    <t>Expected report date</t>
  </si>
  <si>
    <t>2026-10-16 (before market open; call 9:00 ET) - confirmed by TRV release 14-Sep-2026 (S12)</t>
  </si>
  <si>
    <t>Consensus snapshot</t>
  </si>
  <si>
    <t>Headline (3Q26E)</t>
  </si>
  <si>
    <t>Shortcut est.</t>
  </si>
  <si>
    <t>Consensus</t>
  </si>
  <si>
    <t>Variance</t>
  </si>
  <si>
    <t>Variance %</t>
  </si>
  <si>
    <t>Guidance mid</t>
  </si>
  <si>
    <t>Est. vs guid.</t>
  </si>
  <si>
    <t># estimates</t>
  </si>
  <si>
    <t>Revenue (net earned premiums)</t>
  </si>
  <si>
    <t>n/a</t>
  </si>
  <si>
    <t>Total revenues (GAAP)</t>
  </si>
  <si>
    <t>Net income - core</t>
  </si>
  <si>
    <t>C25 = CapIQ net_income_excl_excep (reference only); definition match to TRV core income unverified, so variance withheld</t>
  </si>
  <si>
    <t>Net income - GAAP</t>
  </si>
  <si>
    <t>EPS - core diluted</t>
  </si>
  <si>
    <t>Excludes 3Q26E policyholder dividends (in historical GAAP claims; BI J215, B&amp;S J168): unresolved omission from the original build; EPS not adjusted. EPS if included: -$0.039 at 4-qtr avg ($10.5m pre-tax); c.-$0.030 ($8m) to c.-$0.045 ($12m). Disclosed caveat, not EPS-neutral</t>
  </si>
  <si>
    <t>EPS - GAAP diluted</t>
  </si>
  <si>
    <t>GAAP = core: 3Q26E net realized investment gains assumed 0 (Revenue summary I108); variance vs GAAP consensus (embeds expected realized losses) is mechanical</t>
  </si>
  <si>
    <t>P(beat consensus EPS)</t>
  </si>
  <si>
    <t>Equals estimate.json p_beat_consensus_eps; judgmental input (not formula-derived) - rationale in J56</t>
  </si>
  <si>
    <t>Confidence</t>
  </si>
  <si>
    <t>low</t>
  </si>
  <si>
    <t>Cat-driven quarter: +/-$100m of cats = ~$0.38 EPS</t>
  </si>
  <si>
    <t>Mechanical check result</t>
  </si>
  <si>
    <t>AND of B62:B88 (27 checks; type in column E). Mechanical only: historical source ties, all-period identities (rows 62/77/85/88) and 3Q26E plug identities (BI I92, B&amp;S I51, CF I40; CF I56 cash assumption). Not forecast validation; excludes the dividend omission (J27)</t>
  </si>
  <si>
    <t>Cover ties to statements</t>
  </si>
  <si>
    <t>Guidance midpoint: TRV gives no revenue, net income or EPS guidance (Guidance tab); only fixed-income NII (~$840m after-tax for 3Q26) and a ~28.5% FY expense ratio.</t>
  </si>
  <si>
    <t>Other consensus (reference only)</t>
  </si>
  <si>
    <t>EPS</t>
  </si>
  <si>
    <t>Date</t>
  </si>
  <si>
    <t>Source</t>
  </si>
  <si>
    <t>MarketBeat</t>
  </si>
  <si>
    <t>S26</t>
  </si>
  <si>
    <t>Benzinga (revenue $11.02bn)</t>
  </si>
  <si>
    <t>S27</t>
  </si>
  <si>
    <t>Earnings Whispers</t>
  </si>
  <si>
    <t>S34</t>
  </si>
  <si>
    <t>Beat-probability calibration</t>
  </si>
  <si>
    <t>Value</t>
  </si>
  <si>
    <t>Market cap 9-Oct-26 ($m)</t>
  </si>
  <si>
    <t>S24 stockanalysis.com ($76.91bn); CapIQ market_cap field blank</t>
  </si>
  <si>
    <t>Large-cap threshold ($m)</t>
  </si>
  <si>
    <t>Playbook v2: large &gt; $10bn</t>
  </si>
  <si>
    <t>Mid-cap threshold ($m)</t>
  </si>
  <si>
    <t>Playbook v2: mid $2-10bn</t>
  </si>
  <si>
    <t>Size bucket</t>
  </si>
  <si>
    <t>S&amp;P 500 member (CapIQ)</t>
  </si>
  <si>
    <t>Prior: large cap or S&amp;P 500</t>
  </si>
  <si>
    <t>Playbook v2 cohort priors: 0.78 consistent with S31 (FactSet 5-yr S&amp;P 500 beat avg 78%); 0.70 / 0.60 and Playbook v2 itself are not in the Sources register. Unused for TRV: S&amp;P 500 = Y (B45) selects 0.78, so B47:B48 and thresholds B42:B43 do not affect B49</t>
  </si>
  <si>
    <t>Prior: mid cap</t>
  </si>
  <si>
    <t>Prior: small cap</t>
  </si>
  <si>
    <t>Cohort prior</t>
  </si>
  <si>
    <t>Strict beats b</t>
  </si>
  <si>
    <t>Count of strict beats in Inputs row 18 (TRUE = 1 via N(); blank FY25A column = 0, not counted). Historical consensus (Inputs row 11) is CapIQ as supplied; pre-report snapshot timing not verified</t>
  </si>
  <si>
    <t>Valid pairs n</t>
  </si>
  <si>
    <t>Pseudo-count</t>
  </si>
  <si>
    <t>Starting p = (k*prior+b)/(k+n)</t>
  </si>
  <si>
    <t>Model EPS s.d. ($)</t>
  </si>
  <si>
    <t>Cat s.d. ~$250m (~$0.95/sh) plus PYD s.d. ~$120m (~$0.45/sh) plus other</t>
  </si>
  <si>
    <t>Model P(EPS &gt; consensus)</t>
  </si>
  <si>
    <t>Final probability (= P(beat))</t>
  </si>
  <si>
    <t>Judgmental, retained (prior-calibration.json): start 0.874 (S&amp;P 500, 6/6 strict beats) weighted toward model view 0.556 (= B55 at the retained core EPS $7.514) because the heavy 3Q26 cat signal is negative -&gt; 0.70; no numeric blend weight was recorded (a back-solved ~0.55 weight on the model view is arithmetic only, not a recorded rationale)</t>
  </si>
  <si>
    <t>Check register (feeds B31)</t>
  </si>
  <si>
    <t>Pass</t>
  </si>
  <si>
    <t>Max |diff|</t>
  </si>
  <si>
    <t>Tolerance</t>
  </si>
  <si>
    <t>Type</t>
  </si>
  <si>
    <t>Tolerance: $m source ties</t>
  </si>
  <si>
    <t>Reported $m figures are rounded to $1m; derived totals of rounded components can differ by ~$1m</t>
  </si>
  <si>
    <t>Tolerance: share ties (m)</t>
  </si>
  <si>
    <t>Shares reported to 0.1m; basic and dilutive effect each rounded</t>
  </si>
  <si>
    <t>Errors in any check propagate to B31 (no PASS); residuals such as the claims back-test (BI row 216, B&amp;S row 169) are disclosed assumptions, not PASS checks</t>
  </si>
  <si>
    <t>Source-tie rows: quarterly ties (B:E, G:H) are the source evidence (issuer S1/S4-S7; row 63 vs CapIQ). FY25A column F is derivative: flow rows compare a sum of quarters with a sum of reported quarters (FY 'reported' memo = SUM of quarters; no separate FY source); BS rows 79/80 repeat the 4Q25 stock tie (F = E); rows 63/76/87 have no FY value</t>
  </si>
  <si>
    <t>Segments NEP = total NEP</t>
  </si>
  <si>
    <t>boolean</t>
  </si>
  <si>
    <t>in-row</t>
  </si>
  <si>
    <t>Identity</t>
  </si>
  <si>
    <t>Revenue summary row 40; in-row tolerance &lt;0.001</t>
  </si>
  <si>
    <t>NEP vs CapIQ revenue actual</t>
  </si>
  <si>
    <t>Source tie</t>
  </si>
  <si>
    <t>Revenue summary row 39 vs Inputs row 16 (historic quarters)</t>
  </si>
  <si>
    <t>Segment NII = total NII</t>
  </si>
  <si>
    <t>Source tie (hist.) / identity (3Q26E)</t>
  </si>
  <si>
    <t>Revenue summary row 64; 3Q26E segment shares sum to 1</t>
  </si>
  <si>
    <t>Total revenues vs reported</t>
  </si>
  <si>
    <t>Revenue summary row 118 vs S1 p.3</t>
  </si>
  <si>
    <t>BI NWP: product = market view</t>
  </si>
  <si>
    <t>Source tie (hist.) / plug identity (3Q26E)</t>
  </si>
  <si>
    <t>BI row 96</t>
  </si>
  <si>
    <t>BI segment income vs reported</t>
  </si>
  <si>
    <t>BI row 198 vs S1/S4-S7</t>
  </si>
  <si>
    <t>B&amp;S NWP: product = market view</t>
  </si>
  <si>
    <t>B&amp;S row 55</t>
  </si>
  <si>
    <t>B&amp;S segment income vs reported</t>
  </si>
  <si>
    <t>B&amp;S row 151 vs S1/S4-S7</t>
  </si>
  <si>
    <t>PI segment income vs reported</t>
  </si>
  <si>
    <t>PI row 252 vs S1/S4-S7</t>
  </si>
  <si>
    <t>Pre-tax income vs reported</t>
  </si>
  <si>
    <t>Income Statement row 38 vs S1 p.3</t>
  </si>
  <si>
    <t>Net income vs reported</t>
  </si>
  <si>
    <t>Income Statement row 52 vs S1 p.1</t>
  </si>
  <si>
    <t>Segment cats vs reported cats</t>
  </si>
  <si>
    <t>Income Statement row 90 vs S1 p.3</t>
  </si>
  <si>
    <t>Core income vs reported</t>
  </si>
  <si>
    <t>Income Statement row 105 vs S1 p.2</t>
  </si>
  <si>
    <t>Sum of segments = core income</t>
  </si>
  <si>
    <t>Income Statement row 112</t>
  </si>
  <si>
    <t>Core EPS vs reported</t>
  </si>
  <si>
    <t>Income Statement row 139; in-row tolerance $0.02 (EPS reported to $0.01)</t>
  </si>
  <si>
    <t>EPS = core NI / diluted shares</t>
  </si>
  <si>
    <t>Income Statement row 140; arithmetic identity</t>
  </si>
  <si>
    <t>Assets = liabilities + equity</t>
  </si>
  <si>
    <t>Source consistency (hist.) / plug identity (3Q26E)</t>
  </si>
  <si>
    <t>Balance Sheet row 45 (&lt;0.5); 3Q26E balances by construction via CF I40 investment plug - not independent evidence</t>
  </si>
  <si>
    <t>Total assets vs reported</t>
  </si>
  <si>
    <t>Balance Sheet row 47</t>
  </si>
  <si>
    <t>Total equity vs reported</t>
  </si>
  <si>
    <t>Balance Sheet row 49</t>
  </si>
  <si>
    <t>CFO vs reported</t>
  </si>
  <si>
    <t>Cash Flow row 25</t>
  </si>
  <si>
    <t>CFI vs reported</t>
  </si>
  <si>
    <t>Cash Flow row 43</t>
  </si>
  <si>
    <t>CFF vs reported</t>
  </si>
  <si>
    <t>Cash Flow row 53</t>
  </si>
  <si>
    <t>CF cash = BS cash</t>
  </si>
  <si>
    <t>Cash Flow row 61 (&lt;0.5); 3Q26E cash change set by assumption (CF I56)</t>
  </si>
  <si>
    <t>Geography NWP = segment NWP</t>
  </si>
  <si>
    <t>Geo row 27 (&lt;0.001)</t>
  </si>
  <si>
    <t>NWP vs reported</t>
  </si>
  <si>
    <t>Geo row 28 vs S1 p.7</t>
  </si>
  <si>
    <t>Diluted shares vs reported</t>
  </si>
  <si>
    <t>Share Count row 42 vs S1 p.2</t>
  </si>
  <si>
    <t>Cover headline ties to statements</t>
  </si>
  <si>
    <t>Cover B32</t>
  </si>
  <si>
    <t>Revenue summary: premiums by segment, investment income build, total revenues</t>
  </si>
  <si>
    <t>Period</t>
  </si>
  <si>
    <t>1Q25A</t>
  </si>
  <si>
    <t>2Q25A</t>
  </si>
  <si>
    <t>3Q25A</t>
  </si>
  <si>
    <t>4Q25A</t>
  </si>
  <si>
    <t>FY25A</t>
  </si>
  <si>
    <t>1Q26A</t>
  </si>
  <si>
    <t>2Q26A</t>
  </si>
  <si>
    <t>3Q26E</t>
  </si>
  <si>
    <t>Period end</t>
  </si>
  <si>
    <t>Days in period</t>
  </si>
  <si>
    <t>Net earned premiums by segment (CapIQ "revenue" basis = premiums)</t>
  </si>
  <si>
    <t>Business Insurance</t>
  </si>
  <si>
    <t>Link: Segment - Business Insurance</t>
  </si>
  <si>
    <t>% Y/Y</t>
  </si>
  <si>
    <t>% Q/Q</t>
  </si>
  <si>
    <t>% of total revenue</t>
  </si>
  <si>
    <t>Organic (ex-Canada; FX n/d)</t>
  </si>
  <si>
    <t>M&amp;A / scope (Canada)</t>
  </si>
  <si>
    <t>FX impact</t>
  </si>
  <si>
    <t>n/d</t>
  </si>
  <si>
    <t>Not disclosed - unavailable</t>
  </si>
  <si>
    <t>Bond &amp; Specialty Insurance</t>
  </si>
  <si>
    <t>Link: Segment - Bond &amp; Specialty</t>
  </si>
  <si>
    <t>Personal Insurance</t>
  </si>
  <si>
    <t>Link: Segment - Personal Insurance</t>
  </si>
  <si>
    <t>Total net earned premiums</t>
  </si>
  <si>
    <t>Revenue estimate on CapIQ basis</t>
  </si>
  <si>
    <t>Memo: NEP, prior-year qtr</t>
  </si>
  <si>
    <t>% Y/Y (reported)</t>
  </si>
  <si>
    <t>M&amp;A / scope (Canada divestiture)</t>
  </si>
  <si>
    <t>Memo: CapIQ revenue actual</t>
  </si>
  <si>
    <t>Formula link to Inputs (TRV_history.csv); target actual absent</t>
  </si>
  <si>
    <t>Check: NEP - CapIQ actual</t>
  </si>
  <si>
    <t>Check: segments = total</t>
  </si>
  <si>
    <t>Net investment income build</t>
  </si>
  <si>
    <t>Fixed maturities (gross)</t>
  </si>
  <si>
    <t>S1 p.26; 3Q26E = guided fixed-income gross less short-term</t>
  </si>
  <si>
    <t>Q/Q change ($)</t>
  </si>
  <si>
    <t>Short-term securities (gross)</t>
  </si>
  <si>
    <t>S1 p.26; 3Q26E = 30-Jun ST balance x yield / 4</t>
  </si>
  <si>
    <t>Other (alternatives etc.)</t>
  </si>
  <si>
    <t>S1 p.26; 3Q26E = trailing 4-quarter average (lagged marks)</t>
  </si>
  <si>
    <t>Gross investment income</t>
  </si>
  <si>
    <t>Investment expenses</t>
  </si>
  <si>
    <t>S1 p.26; 3Q26E run-rate</t>
  </si>
  <si>
    <t>Net investment income, pre-tax</t>
  </si>
  <si>
    <t>M&amp;A / scope</t>
  </si>
  <si>
    <t>Canada investment income in the divested business not disclosed - unavailable</t>
  </si>
  <si>
    <t>Organic growth</t>
  </si>
  <si>
    <t>Unavailable: M&amp;A and FX components not disclosed for this line</t>
  </si>
  <si>
    <t>Memo: NII, prior-year qtr</t>
  </si>
  <si>
    <t>S5 (2024 comparatives, 3Q25 supplement)</t>
  </si>
  <si>
    <t>Check: segment NII - total</t>
  </si>
  <si>
    <t>NII effective tax rate</t>
  </si>
  <si>
    <t>S1 p.26; FY = NII-weighted average of quarters (so FY after-tax NII = sum of quarters); 3Q26E links Income Statement assumption</t>
  </si>
  <si>
    <t>Y/Y change (bp)</t>
  </si>
  <si>
    <t>Q/Q change (bp)</t>
  </si>
  <si>
    <t>Net investment income, after-tax</t>
  </si>
  <si>
    <t>Memo: reported NII after-tax</t>
  </si>
  <si>
    <t>S1 p.26</t>
  </si>
  <si>
    <t>Fixed-income NII drivers</t>
  </si>
  <si>
    <t>FI NII after-tax: guidance</t>
  </si>
  <si>
    <t>Links to Guidance tab (S3, S9, S11)</t>
  </si>
  <si>
    <t>Fixed income gross (FM + ST)</t>
  </si>
  <si>
    <t>Implied FI tax rate vs guidance</t>
  </si>
  <si>
    <t>Calibrated so 1Q26/2Q26 actual gross ties to the guided after-tax amount; 3Q26E = average</t>
  </si>
  <si>
    <t>3Q26E FI gross implied by guidance</t>
  </si>
  <si>
    <t>Guidance-implied FI gross. On the reported NII tax rate (I65) model FI after-tax = (I74-I53)x(1-I65) ~ $832m vs $840m guide, by design of the I77 calibration (Guidance G14:G15); ~$0.04/sh gap retained as judgment</t>
  </si>
  <si>
    <t>Short-term balance, prior qtr-end</t>
  </si>
  <si>
    <t>Link Balance Sheet</t>
  </si>
  <si>
    <t>Short-term book yield</t>
  </si>
  <si>
    <t>S1/S4-S7 p.24 (period-end yields); 3Q26E held at 30-Jun-26 yield</t>
  </si>
  <si>
    <t>Average invested assets</t>
  </si>
  <si>
    <t>n/f</t>
  </si>
  <si>
    <t>S1 p.26 (3Q26E not forecast)</t>
  </si>
  <si>
    <t>Avg pre-tax yield (reported)</t>
  </si>
  <si>
    <t>Other revenue lines and total revenues</t>
  </si>
  <si>
    <t>Fee income</t>
  </si>
  <si>
    <t>Memo: fee income, PY qtr</t>
  </si>
  <si>
    <t>Scope effect on this line not disclosed - unavailable</t>
  </si>
  <si>
    <t>Other revenues</t>
  </si>
  <si>
    <t>Memo: other revenues, PY qtr</t>
  </si>
  <si>
    <t>Net realized inv. gains (losses)</t>
  </si>
  <si>
    <t>S1 p.3; 3Q26E = 0 (not forecastable; excluded from core income)</t>
  </si>
  <si>
    <t>Canada NEP in PY quarter / PY total revenues (S35; Canada NII/fees not disclosed - premiums only)</t>
  </si>
  <si>
    <t>Not disclosed - unavailable; organic not FX-adjusted</t>
  </si>
  <si>
    <t>Memo: revenues, prior-year qtr</t>
  </si>
  <si>
    <t>Memo: reported total revenues</t>
  </si>
  <si>
    <t>S1 p.3; FY25A = sum of reported qtrs</t>
  </si>
  <si>
    <t>Check: derived - reported</t>
  </si>
  <si>
    <t>Geography: TRV does not report quarterly revenue by geography; after the Jan-2026 Canada sale revenue is predominantly U.S. Disclosed NWP domestic/international split is on the Geo tab.</t>
  </si>
  <si>
    <t>Segment - Business Insurance: premium, underwriting and segment income build</t>
  </si>
  <si>
    <t>Segment production KPIs (domestic; S35 webcast)</t>
  </si>
  <si>
    <t>BI retention</t>
  </si>
  <si>
    <t>S35 p.10; segment-level memo (market ladders below drive the forecast); FY25A = simple average of quarters (weights not disclosed)</t>
  </si>
  <si>
    <t>BI renewal premium change</t>
  </si>
  <si>
    <t>S35 p.10; FY25A = simple average of quarters (weights not disclosed)</t>
  </si>
  <si>
    <t>BI new business ($m)</t>
  </si>
  <si>
    <t>S35 p.10</t>
  </si>
  <si>
    <t>Net written premiums by market: renewal ladders (GAAP basis)</t>
  </si>
  <si>
    <t>Renewal base: PY quarter NWP</t>
  </si>
  <si>
    <t>2025 cols: 2024 NWP (S5); 2026 cols link to same quarter prior year</t>
  </si>
  <si>
    <t>Retention (policy count)</t>
  </si>
  <si>
    <t>S35 2Q26 webcast deck (production statistics); NWP S1; 3Q26E assumption</t>
  </si>
  <si>
    <t>Retained premium base ($)</t>
  </si>
  <si>
    <t>Renewal premium change</t>
  </si>
  <si>
    <t>S35 2Q26 webcast deck (production statistics); NWP S1; 3Q26E assumption (trend)</t>
  </si>
  <si>
    <t>Renewal premium ($)</t>
  </si>
  <si>
    <t>New business premium ($)</t>
  </si>
  <si>
    <t>S35 2Q26 webcast deck (production statistics); NWP S1; 3Q26E assumption (seasonal Q2-&gt;Q3 pattern of 2025)</t>
  </si>
  <si>
    <t>Implied NWP (renewal + new bus.)</t>
  </si>
  <si>
    <t>Other (endorsements, audits) %</t>
  </si>
  <si>
    <t>Derived residual; 3Q26E = 4-quarter average</t>
  </si>
  <si>
    <t>Select Accounts NWP</t>
  </si>
  <si>
    <t>S1 NWP by market/product; 3Q26E from ladder</t>
  </si>
  <si>
    <t>Middle Market NWP</t>
  </si>
  <si>
    <t>National Accounts</t>
  </si>
  <si>
    <t>S1 p.11; no production statistics disclosed; 3Q26E = PY x (1+growth)</t>
  </si>
  <si>
    <t>3Q26E growth assumption</t>
  </si>
  <si>
    <t>National Property and Other</t>
  </si>
  <si>
    <t>S1 p.11; large-account property shrinking by choice (S3); 3Q26E = PY x (1+growth)</t>
  </si>
  <si>
    <t>Total Domestic</t>
  </si>
  <si>
    <t>Canada NWP included (divested)</t>
  </si>
  <si>
    <t>S35 p.21 (Travelers Canada premiums divested)</t>
  </si>
  <si>
    <t>International</t>
  </si>
  <si>
    <t>S1 p.11; includes divested Canada in 2025</t>
  </si>
  <si>
    <t>International growth ex-Canada</t>
  </si>
  <si>
    <t>1Q26 -9%, 2Q26 +8%; 3Q26E assumption: flat</t>
  </si>
  <si>
    <t>Total net written premiums</t>
  </si>
  <si>
    <t>% Y/Y ex-Canada</t>
  </si>
  <si>
    <t>Memo: NWP, prior-year qtr</t>
  </si>
  <si>
    <t>Net written premiums by product line (GAAP basis)</t>
  </si>
  <si>
    <t>Workers' compensation</t>
  </si>
  <si>
    <t>S1 p.11; 3Q26E = PY x (1+growth)</t>
  </si>
  <si>
    <t>Commercial automobile</t>
  </si>
  <si>
    <t>Commercial property</t>
  </si>
  <si>
    <t>General liability</t>
  </si>
  <si>
    <t>Commercial multi-peril</t>
  </si>
  <si>
    <t>Other (3Q26E plug)</t>
  </si>
  <si>
    <t>S1 p.11; forecast is a plug so product and market views agree</t>
  </si>
  <si>
    <t>Total Domestic (product view)</t>
  </si>
  <si>
    <t>Total NWP (product view)</t>
  </si>
  <si>
    <t>Check: product - market view</t>
  </si>
  <si>
    <t>Net earned premiums (revenue driver: earned ratio x trailing NWP)</t>
  </si>
  <si>
    <t>Trailing four-quarter NWP</t>
  </si>
  <si>
    <t>Sum of the latest four quarters of NWP (2024 quarters from memo row)</t>
  </si>
  <si>
    <t>Earned ratio: NEP / (TTM NWP / 4)</t>
  </si>
  <si>
    <t>3Q26E = same quarter prior year + average Y/Y change of 1Q26-2Q26. Limitation: 1Q26/2Q26 TTM NWP still carries 3/2 quarters of divested Canada NWP vs 1 in the 3Q26E TTM, so the averaged delta embeds extra divestiture drag (est. c.+$0.01 EPS if restated); retained - 2024 Canada NWP not in sources</t>
  </si>
  <si>
    <t>Y/Y change in earned ratio (pts)</t>
  </si>
  <si>
    <t>Observed 1Q26 / 2Q26 Y/Y change; 3Q26E = average (formula). Mixed Canada scope across periods (divestiture drag included) - see J101</t>
  </si>
  <si>
    <t>Net earned premiums</t>
  </si>
  <si>
    <t>S1 p.8; 3Q26E = earned ratio x TTM NWP / 4</t>
  </si>
  <si>
    <t>Canada NEP included (divested)</t>
  </si>
  <si>
    <t>S35 p.21</t>
  </si>
  <si>
    <t>Scope = -Canada NEP in PY qtr / PY NEP (S35)</t>
  </si>
  <si>
    <t>Not disclosed by issuer - unavailable; organic row is NOT FX-adjusted</t>
  </si>
  <si>
    <t>Organic formula: (1+Y/Y)/((1+M&amp;A)*(1+FX))-1, FX unavailable</t>
  </si>
  <si>
    <t>Total Y/Y (= reported)</t>
  </si>
  <si>
    <t>Memo: prior-year qtr</t>
  </si>
  <si>
    <t>Underwriting ladder</t>
  </si>
  <si>
    <t>PYD favorable ex asbestos</t>
  </si>
  <si>
    <t>S1 p.29; 3Q26E assumption below 1H26 run-rate</t>
  </si>
  <si>
    <t>Y/Y change ($)</t>
  </si>
  <si>
    <t>Asbestos charge (3Q review)</t>
  </si>
  <si>
    <t>S1 p.29; 3Q review each year: 3Q23 $284m (S30), 3Q24 $242m (S5), 3Q25 $277m; 3Q26E = 3-yr avg $268m</t>
  </si>
  <si>
    <t>Underwriting expense ratio</t>
  </si>
  <si>
    <t>Reported ratio (S1/S4-S7); FY = NEP-weighted average of quarters (so FY $ margins = sum of quarters); 3Q26E assumption</t>
  </si>
  <si>
    <t>Underlying combined ratio</t>
  </si>
  <si>
    <t>Reported (ex cat &amp; PYD); FY = NEP-weighted average of quarters; 3Q26E = underlying loss ratio + expense ratio</t>
  </si>
  <si>
    <t>Underlying loss &amp; LAE ratio</t>
  </si>
  <si>
    <t>Derived = underlying CR - expense ratio; 3Q26E assumption</t>
  </si>
  <si>
    <t>Catastrophe losses (net)</t>
  </si>
  <si>
    <t>S1 p.8; 3Q26E $350m: derecho (Chicago metro, 11-Aug) commercial exposure, see Cover rationale</t>
  </si>
  <si>
    <t>Catastrophe ratio (pts)</t>
  </si>
  <si>
    <t>Net favorable PYD</t>
  </si>
  <si>
    <t>S1/S4-S7 reported; 3Q26E assumption</t>
  </si>
  <si>
    <t>PYD impact (pts; neg = fav.)</t>
  </si>
  <si>
    <t>Combined ratio</t>
  </si>
  <si>
    <t>Memo: reported combined ratio</t>
  </si>
  <si>
    <t>Reported (stat-NEP basis; small rounding vs calc.)</t>
  </si>
  <si>
    <t>Loss &amp; LAE ratio (all-in)</t>
  </si>
  <si>
    <t>Underlying UW margin ($, pre-tax)</t>
  </si>
  <si>
    <t>UW margin ($, pre-tax)</t>
  </si>
  <si>
    <t>Segment income statement (GAAP line items)</t>
  </si>
  <si>
    <t>Premiums</t>
  </si>
  <si>
    <t>Net investment income</t>
  </si>
  <si>
    <t>S1 segment page; 3Q26E = consolidated NII x segment share</t>
  </si>
  <si>
    <t>Segment share of NII</t>
  </si>
  <si>
    <t>3Q26E held at 2Q26 share</t>
  </si>
  <si>
    <t>S1; 3Q26E assumption (run-rate)</t>
  </si>
  <si>
    <t>Total revenues</t>
  </si>
  <si>
    <t>Canada NEP in prior-year quarter / PY total revenues (Canada NII/fees not disclosed - premiums only)</t>
  </si>
  <si>
    <t>Claims &amp; claim adj. expenses</t>
  </si>
  <si>
    <t>S1; 3Q26E = NEP x all-in loss ratio + fee income allocated to LAE (original forecast build). Policyholder dividends (row 215) are in GAAP claims but not in this forecast - unresolved omission, see J215</t>
  </si>
  <si>
    <t>Amortization of DAC</t>
  </si>
  <si>
    <t>S1; 3Q26E = NEP x DAC %</t>
  </si>
  <si>
    <t>G&amp;A expenses</t>
  </si>
  <si>
    <t>S1; 3Q26E = NEP x expense ratio + non-insurance G&amp;A + fee/billing allocations - DAC</t>
  </si>
  <si>
    <t>Total claims and expenses</t>
  </si>
  <si>
    <t>Segment pre-tax income</t>
  </si>
  <si>
    <t>Pre-tax margin (% of revenues)</t>
  </si>
  <si>
    <t>Income tax expense (benefit)</t>
  </si>
  <si>
    <t>S1; 3Q26E = NII x NII tax rate + other pre-tax x 21% (Income Statement assumptions)</t>
  </si>
  <si>
    <t>Segment income (after-tax)</t>
  </si>
  <si>
    <t>Memo: seg. income, prior-year qtr</t>
  </si>
  <si>
    <t>Memo: reported segment income</t>
  </si>
  <si>
    <t>S1/S4-S7 reported; FY25A = sum of qtrs</t>
  </si>
  <si>
    <t>Check: derived - reported (hist.)</t>
  </si>
  <si>
    <t>Expense allocation memo (issuer combined-ratio conventions)</t>
  </si>
  <si>
    <t>Fee income allocated to LAE</t>
  </si>
  <si>
    <t>S1 footnote (2); 3Q26E run-rate</t>
  </si>
  <si>
    <t>Fee income alloc. to UW expense</t>
  </si>
  <si>
    <t>S1 footnote (2)</t>
  </si>
  <si>
    <t>Billing and policy fees and other</t>
  </si>
  <si>
    <t>Non-insurance G&amp;A expenses</t>
  </si>
  <si>
    <t>S1 footnote; 3Q26E run-rate</t>
  </si>
  <si>
    <t>DAC amortization % of NEP</t>
  </si>
  <si>
    <t>3Q26E = average of last four quarters</t>
  </si>
  <si>
    <t>Policyholder dividends (in GAAP claims)</t>
  </si>
  <si>
    <t>S1 Selected Statistics - Business Insurance (historical, sourced). 3Q26E n/f: original forecast did not include dividends and no saved convention fixes a level - UNRESOLVED omission (claims likely understated; 4-qtr avg 6.5 = c.-$0.024 EPS; BI+B&amp;S 10.5 = -$0.039)</t>
  </si>
  <si>
    <t>Memo: claims back-test residual</t>
  </si>
  <si>
    <t>Reported claims less (NEP x all-in loss ratio + fee income to LAE + policyholder dividends); disclosed residual (ratio rounding / stat-vs-GAAP NEP), not a PASS check; not forecast</t>
  </si>
  <si>
    <t>Segment - Bond &amp; Specialty Insurance: premium, underwriting and segment income build</t>
  </si>
  <si>
    <t>Net written premiums by market (GAAP basis)</t>
  </si>
  <si>
    <t>S35 2Q26 webcast deck (production statistics); NWP S1; 3Q26E assumption $72m (judgment, retained; 2Q26 $77m, 3Q25 $71m; 2025 Q2-&gt;Q3 was flat at $71m, so the value is not a mechanical seasonal step; original rationale not recorded)</t>
  </si>
  <si>
    <t>Management Liability NWP</t>
  </si>
  <si>
    <t>Surety</t>
  </si>
  <si>
    <t>S1 p.15; non-recurring project business (no renewal statistics); +40% in 2Q26 (large projects, data centers, S3); 3Q26E tempered</t>
  </si>
  <si>
    <t>S35 p.21 (Canadian surety retained)</t>
  </si>
  <si>
    <t>S1 p.15</t>
  </si>
  <si>
    <t>1Q26 +10%, 2Q26 +6%; 3Q26E +6%</t>
  </si>
  <si>
    <t>Fidelity and surety</t>
  </si>
  <si>
    <t>S1 p.15; 3Q26E = PY x (1+growth)</t>
  </si>
  <si>
    <t>3Q26E = same quarter prior year + average Y/Y change of 1Q26-2Q26. Limitation: 1Q26/2Q26 TTM NWP still includes divested Canada NWP (C:E34) vs one quarter in the 3Q26E TTM, so the delta embeds extra divestiture drag; retained - 2024 Canada NWP not in sources</t>
  </si>
  <si>
    <t>Observed 1Q26 / 2Q26 Y/Y change; 3Q26E = average (formula). Mixed Canada scope across periods (divestiture drag included) - see J60</t>
  </si>
  <si>
    <t>S1 p.12; 3Q26E = earned ratio x TTM NWP / 4</t>
  </si>
  <si>
    <t>S1; 3Q26E = NEP x all-in loss ratio + fee income allocated to LAE (original forecast build). Policyholder dividends (row 168) are in GAAP claims but not in this forecast - unresolved omission, see J168</t>
  </si>
  <si>
    <t>S1 Selected Statistics - Bond &amp; Specialty (historical, sourced). 3Q26E n/f: original forecast did not include dividends and no saved convention fixes a level - UNRESOLVED omission (4-qtr avg 4.0 = c.-$0.015 EPS; BI+B&amp;S 10.5 = -$0.039)</t>
  </si>
  <si>
    <t>Segment - Personal Insurance: Automobile and Homeowners &amp; Other build</t>
  </si>
  <si>
    <t>Net written premiums: domestic renewal ladders (GAAP basis)</t>
  </si>
  <si>
    <t>Automobile NWP</t>
  </si>
  <si>
    <t>Homeowners and Other NWP</t>
  </si>
  <si>
    <t>International (Canada, divested)</t>
  </si>
  <si>
    <t>S1 p.19 = S35 Canada NWP; zero after the 2-Jan-26 sale (S32)</t>
  </si>
  <si>
    <t>Canada NEP included (PI total)</t>
  </si>
  <si>
    <t>S35 p.21; Auto/Home split not disclosed</t>
  </si>
  <si>
    <t>Automobile: policies in force ladder (thousands; incl. Canada until 4Q25)</t>
  </si>
  <si>
    <t>Opening policies in force</t>
  </si>
  <si>
    <t>Opening = prior closing; 1Q25 opening = 4Q24 closing (S5)</t>
  </si>
  <si>
    <t>Gross additions (new policies)</t>
  </si>
  <si>
    <t>Policy counts for new business / terminations not disclosed - unavailable (new business $ and retention are in the NWP ladder above)</t>
  </si>
  <si>
    <t>Terminations / non-renewals</t>
  </si>
  <si>
    <t>Net additions</t>
  </si>
  <si>
    <t>Derived; 1Q26 includes the Canada exit</t>
  </si>
  <si>
    <t>Y/Y change</t>
  </si>
  <si>
    <t>Closing policies in force</t>
  </si>
  <si>
    <t>S1 p.20-21; 3Q26E = opening x (1+Q/Q change)</t>
  </si>
  <si>
    <t>% chg in PIF (Q/Q; FY = Dec/Dec)</t>
  </si>
  <si>
    <t>3Q26E assumption -0.8% Q/Q (judgment, retained; 2Q26 actual -0.64%); original rationale for the gap vs 2Q26 not recorded</t>
  </si>
  <si>
    <t>Average policies in force</t>
  </si>
  <si>
    <t>Q/Q change (000s)</t>
  </si>
  <si>
    <t>Memo: PY quarter closing PIF</t>
  </si>
  <si>
    <t>2024 closing PIF (S5)</t>
  </si>
  <si>
    <t>Automobile: earned premium = average PIF x earned premium per policy</t>
  </si>
  <si>
    <t>NEP per avg policy ($, annual.)</t>
  </si>
  <si>
    <t>Realised price per policy = NEP x 4 / average PIF; 3Q26E = PY x (1 + growth). Limitation: 3Q25 base includes Canada policies (mix not disclosed) - estimate</t>
  </si>
  <si>
    <t>% Y/Y earned premium per policy</t>
  </si>
  <si>
    <t>2Q26 +0.1% with auto renewal premium change ~0% and "lower earned pricing" (S3); 3Q26E -0.5%</t>
  </si>
  <si>
    <t>Automobile NEP</t>
  </si>
  <si>
    <t>S1 p.20-21; 3Q26E = per-policy premium x average PIF / 4</t>
  </si>
  <si>
    <t>M&amp;A / scope (Canada, pro-rata)</t>
  </si>
  <si>
    <t>PI Canada NEP (S35) applied pro-rata: Auto/Home split not disclosed (estimate)</t>
  </si>
  <si>
    <t>Automobile: underwriting ladder</t>
  </si>
  <si>
    <t>Homeowners and Other: policies in force ladder (thousands; incl. Canada until 4Q25)</t>
  </si>
  <si>
    <t>3Q26E assumption -0.6% Q/Q (judgment, retained; 2Q26 actual -0.70%); original rationale for the gap vs 2Q26 not recorded</t>
  </si>
  <si>
    <t>Homeowners and Other: earned premium = average PIF x earned premium per policy</t>
  </si>
  <si>
    <t>1Q26 +9.3%, 2Q26 +8.5% = ~0.53x trailing-4Q renewal premium change; trailing RPC avg 12.5% -&gt; 3Q26E +6.7%</t>
  </si>
  <si>
    <t>Home &amp; Other NEP</t>
  </si>
  <si>
    <t>Homeowners and Other: underwriting ladder</t>
  </si>
  <si>
    <t>Personal Insurance segment totals</t>
  </si>
  <si>
    <t>Sum of sub-lines = reported PI premiums (S1 p.16)</t>
  </si>
  <si>
    <t>NEP-weighted Auto/Home</t>
  </si>
  <si>
    <t>Memo: reported underlying CR</t>
  </si>
  <si>
    <t>S1 p.17</t>
  </si>
  <si>
    <t>Catastrophe losses</t>
  </si>
  <si>
    <t>S1; 3Q26E = NEP x all-in loss ratio + fee income allocated to LAE</t>
  </si>
  <si>
    <t>Income Statement: GAAP to core (non-GAAP) EPS</t>
  </si>
  <si>
    <t>Revenues</t>
  </si>
  <si>
    <t>Claims and expenses</t>
  </si>
  <si>
    <t>Corporate G&amp;A</t>
  </si>
  <si>
    <t>S1 p.22; 3Q26E run-rate</t>
  </si>
  <si>
    <t>Interest expense</t>
  </si>
  <si>
    <t>S1 p.3; 3Q26E = 2Q26 run-rate after $200m Apr-26 maturity</t>
  </si>
  <si>
    <t>Income before income taxes</t>
  </si>
  <si>
    <t>Memo: reported pre-tax income</t>
  </si>
  <si>
    <t>Income taxes</t>
  </si>
  <si>
    <t>Segment income taxes (core)</t>
  </si>
  <si>
    <t>Corporate tax benefit</t>
  </si>
  <si>
    <t>S1 p.22</t>
  </si>
  <si>
    <t>Tax on realized gains</t>
  </si>
  <si>
    <t>S1 p.27</t>
  </si>
  <si>
    <t>Total income tax expense</t>
  </si>
  <si>
    <t>Effective tax rate</t>
  </si>
  <si>
    <t>Net income (GAAP)</t>
  </si>
  <si>
    <t>Memo: NI, prior-year qtr</t>
  </si>
  <si>
    <t>Memo: reported net income</t>
  </si>
  <si>
    <t>S1 p.1; FY25A = sum of reported qtrs</t>
  </si>
  <si>
    <t>Margins and ratios</t>
  </si>
  <si>
    <t>Pre-tax margin</t>
  </si>
  <si>
    <t>Net margin</t>
  </si>
  <si>
    <t>Catastrophe losses, pre-tax</t>
  </si>
  <si>
    <t>Net favorable PYD, pre-tax</t>
  </si>
  <si>
    <t>Underwriting margin ($, pre-tax)</t>
  </si>
  <si>
    <t>NEP x (1 - combined ratio); approximates issuer underwriting gain</t>
  </si>
  <si>
    <t>NEP x (1 - underlying combined ratio)</t>
  </si>
  <si>
    <t>S1 p.4 (stat-NEP basis)</t>
  </si>
  <si>
    <t>S1 p.4</t>
  </si>
  <si>
    <t>Memo: reported cat losses</t>
  </si>
  <si>
    <t>Check: segment cats - reported</t>
  </si>
  <si>
    <t>Forecast tax assumptions</t>
  </si>
  <si>
    <t>History links Revenue summary (S1 p.26); 3Q26E = 2026 YTD rate (input)</t>
  </si>
  <si>
    <t>Tax rate on non-NII pre-tax</t>
  </si>
  <si>
    <t>History implied from reported taxes; 3Q26E = 21% U.S. statutory</t>
  </si>
  <si>
    <t>GAAP to core income bridge (issuer non-GAAP = consensus basis)</t>
  </si>
  <si>
    <t>Adj 1: realized (gains) losses, AT</t>
  </si>
  <si>
    <t>Issuer core-income definition (S1 p.35)</t>
  </si>
  <si>
    <t>Adj 2: tax law/disc. ops (none)</t>
  </si>
  <si>
    <t>None reported in any period shown (S1 p.2 reconciliation)</t>
  </si>
  <si>
    <t>Core income</t>
  </si>
  <si>
    <t>Memo: core income, PY qtr</t>
  </si>
  <si>
    <t>Memo: reported core income</t>
  </si>
  <si>
    <t>S1 p.2; FY25A = sum of reported qtrs</t>
  </si>
  <si>
    <t>Core income by segment</t>
  </si>
  <si>
    <t>Interest Expense and Other</t>
  </si>
  <si>
    <t>Core income (sum of segments)</t>
  </si>
  <si>
    <t>Check: segments - core income</t>
  </si>
  <si>
    <t>Per-share data</t>
  </si>
  <si>
    <t>Participating awards alloc. %</t>
  </si>
  <si>
    <t>3Q26E = 4-quarter average</t>
  </si>
  <si>
    <t>Participating awards: NI alloc.</t>
  </si>
  <si>
    <t>S1 p.2</t>
  </si>
  <si>
    <t>NI available to common</t>
  </si>
  <si>
    <t>Participating awards: core alloc.</t>
  </si>
  <si>
    <t>Core income avail. to common</t>
  </si>
  <si>
    <t>Wtd avg basic shares (m)</t>
  </si>
  <si>
    <t>FY25A = day-weighted approximation (Share Count J32); not issuer-reported</t>
  </si>
  <si>
    <t>Wtd avg diluted shares (m)</t>
  </si>
  <si>
    <t>FY25A = day-weighted approximation (Share Count J35); not issuer-reported</t>
  </si>
  <si>
    <t>GAAP EPS - basic</t>
  </si>
  <si>
    <t>GAAP EPS - diluted</t>
  </si>
  <si>
    <t>Adj 1/sh: realized (gains) losses</t>
  </si>
  <si>
    <t>Includes small participating-allocation rounding</t>
  </si>
  <si>
    <t>Adj 2/sh: other exclusions</t>
  </si>
  <si>
    <t>Core EPS - basic</t>
  </si>
  <si>
    <t>Core EPS - diluted (consensus basis)</t>
  </si>
  <si>
    <t>Scored metric: CapIQ normalized diluted EPS = TRV core income per diluted share. Basis equality shown for actuals only (rows 136/138 equal in all 6 quarters); forward 3Q26 consensus contributor basis unconfirmed (Inputs B112)</t>
  </si>
  <si>
    <t>Memo: reported core EPS (dil.)</t>
  </si>
  <si>
    <t>Memo: reported GAAP EPS (dil.)</t>
  </si>
  <si>
    <t>Memo: CapIQ normalized EPS actual</t>
  </si>
  <si>
    <t>Formula link to Inputs</t>
  </si>
  <si>
    <t>Check: core EPS vs reported</t>
  </si>
  <si>
    <t>Check: EPS = core NI / dil. sh.</t>
  </si>
  <si>
    <t>Consensus normalized EPS (CapIQ)</t>
  </si>
  <si>
    <t>Formula link to Inputs; 3Q26 = frozen 7.36</t>
  </si>
  <si>
    <t>Surprise vs consensus ($/sh)</t>
  </si>
  <si>
    <t>Consensus GAAP EPS (CapIQ)</t>
  </si>
  <si>
    <t>Balance Sheet (as reported) with 3Q26E roll-forward</t>
  </si>
  <si>
    <t>Assets</t>
  </si>
  <si>
    <t>Fixed maturities, AFS at fair value</t>
  </si>
  <si>
    <t>S1 p.23; 3Q26E = prior + net investment purchases (CF)</t>
  </si>
  <si>
    <t>Equity securities, at fair value</t>
  </si>
  <si>
    <t>S1 p.23 / S4-S7</t>
  </si>
  <si>
    <t>Real estate investments</t>
  </si>
  <si>
    <t>Short-term securities</t>
  </si>
  <si>
    <t>Other investments</t>
  </si>
  <si>
    <t>S1 p.23; 3Q26E = prior + non-cash gains/equity income</t>
  </si>
  <si>
    <t>Total investments</t>
  </si>
  <si>
    <t>Cash (incl. restricted)</t>
  </si>
  <si>
    <t>S1 p.23; 3Q26E = Cash Flow ending cash</t>
  </si>
  <si>
    <t>Investment income accrued</t>
  </si>
  <si>
    <t>Premiums receivable</t>
  </si>
  <si>
    <t>Reinsurance recoverables</t>
  </si>
  <si>
    <t>Ceded unearned premiums</t>
  </si>
  <si>
    <t>Deferred acquisition costs</t>
  </si>
  <si>
    <t>3Q26E = prior + deferrals - amortization</t>
  </si>
  <si>
    <t>Deferred taxes</t>
  </si>
  <si>
    <t>Contractholder receivables</t>
  </si>
  <si>
    <t>Goodwill</t>
  </si>
  <si>
    <t>Other intangible assets</t>
  </si>
  <si>
    <t>Other assets</t>
  </si>
  <si>
    <t>3Q26E = prior less D&amp;A. Capex / other investing (hist. -116 to -155 per qtr, CF row 39) is not modelled, so it is absorbed in the fixed-maturity plug (CF I40 -&gt; I9): asset-mix effect only; NII is guidance-driven, so no EPS effect</t>
  </si>
  <si>
    <t>Assets held for sale (Canada)</t>
  </si>
  <si>
    <t>S1 p.23 footnote (1)</t>
  </si>
  <si>
    <t>Total assets</t>
  </si>
  <si>
    <t>Liabilities</t>
  </si>
  <si>
    <t>Claims &amp; CAE reserves</t>
  </si>
  <si>
    <t>Unearned premium reserves</t>
  </si>
  <si>
    <t>Contractholder payables</t>
  </si>
  <si>
    <t>Payables for reinsurance premiums</t>
  </si>
  <si>
    <t>Debt</t>
  </si>
  <si>
    <t>Other liabilities</t>
  </si>
  <si>
    <t>Liabilities held for sale (Canada)</t>
  </si>
  <si>
    <t>Total liabilities</t>
  </si>
  <si>
    <t>Shareholders' equity</t>
  </si>
  <si>
    <t>Common stock</t>
  </si>
  <si>
    <t>Retained earnings</t>
  </si>
  <si>
    <t>Accumulated OCI (loss)</t>
  </si>
  <si>
    <t>3Q26E: AOCI held flat (=H40); unrealized gains/losses and FX not forecast</t>
  </si>
  <si>
    <t>Treasury stock, at cost</t>
  </si>
  <si>
    <t>Total shareholders' equity</t>
  </si>
  <si>
    <t>Total liabilities &amp; equity</t>
  </si>
  <si>
    <t>Check: assets - liab. - equity</t>
  </si>
  <si>
    <t>Check passes (TRUE)</t>
  </si>
  <si>
    <t>Memo: reported total assets</t>
  </si>
  <si>
    <t>Check: vs reported total assets</t>
  </si>
  <si>
    <t>Memo: reported total equity</t>
  </si>
  <si>
    <t>Check: vs reported equity</t>
  </si>
  <si>
    <t>Per-share and leverage</t>
  </si>
  <si>
    <t>Book value per share ($)</t>
  </si>
  <si>
    <t>Adj. BVPS ex AOCI ($, approx.)</t>
  </si>
  <si>
    <t>Approximation: removes total AOCI (issuer removes unrealized only)</t>
  </si>
  <si>
    <t>Debt to total capital</t>
  </si>
  <si>
    <t>Cash Flow Statement (as reported) with 3Q26E forecast</t>
  </si>
  <si>
    <t>Cash flows from operating activities</t>
  </si>
  <si>
    <t>Net income</t>
  </si>
  <si>
    <t>Net realized inv. (gains) losses</t>
  </si>
  <si>
    <t>S1 p.33-34</t>
  </si>
  <si>
    <t>Depreciation and amortization</t>
  </si>
  <si>
    <t>S1 p.33; 3Q26E run-rate</t>
  </si>
  <si>
    <t>Deferred income tax</t>
  </si>
  <si>
    <t>S1 p.33; 3Q26E assumed 0</t>
  </si>
  <si>
    <t>Equity income, other investments</t>
  </si>
  <si>
    <t>Change in premiums receivable</t>
  </si>
  <si>
    <t>S1 p.33; 3Q26E: seasonal Q3 inflow (3Q25 +412)</t>
  </si>
  <si>
    <t>Change in reinsurance recoverables</t>
  </si>
  <si>
    <t>3Q26E assumed 0</t>
  </si>
  <si>
    <t>DAC deferrals</t>
  </si>
  <si>
    <t>3Q26E ~ NWP-linked run-rate</t>
  </si>
  <si>
    <t>Change in claims reserves</t>
  </si>
  <si>
    <t>3Q26E: unpaid cat claims build (3Q25 +845)</t>
  </si>
  <si>
    <t>Change in unearned premium reserves</t>
  </si>
  <si>
    <t>3Q26E (3Q25 +331)</t>
  </si>
  <si>
    <t>Other operating items</t>
  </si>
  <si>
    <t>Cash from operations</t>
  </si>
  <si>
    <t>Tracked line, assumption-driven: deferred tax, equity income and other items assumed 0 (I12, I14, I20) although Revenue summary I49 includes $82.5m alternatives NII (hist. row 14: -23 to -75); 4-qtr avg row 14 (-57.25) would give CFO c.3,148. No EPS effect (CF I40 plug absorbs)</t>
  </si>
  <si>
    <t>Memo: reported CFO</t>
  </si>
  <si>
    <t>FY25A = sum of reported qtrs</t>
  </si>
  <si>
    <t>Cash flows from investing activities</t>
  </si>
  <si>
    <t>Maturities of fixed maturities</t>
  </si>
  <si>
    <t>S1 p.33; 3Q26E not forecast by line (n/f)</t>
  </si>
  <si>
    <t>Sales: fixed maturities</t>
  </si>
  <si>
    <t>Sales: equity securities</t>
  </si>
  <si>
    <t>Sales: real estate</t>
  </si>
  <si>
    <t>Sales: other investments</t>
  </si>
  <si>
    <t>Purchases: fixed maturities</t>
  </si>
  <si>
    <t>Purchases: equity securities</t>
  </si>
  <si>
    <t>Purchases: real estate</t>
  </si>
  <si>
    <t>Purchases: other investments</t>
  </si>
  <si>
    <t>Net short-term securities</t>
  </si>
  <si>
    <t>Securities in course of settlement</t>
  </si>
  <si>
    <t>Canada divestiture proceeds</t>
  </si>
  <si>
    <t>Other investing</t>
  </si>
  <si>
    <t>Net inv. purchases (3Q26E plug)</t>
  </si>
  <si>
    <t>Forecast aggregate: all free cash reinvested so cash change = target</t>
  </si>
  <si>
    <t>Cash from investing</t>
  </si>
  <si>
    <t>Memo: reported CFI</t>
  </si>
  <si>
    <t>Cash flows from financing activities</t>
  </si>
  <si>
    <t>Buybacks - authorization</t>
  </si>
  <si>
    <t>S1 p.34; 3Q26E links Share Count</t>
  </si>
  <si>
    <t>Buybacks - employee withholding</t>
  </si>
  <si>
    <t>S1 p.33-34; 3Q26E $5m run-rate has no share-count counterpart (Share Count I13 = 0; immaterial, ~$0.0003 EPS)</t>
  </si>
  <si>
    <t>Dividends paid to shareholders</t>
  </si>
  <si>
    <t>3Q26E = dividends declared (Share Count)</t>
  </si>
  <si>
    <t>Payment of debt</t>
  </si>
  <si>
    <t>No 3Q26 maturities (S1 p.31)</t>
  </si>
  <si>
    <t>Issuance of debt</t>
  </si>
  <si>
    <t>Stock issued - employee options</t>
  </si>
  <si>
    <t>Cash from financing</t>
  </si>
  <si>
    <t>Memo: reported CFF</t>
  </si>
  <si>
    <t>FX effect on cash</t>
  </si>
  <si>
    <t>Net increase (decrease) in cash</t>
  </si>
  <si>
    <t>Memo: 3Q26E target change in cash</t>
  </si>
  <si>
    <t>Assumption: cash held flat</t>
  </si>
  <si>
    <t>Cash at beginning of period</t>
  </si>
  <si>
    <t>1Q25 opening = 31-Dec-24 (S7)</t>
  </si>
  <si>
    <t>Less: cash to held for sale</t>
  </si>
  <si>
    <t>S1 p.34 (Canada, 4Q25)</t>
  </si>
  <si>
    <t>Cash at end of period</t>
  </si>
  <si>
    <t>Check: CF cash - BS cash</t>
  </si>
  <si>
    <t>Capital expenditures</t>
  </si>
  <si>
    <t>Not separately disclosed (within Other investing) - unavailable</t>
  </si>
  <si>
    <t>Issuer-defined free cash flow</t>
  </si>
  <si>
    <t>TRV does not define FCF - not applicable</t>
  </si>
  <si>
    <t>Supplemental: income taxes paid</t>
  </si>
  <si>
    <t>Supplemental: interest paid</t>
  </si>
  <si>
    <t>Geo: net written premiums by geography (revenue by geography not disclosed quarterly)</t>
  </si>
  <si>
    <t>Domestic (U.S.) net written premiums</t>
  </si>
  <si>
    <t>Business Insurance - Domestic</t>
  </si>
  <si>
    <t>Bond &amp; Specialty - Domestic</t>
  </si>
  <si>
    <t>Personal Insurance - Domestic</t>
  </si>
  <si>
    <t>International net written premiums</t>
  </si>
  <si>
    <t>Business Insurance - Intl</t>
  </si>
  <si>
    <t>Bond &amp; Specialty - Intl</t>
  </si>
  <si>
    <t>Personal Insurance - Intl</t>
  </si>
  <si>
    <t>Total International</t>
  </si>
  <si>
    <t>% International</t>
  </si>
  <si>
    <t>% Domestic</t>
  </si>
  <si>
    <t>Memo: sum of segment NWP</t>
  </si>
  <si>
    <t>Memo: reported NWP</t>
  </si>
  <si>
    <t>S1 p.7; FY25A = sum of reported qtrs</t>
  </si>
  <si>
    <t>Check: geography = segment total</t>
  </si>
  <si>
    <t>Check: vs reported NWP</t>
  </si>
  <si>
    <t>Share Count: weighted shares, buybacks and the forecast share base</t>
  </si>
  <si>
    <t>$ millions and shares in millions, except per share</t>
  </si>
  <si>
    <t>Common shares outstanding (m)</t>
  </si>
  <si>
    <t>Opening shares outstanding</t>
  </si>
  <si>
    <t>Repurchased - authorization</t>
  </si>
  <si>
    <t>S1 p.1; 3Q26E = $ / average price</t>
  </si>
  <si>
    <t>Q/Q change (m)</t>
  </si>
  <si>
    <t>Repurchased - employee withholding</t>
  </si>
  <si>
    <t>S1 p.1; 3Q26E 0 by judgment although CF I46 assumes $5m withholding cash (in treasury stock): ~0.01m shares, ~$0.0003 EPS - immaterial, not modelled</t>
  </si>
  <si>
    <t>Shares issued (derived)</t>
  </si>
  <si>
    <t>Derived from reported balances; 3Q26E assumption (non-Q1 run-rate)</t>
  </si>
  <si>
    <t>Closing shares outstanding</t>
  </si>
  <si>
    <t>S1 p.1</t>
  </si>
  <si>
    <t>Buyback economics</t>
  </si>
  <si>
    <t>Buyback cost - authorization</t>
  </si>
  <si>
    <t>S1 p.1; 3Q26E $900m assumption (post Canada-proceeds pace; $3.9bn authorization left)</t>
  </si>
  <si>
    <t>Average repurchase price ($/share)</t>
  </si>
  <si>
    <t>3Q26E: assumed ~3Q26 trading level (52-wk $252-399); at $368.75 close (9-Oct) EPS -$0.003</t>
  </si>
  <si>
    <t>Repurchase cost - other ($m)</t>
  </si>
  <si>
    <t>Remaining authorization ($m)</t>
  </si>
  <si>
    <t>S2 (30-Jun-26 $3.915bn); earlier quarters not collected = n/a</t>
  </si>
  <si>
    <t>Weighted average shares (m)</t>
  </si>
  <si>
    <t>Weighted average basic shares</t>
  </si>
  <si>
    <t>S1 p.2; FY = day-weighted average of quarters (row 6 days) - approximation: issuer-reported FY25 weighted shares not in preserved sources; 3Q26E = average of opening/closing</t>
  </si>
  <si>
    <t>Dilutive effect (options, PSUs)</t>
  </si>
  <si>
    <t>S1 p.2; FY = day-weighted average of quarters (approximation, see row 32); 3Q26E = 2Q26</t>
  </si>
  <si>
    <t>Weighted avg diluted shares</t>
  </si>
  <si>
    <t>Memo: reported diluted shares</t>
  </si>
  <si>
    <t>Dividends and valuation</t>
  </si>
  <si>
    <t>Dividend per share ($)</t>
  </si>
  <si>
    <t>S1/S3 (14% raise to $1.25 in Apr-26)</t>
  </si>
  <si>
    <t>Dividends declared ($m)</t>
  </si>
  <si>
    <t>S1 p.1; 3Q26E = DPS x opening shares</t>
  </si>
  <si>
    <t>Share price, CapIQ close 9-Oct</t>
  </si>
  <si>
    <t>Inputs (CapIQ summary row)</t>
  </si>
  <si>
    <t>Market cap check ($m)</t>
  </si>
  <si>
    <t>Ties to $76.9bn (stockanalysis.com 9-Oct-26, S24); uses 30-Jun-26 closing shares (H17) x 9-Oct price - date mismatch; Large bucket robust (7.7x $10bn threshold)</t>
  </si>
  <si>
    <t>Guidance: management outlook items and track record</t>
  </si>
  <si>
    <t>Reference tab: columns follow the row 8 headers, not model periods</t>
  </si>
  <si>
    <t>Metric / guidance item</t>
  </si>
  <si>
    <t>Date given</t>
  </si>
  <si>
    <t>Low</t>
  </si>
  <si>
    <t>High</t>
  </si>
  <si>
    <t>Midpoint</t>
  </si>
  <si>
    <t>Actual</t>
  </si>
  <si>
    <t>Beat / miss</t>
  </si>
  <si>
    <t>Unit</t>
  </si>
  <si>
    <t>Tolerance: "in line" for ratios (pts)</t>
  </si>
  <si>
    <t>Assumption: within +/-0.2pt of guidance = in line</t>
  </si>
  <si>
    <t>Tolerance: "in line" for $ items (%)</t>
  </si>
  <si>
    <t>Assumption: within +/-1.5% of guidance = in line</t>
  </si>
  <si>
    <t>Expense ratio (consolidated)</t>
  </si>
  <si>
    <t>FY2025</t>
  </si>
  <si>
    <t>%</t>
  </si>
  <si>
    <t>S10 (3Q25 call): ~28.5% FY2025; actual = FY25 NEP-weighted ratio (IS)</t>
  </si>
  <si>
    <t>FY2026</t>
  </si>
  <si>
    <t>pending</t>
  </si>
  <si>
    <t>S3 (2Q26 call) reaffirmed ~28.5%; 1H26 ran 29.0%</t>
  </si>
  <si>
    <t>Fixed-income NII, after-tax</t>
  </si>
  <si>
    <t>$m</t>
  </si>
  <si>
    <t>S11 (4Q25 call summary): ~$3.3bn for 2026</t>
  </si>
  <si>
    <t>1Q26</t>
  </si>
  <si>
    <t>S11 guidance; actual is an implied estimate (FI gross less expenses x (1-NII tax)); mgmt said "in line" (S9)</t>
  </si>
  <si>
    <t>2Q26</t>
  </si>
  <si>
    <t>S9/S33 guidance; implied actual; mgmt said "in line with our expectations" (S3)</t>
  </si>
  <si>
    <t>3Q26</t>
  </si>
  <si>
    <t>S3 (reaffirmed from 1Q26 call); drives 3Q26E NII on Revenue summary</t>
  </si>
  <si>
    <t>4Q26</t>
  </si>
  <si>
    <t>S3</t>
  </si>
  <si>
    <t>Revenue / NI / EPS guidance</t>
  </si>
  <si>
    <t>TRV does not guide premiums, combined ratio, net income or EPS (S3; CapIQ guidance fields blank, S13)</t>
  </si>
  <si>
    <t>Sources: evidence register (all published before the 2026-10-11 22:24 UTC cutoff)</t>
  </si>
  <si>
    <t>ID</t>
  </si>
  <si>
    <t>Pub. date</t>
  </si>
  <si>
    <t>Publisher: title  /  URL or file  /  feeds (retrieval time in cell note)</t>
  </si>
  <si>
    <t>S1</t>
  </si>
  <si>
    <t>Travelers (SEC 8-K Ex.99.2): Financial Supplement - Second Quarter 2026</t>
  </si>
  <si>
    <t>https://www.sec.gov/Archives/edgar/data/86312/000008631226000143/a992finsupp63026.htm</t>
  </si>
  <si>
    <t>Feeds: All tabs: 1Q25-2Q26 history</t>
  </si>
  <si>
    <t>S2</t>
  </si>
  <si>
    <t>Travelers (SEC 8-K Ex.99.1): 2Q26 earnings press release</t>
  </si>
  <si>
    <t>https://www.sec.gov/Archives/edgar/data/86312/000008631226000143/a991pressrelease63026.htm</t>
  </si>
  <si>
    <t>Feeds: Canada NWP 2Q25; buyback authorization</t>
  </si>
  <si>
    <t>Travelers IR: 2Q26 results teleconference transcript</t>
  </si>
  <si>
    <t>https://s26.q4cdn.com/410417801/files/doc_financials/2026/q2/2Q26-Transcript.pdf</t>
  </si>
  <si>
    <t>Feeds: Guidance (FI NII, expense ratio); KPIs; reinsurance</t>
  </si>
  <si>
    <t>S4</t>
  </si>
  <si>
    <t>Travelers (SEC 8-K Ex.99.2): Financial Supplement - First Quarter 2026</t>
  </si>
  <si>
    <t>https://www.sec.gov/Archives/edgar/data/86312/000008631226000110/a992finsupp33126.htm</t>
  </si>
  <si>
    <t>Feeds: Balance Sheet 31-Mar-26</t>
  </si>
  <si>
    <t>S5</t>
  </si>
  <si>
    <t>Travelers (SEC 8-K Ex.99.2): Financial Supplement - Third Quarter 2025</t>
  </si>
  <si>
    <t>https://www.sec.gov/Archives/edgar/data/86312/000008631225000068/a992finsupp93025.htm</t>
  </si>
  <si>
    <t>Feeds: BS 30-Sep-25; 2024 comparatives; 3Q24 asbestos $242m</t>
  </si>
  <si>
    <t>S6</t>
  </si>
  <si>
    <t>Travelers (SEC 8-K Ex.99.2): Financial Supplement - Second Quarter 2025</t>
  </si>
  <si>
    <t>https://www.sec.gov/Archives/edgar/data/86312/000008631225000046/a992finsupp63025.htm</t>
  </si>
  <si>
    <t>Feeds: Balance Sheet 30-Jun-25</t>
  </si>
  <si>
    <t>S7</t>
  </si>
  <si>
    <t>Travelers (SEC 8-K Ex.99.2): Financial Supplement - First Quarter 2025</t>
  </si>
  <si>
    <t>https://www.sec.gov/Archives/edgar/data/86312/000008631225000028/a992finsupp33125.htm</t>
  </si>
  <si>
    <t>Feeds: BS 31-Mar-25 and 31-Dec-24 openings</t>
  </si>
  <si>
    <t>S8</t>
  </si>
  <si>
    <t>Travelers IR: 1Q26 earnings press release (Canada NWP in 1Q25)</t>
  </si>
  <si>
    <t>https://investor.travelers.com/newsroom/press-releases/news-details/2026/Travelers-Reports-Excellent-First-Quarter-Results/default.aspx</t>
  </si>
  <si>
    <t>Feeds: Canada NWP 1Q25 by segment</t>
  </si>
  <si>
    <t>S9</t>
  </si>
  <si>
    <t>Travelers IR: 1Q26 results teleconference transcript</t>
  </si>
  <si>
    <t>https://s26.q4cdn.com/410417801/files/doc_financials/2026/q1/1Q26-TRV-Transcript-1.pdf</t>
  </si>
  <si>
    <t>Feeds: Canada growth impact (~1/1/4 pts); FI NII guidance</t>
  </si>
  <si>
    <t>S10</t>
  </si>
  <si>
    <t>Travelers IR / Motley Fool: 3Q25 earnings call transcript</t>
  </si>
  <si>
    <t>https://www.fool.com/earnings/call-transcripts/2025/10/16/travelers-trv-q3-2025-earnings-call-transcript/</t>
  </si>
  <si>
    <t>Feeds: Expense ratio guidance; 3Q25 asbestos $277m</t>
  </si>
  <si>
    <t>S11</t>
  </si>
  <si>
    <t>Intellectia AI (call summary): TRV 4Q25 earnings call summary: 2026 FI NII ~$3.3bn, Q1 ~$800m</t>
  </si>
  <si>
    <t>https://intellectia.ai/stock/TRV/earnings/earning-forecast-2026-01-21</t>
  </si>
  <si>
    <t>Feeds: Guidance tab</t>
  </si>
  <si>
    <t>S12</t>
  </si>
  <si>
    <t>Travelers IR: Travelers Schedules Conference Call to Review 3Q26 Results (16-Oct-26)</t>
  </si>
  <si>
    <t>https://investor.travelers.com/newsroom/press-releases/news-details/2026/Travelers-Schedules-Conference-Call-to-Review-Third-Quarter-2026-Results/default.aspx</t>
  </si>
  <si>
    <t>Feeds: Cover: report date</t>
  </si>
  <si>
    <t>S13</t>
  </si>
  <si>
    <t>S&amp;P Capital IQ (supplied file): TRV_consensus.json snapshot</t>
  </si>
  <si>
    <t>workspace/TRV_consensus.json</t>
  </si>
  <si>
    <t>Feeds: Inputs; Cover consensus</t>
  </si>
  <si>
    <t>S14</t>
  </si>
  <si>
    <t>S&amp;P Capital IQ (supplied file): TRV_history.csv (six quarters)</t>
  </si>
  <si>
    <t>workspace/TRV_history.csv</t>
  </si>
  <si>
    <t>Feeds: Inputs; IS/RS checks; prior calibration</t>
  </si>
  <si>
    <t>S15</t>
  </si>
  <si>
    <t>Allstate (PR Newswire): July 2026 Monthly Release: July cat losses $682m</t>
  </si>
  <si>
    <t>https://www.prnewswire.com/news-releases/july-2026-monthly-release-302856389.html</t>
  </si>
  <si>
    <t>Feeds: Cat estimate (peer read-across)</t>
  </si>
  <si>
    <t>S16</t>
  </si>
  <si>
    <t>Allstate (PR Newswire): August 2026 Monthly Release: Aug cats $748m; Jul+Aug $1.43bn</t>
  </si>
  <si>
    <t>https://www.prnewswire.com/news-releases/august-2026-monthly-release-302882017.html</t>
  </si>
  <si>
    <t>S17</t>
  </si>
  <si>
    <t>Allstate Newsroom: September 2025 Monthly Release: 3Q25 cats $558m (Jul+Aug $397m)</t>
  </si>
  <si>
    <t>https://www.allstatenewsroom.com/news/september-2025-monthly-release/</t>
  </si>
  <si>
    <t>Feeds: Cat calibration (TRV/ALL ratio)</t>
  </si>
  <si>
    <t>S18</t>
  </si>
  <si>
    <t>Allstate (SEC 8-K Ex.99): June 2026 Monthly Release: 2Q26 cats $1.72bn (1Q26 $1.24bn)</t>
  </si>
  <si>
    <t>https://www.sec.gov/Archives/edgar/data/899051/000089905126000111/exhibit99newsrelease071626.htm</t>
  </si>
  <si>
    <t>S19</t>
  </si>
  <si>
    <t>Reinsurance News / Gallagher Re: Multi-billion loss from 9-12 Aug 2026 US SCS outbreak (Chicago derecho)</t>
  </si>
  <si>
    <t>https://www.reinsurancene.ws/gallagher-re-reports-multi-billion-dollar-loss-from-early-august-us-severe-weather-outbreak/</t>
  </si>
  <si>
    <t>Feeds: Cat estimate</t>
  </si>
  <si>
    <t>S20</t>
  </si>
  <si>
    <t>Insurance Capital Daily / AM Best: Washington OIC: Spokane wildfire losses $772m</t>
  </si>
  <si>
    <t>https://www.insurancecapitaldaily.com/story/washington-s-insurance-regulator-puts-spokane-wildfire-losses-at-772-million</t>
  </si>
  <si>
    <t>S21</t>
  </si>
  <si>
    <t>Insurance Capital Daily / Aon: Late-Sept nor'easter and Hurricane Polo: hundreds of millions each</t>
  </si>
  <si>
    <t>https://www.insurancecapitaldaily.com/story/aon-estimates-nor-easter-and-hurricane-polo-each-left-hundreds-of-millions-in-lo</t>
  </si>
  <si>
    <t>S22</t>
  </si>
  <si>
    <t>NOAA National Hurricane Center: Hurricane Isaias landfall near Destin FL, 9-Oct-26 (4Q event - excluded)</t>
  </si>
  <si>
    <t>https://www.nhc.noaa.gov/archive/2026/al09/al092026.update.10100129.shtml</t>
  </si>
  <si>
    <t>Feeds: Cat estimate (exclusion)</t>
  </si>
  <si>
    <t>S23</t>
  </si>
  <si>
    <t>Progressive: Progressive Reports August 2026 Results (cats 1.9 pts)</t>
  </si>
  <si>
    <t>https://investor.progressive.com/financials/financial-news-releases/news-details/2026/Progressive-Reports-August-2026-Results/default.aspx</t>
  </si>
  <si>
    <t>S24</t>
  </si>
  <si>
    <t>StockAnalysis.com: TRV market cap $76.91bn as of 9-Oct-26</t>
  </si>
  <si>
    <t>https://stockanalysis.com/stocks/trv/market-cap/</t>
  </si>
  <si>
    <t>Feeds: Prior calibration (size bucket)</t>
  </si>
  <si>
    <t>S25</t>
  </si>
  <si>
    <t>Zacks via Yahoo Finance: Travelers (TRV) Expected to Beat Earnings Estimates (30-day revision -0.01%)</t>
  </si>
  <si>
    <t>https://finance.yahoo.com/markets/stocks/articles/travelers-trv-expected-beat-earnings-130005897.html</t>
  </si>
  <si>
    <t>Feeds: Consensus drift (reference)</t>
  </si>
  <si>
    <t>MarketBeat: TRV expected to post $7.25 EPS on 16-Oct</t>
  </si>
  <si>
    <t>https://www.marketbeat.com/instant-alerts/upcoming-travelers-companies-trv-expected-to-release-earnings-on-friday-2026-10-09/</t>
  </si>
  <si>
    <t>Feeds: Other consensus (reference only)</t>
  </si>
  <si>
    <t>Benzinga: Analysts expect EPS of $7.13 and revenue of $11.02bn</t>
  </si>
  <si>
    <t>https://www.benzinga.com/analyst-stock-ratings/price-target/26/10/62240307/top-wall-street-forecasters-revamp-travelers-expectations-ahead-of-q3-earnings</t>
  </si>
  <si>
    <t>S28</t>
  </si>
  <si>
    <t>Risk &amp; Insurance / Gallagher Re: Q3 2025 insured cat losses &lt;$15bn, lowest Q3 since 2006</t>
  </si>
  <si>
    <t>https://riskandinsurance.com/record-low-catastrophe-losses-bolster-insurance-industrys-financial-health/</t>
  </si>
  <si>
    <t>Feeds: Cat calibration</t>
  </si>
  <si>
    <t>S29</t>
  </si>
  <si>
    <t>Travelers (SEC 8-K Ex.99.1): 3Q24 press release: cats $939m, PYD +$126m</t>
  </si>
  <si>
    <t>https://www.sec.gov/Archives/edgar/data/86312/000008631224000058/a991pressrelease93024.htm</t>
  </si>
  <si>
    <t>Feeds: Seasonal cat/PYD history</t>
  </si>
  <si>
    <t>S30</t>
  </si>
  <si>
    <t>Insurance Journal: Travelers 3Q23: cats $850m; asbestos addition $284m</t>
  </si>
  <si>
    <t>https://www.insurancejournal.com/news/national/2023/10/18/744741.htm</t>
  </si>
  <si>
    <t>Feeds: Asbestos 3-yr average</t>
  </si>
  <si>
    <t>S31</t>
  </si>
  <si>
    <t>FactSet (playbook reference): S&amp;P 500 earnings season update: 5-yr beat average 78%</t>
  </si>
  <si>
    <t>https://insight.factset.com/sp-500-earnings-season-update-july-31-2026</t>
  </si>
  <si>
    <t>Feeds: Cohort prior context</t>
  </si>
  <si>
    <t>S32</t>
  </si>
  <si>
    <t>Travelers IR: Completes sale of Canadian personal and most commercial business to Definity</t>
  </si>
  <si>
    <t>https://investor.travelers.com/newsroom/press-releases/news-details/2026/Travelers-Completes-Sale-of-Canadian-Personal-Insurance-Business-and-Majority-of-Its-Canadian-Commercial-Insurance-Business-to-Definity/default.aspx</t>
  </si>
  <si>
    <t>Feeds: M&amp;A / scope rows</t>
  </si>
  <si>
    <t>S33</t>
  </si>
  <si>
    <t>Seeking Alpha: TRV expects FI NII ~$810m 2Q, ~$840m 3Q, ~$870m 4Q (after-tax)</t>
  </si>
  <si>
    <t>https://seekingalpha.com/news/4575841-travelers-expects-after-tax-fixed-income-net-investment-income-to-reach-about-870m-in-q4-2026</t>
  </si>
  <si>
    <t>Earnings Whispers: Street consensus $6.86 (different provider basis)</t>
  </si>
  <si>
    <t>https://secure.earningswhispers.com/article/TRV/20355</t>
  </si>
  <si>
    <t>S35</t>
  </si>
  <si>
    <t>Travelers IR: Second Quarter 2026 Results webcast presentation (production statistics; Travelers Canada premiums divested by quarter)</t>
  </si>
  <si>
    <t>https://s26.q4cdn.com/410417801/files/doc_financials/2026/q2/2Q26-Webcast-FINAL.pdf</t>
  </si>
  <si>
    <t>Feeds: Segment KPI ladders (retention, RPC, new business); Canada NWP/NEP scope</t>
  </si>
  <si>
    <t>Tabs omitted: none. Geo is built on disclosed net written premiums (domestic/international) because TRV reports no quarterly revenue by geography (checked 2Q26 Financial Supplement, S1).</t>
  </si>
  <si>
    <t>Target-quarter (3Q26) actual results were not available or used; all sources pre-date the cutoff.</t>
  </si>
  <si>
    <t>Inputs: S&amp;P Capital IQ snapshot (captured 2026-10-11; raw, blanks preserved)</t>
  </si>
  <si>
    <t>CapIQ history (TRV_history.csv): each CSV row is one column, aligned to the model timeline; FY25A has no CapIQ row</t>
  </si>
  <si>
    <t>period_end_date</t>
  </si>
  <si>
    <t>S14 TRV_history.csv; 3Q26 = frozen consensus (summary row)</t>
  </si>
  <si>
    <t>report_date</t>
  </si>
  <si>
    <t>eps_normalized_consensus</t>
  </si>
  <si>
    <t>eps_normalized_actual</t>
  </si>
  <si>
    <t>S14 TRV_history.csv; 3Q26 actual intentionally absent</t>
  </si>
  <si>
    <t>eps_gaap_consensus</t>
  </si>
  <si>
    <t>eps_gaap_actual</t>
  </si>
  <si>
    <t>revenue_m_consensus</t>
  </si>
  <si>
    <t>revenue_m_actual</t>
  </si>
  <si>
    <t>EPS surprise: actual - consensus</t>
  </si>
  <si>
    <t>Strict beat (TRUE/FALSE)</t>
  </si>
  <si>
    <t>Avg surprise, 6 qtrs ($)</t>
  </si>
  <si>
    <t>3Q25 surprise ($)</t>
  </si>
  <si>
    <t>Raw CSV rows (verbatim text)</t>
  </si>
  <si>
    <t>period_end_date,report_date,eps_normalized_consensus,eps_normalized_actual,eps_gaap_consensus,eps_gaap_actual,revenue_m_consensus,revenue_m_actual</t>
  </si>
  <si>
    <t>2025-03-31,2025-04-16,0.77,1.91,0.73,1.7,10969.0,10710.0</t>
  </si>
  <si>
    <t>2025-06-30,2025-07-17,3.61,6.51,3.7,6.53,11024.83,10921.0</t>
  </si>
  <si>
    <t>2025-09-30,2025-10-16,6.38,8.14,6.42,8.24,11145.14,11135.0</t>
  </si>
  <si>
    <t>2025-12-31,2026-01-21,8.8,11.13,8.92,11.06,11144.57,11148.0</t>
  </si>
  <si>
    <t>2026-03-31,2026-04-16,7.08,7.71,7.15,7.78,11106.25,10605.0</t>
  </si>
  <si>
    <t>2026-06-30,2026-07-17,5.39,10.04,5.4,10.26,10988.11,10753.0</t>
  </si>
  <si>
    <t>CapIQ summary row (TRV_consensus.json "summary_row"; complete, source order; blank = unavailable); rows 32-122: values in column B, not the 1Q25A period</t>
  </si>
  <si>
    <t>ticker</t>
  </si>
  <si>
    <t>TRV</t>
  </si>
  <si>
    <t>company_name</t>
  </si>
  <si>
    <t>The Travelers Companies, Inc.</t>
  </si>
  <si>
    <t>exchange_ticker</t>
  </si>
  <si>
    <t>NYSE:TRV</t>
  </si>
  <si>
    <t>capiq_company_id</t>
  </si>
  <si>
    <t>sp500_member</t>
  </si>
  <si>
    <t>Y</t>
  </si>
  <si>
    <t>market_cap_usd_m</t>
  </si>
  <si>
    <t>fiscal_quarter</t>
  </si>
  <si>
    <t>FQ3 2026 - Sep 2026</t>
  </si>
  <si>
    <t>quarter_end_date</t>
  </si>
  <si>
    <t>expected_report_date</t>
  </si>
  <si>
    <t>fiscal_year_end</t>
  </si>
  <si>
    <t>Dec-31</t>
  </si>
  <si>
    <t>analysts_covering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</si>
  <si>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</si>
  <si>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</si>
  <si>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</si>
  <si>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</si>
  <si>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</si>
  <si>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</si>
  <si>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</si>
  <si>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</si>
  <si>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</si>
  <si>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</si>
  <si>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</si>
  <si>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</si>
  <si>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</si>
  <si>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</si>
  <si>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</si>
  <si>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</si>
  <si>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</si>
  <si>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</si>
  <si>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</si>
  <si>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</si>
  <si>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</si>
  <si>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</si>
  <si>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</t>
  </si>
  <si>
    <t>revenue_m_guidance_low</t>
  </si>
  <si>
    <t>revenue_m_guidance_high</t>
  </si>
  <si>
    <t>ebitda_m</t>
  </si>
  <si>
    <t>ebit_m</t>
  </si>
  <si>
    <t>ebt_excl_excep_m</t>
  </si>
  <si>
    <t>ebt_gaap_m</t>
  </si>
  <si>
    <t>net_income_excl_excep_m</t>
  </si>
  <si>
    <t>net_income_gaap_m</t>
  </si>
  <si>
    <t>gross_margin_pct</t>
  </si>
  <si>
    <t>effective_tax_rate_pct</t>
  </si>
  <si>
    <t>d_and_a_m</t>
  </si>
  <si>
    <t>capex_m</t>
  </si>
  <si>
    <t>cfo_m</t>
  </si>
  <si>
    <t>fcf_m</t>
  </si>
  <si>
    <t>interest_expense_m</t>
  </si>
  <si>
    <t>net_debt_m</t>
  </si>
  <si>
    <t>cfps</t>
  </si>
  <si>
    <t>bvps</t>
  </si>
  <si>
    <t>dps</t>
  </si>
  <si>
    <t>nav_m</t>
  </si>
  <si>
    <t>navps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</si>
  <si>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</si>
  <si>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</si>
  <si>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</si>
  <si>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</si>
  <si>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</si>
  <si>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</si>
  <si>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</si>
  <si>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</si>
  <si>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Hold</t>
  </si>
  <si>
    <t>recommendation_score</t>
  </si>
  <si>
    <t>last_close_price</t>
  </si>
  <si>
    <t>wk52_high_low</t>
  </si>
  <si>
    <t>398.70/252.26</t>
  </si>
  <si>
    <t>currency</t>
  </si>
  <si>
    <t>USD</t>
  </si>
  <si>
    <t>units</t>
  </si>
  <si>
    <t>per-share in USD; revenue and income in USD millions</t>
  </si>
  <si>
    <t>estimates_captured_at</t>
  </si>
  <si>
    <t>notes</t>
  </si>
  <si>
    <t>Catastrophe-driven quarters make TRV consensus unusually wide; recent actuals have beaten pre-report consensus by large margins. A GAAP EPS "Guidance 1.25" value looked like a different line item and was excluded.</t>
  </si>
  <si>
    <t>CapIQ file-level fields</t>
  </si>
  <si>
    <t>source</t>
  </si>
  <si>
    <t>S&amp;P Capital IQ</t>
  </si>
  <si>
    <t>company</t>
  </si>
  <si>
    <t>fiscal_period</t>
  </si>
  <si>
    <t>as_of_date</t>
  </si>
  <si>
    <t>analyst_count</t>
  </si>
  <si>
    <t>consensus_eps</t>
  </si>
  <si>
    <t>eps_basis</t>
  </si>
  <si>
    <t>Normalized diluted EPS per common share, USD; verify issuer adjustments</t>
  </si>
  <si>
    <t>consensus_revenue_m</t>
  </si>
  <si>
    <t>summary_sha256</t>
  </si>
  <si>
    <t>edbf949d984075e582c0427440965f3f2b24f43d8e9ef3ba40bd5d158b8c8d16</t>
  </si>
  <si>
    <t>captured_precision</t>
  </si>
  <si>
    <t>date only, user confirmed</t>
  </si>
  <si>
    <t>currency_units_status</t>
  </si>
  <si>
    <t>Primary normalized contributor count = eps_normalized_n_est (24); analyst_count 24; analysts_covering 29 (broader coverage count).</t>
  </si>
  <si>
    <t>Input file hashes (SHA-256)</t>
  </si>
  <si>
    <t>TRV_history.csv</t>
  </si>
  <si>
    <t>599e404e85be14ea3c6655b186eaf5fd406c817ac9b0fa68cf50ab616dd14c51</t>
  </si>
  <si>
    <t>TRV_consensus.json</t>
  </si>
  <si>
    <t>ac3452c16e611acabd462437aacaf91f3a7690a853fa7d25dd7963dadd4dbd2a</t>
  </si>
</sst>
</file>

<file path=xl/styles.xml><?xml version="1.0" encoding="utf-8"?>
<styleSheet xmlns="http://schemas.openxmlformats.org/spreadsheetml/2006/main">
  <numFmts count="11">
    <numFmt numFmtId="164" formatCode="0.0%_);(0.0%);–_)"/>
    <numFmt numFmtId="165" formatCode="yyyy-mm-dd"/>
    <numFmt numFmtId="166" formatCode="#,##0.0_);(#,##0.0);–_)"/>
    <numFmt numFmtId="167" formatCode="0"/>
    <numFmt numFmtId="168" formatCode="General"/>
    <numFmt numFmtId="169" formatCode="0.0%"/>
    <numFmt numFmtId="170" formatCode="$0.00_);($0.00);–_)"/>
    <numFmt numFmtId="171" formatCode="#,##0&quot; bp&quot;_);(#,##0&quot; bp&quot;);–_)"/>
    <numFmt numFmtId="172" formatCode="#,##0_);(#,##0);–_)"/>
    <numFmt numFmtId="173" formatCode="0.0"/>
    <numFmt numFmtId="174" formatCode="#,##0.000_);(#,##0.000);0.000_)"/>
  </numFmts>
  <fonts count="37">
    <font>
      <sz val="11"/>
      <color theme="1"/>
      <name val="Calibri"/>
      <family val="2"/>
      <scheme val="minor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0000FF"/>
      <name val="Arial"/>
    </font>
    <font>
      <b val="0"/>
      <i val="0"/>
      <strike val="0"/>
      <sz val="10"/>
      <color rgb="FF0000FF"/>
      <name val="Arial"/>
    </font>
    <font>
      <b val="0"/>
      <i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2"/>
      <color rgb="FF000000"/>
      <name val="Arial"/>
    </font>
    <font>
      <b val="0"/>
      <i/>
      <strike val="0"/>
      <sz val="10"/>
      <color rgb="FF006100"/>
      <name val="Arial"/>
    </font>
    <font>
      <b/>
      <i val="0"/>
      <strike val="0"/>
      <u/>
      <sz val="10"/>
      <color rgb="FF000000"/>
      <name val="Arial"/>
    </font>
    <font>
      <b/>
      <i val="0"/>
      <strike val="0"/>
      <sz val="10"/>
      <color rgb="FF0000FF"/>
      <name val="Arial"/>
    </font>
    <font>
      <b/>
      <i val="0"/>
      <strike val="0"/>
      <sz val="10"/>
      <color rgb="FF006100"/>
      <name val="Arial"/>
    </font>
    <font>
      <b/>
      <i val="0"/>
      <strike val="0"/>
      <sz val="14"/>
      <color rgb="FF000000"/>
      <name val="Arial"/>
    </font>
    <font>
      <b/>
      <i/>
      <strike val="0"/>
      <sz val="10"/>
      <color rgb="FF000000"/>
      <name val="Arial"/>
    </font>
    <font>
      <b/>
      <i val="0"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  <font>
      <b val="0"/>
      <i/>
      <strike val="0"/>
      <sz val="10"/>
      <color rgb="FF000000"/>
      <name val="Arial"/>
      <family val="2"/>
      <scheme val="minor"/>
    </font>
    <font>
      <b val="0"/>
      <i val="0"/>
      <strike val="0"/>
      <sz val="10"/>
      <color theme="1"/>
      <name val="Arial"/>
      <family val="2"/>
      <scheme val="minor"/>
    </font>
    <font>
      <b val="0"/>
      <i val="0"/>
      <strike val="0"/>
      <sz val="10"/>
      <color rgb="FF006100"/>
      <name val="Arial"/>
      <family val="2"/>
      <scheme val="minor"/>
    </font>
    <font>
      <b val="0"/>
      <i val="0"/>
      <strike val="0"/>
      <sz val="10"/>
      <color rgb="FF0000FF"/>
      <name val="Arial"/>
      <family val="2"/>
      <scheme val="minor"/>
    </font>
    <font>
      <b/>
      <i val="0"/>
      <strike val="0"/>
      <sz val="10"/>
      <color rgb="FF006100"/>
      <name val="Arial"/>
      <family val="2"/>
      <scheme val="minor"/>
    </font>
    <font>
      <b val="0"/>
      <i/>
      <strike val="0"/>
      <sz val="10"/>
      <color theme="1"/>
      <name val="Arial"/>
      <family val="2"/>
      <scheme val="minor"/>
    </font>
    <font>
      <b val="0"/>
      <i val="0"/>
      <strike val="0"/>
      <sz val="10"/>
      <color rgb="FF0000FF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  <font>
      <b/>
      <i val="0"/>
      <strike val="0"/>
      <sz val="10"/>
      <color rgb="FF000000"/>
      <name val="Arial"/>
      <family val="2"/>
      <scheme val="minor"/>
    </font>
    <font>
      <b val="0"/>
      <i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6100"/>
      <name val="Arial"/>
      <family val="2"/>
      <scheme val="minor"/>
    </font>
    <font>
      <b/>
      <i val="0"/>
      <strike val="0"/>
      <sz val="12"/>
      <color rgb="FF000000"/>
      <name val="Arial"/>
      <family val="2"/>
      <scheme val="minor"/>
    </font>
    <font>
      <b val="0"/>
      <i val="0"/>
      <strike val="0"/>
      <sz val="10"/>
      <color rgb="FF000000"/>
      <name val="Calibri"/>
      <family val="2"/>
      <scheme val="minor"/>
    </font>
    <font>
      <b val="0"/>
      <i/>
      <strike val="0"/>
      <sz val="10"/>
      <color rgb="FF000000"/>
      <name val="Arial"/>
      <family val="2"/>
      <scheme val="minor"/>
    </font>
    <font>
      <b/>
      <i val="0"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  <font>
      <b val="0"/>
      <i/>
      <strike val="0"/>
      <sz val="10"/>
      <color theme="1"/>
      <name val="Arial"/>
      <family val="2"/>
      <scheme val="minor"/>
    </font>
    <font>
      <b val="0"/>
      <i/>
      <strike val="0"/>
      <sz val="10"/>
      <color rgb="FF000000"/>
      <name val="Arial"/>
      <family val="2"/>
      <scheme val="minor"/>
    </font>
    <font>
      <b val="0"/>
      <i/>
      <strike val="0"/>
      <sz val="10"/>
      <color rgb="FF000000"/>
      <name val="Arial"/>
      <family val="2"/>
      <scheme val="minor"/>
    </font>
    <font>
      <b/>
      <i val="0"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F2F2F2"/>
      </patternFill>
    </fill>
    <fill>
      <patternFill patternType="solid">
        <fgColor rgb="FFE8EEF8"/>
      </patternFill>
    </fill>
  </fills>
  <borders count="4">
    <border/>
    <border>
      <top style="thin">
        <color rgb="FF808080"/>
      </top>
    </border>
    <border>
      <bottom style="thin">
        <color rgb="FF808080"/>
      </bottom>
    </border>
    <border>
      <top style="thin">
        <color rgb="FF808080"/>
      </top>
      <bottom style="thin">
        <color rgb="FF808080"/>
      </bottom>
    </border>
  </borders>
  <cellStyleXfs count="1">
    <xf numFmtId="0" fontId="0" fillId="0" borderId="0"/>
  </cellStyleXfs>
  <cellXfs count="158">
    <xf numFmtId="0" fontId="0" fillId="0" borderId="0" xfId="0"/>
    <xf numFmtId="0" fontId="1" fillId="2" borderId="0" xfId="0" applyFont="1" applyFill="1" applyAlignment="1" applyProtection="1">
      <alignment horizontal="general" vertical="bottom"/>
      <protection locked="1" hidden="0"/>
    </xf>
    <xf numFmtId="164" fontId="2" fillId="2" borderId="0" xfId="0" applyNumberFormat="1" applyFont="1" applyFill="1" applyAlignment="1" applyProtection="1">
      <alignment horizontal="right" vertical="bottom"/>
      <protection locked="1" hidden="0"/>
    </xf>
    <xf numFmtId="165" fontId="3" fillId="2" borderId="0" xfId="0" applyNumberFormat="1" applyFont="1" applyFill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general" vertical="bottom"/>
      <protection locked="1" hidden="0"/>
    </xf>
    <xf numFmtId="165" fontId="2" fillId="2" borderId="0" xfId="0" applyNumberFormat="1" applyFont="1" applyFill="1" applyAlignment="1" applyProtection="1">
      <alignment horizontal="right" vertical="bottom"/>
      <protection locked="1" hidden="0"/>
    </xf>
    <xf numFmtId="166" fontId="3" fillId="2" borderId="0" xfId="0" applyNumberFormat="1" applyFont="1" applyFill="1" applyAlignment="1" applyProtection="1">
      <alignment horizontal="right" vertical="bottom"/>
      <protection locked="1" hidden="0"/>
    </xf>
    <xf numFmtId="165" fontId="1" fillId="3" borderId="0" xfId="0" applyNumberFormat="1" applyFont="1" applyFill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right" vertical="bottom"/>
      <protection locked="1" hidden="0"/>
    </xf>
    <xf numFmtId="164" fontId="4" fillId="2" borderId="0" xfId="0" applyNumberFormat="1" applyFont="1" applyFill="1" applyAlignment="1" applyProtection="1">
      <alignment horizontal="right" vertical="bottom"/>
      <protection locked="1" hidden="0"/>
    </xf>
    <xf numFmtId="0" fontId="4" fillId="3" borderId="1" xfId="0" applyFont="1" applyFill="1" applyBorder="1" applyAlignment="1" applyProtection="1">
      <alignment horizontal="left" vertical="bottom"/>
      <protection locked="1" hidden="0"/>
    </xf>
    <xf numFmtId="0" fontId="4" fillId="2" borderId="0" xfId="0" applyFont="1" applyFill="1" applyAlignment="1" applyProtection="1">
      <alignment horizontal="general" vertical="bottom"/>
      <protection locked="1" hidden="0"/>
    </xf>
    <xf numFmtId="0" fontId="1" fillId="3" borderId="1" xfId="0" applyFont="1" applyFill="1" applyBorder="1" applyAlignment="1" applyProtection="1">
      <alignment horizontal="general" vertical="bottom"/>
      <protection locked="1" hidden="0"/>
    </xf>
    <xf numFmtId="0" fontId="5" fillId="3" borderId="1" xfId="0" applyFont="1" applyFill="1" applyBorder="1" applyAlignment="1" applyProtection="1">
      <alignment horizontal="right" vertical="bottom"/>
      <protection locked="1" hidden="0"/>
    </xf>
    <xf numFmtId="166" fontId="1" fillId="2" borderId="0" xfId="0" applyNumberFormat="1" applyFont="1" applyFill="1" applyAlignment="1" applyProtection="1">
      <alignment horizontal="right" vertical="bottom"/>
      <protection locked="1" hidden="0"/>
    </xf>
    <xf numFmtId="167" fontId="1" fillId="4" borderId="2" xfId="0" applyNumberFormat="1" applyFont="1" applyFill="1" applyBorder="1" applyAlignment="1" applyProtection="1">
      <alignment horizontal="right" vertical="bottom"/>
      <protection locked="1" hidden="0"/>
    </xf>
    <xf numFmtId="166" fontId="6" fillId="2" borderId="0" xfId="0" applyNumberFormat="1" applyFont="1" applyFill="1" applyAlignment="1" applyProtection="1">
      <alignment horizontal="right" vertical="bottom"/>
      <protection locked="1" hidden="0"/>
    </xf>
    <xf numFmtId="0" fontId="4" fillId="2" borderId="0" xfId="0" applyFont="1" applyFill="1" applyAlignment="1" applyProtection="1">
      <alignment horizontal="left" vertical="bottom"/>
      <protection locked="1" hidden="0"/>
    </xf>
    <xf numFmtId="0" fontId="4" fillId="3" borderId="2" xfId="0" applyFont="1" applyFill="1" applyBorder="1" applyAlignment="1" applyProtection="1">
      <alignment horizontal="left" vertical="bottom"/>
      <protection locked="1" hidden="0"/>
    </xf>
    <xf numFmtId="0" fontId="4" fillId="2" borderId="0" xfId="0" applyFont="1" applyFill="1" applyAlignment="1" applyProtection="1">
      <alignment horizontal="right" vertical="bottom"/>
      <protection locked="1" hidden="0"/>
    </xf>
    <xf numFmtId="167" fontId="1" fillId="3" borderId="2" xfId="0" applyNumberFormat="1" applyFont="1" applyFill="1" applyBorder="1" applyAlignment="1" applyProtection="1">
      <alignment horizontal="right" vertical="bottom"/>
      <protection locked="1" hidden="0"/>
    </xf>
    <xf numFmtId="0" fontId="1" fillId="4" borderId="0" xfId="0" applyFont="1" applyFill="1" applyAlignment="1" applyProtection="1">
      <alignment horizontal="right" vertical="bottom"/>
      <protection locked="1" hidden="0"/>
    </xf>
    <xf numFmtId="0" fontId="5" fillId="2" borderId="0" xfId="0" applyFont="1" applyFill="1" applyAlignment="1" applyProtection="1">
      <alignment horizontal="general" vertical="bottom"/>
      <protection locked="1" hidden="0"/>
    </xf>
    <xf numFmtId="0" fontId="4" fillId="4" borderId="0" xfId="0" applyFont="1" applyFill="1" applyAlignment="1" applyProtection="1">
      <alignment horizontal="right" vertical="bottom"/>
      <protection locked="1" hidden="0"/>
    </xf>
    <xf numFmtId="0" fontId="4" fillId="3" borderId="0" xfId="0" applyFont="1" applyFill="1" applyAlignment="1" applyProtection="1">
      <alignment horizontal="left" vertical="bottom"/>
      <protection locked="1" hidden="0"/>
    </xf>
    <xf numFmtId="165" fontId="4" fillId="2" borderId="0" xfId="0" applyNumberFormat="1" applyFont="1" applyFill="1" applyAlignment="1" applyProtection="1">
      <alignment horizontal="right" vertical="bottom"/>
      <protection locked="1" hidden="0"/>
    </xf>
    <xf numFmtId="0" fontId="7" fillId="2" borderId="0" xfId="0" applyFont="1" applyFill="1" applyAlignment="1" applyProtection="1">
      <alignment horizontal="general" vertical="bottom"/>
      <protection locked="1" hidden="0"/>
    </xf>
    <xf numFmtId="0" fontId="5" fillId="3" borderId="3" xfId="0" applyFont="1" applyFill="1" applyBorder="1" applyAlignment="1" applyProtection="1">
      <alignment horizontal="right" vertical="bottom"/>
      <protection locked="1" hidden="0"/>
    </xf>
    <xf numFmtId="164" fontId="8" fillId="2" borderId="0" xfId="0" applyNumberFormat="1" applyFont="1" applyFill="1" applyAlignment="1" applyProtection="1">
      <alignment horizontal="right" vertical="bottom"/>
      <protection locked="1" hidden="0"/>
    </xf>
    <xf numFmtId="164" fontId="4" fillId="4" borderId="0" xfId="0" applyNumberFormat="1" applyFont="1" applyFill="1" applyAlignment="1" applyProtection="1">
      <alignment horizontal="right" vertical="bottom"/>
      <protection locked="1" hidden="0"/>
    </xf>
    <xf numFmtId="166" fontId="5" fillId="2" borderId="1" xfId="0" applyNumberFormat="1" applyFont="1" applyFill="1" applyBorder="1" applyAlignment="1" applyProtection="1">
      <alignment horizontal="right" vertical="bottom"/>
      <protection locked="1" hidden="0"/>
    </xf>
    <xf numFmtId="166" fontId="4" fillId="2" borderId="0" xfId="0" applyNumberFormat="1" applyFont="1" applyFill="1" applyAlignment="1" applyProtection="1">
      <alignment horizontal="right" vertical="bottom"/>
      <protection locked="1" hidden="0"/>
    </xf>
    <xf numFmtId="165" fontId="1" fillId="2" borderId="0" xfId="0" applyNumberFormat="1" applyFont="1" applyFill="1" applyAlignment="1" applyProtection="1">
      <alignment horizontal="right" vertical="bottom"/>
      <protection locked="1" hidden="0"/>
    </xf>
    <xf numFmtId="0" fontId="1" fillId="4" borderId="0" xfId="0" applyFont="1" applyFill="1" applyAlignment="1" applyProtection="1">
      <alignment horizontal="general" vertical="bottom"/>
      <protection locked="1" hidden="0"/>
    </xf>
    <xf numFmtId="166" fontId="6" fillId="4" borderId="0" xfId="0" applyNumberFormat="1" applyFont="1" applyFill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general" vertical="bottom" indent="1"/>
      <protection locked="1" hidden="0"/>
    </xf>
    <xf numFmtId="0" fontId="4" fillId="2" borderId="0" xfId="0" applyFont="1" applyFill="1" applyAlignment="1" applyProtection="1">
      <alignment horizontal="general" vertical="bottom" indent="2"/>
      <protection locked="1" hidden="0"/>
    </xf>
    <xf numFmtId="168" fontId="1" fillId="2" borderId="0" xfId="0" applyNumberFormat="1" applyFont="1" applyFill="1" applyAlignment="1" applyProtection="1">
      <alignment horizontal="right" vertical="bottom"/>
      <protection locked="1" hidden="0"/>
    </xf>
    <xf numFmtId="165" fontId="1" fillId="4" borderId="0" xfId="0" applyNumberFormat="1" applyFont="1" applyFill="1" applyAlignment="1" applyProtection="1">
      <alignment horizontal="right" vertical="bottom"/>
      <protection locked="1" hidden="0"/>
    </xf>
    <xf numFmtId="0" fontId="5" fillId="4" borderId="1" xfId="0" applyFont="1" applyFill="1" applyBorder="1" applyAlignment="1" applyProtection="1">
      <alignment horizontal="right" vertical="bottom"/>
      <protection locked="1" hidden="0"/>
    </xf>
    <xf numFmtId="166" fontId="4" fillId="4" borderId="0" xfId="0" applyNumberFormat="1" applyFont="1" applyFill="1" applyAlignment="1" applyProtection="1">
      <alignment horizontal="right" vertical="bottom"/>
      <protection locked="1" hidden="0"/>
    </xf>
    <xf numFmtId="0" fontId="1" fillId="3" borderId="2" xfId="0" applyFont="1" applyFill="1" applyBorder="1" applyAlignment="1" applyProtection="1">
      <alignment horizontal="general" vertical="bottom"/>
      <protection locked="1" hidden="0"/>
    </xf>
    <xf numFmtId="0" fontId="9" fillId="2" borderId="0" xfId="0" applyFont="1" applyFill="1" applyAlignment="1" applyProtection="1">
      <alignment horizontal="general" vertical="bottom"/>
      <protection locked="1" hidden="0"/>
    </xf>
    <xf numFmtId="0" fontId="5" fillId="3" borderId="3" xfId="0" applyFont="1" applyFill="1" applyBorder="1" applyAlignment="1" applyProtection="1">
      <alignment horizontal="general" vertical="bottom"/>
      <protection locked="1" hidden="0"/>
    </xf>
    <xf numFmtId="166" fontId="5" fillId="4" borderId="1" xfId="0" applyNumberFormat="1" applyFont="1" applyFill="1" applyBorder="1" applyAlignment="1" applyProtection="1">
      <alignment horizontal="right" vertical="bottom"/>
      <protection locked="1" hidden="0"/>
    </xf>
    <xf numFmtId="166" fontId="1" fillId="4" borderId="0" xfId="0" applyNumberFormat="1" applyFont="1" applyFill="1" applyAlignment="1" applyProtection="1">
      <alignment horizontal="right" vertical="bottom"/>
      <protection locked="1" hidden="0"/>
    </xf>
    <xf numFmtId="168" fontId="1" fillId="4" borderId="0" xfId="0" applyNumberFormat="1" applyFont="1" applyFill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left" vertical="bottom"/>
      <protection locked="1" hidden="0"/>
    </xf>
    <xf numFmtId="0" fontId="6" fillId="2" borderId="0" xfId="0" applyFont="1" applyFill="1" applyAlignment="1" applyProtection="1">
      <alignment horizontal="left" vertical="bottom"/>
      <protection locked="1" hidden="0"/>
    </xf>
    <xf numFmtId="0" fontId="5" fillId="2" borderId="1" xfId="0" applyFont="1" applyFill="1" applyBorder="1" applyAlignment="1" applyProtection="1">
      <alignment horizontal="left" vertical="bottom"/>
      <protection locked="1" hidden="0"/>
    </xf>
    <xf numFmtId="0" fontId="6" fillId="2" borderId="0" xfId="0" applyFont="1" applyFill="1" applyAlignment="1" applyProtection="1">
      <alignment horizontal="right" vertical="bottom"/>
      <protection locked="1" hidden="0"/>
    </xf>
    <xf numFmtId="167" fontId="1" fillId="2" borderId="0" xfId="0" applyNumberFormat="1" applyFont="1" applyFill="1" applyAlignment="1" applyProtection="1">
      <alignment horizontal="right" vertical="bottom"/>
      <protection locked="1" hidden="0"/>
    </xf>
    <xf numFmtId="169" fontId="2" fillId="2" borderId="0" xfId="0" applyNumberFormat="1" applyFont="1" applyFill="1" applyAlignment="1" applyProtection="1">
      <alignment horizontal="right" vertical="bottom"/>
      <protection locked="1" hidden="0"/>
    </xf>
    <xf numFmtId="0" fontId="1" fillId="4" borderId="0" xfId="0" applyFont="1" applyFill="1" applyAlignment="1" applyProtection="1">
      <alignment horizontal="left" vertical="bottom"/>
      <protection locked="1" hidden="0"/>
    </xf>
    <xf numFmtId="167" fontId="6" fillId="2" borderId="0" xfId="0" applyNumberFormat="1" applyFont="1" applyFill="1" applyAlignment="1" applyProtection="1">
      <alignment horizontal="right" vertical="bottom"/>
      <protection locked="1" hidden="0"/>
    </xf>
    <xf numFmtId="170" fontId="6" fillId="2" borderId="0" xfId="0" applyNumberFormat="1" applyFont="1" applyFill="1" applyAlignment="1" applyProtection="1">
      <alignment horizontal="right" vertical="bottom"/>
      <protection locked="1" hidden="0"/>
    </xf>
    <xf numFmtId="170" fontId="1" fillId="2" borderId="0" xfId="0" applyNumberFormat="1" applyFont="1" applyFill="1" applyAlignment="1" applyProtection="1">
      <alignment horizontal="right" vertical="bottom"/>
      <protection locked="1" hidden="0"/>
    </xf>
    <xf numFmtId="170" fontId="4" fillId="2" borderId="0" xfId="0" applyNumberFormat="1" applyFont="1" applyFill="1" applyAlignment="1" applyProtection="1">
      <alignment horizontal="right" vertical="bottom"/>
      <protection locked="1" hidden="0"/>
    </xf>
    <xf numFmtId="170" fontId="3" fillId="2" borderId="0" xfId="0" applyNumberFormat="1" applyFont="1" applyFill="1" applyAlignment="1" applyProtection="1">
      <alignment horizontal="right" vertical="bottom"/>
      <protection locked="1" hidden="0"/>
    </xf>
    <xf numFmtId="166" fontId="8" fillId="2" borderId="0" xfId="0" applyNumberFormat="1" applyFont="1" applyFill="1" applyAlignment="1" applyProtection="1">
      <alignment horizontal="right" vertical="bottom"/>
      <protection locked="1" hidden="0"/>
    </xf>
    <xf numFmtId="170" fontId="6" fillId="4" borderId="0" xfId="0" applyNumberFormat="1" applyFont="1" applyFill="1" applyAlignment="1" applyProtection="1">
      <alignment horizontal="right" vertical="bottom"/>
      <protection locked="1" hidden="0"/>
    </xf>
    <xf numFmtId="171" fontId="4" fillId="2" borderId="0" xfId="0" applyNumberFormat="1" applyFont="1" applyFill="1" applyAlignment="1" applyProtection="1">
      <alignment horizontal="right" vertical="bottom"/>
      <protection locked="1" hidden="0"/>
    </xf>
    <xf numFmtId="166" fontId="3" fillId="4" borderId="0" xfId="0" applyNumberFormat="1" applyFont="1" applyFill="1" applyAlignment="1" applyProtection="1">
      <alignment horizontal="right" vertical="bottom"/>
      <protection locked="1" hidden="0"/>
    </xf>
    <xf numFmtId="0" fontId="3" fillId="2" borderId="0" xfId="0" applyFont="1" applyFill="1" applyAlignment="1" applyProtection="1">
      <alignment horizontal="left" vertical="bottom"/>
      <protection locked="1" hidden="0"/>
    </xf>
    <xf numFmtId="166" fontId="10" fillId="2" borderId="1" xfId="0" applyNumberFormat="1" applyFont="1" applyFill="1" applyBorder="1" applyAlignment="1" applyProtection="1">
      <alignment horizontal="right" vertical="bottom"/>
      <protection locked="1" hidden="0"/>
    </xf>
    <xf numFmtId="0" fontId="4" fillId="2" borderId="0" xfId="0" applyFont="1" applyFill="1" applyAlignment="1" applyProtection="1">
      <alignment horizontal="general" vertical="bottom" indent="1"/>
      <protection locked="1" hidden="0"/>
    </xf>
    <xf numFmtId="170" fontId="4" fillId="4" borderId="0" xfId="0" applyNumberFormat="1" applyFont="1" applyFill="1" applyAlignment="1" applyProtection="1">
      <alignment horizontal="right" vertical="bottom"/>
      <protection locked="1" hidden="0"/>
    </xf>
    <xf numFmtId="164" fontId="4" fillId="2" borderId="0" xfId="0" applyNumberFormat="1" applyFont="1" applyFill="1" applyAlignment="1" applyProtection="1">
      <alignment horizontal="general" vertical="bottom"/>
      <protection locked="1" hidden="0"/>
    </xf>
    <xf numFmtId="0" fontId="4" fillId="2" borderId="0" xfId="0" applyFont="1" applyFill="1" applyAlignment="1" applyProtection="1">
      <alignment horizontal="left" vertical="bottom" indent="8"/>
      <protection locked="1" hidden="0"/>
    </xf>
    <xf numFmtId="164" fontId="4" fillId="2" borderId="0" xfId="0" applyNumberFormat="1" applyFont="1" applyFill="1" applyAlignment="1" applyProtection="1">
      <alignment horizontal="general" vertical="bottom" indent="1"/>
      <protection locked="1" hidden="0"/>
    </xf>
    <xf numFmtId="0" fontId="11" fillId="2" borderId="1" xfId="0" applyFont="1" applyFill="1" applyBorder="1" applyAlignment="1" applyProtection="1">
      <alignment horizontal="left" vertical="bottom"/>
      <protection locked="1" hidden="0"/>
    </xf>
    <xf numFmtId="170" fontId="1" fillId="4" borderId="0" xfId="0" applyNumberFormat="1" applyFont="1" applyFill="1" applyAlignment="1" applyProtection="1">
      <alignment horizontal="right" vertical="bottom"/>
      <protection locked="1" hidden="0"/>
    </xf>
    <xf numFmtId="170" fontId="3" fillId="4" borderId="0" xfId="0" applyNumberFormat="1" applyFont="1" applyFill="1" applyAlignment="1" applyProtection="1">
      <alignment horizontal="right" vertical="bottom"/>
      <protection locked="1" hidden="0"/>
    </xf>
    <xf numFmtId="0" fontId="12" fillId="2" borderId="0" xfId="0" applyFont="1" applyFill="1" applyAlignment="1" applyProtection="1">
      <alignment horizontal="general" vertical="bottom"/>
      <protection locked="1" hidden="0"/>
    </xf>
    <xf numFmtId="0" fontId="5" fillId="2" borderId="0" xfId="0" applyFont="1" applyFill="1" applyAlignment="1" applyProtection="1">
      <alignment horizontal="left" vertical="bottom" indent="8"/>
      <protection locked="1" hidden="0"/>
    </xf>
    <xf numFmtId="165" fontId="6" fillId="2" borderId="0" xfId="0" applyNumberFormat="1" applyFont="1" applyFill="1" applyAlignment="1" applyProtection="1">
      <alignment horizontal="left" vertical="bottom"/>
      <protection locked="1" hidden="0"/>
    </xf>
    <xf numFmtId="0" fontId="5" fillId="4" borderId="1" xfId="0" applyFont="1" applyFill="1" applyBorder="1" applyAlignment="1" applyProtection="1">
      <alignment horizontal="left" vertical="bottom"/>
      <protection locked="1" hidden="0"/>
    </xf>
    <xf numFmtId="0" fontId="7" fillId="2" borderId="0" xfId="0" applyFont="1" applyFill="1" applyAlignment="1" applyProtection="1">
      <alignment horizontal="left" vertical="bottom" indent="8"/>
      <protection locked="1" hidden="0"/>
    </xf>
    <xf numFmtId="167" fontId="3" fillId="2" borderId="0" xfId="0" applyNumberFormat="1" applyFont="1" applyFill="1" applyAlignment="1" applyProtection="1">
      <alignment horizontal="right" vertical="bottom"/>
      <protection locked="1" hidden="0"/>
    </xf>
    <xf numFmtId="171" fontId="4" fillId="4" borderId="0" xfId="0" applyNumberFormat="1" applyFont="1" applyFill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general" vertical="bottom" indent="2"/>
      <protection locked="1" hidden="0"/>
    </xf>
    <xf numFmtId="0" fontId="4" fillId="4" borderId="0" xfId="0" applyFont="1" applyFill="1" applyAlignment="1" applyProtection="1">
      <alignment horizontal="left" vertical="bottom"/>
      <protection locked="1" hidden="0"/>
    </xf>
    <xf numFmtId="165" fontId="10" fillId="2" borderId="1" xfId="0" applyNumberFormat="1" applyFont="1" applyFill="1" applyBorder="1" applyAlignment="1" applyProtection="1">
      <alignment horizontal="right" vertical="bottom"/>
      <protection locked="1" hidden="0"/>
    </xf>
    <xf numFmtId="168" fontId="3" fillId="2" borderId="0" xfId="0" applyNumberFormat="1" applyFont="1" applyFill="1" applyAlignment="1" applyProtection="1">
      <alignment horizontal="right" vertical="bottom"/>
      <protection locked="1" hidden="0"/>
    </xf>
    <xf numFmtId="166" fontId="8" fillId="4" borderId="0" xfId="0" applyNumberFormat="1" applyFont="1" applyFill="1" applyAlignment="1" applyProtection="1">
      <alignment horizontal="right" vertical="bottom"/>
      <protection locked="1" hidden="0"/>
    </xf>
    <xf numFmtId="164" fontId="8" fillId="4" borderId="0" xfId="0" applyNumberFormat="1" applyFont="1" applyFill="1" applyAlignment="1" applyProtection="1">
      <alignment horizontal="right" vertical="bottom"/>
      <protection locked="1" hidden="0"/>
    </xf>
    <xf numFmtId="164" fontId="13" fillId="2" borderId="1" xfId="0" applyNumberFormat="1" applyFont="1" applyFill="1" applyBorder="1" applyAlignment="1" applyProtection="1">
      <alignment horizontal="right" vertical="bottom"/>
      <protection locked="1" hidden="0"/>
    </xf>
    <xf numFmtId="164" fontId="2" fillId="4" borderId="0" xfId="0" applyNumberFormat="1" applyFont="1" applyFill="1" applyAlignment="1" applyProtection="1">
      <alignment horizontal="right" vertical="bottom"/>
      <protection locked="1" hidden="0"/>
    </xf>
    <xf numFmtId="0" fontId="5" fillId="2" borderId="0" xfId="0" applyFont="1" applyFill="1" applyAlignment="1" applyProtection="1">
      <alignment horizontal="general" vertical="bottom" indent="1"/>
      <protection locked="1" hidden="0"/>
    </xf>
    <xf numFmtId="164" fontId="13" fillId="4" borderId="1" xfId="0" applyNumberFormat="1" applyFont="1" applyFill="1" applyBorder="1" applyAlignment="1" applyProtection="1">
      <alignment horizontal="right" vertical="bottom"/>
      <protection locked="1" hidden="0"/>
    </xf>
    <xf numFmtId="170" fontId="5" fillId="4" borderId="1" xfId="0" applyNumberFormat="1" applyFont="1" applyFill="1" applyBorder="1" applyAlignment="1" applyProtection="1">
      <alignment horizontal="right" vertical="bottom"/>
      <protection locked="1" hidden="0"/>
    </xf>
    <xf numFmtId="0" fontId="13" fillId="2" borderId="0" xfId="0" applyFont="1" applyFill="1" applyAlignment="1" applyProtection="1">
      <alignment horizontal="general" vertical="bottom" indent="1"/>
      <protection locked="1" hidden="0"/>
    </xf>
    <xf numFmtId="170" fontId="5" fillId="2" borderId="1" xfId="0" applyNumberFormat="1" applyFont="1" applyFill="1" applyBorder="1" applyAlignment="1" applyProtection="1">
      <alignment horizontal="right" vertical="bottom"/>
      <protection locked="1" hidden="0"/>
    </xf>
    <xf numFmtId="172" fontId="1" fillId="2" borderId="0" xfId="0" applyNumberFormat="1" applyFont="1" applyFill="1" applyAlignment="1" applyProtection="1">
      <alignment horizontal="right" vertical="bottom"/>
      <protection locked="1" hidden="0"/>
    </xf>
    <xf numFmtId="172" fontId="4" fillId="2" borderId="0" xfId="0" applyNumberFormat="1" applyFont="1" applyFill="1" applyAlignment="1" applyProtection="1">
      <alignment horizontal="right" vertical="bottom"/>
      <protection locked="1" hidden="0"/>
    </xf>
    <xf numFmtId="172" fontId="3" fillId="2" borderId="0" xfId="0" applyNumberFormat="1" applyFont="1" applyFill="1" applyAlignment="1" applyProtection="1">
      <alignment horizontal="right" vertical="bottom"/>
      <protection locked="1" hidden="0"/>
    </xf>
    <xf numFmtId="172" fontId="10" fillId="2" borderId="1" xfId="0" applyNumberFormat="1" applyFont="1" applyFill="1" applyBorder="1" applyAlignment="1" applyProtection="1">
      <alignment horizontal="right" vertical="bottom"/>
      <protection locked="1" hidden="0"/>
    </xf>
    <xf numFmtId="172" fontId="5" fillId="2" borderId="1" xfId="0" applyNumberFormat="1" applyFont="1" applyFill="1" applyBorder="1" applyAlignment="1" applyProtection="1">
      <alignment horizontal="right" vertical="bottom"/>
      <protection locked="1" hidden="0"/>
    </xf>
    <xf numFmtId="172" fontId="1" fillId="4" borderId="0" xfId="0" applyNumberFormat="1" applyFont="1" applyFill="1" applyAlignment="1" applyProtection="1">
      <alignment horizontal="right" vertical="bottom"/>
      <protection locked="1" hidden="0"/>
    </xf>
    <xf numFmtId="172" fontId="4" fillId="4" borderId="0" xfId="0" applyNumberFormat="1" applyFont="1" applyFill="1" applyAlignment="1" applyProtection="1">
      <alignment horizontal="right" vertical="bottom"/>
      <protection locked="1" hidden="0"/>
    </xf>
    <xf numFmtId="172" fontId="5" fillId="4" borderId="1" xfId="0" applyNumberFormat="1" applyFont="1" applyFill="1" applyBorder="1" applyAlignment="1" applyProtection="1">
      <alignment horizontal="right" vertical="bottom"/>
      <protection locked="1" hidden="0"/>
    </xf>
    <xf numFmtId="168" fontId="14" fillId="3" borderId="3" xfId="0" applyNumberFormat="1" applyFont="1" applyFill="1" applyBorder="1" applyAlignment="1" applyProtection="1">
      <alignment horizontal="left" vertical="bottom" textRotation="0" indent="0" readingOrder="0"/>
      <protection locked="1" hidden="0"/>
    </xf>
    <xf numFmtId="168" fontId="15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0" fontId="16" fillId="0" borderId="0" xfId="0" applyFont="1" applyFill="1" applyAlignment="1" applyProtection="1">
      <alignment horizontal="left" vertical="bottom"/>
      <protection locked="1" hidden="0"/>
    </xf>
    <xf numFmtId="173" fontId="15" fillId="0" borderId="0" xfId="0" applyNumberFormat="1" applyFont="1" applyFill="1" applyAlignment="1" applyProtection="1">
      <alignment horizontal="right" vertical="bottom"/>
      <protection locked="1" hidden="0"/>
    </xf>
    <xf numFmtId="0" fontId="17" fillId="0" borderId="0" xfId="0" applyFont="1" applyFill="1" applyAlignment="1" applyProtection="1">
      <alignment horizontal="general" vertical="bottom"/>
      <protection locked="1" hidden="0"/>
    </xf>
    <xf numFmtId="0" fontId="15" fillId="0" borderId="0" xfId="0" applyFont="1" applyFill="1" applyAlignment="1" applyProtection="1">
      <alignment horizontal="left" vertical="bottom"/>
      <protection locked="1" hidden="0"/>
    </xf>
    <xf numFmtId="0" fontId="15" fillId="0" borderId="0" xfId="0" applyFont="1" applyFill="1" applyAlignment="1" applyProtection="1">
      <alignment horizontal="general" vertical="bottom"/>
      <protection locked="1" hidden="0"/>
    </xf>
    <xf numFmtId="0" fontId="15" fillId="0" borderId="0" xfId="0" applyFont="1" applyFill="1" applyAlignment="1" applyProtection="1">
      <alignment horizontal="right" vertical="bottom"/>
      <protection locked="1" hidden="0"/>
    </xf>
    <xf numFmtId="174" fontId="18" fillId="0" borderId="0" xfId="0" applyNumberFormat="1" applyFont="1" applyFill="1" applyAlignment="1" applyProtection="1">
      <alignment horizontal="right" vertical="bottom"/>
      <protection locked="1" hidden="0"/>
    </xf>
    <xf numFmtId="168" fontId="1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0" fontId="14" fillId="3" borderId="3" xfId="0" applyFont="1" applyFill="1" applyBorder="1" applyAlignment="1" applyProtection="1">
      <alignment horizontal="right" vertical="bottom"/>
      <protection locked="1" hidden="0"/>
    </xf>
    <xf numFmtId="0" fontId="18" fillId="0" borderId="0" xfId="0" applyFont="1" applyFill="1" applyAlignment="1" applyProtection="1">
      <alignment horizontal="right" vertical="bottom"/>
      <protection locked="1" hidden="0"/>
    </xf>
    <xf numFmtId="168" fontId="20" fillId="0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3" fontId="19" fillId="0" borderId="0" xfId="0" applyNumberFormat="1" applyFont="1" applyFill="1" applyAlignment="1" applyProtection="1">
      <alignment horizontal="right" vertical="bottom"/>
      <protection locked="1" hidden="0"/>
    </xf>
    <xf numFmtId="168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0" fontId="16" fillId="0" borderId="0" xfId="0" applyFont="1" applyFill="1" applyAlignment="1" applyProtection="1">
      <alignment horizontal="general" vertical="bottom"/>
      <protection locked="1" hidden="0"/>
    </xf>
    <xf numFmtId="0" fontId="14" fillId="3" borderId="3" xfId="0" applyFont="1" applyFill="1" applyBorder="1" applyAlignment="1" applyProtection="1">
      <alignment horizontal="left" vertical="bottom"/>
      <protection locked="1" hidden="0"/>
    </xf>
    <xf numFmtId="168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0" fontId="14" fillId="3" borderId="3" xfId="0" applyFont="1" applyFill="1" applyBorder="1" applyAlignment="1" applyProtection="1">
      <alignment horizontal="general" vertical="bottom"/>
      <protection locked="1" hidden="0"/>
    </xf>
    <xf numFmtId="166" fontId="16" fillId="0" borderId="0" xfId="0" applyNumberFormat="1" applyFont="1" applyFill="1" applyAlignment="1" applyProtection="1">
      <alignment horizontal="general" vertical="bottom"/>
      <protection locked="1" hidden="0"/>
    </xf>
    <xf numFmtId="166" fontId="16" fillId="4" borderId="0" xfId="0" applyNumberFormat="1" applyFont="1" applyFill="1" applyAlignment="1" applyProtection="1">
      <alignment horizontal="general" vertical="bottom"/>
      <protection locked="1" hidden="0"/>
    </xf>
    <xf numFmtId="166" fontId="19" fillId="0" borderId="0" xfId="0" applyNumberFormat="1" applyFont="1" applyFill="1" applyAlignment="1" applyProtection="1">
      <alignment horizontal="general" vertical="bottom"/>
      <protection locked="1" hidden="0"/>
    </xf>
    <xf numFmtId="168" fontId="16" fillId="0" borderId="0" xfId="0" applyNumberFormat="1" applyFont="1" applyFill="1" applyAlignment="1" applyProtection="1">
      <alignment horizontal="general" vertical="bottom"/>
      <protection locked="1" hidden="0"/>
    </xf>
    <xf numFmtId="0" fontId="21" fillId="0" borderId="0" xfId="0" applyFont="1" applyFill="1" applyAlignment="1" applyProtection="1">
      <alignment horizontal="left" vertical="bottom"/>
      <protection locked="1" hidden="0"/>
    </xf>
    <xf numFmtId="166" fontId="15" fillId="4" borderId="0" xfId="0" applyNumberFormat="1" applyFont="1" applyFill="1" applyAlignment="1" applyProtection="1">
      <alignment horizontal="general" vertical="bottom"/>
      <protection locked="1" hidden="0"/>
    </xf>
    <xf numFmtId="166" fontId="15" fillId="0" borderId="0" xfId="0" applyNumberFormat="1" applyFont="1" applyFill="1" applyAlignment="1" applyProtection="1">
      <alignment horizontal="general" vertical="bottom"/>
      <protection locked="1" hidden="0"/>
    </xf>
    <xf numFmtId="168" fontId="15" fillId="0" borderId="0" xfId="0" applyNumberFormat="1" applyFont="1" applyFill="1" applyAlignment="1" applyProtection="1">
      <alignment horizontal="general" vertical="bottom"/>
      <protection locked="1" hidden="0"/>
    </xf>
    <xf numFmtId="164" fontId="2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7" fontId="23" fillId="3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8" fontId="2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8" fontId="23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5" fontId="23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2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8" fontId="24" fillId="3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5" fontId="2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8" fontId="2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2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8" fontId="25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8" fontId="27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8" fontId="24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6" fontId="28" fillId="4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8" fontId="29" fillId="0" borderId="0" xfId="0" applyNumberFormat="1" applyFont="1" applyFill="1" applyAlignment="1" applyProtection="1">
      <alignment horizontal="left" vertical="bottom" textRotation="0" wrapText="1" indent="0" readingOrder="0"/>
      <protection locked="1" hidden="0"/>
    </xf>
    <xf numFmtId="168" fontId="30" fillId="0" borderId="1" xfId="0" applyNumberFormat="1" applyFont="1" applyFill="1" applyBorder="1" applyAlignment="1" applyProtection="1">
      <alignment horizontal="left" vertical="bottom" textRotation="0" indent="0" readingOrder="0"/>
      <protection locked="1" hidden="0"/>
    </xf>
    <xf numFmtId="168" fontId="31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8" fontId="29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8" fontId="31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8" fontId="30" fillId="3" borderId="3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8" fontId="31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5" fontId="31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7" fontId="31" fillId="3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8" fontId="30" fillId="3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8" fontId="32" fillId="0" borderId="0" xfId="0" applyNumberFormat="1" applyFont="1" applyFill="1" applyAlignment="1" applyProtection="1">
      <alignment horizontal="left" vertical="bottom" textRotation="0" wrapText="1" indent="0" readingOrder="0"/>
      <protection locked="1" hidden="0"/>
    </xf>
    <xf numFmtId="168" fontId="33" fillId="0" borderId="0" xfId="0" applyNumberFormat="1" applyFont="1" applyFill="1" applyAlignment="1" applyProtection="1">
      <alignment horizontal="left" vertical="bottom" textRotation="0" wrapText="1" indent="0" readingOrder="0"/>
      <protection locked="1" hidden="0"/>
    </xf>
    <xf numFmtId="168" fontId="34" fillId="0" borderId="0" xfId="0" applyNumberFormat="1" applyFont="1" applyFill="1" applyAlignment="1" applyProtection="1">
      <alignment horizontal="left" vertical="bottom" textRotation="0" wrapText="1" indent="0" readingOrder="0"/>
      <protection locked="1" hidden="0"/>
    </xf>
    <xf numFmtId="168" fontId="35" fillId="3" borderId="3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8" fontId="34" fillId="0" borderId="0" xfId="0" applyNumberFormat="1" applyFont="1" applyFill="1" applyAlignment="1" applyProtection="1">
      <alignment horizontal="general" vertical="bottom" textRotation="0" indent="1" readingOrder="0"/>
      <protection locked="1" hidden="0"/>
    </xf>
    <xf numFmtId="168" fontId="36" fillId="0" borderId="0" xfId="0" applyNumberFormat="1" applyFont="1" applyFill="1" applyAlignment="1" applyProtection="1">
      <alignment horizontal="general" vertical="bottom" textRotation="0" indent="1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styles" Target="styles.xml"/><Relationship Id="rId15" Type="http://schemas.openxmlformats.org/officeDocument/2006/relationships/theme" Target="theme/theme1.xml"/><Relationship Id="rId1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9</xdr:col>
      <xdr:colOff>2457450</xdr:colOff>
      <xdr:row>0</xdr:row>
      <xdr:rowOff>19050</xdr:rowOff>
    </xdr:from>
    <xdr:ext cx="552450" cy="55245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52450" cy="5524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8"/>
  <sheetViews>
    <sheetView showGridLines="0" tabSelected="1" workbookViewId="0"/>
  </sheetViews>
  <sheetFormatPr defaultColWidth="8.42578125" defaultRowHeight="15"/>
  <cols>
    <col min="1" max="1" width="37" customWidth="1"/>
    <col min="2" max="9" width="12" customWidth="1"/>
    <col min="10" max="10" width="45" customWidth="1"/>
  </cols>
  <sheetData>
    <row r="1">
      <c r="A1" s="139" t="s">
        <v>0</v>
      </c>
      <c r="B1" s="1"/>
      <c r="C1" s="1"/>
      <c r="D1" s="1"/>
      <c r="E1" s="1"/>
      <c r="F1" s="1"/>
      <c r="G1" s="1"/>
      <c r="H1" s="1"/>
      <c r="I1" s="1"/>
      <c r="J1" s="1"/>
    </row>
    <row r="2">
      <c r="A2" s="140" t="s">
        <v>1</v>
      </c>
      <c r="B2" s="1"/>
      <c r="C2" s="1"/>
      <c r="D2" s="1"/>
      <c r="E2" s="1"/>
      <c r="F2" s="1"/>
      <c r="G2" s="1"/>
      <c r="H2" s="1"/>
      <c r="I2" s="1"/>
      <c r="J2" s="1"/>
    </row>
    <row r="3">
      <c r="A3" s="138" t="s">
        <v>2</v>
      </c>
      <c r="B3" s="1"/>
      <c r="C3" s="1"/>
      <c r="D3" s="1"/>
      <c r="E3" s="1"/>
      <c r="F3" s="1"/>
      <c r="G3" s="1"/>
      <c r="H3" s="1"/>
      <c r="I3" s="1"/>
      <c r="J3" s="1"/>
    </row>
    <row r="4">
      <c r="A4" s="12" t="s">
        <v>3</v>
      </c>
      <c r="B4" s="13"/>
      <c r="C4" s="13"/>
      <c r="D4" s="13"/>
      <c r="E4" s="13"/>
      <c r="F4" s="13"/>
      <c r="G4" s="13"/>
      <c r="H4" s="13"/>
      <c r="I4" s="151"/>
      <c r="J4" s="10" t="s">
        <v>4</v>
      </c>
    </row>
    <row r="5">
      <c r="A5" s="4"/>
      <c r="B5" s="7"/>
      <c r="C5" s="7"/>
      <c r="D5" s="7"/>
      <c r="E5" s="7"/>
      <c r="F5" s="7"/>
      <c r="G5" s="7"/>
      <c r="H5" s="7"/>
      <c r="I5" s="149"/>
      <c r="J5" s="24"/>
    </row>
    <row r="6">
      <c r="A6" s="41"/>
      <c r="B6" s="20"/>
      <c r="C6" s="20"/>
      <c r="D6" s="20"/>
      <c r="E6" s="20"/>
      <c r="F6" s="20"/>
      <c r="G6" s="20"/>
      <c r="H6" s="20"/>
      <c r="I6" s="150"/>
      <c r="J6" s="18"/>
    </row>
    <row r="7">
      <c r="A7" s="1"/>
      <c r="B7" s="1"/>
      <c r="C7" s="1"/>
      <c r="D7" s="1"/>
      <c r="E7" s="1"/>
      <c r="F7" s="1"/>
      <c r="G7" s="1"/>
      <c r="H7" s="1"/>
      <c r="I7" s="148"/>
      <c r="J7" s="17"/>
    </row>
    <row r="8">
      <c r="A8" s="73" t="s">
        <v>5</v>
      </c>
      <c r="B8" s="8"/>
      <c r="C8" s="8"/>
      <c r="D8" s="8"/>
      <c r="E8" s="8"/>
      <c r="F8" s="8"/>
      <c r="G8" s="8"/>
      <c r="H8" s="8"/>
      <c r="I8" s="146"/>
      <c r="J8" s="17"/>
    </row>
    <row r="9">
      <c r="A9" s="1"/>
      <c r="B9" s="8"/>
      <c r="C9" s="8"/>
      <c r="D9" s="8"/>
      <c r="E9" s="8"/>
      <c r="F9" s="8"/>
      <c r="G9" s="8"/>
      <c r="H9" s="8"/>
      <c r="I9" s="146"/>
      <c r="J9" s="17"/>
    </row>
    <row r="10">
      <c r="A10" s="1" t="s">
        <v>6</v>
      </c>
      <c r="B10" s="48" t="str">
        <f>Inputs!B33</f>
        <v>The Travelers Companies, Inc.</v>
      </c>
      <c r="C10" s="47"/>
      <c r="D10" s="47"/>
      <c r="E10" s="47"/>
      <c r="F10" s="47"/>
      <c r="G10" s="47"/>
      <c r="H10" s="47"/>
      <c r="I10" s="144"/>
      <c r="J10" s="17"/>
    </row>
    <row r="11">
      <c r="A11" s="1" t="s">
        <v>7</v>
      </c>
      <c r="B11" s="48" t="str">
        <f>Inputs!B32</f>
        <v>TRV</v>
      </c>
      <c r="C11" s="47"/>
      <c r="D11" s="47"/>
      <c r="E11" s="47"/>
      <c r="F11" s="47"/>
      <c r="G11" s="47"/>
      <c r="H11" s="47"/>
      <c r="I11" s="144"/>
      <c r="J11" s="17"/>
    </row>
    <row r="12">
      <c r="A12" s="1" t="s">
        <v>8</v>
      </c>
      <c r="B12" s="47" t="s">
        <v>9</v>
      </c>
      <c r="C12" s="47"/>
      <c r="D12" s="47"/>
      <c r="E12" s="47"/>
      <c r="F12" s="47"/>
      <c r="G12" s="47"/>
      <c r="H12" s="47"/>
      <c r="I12" s="144"/>
      <c r="J12" s="17"/>
    </row>
    <row r="13">
      <c r="A13" s="1" t="s">
        <v>10</v>
      </c>
      <c r="B13" s="48" t="str">
        <f>Inputs!B41</f>
        <v>Dec-31</v>
      </c>
      <c r="C13" s="47"/>
      <c r="D13" s="47"/>
      <c r="E13" s="47"/>
      <c r="F13" s="47"/>
      <c r="G13" s="47"/>
      <c r="H13" s="47"/>
      <c r="I13" s="144"/>
      <c r="J13" s="17"/>
    </row>
    <row r="14">
      <c r="A14" s="1" t="s">
        <v>11</v>
      </c>
      <c r="B14" s="48" t="str">
        <f>Inputs!B98</f>
        <v>USD</v>
      </c>
      <c r="C14" s="47"/>
      <c r="D14" s="47"/>
      <c r="E14" s="47"/>
      <c r="F14" s="47"/>
      <c r="G14" s="47"/>
      <c r="H14" s="47"/>
      <c r="I14" s="144"/>
      <c r="J14" s="17"/>
    </row>
    <row r="15">
      <c r="A15" s="1" t="s">
        <v>12</v>
      </c>
      <c r="B15" s="47" t="s">
        <v>13</v>
      </c>
      <c r="C15" s="47"/>
      <c r="D15" s="47"/>
      <c r="E15" s="47"/>
      <c r="F15" s="47"/>
      <c r="G15" s="47"/>
      <c r="H15" s="47"/>
      <c r="I15" s="144"/>
      <c r="J15" s="17"/>
    </row>
    <row r="16">
      <c r="A16" s="1" t="s">
        <v>14</v>
      </c>
      <c r="B16" s="47" t="s">
        <v>15</v>
      </c>
      <c r="C16" s="47"/>
      <c r="D16" s="47"/>
      <c r="E16" s="47"/>
      <c r="F16" s="47"/>
      <c r="G16" s="47"/>
      <c r="H16" s="47"/>
      <c r="I16" s="144"/>
      <c r="J16" s="17"/>
    </row>
    <row r="17">
      <c r="A17" s="1" t="s">
        <v>16</v>
      </c>
      <c r="B17" s="47" t="s">
        <v>17</v>
      </c>
      <c r="C17" s="47"/>
      <c r="D17" s="47"/>
      <c r="E17" s="47"/>
      <c r="F17" s="47"/>
      <c r="G17" s="47"/>
      <c r="H17" s="47"/>
      <c r="I17" s="144"/>
      <c r="J17" s="17"/>
    </row>
    <row r="18">
      <c r="A18" s="1" t="s">
        <v>18</v>
      </c>
      <c r="B18" s="47" t="s">
        <v>19</v>
      </c>
      <c r="C18" s="47"/>
      <c r="D18" s="47"/>
      <c r="E18" s="47"/>
      <c r="F18" s="47"/>
      <c r="G18" s="47"/>
      <c r="H18" s="47"/>
      <c r="I18" s="144"/>
      <c r="J18" s="17"/>
    </row>
    <row r="19">
      <c r="A19" s="1" t="s">
        <v>20</v>
      </c>
      <c r="B19" s="47" t="s">
        <v>21</v>
      </c>
      <c r="C19" s="47"/>
      <c r="D19" s="47"/>
      <c r="E19" s="47"/>
      <c r="F19" s="47"/>
      <c r="G19" s="47"/>
      <c r="H19" s="47"/>
      <c r="I19" s="144"/>
      <c r="J19" s="17"/>
    </row>
    <row r="20">
      <c r="A20" s="1" t="s">
        <v>22</v>
      </c>
      <c r="B20" s="75">
        <f>Inputs!B109</f>
        <v>46306</v>
      </c>
      <c r="C20" s="47"/>
      <c r="D20" s="47"/>
      <c r="E20" s="47"/>
      <c r="F20" s="47"/>
      <c r="G20" s="47"/>
      <c r="H20" s="47"/>
      <c r="I20" s="144"/>
      <c r="J20" s="17"/>
    </row>
    <row r="21">
      <c r="A21" s="1"/>
      <c r="B21" s="8"/>
      <c r="C21" s="8"/>
      <c r="D21" s="8"/>
      <c r="E21" s="8"/>
      <c r="F21" s="8"/>
      <c r="G21" s="8"/>
      <c r="H21" s="8"/>
      <c r="I21" s="146"/>
      <c r="J21" s="17"/>
    </row>
    <row r="22">
      <c r="A22" s="43" t="s">
        <v>23</v>
      </c>
      <c r="B22" s="27" t="s">
        <v>24</v>
      </c>
      <c r="C22" s="27" t="s">
        <v>25</v>
      </c>
      <c r="D22" s="27" t="s">
        <v>26</v>
      </c>
      <c r="E22" s="27" t="s">
        <v>27</v>
      </c>
      <c r="F22" s="27" t="s">
        <v>28</v>
      </c>
      <c r="G22" s="27" t="s">
        <v>29</v>
      </c>
      <c r="H22" s="27" t="s">
        <v>30</v>
      </c>
      <c r="I22" s="147"/>
      <c r="J22" s="17"/>
    </row>
    <row r="23">
      <c r="A23" s="35" t="s">
        <v>31</v>
      </c>
      <c r="B23" s="16">
        <f>'Revenue summary'!I30</f>
        <v>10967.043698208377</v>
      </c>
      <c r="C23" s="16">
        <f>Inputs!B59</f>
        <v>11018.09</v>
      </c>
      <c r="D23" s="14">
        <f>B23-C23</f>
        <v>-51.04630179162268</v>
      </c>
      <c r="E23" s="9">
        <f>D23/C23</f>
        <v>-0.004632953787055895</v>
      </c>
      <c r="F23" s="8" t="s">
        <v>32</v>
      </c>
      <c r="G23" s="8" t="s">
        <v>32</v>
      </c>
      <c r="H23" s="54">
        <f>Inputs!B64</f>
        <v>11</v>
      </c>
      <c r="I23" s="146"/>
      <c r="J23" s="17"/>
    </row>
    <row r="24">
      <c r="A24" s="35" t="s">
        <v>33</v>
      </c>
      <c r="B24" s="16">
        <f>'Revenue summary'!I110</f>
        <v>12324.029239346173</v>
      </c>
      <c r="C24" s="14" t="s">
        <v>32</v>
      </c>
      <c r="D24" s="14" t="s">
        <v>32</v>
      </c>
      <c r="E24" s="9" t="s">
        <v>32</v>
      </c>
      <c r="F24" s="8" t="s">
        <v>32</v>
      </c>
      <c r="G24" s="8" t="s">
        <v>32</v>
      </c>
      <c r="H24" s="51" t="s">
        <v>32</v>
      </c>
      <c r="I24" s="146"/>
      <c r="J24" s="17"/>
    </row>
    <row r="25" ht="40.5">
      <c r="A25" s="35" t="s">
        <v>34</v>
      </c>
      <c r="B25" s="16">
        <f>'Income Statement'!I100</f>
        <v>1593.4841109411843</v>
      </c>
      <c r="C25" s="16">
        <f>Inputs!B72</f>
        <v>1538.88</v>
      </c>
      <c r="D25" s="14" t="s">
        <v>32</v>
      </c>
      <c r="E25" s="9" t="s">
        <v>32</v>
      </c>
      <c r="F25" s="8" t="s">
        <v>32</v>
      </c>
      <c r="G25" s="8" t="s">
        <v>32</v>
      </c>
      <c r="H25" s="51" t="s">
        <v>32</v>
      </c>
      <c r="I25" s="146"/>
      <c r="J25" s="142" t="s">
        <v>35</v>
      </c>
    </row>
    <row r="26">
      <c r="A26" s="35" t="s">
        <v>36</v>
      </c>
      <c r="B26" s="16">
        <f>'Income Statement'!I47</f>
        <v>1593.4841109411843</v>
      </c>
      <c r="C26" s="16">
        <f>Inputs!B73</f>
        <v>1499.22</v>
      </c>
      <c r="D26" s="14">
        <f>B26-C26</f>
        <v>94.2641109411843</v>
      </c>
      <c r="E26" s="9">
        <f>D26/C26</f>
        <v>0.06287543585410033</v>
      </c>
      <c r="F26" s="8" t="s">
        <v>32</v>
      </c>
      <c r="G26" s="8" t="s">
        <v>32</v>
      </c>
      <c r="H26" s="51" t="s">
        <v>32</v>
      </c>
      <c r="I26" s="146"/>
      <c r="J26" s="17"/>
    </row>
    <row r="27" ht="78.75">
      <c r="A27" s="35" t="s">
        <v>37</v>
      </c>
      <c r="B27" s="55">
        <f>'Income Statement'!I133</f>
        <v>7.514075976592767</v>
      </c>
      <c r="C27" s="55">
        <f>Inputs!B43</f>
        <v>7.36</v>
      </c>
      <c r="D27" s="56">
        <f>B27-C27</f>
        <v>0.1540759765927664</v>
      </c>
      <c r="E27" s="9">
        <f>D27/C27</f>
        <v>0.02093423595010413</v>
      </c>
      <c r="F27" s="8" t="s">
        <v>32</v>
      </c>
      <c r="G27" s="8" t="s">
        <v>32</v>
      </c>
      <c r="H27" s="54">
        <f>Inputs!B48</f>
        <v>24</v>
      </c>
      <c r="I27" s="146"/>
      <c r="J27" s="142" t="s">
        <v>38</v>
      </c>
    </row>
    <row r="28" ht="53.25">
      <c r="A28" s="35" t="s">
        <v>39</v>
      </c>
      <c r="B28" s="55">
        <f>'Income Statement'!I128</f>
        <v>7.514075976592767</v>
      </c>
      <c r="C28" s="55">
        <f>Inputs!B52</f>
        <v>7.18</v>
      </c>
      <c r="D28" s="56">
        <f>B28-C28</f>
        <v>0.334075976592767</v>
      </c>
      <c r="E28" s="9">
        <f>D28/C28</f>
        <v>0.04652868754773914</v>
      </c>
      <c r="F28" s="8" t="s">
        <v>32</v>
      </c>
      <c r="G28" s="8" t="s">
        <v>32</v>
      </c>
      <c r="H28" s="54">
        <f>Inputs!B57</f>
        <v>10</v>
      </c>
      <c r="I28" s="146"/>
      <c r="J28" s="142" t="s">
        <v>40</v>
      </c>
    </row>
    <row r="29" ht="40.5">
      <c r="A29" s="67" t="s">
        <v>41</v>
      </c>
      <c r="B29" s="52">
        <v>0.7</v>
      </c>
      <c r="C29" s="8"/>
      <c r="D29" s="8"/>
      <c r="E29" s="8"/>
      <c r="F29" s="8"/>
      <c r="G29" s="8"/>
      <c r="H29" s="8"/>
      <c r="I29" s="146"/>
      <c r="J29" s="142" t="s">
        <v>42</v>
      </c>
    </row>
    <row r="30">
      <c r="A30" s="1" t="s">
        <v>43</v>
      </c>
      <c r="B30" s="110" t="s">
        <v>44</v>
      </c>
      <c r="C30" s="47"/>
      <c r="D30" s="47"/>
      <c r="E30" s="47"/>
      <c r="F30" s="47"/>
      <c r="G30" s="47"/>
      <c r="H30" s="47"/>
      <c r="I30" s="144"/>
      <c r="J30" s="17" t="s">
        <v>45</v>
      </c>
    </row>
    <row r="31" ht="78.75">
      <c r="A31" s="22" t="s">
        <v>46</v>
      </c>
      <c r="B31" s="113" t="str">
        <f>IF(AND(B62:B88),"PASS","FAIL")</f>
        <v>PASS</v>
      </c>
      <c r="C31" s="49"/>
      <c r="D31" s="49"/>
      <c r="E31" s="49"/>
      <c r="F31" s="49"/>
      <c r="G31" s="49"/>
      <c r="H31" s="49"/>
      <c r="I31" s="143"/>
      <c r="J31" s="142" t="s">
        <v>47</v>
      </c>
    </row>
    <row r="32">
      <c r="A32" s="1" t="s">
        <v>48</v>
      </c>
      <c r="B32" s="50" t="b">
        <f>AND(B23='Revenue summary'!I30,B25='Income Statement'!I100,B27='Income Statement'!I133,B26='Income Statement'!I47,B28='Income Statement'!I128)</f>
        <v>1</v>
      </c>
      <c r="C32" s="8"/>
      <c r="D32" s="8"/>
      <c r="E32" s="8"/>
      <c r="F32" s="8"/>
      <c r="G32" s="8"/>
      <c r="H32" s="8"/>
      <c r="I32" s="146"/>
      <c r="J32" s="17"/>
    </row>
    <row r="33">
      <c r="A33" s="1" t="s">
        <v>49</v>
      </c>
      <c r="B33" s="8"/>
      <c r="C33" s="8"/>
      <c r="D33" s="8"/>
      <c r="E33" s="8"/>
      <c r="F33" s="8"/>
      <c r="G33" s="8"/>
      <c r="H33" s="8"/>
      <c r="I33" s="146"/>
      <c r="J33" s="17"/>
    </row>
    <row r="34">
      <c r="A34" s="1"/>
      <c r="B34" s="8"/>
      <c r="C34" s="8"/>
      <c r="D34" s="8"/>
      <c r="E34" s="8"/>
      <c r="F34" s="8"/>
      <c r="G34" s="8"/>
      <c r="H34" s="8"/>
      <c r="I34" s="146"/>
      <c r="J34" s="17"/>
    </row>
    <row r="35">
      <c r="A35" s="43" t="s">
        <v>50</v>
      </c>
      <c r="B35" s="27" t="s">
        <v>51</v>
      </c>
      <c r="C35" s="27" t="s">
        <v>52</v>
      </c>
      <c r="D35" s="27" t="s">
        <v>53</v>
      </c>
      <c r="E35" s="27"/>
      <c r="F35" s="27"/>
      <c r="G35" s="27"/>
      <c r="H35" s="27"/>
      <c r="I35" s="147"/>
      <c r="J35" s="17"/>
    </row>
    <row r="36">
      <c r="A36" s="35" t="s">
        <v>54</v>
      </c>
      <c r="B36" s="58">
        <v>7.25</v>
      </c>
      <c r="C36" s="3">
        <v>46304</v>
      </c>
      <c r="D36" s="8" t="s">
        <v>55</v>
      </c>
      <c r="E36" s="8"/>
      <c r="F36" s="8"/>
      <c r="G36" s="8"/>
      <c r="H36" s="8"/>
      <c r="I36" s="146"/>
      <c r="J36" s="17"/>
    </row>
    <row r="37">
      <c r="A37" s="35" t="s">
        <v>56</v>
      </c>
      <c r="B37" s="58">
        <v>7.13</v>
      </c>
      <c r="C37" s="3">
        <v>46303</v>
      </c>
      <c r="D37" s="8" t="s">
        <v>57</v>
      </c>
      <c r="E37" s="8"/>
      <c r="F37" s="8"/>
      <c r="G37" s="8"/>
      <c r="H37" s="8"/>
      <c r="I37" s="146"/>
      <c r="J37" s="17"/>
    </row>
    <row r="38">
      <c r="A38" s="35" t="s">
        <v>58</v>
      </c>
      <c r="B38" s="58">
        <v>6.86</v>
      </c>
      <c r="C38" s="3">
        <v>46303</v>
      </c>
      <c r="D38" s="8" t="s">
        <v>59</v>
      </c>
      <c r="E38" s="8"/>
      <c r="F38" s="8"/>
      <c r="G38" s="8"/>
      <c r="H38" s="8"/>
      <c r="I38" s="146"/>
      <c r="J38" s="17"/>
    </row>
    <row r="39">
      <c r="A39" s="1"/>
      <c r="B39" s="8"/>
      <c r="C39" s="8"/>
      <c r="D39" s="8"/>
      <c r="E39" s="8"/>
      <c r="F39" s="8"/>
      <c r="G39" s="8"/>
      <c r="H39" s="8"/>
      <c r="I39" s="146"/>
      <c r="J39" s="17"/>
    </row>
    <row r="40">
      <c r="A40" s="43" t="s">
        <v>60</v>
      </c>
      <c r="B40" s="27" t="s">
        <v>61</v>
      </c>
      <c r="C40" s="27"/>
      <c r="D40" s="27"/>
      <c r="E40" s="27"/>
      <c r="F40" s="27"/>
      <c r="G40" s="27"/>
      <c r="H40" s="27"/>
      <c r="I40" s="147"/>
      <c r="J40" s="17"/>
    </row>
    <row r="41" ht="27.75">
      <c r="A41" s="35" t="s">
        <v>62</v>
      </c>
      <c r="B41" s="6">
        <v>76910</v>
      </c>
      <c r="C41" s="8"/>
      <c r="D41" s="8"/>
      <c r="E41" s="8"/>
      <c r="F41" s="8"/>
      <c r="G41" s="8"/>
      <c r="H41" s="8"/>
      <c r="I41" s="146"/>
      <c r="J41" s="142" t="s">
        <v>63</v>
      </c>
    </row>
    <row r="42">
      <c r="A42" s="35" t="s">
        <v>64</v>
      </c>
      <c r="B42" s="6">
        <v>10000</v>
      </c>
      <c r="C42" s="8"/>
      <c r="D42" s="8"/>
      <c r="E42" s="8"/>
      <c r="F42" s="8"/>
      <c r="G42" s="8"/>
      <c r="H42" s="8"/>
      <c r="I42" s="146"/>
      <c r="J42" s="17" t="s">
        <v>65</v>
      </c>
    </row>
    <row r="43">
      <c r="A43" s="35" t="s">
        <v>66</v>
      </c>
      <c r="B43" s="6">
        <v>2000</v>
      </c>
      <c r="C43" s="8"/>
      <c r="D43" s="8"/>
      <c r="E43" s="8"/>
      <c r="F43" s="8"/>
      <c r="G43" s="8"/>
      <c r="H43" s="8"/>
      <c r="I43" s="146"/>
      <c r="J43" s="17" t="s">
        <v>67</v>
      </c>
    </row>
    <row r="44">
      <c r="A44" s="35" t="s">
        <v>68</v>
      </c>
      <c r="B44" s="115" t="str">
        <f>IF(B41&gt;B42,"Large",IF(B41&gt;B43,"Mid","Small"))</f>
        <v>Large</v>
      </c>
      <c r="C44" s="47"/>
      <c r="D44" s="47"/>
      <c r="E44" s="47"/>
      <c r="F44" s="47"/>
      <c r="G44" s="47"/>
      <c r="H44" s="47"/>
      <c r="I44" s="144"/>
      <c r="J44" s="17"/>
    </row>
    <row r="45">
      <c r="A45" s="35" t="s">
        <v>69</v>
      </c>
      <c r="B45" s="118" t="str">
        <f>Inputs!B36</f>
        <v>Y</v>
      </c>
      <c r="C45" s="47"/>
      <c r="D45" s="47"/>
      <c r="E45" s="47"/>
      <c r="F45" s="47"/>
      <c r="G45" s="47"/>
      <c r="H45" s="47"/>
      <c r="I45" s="144"/>
      <c r="J45" s="17"/>
    </row>
    <row r="46" ht="78.75">
      <c r="A46" s="69" t="s">
        <v>70</v>
      </c>
      <c r="B46" s="2">
        <v>0.78</v>
      </c>
      <c r="C46" s="8"/>
      <c r="D46" s="8"/>
      <c r="E46" s="8"/>
      <c r="F46" s="8"/>
      <c r="G46" s="8"/>
      <c r="H46" s="8"/>
      <c r="I46" s="146"/>
      <c r="J46" s="153" t="s">
        <v>71</v>
      </c>
    </row>
    <row r="47">
      <c r="A47" s="69" t="s">
        <v>72</v>
      </c>
      <c r="B47" s="2">
        <v>0.7</v>
      </c>
      <c r="C47" s="8"/>
      <c r="D47" s="8"/>
      <c r="E47" s="8"/>
      <c r="F47" s="8"/>
      <c r="G47" s="8"/>
      <c r="H47" s="8"/>
      <c r="I47" s="146"/>
      <c r="J47" s="17"/>
    </row>
    <row r="48">
      <c r="A48" s="69" t="s">
        <v>73</v>
      </c>
      <c r="B48" s="2">
        <v>0.6</v>
      </c>
      <c r="C48" s="8"/>
      <c r="D48" s="8"/>
      <c r="E48" s="8"/>
      <c r="F48" s="8"/>
      <c r="G48" s="8"/>
      <c r="H48" s="8"/>
      <c r="I48" s="146"/>
      <c r="J48" s="17"/>
    </row>
    <row r="49">
      <c r="A49" s="69" t="s">
        <v>74</v>
      </c>
      <c r="B49" s="9">
        <f>IF(OR(B44="Large",B45="Y"),B46,IF(B44="Mid",B47,B48))</f>
        <v>0.78</v>
      </c>
      <c r="C49" s="8"/>
      <c r="D49" s="8"/>
      <c r="E49" s="8"/>
      <c r="F49" s="8"/>
      <c r="G49" s="8"/>
      <c r="H49" s="8"/>
      <c r="I49" s="146"/>
      <c r="J49" s="17"/>
    </row>
    <row r="50" ht="53.25">
      <c r="A50" s="35" t="s">
        <v>75</v>
      </c>
      <c r="B50" s="54">
        <f>N(Inputs!B18)+N(Inputs!C18)+N(Inputs!D18)+N(Inputs!E18)+N(Inputs!F18)+N(Inputs!G18)+N(Inputs!H18)</f>
        <v>6</v>
      </c>
      <c r="C50" s="8"/>
      <c r="D50" s="8"/>
      <c r="E50" s="8"/>
      <c r="F50" s="8"/>
      <c r="G50" s="8"/>
      <c r="H50" s="8"/>
      <c r="I50" s="146"/>
      <c r="J50" s="153" t="s">
        <v>76</v>
      </c>
    </row>
    <row r="51">
      <c r="A51" s="35" t="s">
        <v>77</v>
      </c>
      <c r="B51" s="54">
        <f>COUNT(Inputs!B12:H12)</f>
        <v>6</v>
      </c>
      <c r="C51" s="8"/>
      <c r="D51" s="8"/>
      <c r="E51" s="8"/>
      <c r="F51" s="8"/>
      <c r="G51" s="8"/>
      <c r="H51" s="8"/>
      <c r="I51" s="146"/>
      <c r="J51" s="17"/>
    </row>
    <row r="52">
      <c r="A52" s="35" t="s">
        <v>78</v>
      </c>
      <c r="B52" s="78">
        <v>8</v>
      </c>
      <c r="C52" s="8"/>
      <c r="D52" s="8"/>
      <c r="E52" s="8"/>
      <c r="F52" s="8"/>
      <c r="G52" s="8"/>
      <c r="H52" s="8"/>
      <c r="I52" s="146"/>
      <c r="J52" s="17"/>
    </row>
    <row r="53">
      <c r="A53" s="69" t="s">
        <v>79</v>
      </c>
      <c r="B53" s="9">
        <f>(B52*B49+B50)/(B52+B51)</f>
        <v>0.8742857142857143</v>
      </c>
      <c r="C53" s="8"/>
      <c r="D53" s="8"/>
      <c r="E53" s="8"/>
      <c r="F53" s="8"/>
      <c r="G53" s="8"/>
      <c r="H53" s="8"/>
      <c r="I53" s="146"/>
      <c r="J53" s="17"/>
    </row>
    <row r="54" ht="27.75">
      <c r="A54" s="35" t="s">
        <v>80</v>
      </c>
      <c r="B54" s="58">
        <v>1.1</v>
      </c>
      <c r="C54" s="56"/>
      <c r="D54" s="56"/>
      <c r="E54" s="9"/>
      <c r="F54" s="8"/>
      <c r="G54" s="8"/>
      <c r="H54" s="51"/>
      <c r="I54" s="146"/>
      <c r="J54" s="142" t="s">
        <v>81</v>
      </c>
    </row>
    <row r="55">
      <c r="A55" s="69" t="s">
        <v>82</v>
      </c>
      <c r="B55" s="9">
        <f>1-_xlfn.NORM.DIST(C27,B27,B54,TRUE)</f>
        <v>0.5556972907514468</v>
      </c>
      <c r="C55" s="8"/>
      <c r="D55" s="8"/>
      <c r="E55" s="8"/>
      <c r="F55" s="8"/>
      <c r="G55" s="8"/>
      <c r="H55" s="8"/>
      <c r="I55" s="146"/>
      <c r="J55" s="17"/>
    </row>
    <row r="56" ht="91.5">
      <c r="A56" s="69" t="s">
        <v>83</v>
      </c>
      <c r="B56" s="9">
        <f>B29</f>
        <v>0.7</v>
      </c>
      <c r="C56" s="8"/>
      <c r="D56" s="8"/>
      <c r="E56" s="8"/>
      <c r="F56" s="8"/>
      <c r="G56" s="8"/>
      <c r="H56" s="8"/>
      <c r="I56" s="146"/>
      <c r="J56" s="142" t="s">
        <v>84</v>
      </c>
    </row>
    <row r="58">
      <c r="A58" s="119" t="s">
        <v>85</v>
      </c>
      <c r="B58" s="111" t="s">
        <v>86</v>
      </c>
      <c r="C58" s="111" t="s">
        <v>87</v>
      </c>
      <c r="D58" s="111" t="s">
        <v>88</v>
      </c>
      <c r="E58" s="117" t="s">
        <v>89</v>
      </c>
      <c r="F58" s="155"/>
      <c r="G58" s="155"/>
      <c r="H58" s="155"/>
      <c r="I58" s="155"/>
    </row>
    <row r="59" ht="27.75">
      <c r="A59" s="116" t="s">
        <v>90</v>
      </c>
      <c r="B59" s="105"/>
      <c r="C59" s="105"/>
      <c r="D59" s="114">
        <v>1</v>
      </c>
      <c r="E59" s="105"/>
      <c r="F59" s="105"/>
      <c r="G59" s="105"/>
      <c r="H59" s="105"/>
      <c r="I59" s="105"/>
      <c r="J59" s="142" t="s">
        <v>91</v>
      </c>
    </row>
    <row r="60" ht="27.75">
      <c r="A60" s="116" t="s">
        <v>92</v>
      </c>
      <c r="B60" s="105"/>
      <c r="C60" s="105"/>
      <c r="D60" s="114">
        <v>0.1</v>
      </c>
      <c r="E60" s="105"/>
      <c r="F60" s="105"/>
      <c r="G60" s="105"/>
      <c r="H60" s="105"/>
      <c r="I60" s="105"/>
      <c r="J60" s="142" t="s">
        <v>93</v>
      </c>
    </row>
    <row r="61" ht="105">
      <c r="A61" s="116" t="s">
        <v>94</v>
      </c>
      <c r="B61" s="105"/>
      <c r="C61" s="105"/>
      <c r="D61" s="105"/>
      <c r="E61" s="105"/>
      <c r="F61" s="105"/>
      <c r="G61" s="105"/>
      <c r="H61" s="105"/>
      <c r="I61" s="105"/>
      <c r="J61" s="154" t="s">
        <v>95</v>
      </c>
    </row>
    <row r="62">
      <c r="A62" s="107" t="s">
        <v>96</v>
      </c>
      <c r="B62" s="112" t="b">
        <f>AND('Revenue summary'!B40:I40)</f>
        <v>1</v>
      </c>
      <c r="C62" s="109" t="s">
        <v>97</v>
      </c>
      <c r="D62" s="104" t="s">
        <v>98</v>
      </c>
      <c r="E62" s="106" t="s">
        <v>99</v>
      </c>
      <c r="F62" s="105"/>
      <c r="G62" s="105"/>
      <c r="H62" s="105"/>
      <c r="I62" s="105"/>
      <c r="J62" s="103" t="s">
        <v>100</v>
      </c>
    </row>
    <row r="63" ht="27.75">
      <c r="A63" s="107" t="s">
        <v>101</v>
      </c>
      <c r="B63" s="108" t="b">
        <f>C63&lt;=D63</f>
        <v>1</v>
      </c>
      <c r="C63" s="109">
        <f>MAX(MAX('Revenue summary'!B39:H39),-MIN('Revenue summary'!B39:H39))</f>
        <v>0</v>
      </c>
      <c r="D63" s="104">
        <f>$D$59</f>
        <v>1</v>
      </c>
      <c r="E63" s="106" t="s">
        <v>102</v>
      </c>
      <c r="F63" s="105"/>
      <c r="G63" s="105"/>
      <c r="H63" s="105"/>
      <c r="I63" s="105"/>
      <c r="J63" s="142" t="s">
        <v>103</v>
      </c>
    </row>
    <row r="64" ht="27.75">
      <c r="A64" s="107" t="s">
        <v>104</v>
      </c>
      <c r="B64" s="108" t="b">
        <f>C64&lt;=D64</f>
        <v>1</v>
      </c>
      <c r="C64" s="109">
        <f>MAX(MAX('Revenue summary'!B64:I64),-MIN('Revenue summary'!B64:I64))</f>
        <v>0</v>
      </c>
      <c r="D64" s="104">
        <f>$D$59</f>
        <v>1</v>
      </c>
      <c r="E64" s="106" t="s">
        <v>105</v>
      </c>
      <c r="F64" s="105"/>
      <c r="G64" s="105"/>
      <c r="H64" s="105"/>
      <c r="I64" s="105"/>
      <c r="J64" s="153" t="s">
        <v>106</v>
      </c>
    </row>
    <row r="65">
      <c r="A65" s="107" t="s">
        <v>107</v>
      </c>
      <c r="B65" s="108" t="b">
        <f>C65&lt;=D65</f>
        <v>1</v>
      </c>
      <c r="C65" s="109">
        <f>MAX(MAX('Revenue summary'!B118:H118),-MIN('Revenue summary'!B118:H118))</f>
        <v>0</v>
      </c>
      <c r="D65" s="104">
        <f>$D$59</f>
        <v>1</v>
      </c>
      <c r="E65" s="106" t="s">
        <v>102</v>
      </c>
      <c r="F65" s="105"/>
      <c r="G65" s="105"/>
      <c r="H65" s="105"/>
      <c r="I65" s="105"/>
      <c r="J65" s="103" t="s">
        <v>108</v>
      </c>
    </row>
    <row r="66">
      <c r="A66" s="107" t="s">
        <v>109</v>
      </c>
      <c r="B66" s="108" t="b">
        <f>C66&lt;=D66</f>
        <v>1</v>
      </c>
      <c r="C66" s="109">
        <f>MAX(MAX('Segment - Business Insurance'!B96:I96),-MIN('Segment - Business Insurance'!B96:I96))</f>
        <v>0</v>
      </c>
      <c r="D66" s="104">
        <f>$D$59</f>
        <v>1</v>
      </c>
      <c r="E66" s="106" t="s">
        <v>110</v>
      </c>
      <c r="F66" s="105"/>
      <c r="G66" s="105"/>
      <c r="H66" s="105"/>
      <c r="I66" s="105"/>
      <c r="J66" s="103" t="s">
        <v>111</v>
      </c>
    </row>
    <row r="67">
      <c r="A67" s="107" t="s">
        <v>112</v>
      </c>
      <c r="B67" s="108" t="b">
        <f>C67&lt;=D67</f>
        <v>1</v>
      </c>
      <c r="C67" s="109">
        <f>MAX(MAX('Segment - Business Insurance'!B198:H198),-MIN('Segment - Business Insurance'!B198:H198))</f>
        <v>0</v>
      </c>
      <c r="D67" s="104">
        <f>$D$59</f>
        <v>1</v>
      </c>
      <c r="E67" s="106" t="s">
        <v>102</v>
      </c>
      <c r="F67" s="105"/>
      <c r="G67" s="105"/>
      <c r="H67" s="105"/>
      <c r="I67" s="105"/>
      <c r="J67" s="103" t="s">
        <v>113</v>
      </c>
    </row>
    <row r="68">
      <c r="A68" s="107" t="s">
        <v>114</v>
      </c>
      <c r="B68" s="108" t="b">
        <f>C68&lt;=D68</f>
        <v>1</v>
      </c>
      <c r="C68" s="109">
        <f>MAX(MAX('Segment - Bond &amp; Specialty'!B55:I55),-MIN('Segment - Bond &amp; Specialty'!B55:I55))</f>
        <v>0</v>
      </c>
      <c r="D68" s="104">
        <f>$D$59</f>
        <v>1</v>
      </c>
      <c r="E68" s="106" t="s">
        <v>110</v>
      </c>
      <c r="F68" s="105"/>
      <c r="G68" s="105"/>
      <c r="H68" s="105"/>
      <c r="I68" s="105"/>
      <c r="J68" s="103" t="s">
        <v>115</v>
      </c>
    </row>
    <row r="69">
      <c r="A69" s="107" t="s">
        <v>116</v>
      </c>
      <c r="B69" s="108" t="b">
        <f>C69&lt;=D69</f>
        <v>1</v>
      </c>
      <c r="C69" s="109">
        <f>MAX(MAX('Segment - Bond &amp; Specialty'!B151:H151),-MIN('Segment - Bond &amp; Specialty'!B151:H151))</f>
        <v>0</v>
      </c>
      <c r="D69" s="104">
        <f>$D$59</f>
        <v>1</v>
      </c>
      <c r="E69" s="106" t="s">
        <v>102</v>
      </c>
      <c r="F69" s="105"/>
      <c r="G69" s="105"/>
      <c r="H69" s="105"/>
      <c r="I69" s="105"/>
      <c r="J69" s="103" t="s">
        <v>117</v>
      </c>
    </row>
    <row r="70">
      <c r="A70" s="107" t="s">
        <v>118</v>
      </c>
      <c r="B70" s="108" t="b">
        <f>C70&lt;=D70</f>
        <v>1</v>
      </c>
      <c r="C70" s="109">
        <f>MAX(MAX('Segment - Personal Insurance'!B252:H252),-MIN('Segment - Personal Insurance'!B252:H252))</f>
        <v>0</v>
      </c>
      <c r="D70" s="104">
        <f>$D$59</f>
        <v>1</v>
      </c>
      <c r="E70" s="106" t="s">
        <v>102</v>
      </c>
      <c r="F70" s="105"/>
      <c r="G70" s="105"/>
      <c r="H70" s="105"/>
      <c r="I70" s="105"/>
      <c r="J70" s="103" t="s">
        <v>119</v>
      </c>
    </row>
    <row r="71">
      <c r="A71" s="107" t="s">
        <v>120</v>
      </c>
      <c r="B71" s="108" t="b">
        <f>C71&lt;=D71</f>
        <v>1</v>
      </c>
      <c r="C71" s="109">
        <f>MAX(MAX('Income Statement'!B38:H38),-MIN('Income Statement'!B38:H38))</f>
        <v>0</v>
      </c>
      <c r="D71" s="104">
        <f>$D$59</f>
        <v>1</v>
      </c>
      <c r="E71" s="106" t="s">
        <v>102</v>
      </c>
      <c r="F71" s="105"/>
      <c r="G71" s="105"/>
      <c r="H71" s="105"/>
      <c r="I71" s="105"/>
      <c r="J71" s="103" t="s">
        <v>121</v>
      </c>
    </row>
    <row r="72">
      <c r="A72" s="107" t="s">
        <v>122</v>
      </c>
      <c r="B72" s="108" t="b">
        <f>C72&lt;=D72</f>
        <v>1</v>
      </c>
      <c r="C72" s="109">
        <f>MAX(MAX('Income Statement'!B52:H52),-MIN('Income Statement'!B52:H52))</f>
        <v>0</v>
      </c>
      <c r="D72" s="104">
        <f>$D$59</f>
        <v>1</v>
      </c>
      <c r="E72" s="106" t="s">
        <v>102</v>
      </c>
      <c r="F72" s="105"/>
      <c r="G72" s="105"/>
      <c r="H72" s="105"/>
      <c r="I72" s="105"/>
      <c r="J72" s="103" t="s">
        <v>123</v>
      </c>
    </row>
    <row r="73">
      <c r="A73" s="107" t="s">
        <v>124</v>
      </c>
      <c r="B73" s="108" t="b">
        <f>C73&lt;=D73</f>
        <v>1</v>
      </c>
      <c r="C73" s="109">
        <f>MAX(MAX('Income Statement'!B90:H90),-MIN('Income Statement'!B90:H90))</f>
        <v>0</v>
      </c>
      <c r="D73" s="104">
        <f>$D$59</f>
        <v>1</v>
      </c>
      <c r="E73" s="106" t="s">
        <v>102</v>
      </c>
      <c r="F73" s="105"/>
      <c r="G73" s="105"/>
      <c r="H73" s="105"/>
      <c r="I73" s="105"/>
      <c r="J73" s="103" t="s">
        <v>125</v>
      </c>
    </row>
    <row r="74">
      <c r="A74" s="107" t="s">
        <v>126</v>
      </c>
      <c r="B74" s="108" t="b">
        <f>C74&lt;=D74</f>
        <v>1</v>
      </c>
      <c r="C74" s="109">
        <f>MAX(MAX('Income Statement'!B105:H105),-MIN('Income Statement'!B105:H105))</f>
        <v>0</v>
      </c>
      <c r="D74" s="104">
        <f>$D$59</f>
        <v>1</v>
      </c>
      <c r="E74" s="106" t="s">
        <v>102</v>
      </c>
      <c r="F74" s="105"/>
      <c r="G74" s="105"/>
      <c r="H74" s="105"/>
      <c r="I74" s="105"/>
      <c r="J74" s="103" t="s">
        <v>127</v>
      </c>
    </row>
    <row r="75">
      <c r="A75" s="107" t="s">
        <v>128</v>
      </c>
      <c r="B75" s="108" t="b">
        <f>C75&lt;=D75</f>
        <v>1</v>
      </c>
      <c r="C75" s="109">
        <f>MAX(MAX('Income Statement'!B112:I112),-MIN('Income Statement'!B112:I112))</f>
        <v>0</v>
      </c>
      <c r="D75" s="104">
        <f>$D$59</f>
        <v>1</v>
      </c>
      <c r="E75" s="106" t="s">
        <v>105</v>
      </c>
      <c r="F75" s="105"/>
      <c r="G75" s="105"/>
      <c r="H75" s="105"/>
      <c r="I75" s="105"/>
      <c r="J75" s="103" t="s">
        <v>129</v>
      </c>
    </row>
    <row r="76" ht="27.75">
      <c r="A76" s="107" t="s">
        <v>130</v>
      </c>
      <c r="B76" s="112" t="b">
        <f>AND('Income Statement'!B139:H139)</f>
        <v>1</v>
      </c>
      <c r="C76" s="109" t="s">
        <v>97</v>
      </c>
      <c r="D76" s="104" t="s">
        <v>98</v>
      </c>
      <c r="E76" s="106" t="s">
        <v>102</v>
      </c>
      <c r="F76" s="105"/>
      <c r="G76" s="105"/>
      <c r="H76" s="105"/>
      <c r="I76" s="105"/>
      <c r="J76" s="142" t="s">
        <v>131</v>
      </c>
    </row>
    <row r="77">
      <c r="A77" s="107" t="s">
        <v>132</v>
      </c>
      <c r="B77" s="112" t="b">
        <f>AND('Income Statement'!B140:I140)</f>
        <v>1</v>
      </c>
      <c r="C77" s="109" t="s">
        <v>97</v>
      </c>
      <c r="D77" s="104" t="s">
        <v>98</v>
      </c>
      <c r="E77" s="106" t="s">
        <v>99</v>
      </c>
      <c r="F77" s="105"/>
      <c r="G77" s="105"/>
      <c r="H77" s="105"/>
      <c r="I77" s="105"/>
      <c r="J77" s="103" t="s">
        <v>133</v>
      </c>
    </row>
    <row r="78" ht="40.5">
      <c r="A78" s="107" t="s">
        <v>134</v>
      </c>
      <c r="B78" s="112" t="b">
        <f>AND('Balance Sheet'!B45:I45)</f>
        <v>1</v>
      </c>
      <c r="C78" s="109" t="s">
        <v>97</v>
      </c>
      <c r="D78" s="104" t="s">
        <v>98</v>
      </c>
      <c r="E78" s="106" t="s">
        <v>135</v>
      </c>
      <c r="F78" s="105"/>
      <c r="G78" s="105"/>
      <c r="H78" s="105"/>
      <c r="I78" s="105"/>
      <c r="J78" s="142" t="s">
        <v>136</v>
      </c>
    </row>
    <row r="79">
      <c r="A79" s="107" t="s">
        <v>137</v>
      </c>
      <c r="B79" s="108" t="b">
        <f>C79&lt;=D79</f>
        <v>1</v>
      </c>
      <c r="C79" s="109">
        <f>MAX(MAX('Balance Sheet'!B47:H47),-MIN('Balance Sheet'!B47:H47))</f>
        <v>0</v>
      </c>
      <c r="D79" s="104">
        <f>$D$59</f>
        <v>1</v>
      </c>
      <c r="E79" s="106" t="s">
        <v>102</v>
      </c>
      <c r="F79" s="105"/>
      <c r="G79" s="105"/>
      <c r="H79" s="105"/>
      <c r="I79" s="105"/>
      <c r="J79" s="103" t="s">
        <v>138</v>
      </c>
    </row>
    <row r="80">
      <c r="A80" s="107" t="s">
        <v>139</v>
      </c>
      <c r="B80" s="108" t="b">
        <f>C80&lt;=D80</f>
        <v>1</v>
      </c>
      <c r="C80" s="109">
        <f>MAX(MAX('Balance Sheet'!B49:H49),-MIN('Balance Sheet'!B49:H49))</f>
        <v>0</v>
      </c>
      <c r="D80" s="104">
        <f>$D$59</f>
        <v>1</v>
      </c>
      <c r="E80" s="106" t="s">
        <v>102</v>
      </c>
      <c r="F80" s="105"/>
      <c r="G80" s="105"/>
      <c r="H80" s="105"/>
      <c r="I80" s="105"/>
      <c r="J80" s="103" t="s">
        <v>140</v>
      </c>
    </row>
    <row r="81">
      <c r="A81" s="107" t="s">
        <v>141</v>
      </c>
      <c r="B81" s="108" t="b">
        <f>C81&lt;=D81</f>
        <v>1</v>
      </c>
      <c r="C81" s="109">
        <f>MAX(MAX('Cash Flow Statement'!B25:H25),-MIN('Cash Flow Statement'!B25:H25))</f>
        <v>0</v>
      </c>
      <c r="D81" s="104">
        <f>$D$59</f>
        <v>1</v>
      </c>
      <c r="E81" s="106" t="s">
        <v>102</v>
      </c>
      <c r="F81" s="105"/>
      <c r="G81" s="105"/>
      <c r="H81" s="105"/>
      <c r="I81" s="105"/>
      <c r="J81" s="103" t="s">
        <v>142</v>
      </c>
    </row>
    <row r="82">
      <c r="A82" s="107" t="s">
        <v>143</v>
      </c>
      <c r="B82" s="108" t="b">
        <f>C82&lt;=D82</f>
        <v>1</v>
      </c>
      <c r="C82" s="109">
        <f>MAX(MAX('Cash Flow Statement'!B43:H43),-MIN('Cash Flow Statement'!B43:H43))</f>
        <v>0</v>
      </c>
      <c r="D82" s="104">
        <f>$D$59</f>
        <v>1</v>
      </c>
      <c r="E82" s="106" t="s">
        <v>102</v>
      </c>
      <c r="F82" s="105"/>
      <c r="G82" s="105"/>
      <c r="H82" s="105"/>
      <c r="I82" s="105"/>
      <c r="J82" s="103" t="s">
        <v>144</v>
      </c>
    </row>
    <row r="83">
      <c r="A83" s="107" t="s">
        <v>145</v>
      </c>
      <c r="B83" s="108" t="b">
        <f>C83&lt;=D83</f>
        <v>1</v>
      </c>
      <c r="C83" s="109">
        <f>MAX(MAX('Cash Flow Statement'!B53:H53),-MIN('Cash Flow Statement'!B53:H53))</f>
        <v>0</v>
      </c>
      <c r="D83" s="104">
        <f>$D$59</f>
        <v>1</v>
      </c>
      <c r="E83" s="106" t="s">
        <v>102</v>
      </c>
      <c r="F83" s="105"/>
      <c r="G83" s="105"/>
      <c r="H83" s="105"/>
      <c r="I83" s="105"/>
      <c r="J83" s="103" t="s">
        <v>146</v>
      </c>
    </row>
    <row r="84" ht="27.75">
      <c r="A84" s="107" t="s">
        <v>147</v>
      </c>
      <c r="B84" s="112" t="b">
        <f>AND('Cash Flow Statement'!B61:I61)</f>
        <v>1</v>
      </c>
      <c r="C84" s="109" t="s">
        <v>97</v>
      </c>
      <c r="D84" s="104" t="s">
        <v>98</v>
      </c>
      <c r="E84" s="106" t="s">
        <v>105</v>
      </c>
      <c r="F84" s="105"/>
      <c r="G84" s="105"/>
      <c r="H84" s="105"/>
      <c r="I84" s="105"/>
      <c r="J84" s="142" t="s">
        <v>148</v>
      </c>
    </row>
    <row r="85">
      <c r="A85" s="107" t="s">
        <v>149</v>
      </c>
      <c r="B85" s="112" t="b">
        <f>AND(Geo!B27:I27)</f>
        <v>1</v>
      </c>
      <c r="C85" s="109" t="s">
        <v>97</v>
      </c>
      <c r="D85" s="104" t="s">
        <v>98</v>
      </c>
      <c r="E85" s="106" t="s">
        <v>99</v>
      </c>
      <c r="F85" s="105"/>
      <c r="G85" s="105"/>
      <c r="H85" s="105"/>
      <c r="I85" s="105"/>
      <c r="J85" s="103" t="s">
        <v>150</v>
      </c>
    </row>
    <row r="86">
      <c r="A86" s="107" t="s">
        <v>151</v>
      </c>
      <c r="B86" s="108" t="b">
        <f>C86&lt;=D86</f>
        <v>1</v>
      </c>
      <c r="C86" s="109">
        <f>MAX(MAX(Geo!B28:H28),-MIN(Geo!B28:H28))</f>
        <v>0</v>
      </c>
      <c r="D86" s="104">
        <f>$D$59</f>
        <v>1</v>
      </c>
      <c r="E86" s="106" t="s">
        <v>102</v>
      </c>
      <c r="F86" s="105"/>
      <c r="G86" s="105"/>
      <c r="H86" s="105"/>
      <c r="I86" s="105"/>
      <c r="J86" s="103" t="s">
        <v>152</v>
      </c>
    </row>
    <row r="87">
      <c r="A87" s="107" t="s">
        <v>153</v>
      </c>
      <c r="B87" s="108" t="b">
        <f>C87&lt;=D87</f>
        <v>1</v>
      </c>
      <c r="C87" s="109">
        <f>MAX(MAX('Share Count'!B42:H42),-MIN('Share Count'!B42:H42))</f>
        <v>0</v>
      </c>
      <c r="D87" s="104">
        <f>$D$60</f>
        <v>0.1</v>
      </c>
      <c r="E87" s="106" t="s">
        <v>102</v>
      </c>
      <c r="F87" s="105"/>
      <c r="G87" s="105"/>
      <c r="H87" s="105"/>
      <c r="I87" s="105"/>
      <c r="J87" s="103" t="s">
        <v>154</v>
      </c>
    </row>
    <row r="88">
      <c r="A88" s="107" t="s">
        <v>155</v>
      </c>
      <c r="B88" s="108" t="b">
        <f>AND(B32)</f>
        <v>1</v>
      </c>
      <c r="C88" s="109" t="s">
        <v>97</v>
      </c>
      <c r="D88" s="104" t="s">
        <v>98</v>
      </c>
      <c r="E88" s="106" t="s">
        <v>99</v>
      </c>
      <c r="F88" s="105"/>
      <c r="G88" s="105"/>
      <c r="H88" s="105"/>
      <c r="I88" s="105"/>
      <c r="J88" s="103" t="s">
        <v>156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9"/>
  <sheetViews>
    <sheetView showGridLines="0" workbookViewId="0"/>
  </sheetViews>
  <sheetFormatPr defaultColWidth="8.42578125" defaultRowHeight="15"/>
  <cols>
    <col min="1" max="1" width="37" customWidth="1"/>
    <col min="2" max="9" width="12" customWidth="1"/>
    <col min="10" max="10" width="45" customWidth="1"/>
  </cols>
  <sheetData>
    <row r="1">
      <c r="A1" s="26" t="s">
        <v>0</v>
      </c>
      <c r="B1" s="1"/>
      <c r="C1" s="1"/>
      <c r="D1" s="1"/>
      <c r="E1" s="1"/>
      <c r="F1" s="1"/>
      <c r="G1" s="1"/>
      <c r="H1" s="1"/>
      <c r="I1" s="1"/>
      <c r="J1" s="1"/>
    </row>
    <row r="2">
      <c r="A2" s="22" t="s">
        <v>157</v>
      </c>
      <c r="B2" s="1"/>
      <c r="C2" s="1"/>
      <c r="D2" s="1"/>
      <c r="E2" s="1"/>
      <c r="F2" s="1"/>
      <c r="G2" s="1"/>
      <c r="H2" s="1"/>
      <c r="I2" s="1"/>
      <c r="J2" s="1"/>
    </row>
    <row r="3">
      <c r="A3" s="11" t="s">
        <v>2</v>
      </c>
      <c r="B3" s="1"/>
      <c r="C3" s="1"/>
      <c r="D3" s="1"/>
      <c r="E3" s="1"/>
      <c r="F3" s="1"/>
      <c r="G3" s="1"/>
      <c r="H3" s="1"/>
      <c r="I3" s="1"/>
      <c r="J3" s="1"/>
    </row>
    <row r="4">
      <c r="A4" s="12" t="s">
        <v>158</v>
      </c>
      <c r="B4" s="13" t="s">
        <v>159</v>
      </c>
      <c r="C4" s="13" t="s">
        <v>160</v>
      </c>
      <c r="D4" s="13" t="s">
        <v>161</v>
      </c>
      <c r="E4" s="13" t="s">
        <v>162</v>
      </c>
      <c r="F4" s="13" t="s">
        <v>163</v>
      </c>
      <c r="G4" s="13" t="s">
        <v>164</v>
      </c>
      <c r="H4" s="13" t="s">
        <v>165</v>
      </c>
      <c r="I4" s="39" t="s">
        <v>166</v>
      </c>
      <c r="J4" s="10" t="s">
        <v>4</v>
      </c>
    </row>
    <row r="5">
      <c r="A5" s="4" t="s">
        <v>167</v>
      </c>
      <c r="B5" s="7">
        <f>DATE(2025,3,31)</f>
        <v>45747</v>
      </c>
      <c r="C5" s="7">
        <f>DATE(2025,6,30)</f>
        <v>45838</v>
      </c>
      <c r="D5" s="7">
        <f>DATE(2025,9,30)</f>
        <v>45930</v>
      </c>
      <c r="E5" s="7">
        <f>DATE(2025,12,31)</f>
        <v>46022</v>
      </c>
      <c r="F5" s="7">
        <f>DATE(2025,12,31)</f>
        <v>46022</v>
      </c>
      <c r="G5" s="7">
        <f>DATE(2026,3,31)</f>
        <v>46112</v>
      </c>
      <c r="H5" s="7">
        <f>DATE(2026,6,30)</f>
        <v>46203</v>
      </c>
      <c r="I5" s="38">
        <f>DATE(2026,9,30)</f>
        <v>46295</v>
      </c>
      <c r="J5" s="24"/>
    </row>
    <row r="6">
      <c r="A6" s="41" t="s">
        <v>168</v>
      </c>
      <c r="B6" s="20">
        <f>B5-DATE(2024,12,31)</f>
        <v>90</v>
      </c>
      <c r="C6" s="20">
        <f>C5-B5</f>
        <v>91</v>
      </c>
      <c r="D6" s="20">
        <f>D5-C5</f>
        <v>92</v>
      </c>
      <c r="E6" s="20">
        <f>E5-D5</f>
        <v>92</v>
      </c>
      <c r="F6" s="20">
        <f>F5-DATE(2024,12,31)</f>
        <v>365</v>
      </c>
      <c r="G6" s="20">
        <f>G5-E5</f>
        <v>90</v>
      </c>
      <c r="H6" s="20">
        <f>H5-G5</f>
        <v>91</v>
      </c>
      <c r="I6" s="15">
        <f>I5-H5</f>
        <v>92</v>
      </c>
      <c r="J6" s="18"/>
    </row>
    <row r="7">
      <c r="A7" s="1"/>
      <c r="B7" s="1"/>
      <c r="C7" s="1"/>
      <c r="D7" s="1"/>
      <c r="E7" s="1"/>
      <c r="F7" s="1"/>
      <c r="G7" s="1"/>
      <c r="H7" s="1"/>
      <c r="I7" s="33"/>
      <c r="J7" s="17"/>
    </row>
    <row r="8">
      <c r="A8" s="42" t="s">
        <v>169</v>
      </c>
      <c r="B8" s="8"/>
      <c r="C8" s="8"/>
      <c r="D8" s="8"/>
      <c r="E8" s="8"/>
      <c r="F8" s="8"/>
      <c r="G8" s="8"/>
      <c r="H8" s="8"/>
      <c r="I8" s="21"/>
      <c r="J8" s="17"/>
    </row>
    <row r="9">
      <c r="A9" s="35" t="s">
        <v>170</v>
      </c>
      <c r="B9" s="16">
        <f>'Segment - Business Insurance'!B104</f>
        <v>5465</v>
      </c>
      <c r="C9" s="16">
        <f>'Segment - Business Insurance'!C104</f>
        <v>5545</v>
      </c>
      <c r="D9" s="16">
        <f>'Segment - Business Insurance'!D104</f>
        <v>5700</v>
      </c>
      <c r="E9" s="16">
        <f>'Segment - Business Insurance'!E104</f>
        <v>5702</v>
      </c>
      <c r="F9" s="16">
        <f>'Segment - Business Insurance'!F104</f>
        <v>22412</v>
      </c>
      <c r="G9" s="16">
        <f>'Segment - Business Insurance'!G104</f>
        <v>5493</v>
      </c>
      <c r="H9" s="16">
        <f>'Segment - Business Insurance'!H104</f>
        <v>5551</v>
      </c>
      <c r="I9" s="34">
        <f>'Segment - Business Insurance'!I104</f>
        <v>5697.623183246738</v>
      </c>
      <c r="J9" s="17" t="s">
        <v>171</v>
      </c>
    </row>
    <row r="10">
      <c r="A10" s="36" t="s">
        <v>172</v>
      </c>
      <c r="B10" s="28">
        <f>IFERROR(B9/'Segment - Business Insurance'!B113-1,"n/a")</f>
        <v>0.05910852713178305</v>
      </c>
      <c r="C10" s="28">
        <f>IFERROR(C9/'Segment - Business Insurance'!C113-1,"n/a")</f>
        <v>0.07294891640866874</v>
      </c>
      <c r="D10" s="28">
        <f>IFERROR(D9/'Segment - Business Insurance'!D113-1,"n/a")</f>
        <v>0.041286079649250906</v>
      </c>
      <c r="E10" s="28">
        <f>IFERROR(E9/'Segment - Business Insurance'!E113-1,"n/a")</f>
        <v>0.02868482771062597</v>
      </c>
      <c r="F10" s="28">
        <f>IFERROR(F9/'Segment - Business Insurance'!F113-1,"n/a")</f>
        <v>0.04998828765518848</v>
      </c>
      <c r="G10" s="28">
        <f>IFERROR(G9/'Segment - Business Insurance'!G113-1,"n/a")</f>
        <v>0.005123513266239721</v>
      </c>
      <c r="H10" s="28">
        <f>IFERROR(H9/'Segment - Business Insurance'!H113-1,"n/a")</f>
        <v>0.0010820559062219015</v>
      </c>
      <c r="I10" s="85">
        <f>IFERROR(I9/'Segment - Business Insurance'!I113-1,"n/a")</f>
        <v>-0.0004169853953090996</v>
      </c>
      <c r="J10" s="17"/>
    </row>
    <row r="11">
      <c r="A11" s="36" t="s">
        <v>173</v>
      </c>
      <c r="B11" s="9" t="s">
        <v>32</v>
      </c>
      <c r="C11" s="9">
        <f>IFERROR(C9/B9-1,"n/a")</f>
        <v>0.014638609332113361</v>
      </c>
      <c r="D11" s="9">
        <f>IFERROR(D9/C9-1,"n/a")</f>
        <v>0.027953110910730494</v>
      </c>
      <c r="E11" s="9">
        <f>IFERROR(E9/D9-1,"n/a")</f>
        <v>0.00035087719298254605</v>
      </c>
      <c r="F11" s="9" t="s">
        <v>32</v>
      </c>
      <c r="G11" s="9">
        <f>IFERROR(G9/E9-1,"n/a")</f>
        <v>-0.03665380568221677</v>
      </c>
      <c r="H11" s="9">
        <f>IFERROR(H9/G9-1,"n/a")</f>
        <v>0.010558893136719538</v>
      </c>
      <c r="I11" s="29">
        <f>IFERROR(I9/H9-1,"n/a")</f>
        <v>0.02641383232692096</v>
      </c>
      <c r="J11" s="17"/>
    </row>
    <row r="12">
      <c r="A12" s="36" t="s">
        <v>174</v>
      </c>
      <c r="B12" s="9">
        <f>B9/B110</f>
        <v>0.46274343776460625</v>
      </c>
      <c r="C12" s="9">
        <f>C9/C110</f>
        <v>0.4576592934962034</v>
      </c>
      <c r="D12" s="9">
        <f>D9/D110</f>
        <v>0.4570970328789094</v>
      </c>
      <c r="E12" s="9">
        <f>E9/E110</f>
        <v>0.4586550836550837</v>
      </c>
      <c r="F12" s="9">
        <f>F9/F110</f>
        <v>0.4589989350372737</v>
      </c>
      <c r="G12" s="9">
        <f>G9/G110</f>
        <v>0.4606675612210668</v>
      </c>
      <c r="H12" s="9">
        <f>H9/H110</f>
        <v>0.45675964782358264</v>
      </c>
      <c r="I12" s="29">
        <f>I9/I110</f>
        <v>0.4623182136777383</v>
      </c>
      <c r="J12" s="17"/>
    </row>
    <row r="13">
      <c r="A13" s="36" t="s">
        <v>175</v>
      </c>
      <c r="B13" s="28">
        <f>'Segment - Business Insurance'!B111</f>
        <v>0.05910852713178305</v>
      </c>
      <c r="C13" s="28">
        <f>'Segment - Business Insurance'!C111</f>
        <v>0.07294891640866874</v>
      </c>
      <c r="D13" s="28">
        <f>'Segment - Business Insurance'!D111</f>
        <v>0.041286079649250906</v>
      </c>
      <c r="E13" s="28">
        <f>'Segment - Business Insurance'!E111</f>
        <v>0.02868482771062597</v>
      </c>
      <c r="F13" s="28">
        <f>'Segment - Business Insurance'!F111</f>
        <v>0.04998828765518848</v>
      </c>
      <c r="G13" s="28">
        <f>'Segment - Business Insurance'!G111</f>
        <v>0.019866320089120038</v>
      </c>
      <c r="H13" s="28">
        <f>'Segment - Business Insurance'!H111</f>
        <v>0.015736505032021952</v>
      </c>
      <c r="I13" s="85">
        <f>'Segment - Business Insurance'!I111</f>
        <v>0.013271062288233715</v>
      </c>
      <c r="J13" s="17"/>
    </row>
    <row r="14">
      <c r="A14" s="36" t="s">
        <v>176</v>
      </c>
      <c r="B14" s="28">
        <f>'Segment - Business Insurance'!B109</f>
        <v>0</v>
      </c>
      <c r="C14" s="28">
        <f>'Segment - Business Insurance'!C109</f>
        <v>0</v>
      </c>
      <c r="D14" s="28">
        <f>'Segment - Business Insurance'!D109</f>
        <v>0</v>
      </c>
      <c r="E14" s="28">
        <f>'Segment - Business Insurance'!E109</f>
        <v>0</v>
      </c>
      <c r="F14" s="28">
        <f>'Segment - Business Insurance'!F109</f>
        <v>0</v>
      </c>
      <c r="G14" s="28">
        <f>'Segment - Business Insurance'!G109</f>
        <v>-0.01445562671546203</v>
      </c>
      <c r="H14" s="28">
        <f>'Segment - Business Insurance'!H109</f>
        <v>-0.014427412082957619</v>
      </c>
      <c r="I14" s="85">
        <f>'Segment - Business Insurance'!I109</f>
        <v>-0.013508771929824562</v>
      </c>
      <c r="J14" s="17"/>
    </row>
    <row r="15">
      <c r="A15" s="36" t="s">
        <v>177</v>
      </c>
      <c r="B15" s="9" t="s">
        <v>178</v>
      </c>
      <c r="C15" s="9" t="s">
        <v>178</v>
      </c>
      <c r="D15" s="9" t="s">
        <v>178</v>
      </c>
      <c r="E15" s="9" t="s">
        <v>178</v>
      </c>
      <c r="F15" s="9" t="s">
        <v>178</v>
      </c>
      <c r="G15" s="9" t="s">
        <v>178</v>
      </c>
      <c r="H15" s="9" t="s">
        <v>178</v>
      </c>
      <c r="I15" s="29" t="s">
        <v>178</v>
      </c>
      <c r="J15" s="17" t="s">
        <v>179</v>
      </c>
    </row>
    <row r="16">
      <c r="A16" s="35" t="s">
        <v>180</v>
      </c>
      <c r="B16" s="16">
        <f>'Segment - Bond &amp; Specialty'!B63</f>
        <v>995</v>
      </c>
      <c r="C16" s="16">
        <f>'Segment - Bond &amp; Specialty'!C63</f>
        <v>1021</v>
      </c>
      <c r="D16" s="16">
        <f>'Segment - Bond &amp; Specialty'!D63</f>
        <v>1042</v>
      </c>
      <c r="E16" s="16">
        <f>'Segment - Bond &amp; Specialty'!E63</f>
        <v>1049</v>
      </c>
      <c r="F16" s="16">
        <f>'Segment - Bond &amp; Specialty'!F63</f>
        <v>4107</v>
      </c>
      <c r="G16" s="16">
        <f>'Segment - Bond &amp; Specialty'!G63</f>
        <v>1018</v>
      </c>
      <c r="H16" s="16">
        <f>'Segment - Bond &amp; Specialty'!H63</f>
        <v>1056</v>
      </c>
      <c r="I16" s="34">
        <f>'Segment - Bond &amp; Specialty'!I63</f>
        <v>1101.7951995512176</v>
      </c>
      <c r="J16" s="17" t="s">
        <v>181</v>
      </c>
    </row>
    <row r="17">
      <c r="A17" s="36" t="s">
        <v>172</v>
      </c>
      <c r="B17" s="28">
        <f>IFERROR(B16/'Segment - Bond &amp; Specialty'!B72-1,"n/a")</f>
        <v>0.04079497907949792</v>
      </c>
      <c r="C17" s="28">
        <f>IFERROR(C16/'Segment - Bond &amp; Specialty'!C72-1,"n/a")</f>
        <v>0.04503582395086991</v>
      </c>
      <c r="D17" s="28">
        <f>IFERROR(D16/'Segment - Bond &amp; Specialty'!D72-1,"n/a")</f>
        <v>0.03270564915758167</v>
      </c>
      <c r="E17" s="28">
        <f>IFERROR(E16/'Segment - Bond &amp; Specialty'!E72-1,"n/a")</f>
        <v>0.032480314960629864</v>
      </c>
      <c r="F17" s="28">
        <f>IFERROR(F16/'Segment - Bond &amp; Specialty'!F72-1,"n/a")</f>
        <v>0.03764527539161189</v>
      </c>
      <c r="G17" s="28">
        <f>IFERROR(G16/'Segment - Bond &amp; Specialty'!G72-1,"n/a")</f>
        <v>0.02311557788944718</v>
      </c>
      <c r="H17" s="28">
        <f>IFERROR(H16/'Segment - Bond &amp; Specialty'!H72-1,"n/a")</f>
        <v>0.03428011753183147</v>
      </c>
      <c r="I17" s="85">
        <f>IFERROR(I16/'Segment - Bond &amp; Specialty'!I72-1,"n/a")</f>
        <v>0.057385028360093626</v>
      </c>
      <c r="J17" s="17"/>
    </row>
    <row r="18">
      <c r="A18" s="36" t="s">
        <v>173</v>
      </c>
      <c r="B18" s="9" t="s">
        <v>32</v>
      </c>
      <c r="C18" s="9">
        <f>IFERROR(C16/B16-1,"n/a")</f>
        <v>0.026130653266331683</v>
      </c>
      <c r="D18" s="9">
        <f>IFERROR(D16/C16-1,"n/a")</f>
        <v>0.020568070519098924</v>
      </c>
      <c r="E18" s="9">
        <f>IFERROR(E16/D16-1,"n/a")</f>
        <v>0.006717850287907945</v>
      </c>
      <c r="F18" s="9" t="s">
        <v>32</v>
      </c>
      <c r="G18" s="9">
        <f>IFERROR(G16/E16-1,"n/a")</f>
        <v>-0.029551954242135414</v>
      </c>
      <c r="H18" s="9">
        <f>IFERROR(H16/G16-1,"n/a")</f>
        <v>0.037328094302554016</v>
      </c>
      <c r="I18" s="29">
        <f>IFERROR(I16/H16-1,"n/a")</f>
        <v>0.043366666241683394</v>
      </c>
      <c r="J18" s="17"/>
    </row>
    <row r="19">
      <c r="A19" s="36" t="s">
        <v>174</v>
      </c>
      <c r="B19" s="9">
        <f>B16/B110</f>
        <v>0.0842506350550381</v>
      </c>
      <c r="C19" s="9">
        <f>C16/C110</f>
        <v>0.0842687355562892</v>
      </c>
      <c r="D19" s="9">
        <f>D16/D110</f>
        <v>0.08356054530874098</v>
      </c>
      <c r="E19" s="9">
        <f>E16/E110</f>
        <v>0.08437902187902188</v>
      </c>
      <c r="F19" s="9">
        <f>F16/F110</f>
        <v>0.08411157532563283</v>
      </c>
      <c r="G19" s="9">
        <f>G16/G110</f>
        <v>0.0853740355585374</v>
      </c>
      <c r="H19" s="9">
        <f>H16/H110</f>
        <v>0.08689212540113553</v>
      </c>
      <c r="I19" s="29">
        <f>I16/I110</f>
        <v>0.08940218966972129</v>
      </c>
      <c r="J19" s="17"/>
    </row>
    <row r="20">
      <c r="A20" s="36" t="s">
        <v>175</v>
      </c>
      <c r="B20" s="28">
        <f>'Segment - Bond &amp; Specialty'!B70</f>
        <v>0.04079497907949792</v>
      </c>
      <c r="C20" s="28">
        <f>'Segment - Bond &amp; Specialty'!C70</f>
        <v>0.04503582395086991</v>
      </c>
      <c r="D20" s="28">
        <f>'Segment - Bond &amp; Specialty'!D70</f>
        <v>0.03270564915758167</v>
      </c>
      <c r="E20" s="28">
        <f>'Segment - Bond &amp; Specialty'!E70</f>
        <v>0.032480314960629864</v>
      </c>
      <c r="F20" s="28">
        <f>'Segment - Bond &amp; Specialty'!F70</f>
        <v>0.03764527539161189</v>
      </c>
      <c r="G20" s="28">
        <f>'Segment - Bond &amp; Specialty'!G70</f>
        <v>0.03771661569826712</v>
      </c>
      <c r="H20" s="28">
        <f>'Segment - Bond &amp; Specialty'!H70</f>
        <v>0.04865938430983108</v>
      </c>
      <c r="I20" s="85">
        <f>'Segment - Bond &amp; Specialty'!I70</f>
        <v>0.07178521357122336</v>
      </c>
      <c r="J20" s="17"/>
    </row>
    <row r="21">
      <c r="A21" s="36" t="s">
        <v>176</v>
      </c>
      <c r="B21" s="28">
        <f>'Segment - Bond &amp; Specialty'!B68</f>
        <v>0</v>
      </c>
      <c r="C21" s="28">
        <f>'Segment - Bond &amp; Specialty'!C68</f>
        <v>0</v>
      </c>
      <c r="D21" s="28">
        <f>'Segment - Bond &amp; Specialty'!D68</f>
        <v>0</v>
      </c>
      <c r="E21" s="28">
        <f>'Segment - Bond &amp; Specialty'!E68</f>
        <v>0</v>
      </c>
      <c r="F21" s="28">
        <f>'Segment - Bond &amp; Specialty'!F68</f>
        <v>0</v>
      </c>
      <c r="G21" s="28">
        <f>'Segment - Bond &amp; Specialty'!G68</f>
        <v>-0.01407035175879397</v>
      </c>
      <c r="H21" s="28">
        <f>'Segment - Bond &amp; Specialty'!H68</f>
        <v>-0.013712047012732615</v>
      </c>
      <c r="I21" s="85">
        <f>'Segment - Bond &amp; Specialty'!I68</f>
        <v>-0.013435700575815739</v>
      </c>
      <c r="J21" s="17"/>
    </row>
    <row r="22">
      <c r="A22" s="36" t="s">
        <v>177</v>
      </c>
      <c r="B22" s="9" t="s">
        <v>178</v>
      </c>
      <c r="C22" s="9" t="s">
        <v>178</v>
      </c>
      <c r="D22" s="9" t="s">
        <v>178</v>
      </c>
      <c r="E22" s="9" t="s">
        <v>178</v>
      </c>
      <c r="F22" s="9" t="s">
        <v>178</v>
      </c>
      <c r="G22" s="9" t="s">
        <v>178</v>
      </c>
      <c r="H22" s="9" t="s">
        <v>178</v>
      </c>
      <c r="I22" s="29" t="s">
        <v>178</v>
      </c>
      <c r="J22" s="17" t="s">
        <v>179</v>
      </c>
    </row>
    <row r="23">
      <c r="A23" s="35" t="s">
        <v>182</v>
      </c>
      <c r="B23" s="16">
        <f>'Segment - Personal Insurance'!B177</f>
        <v>4250</v>
      </c>
      <c r="C23" s="16">
        <f>'Segment - Personal Insurance'!C177</f>
        <v>4355</v>
      </c>
      <c r="D23" s="16">
        <f>'Segment - Personal Insurance'!D177</f>
        <v>4393</v>
      </c>
      <c r="E23" s="16">
        <f>'Segment - Personal Insurance'!E177</f>
        <v>4397</v>
      </c>
      <c r="F23" s="16">
        <f>'Segment - Personal Insurance'!F177</f>
        <v>17395</v>
      </c>
      <c r="G23" s="16">
        <f>'Segment - Personal Insurance'!G177</f>
        <v>4094</v>
      </c>
      <c r="H23" s="16">
        <f>'Segment - Personal Insurance'!H177</f>
        <v>4146</v>
      </c>
      <c r="I23" s="34">
        <f>'Segment - Personal Insurance'!I177</f>
        <v>4167.6253154104215</v>
      </c>
      <c r="J23" s="17" t="s">
        <v>183</v>
      </c>
    </row>
    <row r="24">
      <c r="A24" s="36" t="s">
        <v>172</v>
      </c>
      <c r="B24" s="28">
        <f>IFERROR(B23/'Segment - Personal Insurance'!B183-1,"n/a")</f>
        <v>0.05985037406483795</v>
      </c>
      <c r="C24" s="28">
        <f>IFERROR(C23/'Segment - Personal Insurance'!C183-1,"n/a")</f>
        <v>0.06271351878965348</v>
      </c>
      <c r="D24" s="28">
        <f>IFERROR(D23/'Segment - Personal Insurance'!D183-1,"n/a")</f>
        <v>0.04074863776356308</v>
      </c>
      <c r="E24" s="28">
        <f>IFERROR(E23/'Segment - Personal Insurance'!E183-1,"n/a")</f>
        <v>0.020422371779995396</v>
      </c>
      <c r="F24" s="28">
        <f>IFERROR(F23/'Segment - Personal Insurance'!F183-1,"n/a")</f>
        <v>0.04549825700204346</v>
      </c>
      <c r="G24" s="28">
        <f>IFERROR(G23/'Segment - Personal Insurance'!G183-1,"n/a")</f>
        <v>-0.036705882352941144</v>
      </c>
      <c r="H24" s="28">
        <f>IFERROR(H23/'Segment - Personal Insurance'!H183-1,"n/a")</f>
        <v>-0.04799081515499426</v>
      </c>
      <c r="I24" s="85">
        <f>IFERROR(I23/'Segment - Personal Insurance'!I183-1,"n/a")</f>
        <v>-0.0513031378533072</v>
      </c>
      <c r="J24" s="17"/>
    </row>
    <row r="25">
      <c r="A25" s="36" t="s">
        <v>173</v>
      </c>
      <c r="B25" s="9" t="s">
        <v>32</v>
      </c>
      <c r="C25" s="9">
        <f>IFERROR(C23/B23-1,"n/a")</f>
        <v>0.024705882352941133</v>
      </c>
      <c r="D25" s="9">
        <f>IFERROR(D23/C23-1,"n/a")</f>
        <v>0.008725602755453421</v>
      </c>
      <c r="E25" s="9">
        <f>IFERROR(E23/D23-1,"n/a")</f>
        <v>0.0009105394946504752</v>
      </c>
      <c r="F25" s="9" t="s">
        <v>32</v>
      </c>
      <c r="G25" s="9">
        <f>IFERROR(G23/E23-1,"n/a")</f>
        <v>-0.06891062087787125</v>
      </c>
      <c r="H25" s="9">
        <f>IFERROR(H23/G23-1,"n/a")</f>
        <v>0.012701514411333603</v>
      </c>
      <c r="I25" s="29">
        <f>IFERROR(I23/H23-1,"n/a")</f>
        <v>0.005215946794602466</v>
      </c>
      <c r="J25" s="17"/>
    </row>
    <row r="26">
      <c r="A26" s="36" t="s">
        <v>174</v>
      </c>
      <c r="B26" s="9">
        <f>B23/B110</f>
        <v>0.3598645215918713</v>
      </c>
      <c r="C26" s="9">
        <f>C23/C110</f>
        <v>0.3594420600858369</v>
      </c>
      <c r="D26" s="9">
        <f>D23/D110</f>
        <v>0.35228548516439456</v>
      </c>
      <c r="E26" s="9">
        <f>E23/E110</f>
        <v>0.3536840411840412</v>
      </c>
      <c r="F26" s="9">
        <f>F23/F110</f>
        <v>0.35625051200131075</v>
      </c>
      <c r="G26" s="9">
        <f>G23/G110</f>
        <v>0.3433411606843341</v>
      </c>
      <c r="H26" s="9">
        <f>H23/H110</f>
        <v>0.3411503332510491</v>
      </c>
      <c r="I26" s="29">
        <f>I23/I110</f>
        <v>0.3381706773386012</v>
      </c>
      <c r="J26" s="17"/>
    </row>
    <row r="27">
      <c r="A27" s="36" t="s">
        <v>175</v>
      </c>
      <c r="B27" s="28">
        <f>'Segment - Personal Insurance'!B182</f>
        <v>0.05985037406483795</v>
      </c>
      <c r="C27" s="28">
        <f>'Segment - Personal Insurance'!C182</f>
        <v>0.06271351878965348</v>
      </c>
      <c r="D27" s="28">
        <f>'Segment - Personal Insurance'!D182</f>
        <v>0.04074863776356308</v>
      </c>
      <c r="E27" s="28">
        <f>'Segment - Personal Insurance'!E182</f>
        <v>0.020422371779995396</v>
      </c>
      <c r="F27" s="28">
        <f>'Segment - Personal Insurance'!F182</f>
        <v>0.04549825700204346</v>
      </c>
      <c r="G27" s="28">
        <f>'Segment - Personal Insurance'!G182</f>
        <v>0.0022031823745409795</v>
      </c>
      <c r="H27" s="28">
        <f>'Segment - Personal Insurance'!H182</f>
        <v>-0.008845326320822355</v>
      </c>
      <c r="I27" s="85">
        <f>'Segment - Personal Insurance'!I182</f>
        <v>-0.013579807003450517</v>
      </c>
      <c r="J27" s="17"/>
    </row>
    <row r="28">
      <c r="A28" s="36" t="s">
        <v>176</v>
      </c>
      <c r="B28" s="28">
        <f>'Segment - Personal Insurance'!B180</f>
        <v>0</v>
      </c>
      <c r="C28" s="28">
        <f>'Segment - Personal Insurance'!C180</f>
        <v>0</v>
      </c>
      <c r="D28" s="28">
        <f>'Segment - Personal Insurance'!D180</f>
        <v>0</v>
      </c>
      <c r="E28" s="28">
        <f>'Segment - Personal Insurance'!E180</f>
        <v>0</v>
      </c>
      <c r="F28" s="28">
        <f>'Segment - Personal Insurance'!F180</f>
        <v>0</v>
      </c>
      <c r="G28" s="28">
        <f>'Segment - Personal Insurance'!G180</f>
        <v>-0.03882352941176471</v>
      </c>
      <c r="H28" s="28">
        <f>'Segment - Personal Insurance'!H180</f>
        <v>-0.03949483352468427</v>
      </c>
      <c r="I28" s="85">
        <f>'Segment - Personal Insurance'!I180</f>
        <v>-0.03824265877532438</v>
      </c>
      <c r="J28" s="17"/>
    </row>
    <row r="29">
      <c r="A29" s="36" t="s">
        <v>177</v>
      </c>
      <c r="B29" s="9" t="s">
        <v>178</v>
      </c>
      <c r="C29" s="9" t="s">
        <v>178</v>
      </c>
      <c r="D29" s="9" t="s">
        <v>178</v>
      </c>
      <c r="E29" s="9" t="s">
        <v>178</v>
      </c>
      <c r="F29" s="9" t="s">
        <v>178</v>
      </c>
      <c r="G29" s="9" t="s">
        <v>178</v>
      </c>
      <c r="H29" s="9" t="s">
        <v>178</v>
      </c>
      <c r="I29" s="29" t="s">
        <v>178</v>
      </c>
      <c r="J29" s="17" t="s">
        <v>179</v>
      </c>
    </row>
    <row r="30">
      <c r="A30" s="22" t="s">
        <v>184</v>
      </c>
      <c r="B30" s="30">
        <f>B9+B16+B23</f>
        <v>10710</v>
      </c>
      <c r="C30" s="30">
        <f>C9+C16+C23</f>
        <v>10921</v>
      </c>
      <c r="D30" s="30">
        <f>D9+D16+D23</f>
        <v>11135</v>
      </c>
      <c r="E30" s="30">
        <f>E9+E16+E23</f>
        <v>11148</v>
      </c>
      <c r="F30" s="30">
        <f>F9+F16+F23</f>
        <v>43914</v>
      </c>
      <c r="G30" s="30">
        <f>G9+G16+G23</f>
        <v>10605</v>
      </c>
      <c r="H30" s="30">
        <f>H9+H16+H23</f>
        <v>10753</v>
      </c>
      <c r="I30" s="44">
        <f>I9+I16+I23</f>
        <v>10967.043698208377</v>
      </c>
      <c r="J30" s="17" t="s">
        <v>185</v>
      </c>
    </row>
    <row r="31">
      <c r="A31" s="35" t="s">
        <v>186</v>
      </c>
      <c r="B31" s="16">
        <f>'Segment - Business Insurance'!B113+'Segment - Bond &amp; Specialty'!B72+'Segment - Personal Insurance'!B183</f>
        <v>10126</v>
      </c>
      <c r="C31" s="16">
        <f>'Segment - Business Insurance'!C113+'Segment - Bond &amp; Specialty'!C72+'Segment - Personal Insurance'!C183</f>
        <v>10243</v>
      </c>
      <c r="D31" s="16">
        <f>'Segment - Business Insurance'!D113+'Segment - Bond &amp; Specialty'!D72+'Segment - Personal Insurance'!D183</f>
        <v>10704</v>
      </c>
      <c r="E31" s="16">
        <f>'Segment - Business Insurance'!E113+'Segment - Bond &amp; Specialty'!E72+'Segment - Personal Insurance'!E183</f>
        <v>10868</v>
      </c>
      <c r="F31" s="16">
        <f>'Segment - Business Insurance'!F113+'Segment - Bond &amp; Specialty'!F72+'Segment - Personal Insurance'!F183</f>
        <v>41941</v>
      </c>
      <c r="G31" s="16">
        <f>'Segment - Business Insurance'!G113+'Segment - Bond &amp; Specialty'!G72+'Segment - Personal Insurance'!G183</f>
        <v>10710</v>
      </c>
      <c r="H31" s="16">
        <f>'Segment - Business Insurance'!H113+'Segment - Bond &amp; Specialty'!H72+'Segment - Personal Insurance'!H183</f>
        <v>10921</v>
      </c>
      <c r="I31" s="34">
        <f>'Segment - Business Insurance'!I113+'Segment - Bond &amp; Specialty'!I72+'Segment - Personal Insurance'!I183</f>
        <v>11135</v>
      </c>
      <c r="J31" s="17"/>
    </row>
    <row r="32">
      <c r="A32" s="36" t="s">
        <v>187</v>
      </c>
      <c r="B32" s="9">
        <f>IFERROR(B30/B31-1,"n/a")</f>
        <v>0.05767331621568239</v>
      </c>
      <c r="C32" s="9">
        <f>IFERROR(C30/C31-1,"n/a")</f>
        <v>0.0661915454456703</v>
      </c>
      <c r="D32" s="9">
        <f>IFERROR(D30/D31-1,"n/a")</f>
        <v>0.0402653213751869</v>
      </c>
      <c r="E32" s="9">
        <f>IFERROR(E30/E31-1,"n/a")</f>
        <v>0.02576370997423627</v>
      </c>
      <c r="F32" s="9">
        <f>IFERROR(F30/F31-1,"n/a")</f>
        <v>0.047042273670155677</v>
      </c>
      <c r="G32" s="9">
        <f>IFERROR(G30/G31-1,"n/a")</f>
        <v>-0.009803921568627416</v>
      </c>
      <c r="H32" s="9">
        <f>IFERROR(H30/H31-1,"n/a")</f>
        <v>-0.015383206666056193</v>
      </c>
      <c r="I32" s="29">
        <f>IFERROR(I30/I31-1,"n/a")</f>
        <v>-0.015083637340962963</v>
      </c>
      <c r="J32" s="17"/>
    </row>
    <row r="33">
      <c r="A33" s="36" t="s">
        <v>173</v>
      </c>
      <c r="B33" s="9" t="s">
        <v>32</v>
      </c>
      <c r="C33" s="9">
        <f>IFERROR(C30/B30-1,"n/a")</f>
        <v>0.019701213818860808</v>
      </c>
      <c r="D33" s="9">
        <f>IFERROR(D30/C30-1,"n/a")</f>
        <v>0.019595275157952674</v>
      </c>
      <c r="E33" s="9">
        <f>IFERROR(E30/D30-1,"n/a")</f>
        <v>0.001167489896721996</v>
      </c>
      <c r="F33" s="9" t="s">
        <v>32</v>
      </c>
      <c r="G33" s="9">
        <f>IFERROR(G30/E30-1,"n/a")</f>
        <v>-0.04870828848223896</v>
      </c>
      <c r="H33" s="9">
        <f>IFERROR(H30/G30-1,"n/a")</f>
        <v>0.013955681282413979</v>
      </c>
      <c r="I33" s="29">
        <f>IFERROR(I30/H30-1,"n/a")</f>
        <v>0.019905486674265616</v>
      </c>
      <c r="J33" s="17"/>
    </row>
    <row r="34">
      <c r="A34" s="36" t="s">
        <v>174</v>
      </c>
      <c r="B34" s="9">
        <f>B30/B110</f>
        <v>0.9068585944115156</v>
      </c>
      <c r="C34" s="9">
        <f>C30/C110</f>
        <v>0.9013700891383295</v>
      </c>
      <c r="D34" s="9">
        <f>D30/D110</f>
        <v>0.8929430633520449</v>
      </c>
      <c r="E34" s="9">
        <f>E30/E110</f>
        <v>0.8967181467181468</v>
      </c>
      <c r="F34" s="9">
        <f>F30/F110</f>
        <v>0.8993610223642172</v>
      </c>
      <c r="G34" s="9">
        <f>G30/G110</f>
        <v>0.8893827574639382</v>
      </c>
      <c r="H34" s="9">
        <f>H30/H110</f>
        <v>0.8848021064757673</v>
      </c>
      <c r="I34" s="29">
        <f>I30/I110</f>
        <v>0.8898910806860607</v>
      </c>
      <c r="J34" s="17"/>
    </row>
    <row r="35">
      <c r="A35" s="36" t="s">
        <v>188</v>
      </c>
      <c r="B35" s="28">
        <f>IFERROR(('Segment - Business Insurance'!B113*'Segment - Business Insurance'!B109+'Segment - Bond &amp; Specialty'!B72*'Segment - Bond &amp; Specialty'!B68+'Segment - Personal Insurance'!B183*'Segment - Personal Insurance'!B180)/B31,"n/a")</f>
        <v>0</v>
      </c>
      <c r="C35" s="28">
        <f>IFERROR(('Segment - Business Insurance'!C113*'Segment - Business Insurance'!C109+'Segment - Bond &amp; Specialty'!C72*'Segment - Bond &amp; Specialty'!C68+'Segment - Personal Insurance'!C183*'Segment - Personal Insurance'!C180)/C31,"n/a")</f>
        <v>0</v>
      </c>
      <c r="D35" s="28">
        <f>IFERROR(('Segment - Business Insurance'!D113*'Segment - Business Insurance'!D109+'Segment - Bond &amp; Specialty'!D72*'Segment - Bond &amp; Specialty'!D68+'Segment - Personal Insurance'!D183*'Segment - Personal Insurance'!D180)/D31,"n/a")</f>
        <v>0</v>
      </c>
      <c r="E35" s="28">
        <f>IFERROR(('Segment - Business Insurance'!E113*'Segment - Business Insurance'!E109+'Segment - Bond &amp; Specialty'!E72*'Segment - Bond &amp; Specialty'!E68+'Segment - Personal Insurance'!E183*'Segment - Personal Insurance'!E180)/E31,"n/a")</f>
        <v>0</v>
      </c>
      <c r="F35" s="28">
        <f>IFERROR(('Segment - Business Insurance'!F113*'Segment - Business Insurance'!F109+'Segment - Bond &amp; Specialty'!F72*'Segment - Bond &amp; Specialty'!F68+'Segment - Personal Insurance'!F183*'Segment - Personal Insurance'!F180)/F31,"n/a")</f>
        <v>0</v>
      </c>
      <c r="G35" s="28">
        <f>IFERROR(('Segment - Business Insurance'!G113*'Segment - Business Insurance'!G109+'Segment - Bond &amp; Specialty'!G72*'Segment - Bond &amp; Specialty'!G68+'Segment - Personal Insurance'!G183*'Segment - Personal Insurance'!G180)/G31,"n/a")</f>
        <v>-0.024089635854341738</v>
      </c>
      <c r="H35" s="28">
        <f>IFERROR(('Segment - Business Insurance'!H113*'Segment - Business Insurance'!H109+'Segment - Bond &amp; Specialty'!H72*'Segment - Bond &amp; Specialty'!H68+'Segment - Personal Insurance'!H183*'Segment - Personal Insurance'!H180)/H31,"n/a")</f>
        <v>-0.02435674388792235</v>
      </c>
      <c r="I35" s="85">
        <f>IFERROR(('Segment - Business Insurance'!I113*'Segment - Business Insurance'!I109+'Segment - Bond &amp; Specialty'!I72*'Segment - Bond &amp; Specialty'!I68+'Segment - Personal Insurance'!I183*'Segment - Personal Insurance'!I180)/I31,"n/a")</f>
        <v>-0.023259991019308486</v>
      </c>
      <c r="J35" s="17"/>
    </row>
    <row r="36">
      <c r="A36" s="36" t="s">
        <v>177</v>
      </c>
      <c r="B36" s="9" t="s">
        <v>178</v>
      </c>
      <c r="C36" s="9" t="s">
        <v>178</v>
      </c>
      <c r="D36" s="9" t="s">
        <v>178</v>
      </c>
      <c r="E36" s="9" t="s">
        <v>178</v>
      </c>
      <c r="F36" s="9" t="s">
        <v>178</v>
      </c>
      <c r="G36" s="9" t="s">
        <v>178</v>
      </c>
      <c r="H36" s="9" t="s">
        <v>178</v>
      </c>
      <c r="I36" s="29" t="s">
        <v>178</v>
      </c>
      <c r="J36" s="17" t="s">
        <v>179</v>
      </c>
    </row>
    <row r="37">
      <c r="A37" s="36" t="s">
        <v>175</v>
      </c>
      <c r="B37" s="9">
        <f>IFERROR((1+B32)/(1+B35)-1,"n/a")</f>
        <v>0.05767331621568239</v>
      </c>
      <c r="C37" s="9">
        <f>IFERROR((1+C32)/(1+C35)-1,"n/a")</f>
        <v>0.0661915454456703</v>
      </c>
      <c r="D37" s="9">
        <f>IFERROR((1+D32)/(1+D35)-1,"n/a")</f>
        <v>0.0402653213751869</v>
      </c>
      <c r="E37" s="9">
        <f>IFERROR((1+E32)/(1+E35)-1,"n/a")</f>
        <v>0.02576370997423627</v>
      </c>
      <c r="F37" s="9">
        <f>IFERROR((1+F32)/(1+F35)-1,"n/a")</f>
        <v>0.047042273670155677</v>
      </c>
      <c r="G37" s="9">
        <f>IFERROR((1+G32)/(1+G35)-1,"n/a")</f>
        <v>0.014638346727898988</v>
      </c>
      <c r="H37" s="9">
        <f>IFERROR((1+H32)/(1+H35)-1,"n/a")</f>
        <v>0.009197559831065183</v>
      </c>
      <c r="I37" s="29">
        <f>IFERROR((1+I32)/(1+I35)-1,"n/a")</f>
        <v>0.008371064564948405</v>
      </c>
      <c r="J37" s="17"/>
    </row>
    <row r="38" ht="27.75">
      <c r="A38" s="35" t="s">
        <v>189</v>
      </c>
      <c r="B38" s="16">
        <f>Inputs!B16</f>
        <v>10710</v>
      </c>
      <c r="C38" s="16">
        <f>Inputs!C16</f>
        <v>10921</v>
      </c>
      <c r="D38" s="16">
        <f>Inputs!D16</f>
        <v>11135</v>
      </c>
      <c r="E38" s="16">
        <f>Inputs!E16</f>
        <v>11148</v>
      </c>
      <c r="F38" s="14"/>
      <c r="G38" s="16">
        <f>Inputs!G16</f>
        <v>10605</v>
      </c>
      <c r="H38" s="16">
        <f>Inputs!H16</f>
        <v>10753</v>
      </c>
      <c r="I38" s="45"/>
      <c r="J38" s="142" t="s">
        <v>190</v>
      </c>
    </row>
    <row r="39">
      <c r="A39" s="36" t="s">
        <v>191</v>
      </c>
      <c r="B39" s="31">
        <f>B30-B38</f>
        <v>0</v>
      </c>
      <c r="C39" s="31">
        <f>C30-C38</f>
        <v>0</v>
      </c>
      <c r="D39" s="31">
        <f>D30-D38</f>
        <v>0</v>
      </c>
      <c r="E39" s="31">
        <f>E30-E38</f>
        <v>0</v>
      </c>
      <c r="F39" s="31"/>
      <c r="G39" s="31">
        <f>G30-G38</f>
        <v>0</v>
      </c>
      <c r="H39" s="31">
        <f>H30-H38</f>
        <v>0</v>
      </c>
      <c r="I39" s="40"/>
      <c r="J39" s="17"/>
    </row>
    <row r="40">
      <c r="A40" s="80" t="s">
        <v>192</v>
      </c>
      <c r="B40" s="37" t="b">
        <f>ABS(B9+B16+B23-B30)&lt;0.001</f>
        <v>1</v>
      </c>
      <c r="C40" s="37" t="b">
        <f>ABS(C9+C16+C23-C30)&lt;0.001</f>
        <v>1</v>
      </c>
      <c r="D40" s="37" t="b">
        <f>ABS(D9+D16+D23-D30)&lt;0.001</f>
        <v>1</v>
      </c>
      <c r="E40" s="37" t="b">
        <f>ABS(E9+E16+E23-E30)&lt;0.001</f>
        <v>1</v>
      </c>
      <c r="F40" s="37" t="b">
        <f>ABS(F9+F16+F23-F30)&lt;0.001</f>
        <v>1</v>
      </c>
      <c r="G40" s="37" t="b">
        <f>ABS(G9+G16+G23-G30)&lt;0.001</f>
        <v>1</v>
      </c>
      <c r="H40" s="37" t="b">
        <f>ABS(H9+H16+H23-H30)&lt;0.001</f>
        <v>1</v>
      </c>
      <c r="I40" s="46" t="b">
        <f>ABS(I9+I16+I23-I30)&lt;0.001</f>
        <v>1</v>
      </c>
      <c r="J40" s="17"/>
    </row>
    <row r="41">
      <c r="A41" s="1"/>
      <c r="B41" s="8"/>
      <c r="C41" s="8"/>
      <c r="D41" s="8"/>
      <c r="E41" s="8"/>
      <c r="F41" s="8"/>
      <c r="G41" s="8"/>
      <c r="H41" s="8"/>
      <c r="I41" s="21"/>
      <c r="J41" s="17"/>
    </row>
    <row r="42">
      <c r="A42" s="42" t="s">
        <v>193</v>
      </c>
      <c r="B42" s="8"/>
      <c r="C42" s="8"/>
      <c r="D42" s="8"/>
      <c r="E42" s="8"/>
      <c r="F42" s="8"/>
      <c r="G42" s="8"/>
      <c r="H42" s="8"/>
      <c r="I42" s="21"/>
      <c r="J42" s="17"/>
    </row>
    <row r="43" ht="27.75">
      <c r="A43" s="35" t="s">
        <v>194</v>
      </c>
      <c r="B43" s="6">
        <v>812</v>
      </c>
      <c r="C43" s="6">
        <v>833</v>
      </c>
      <c r="D43" s="6">
        <v>874</v>
      </c>
      <c r="E43" s="6">
        <v>914</v>
      </c>
      <c r="F43" s="14">
        <f>SUM(B43:E43)</f>
        <v>3433</v>
      </c>
      <c r="G43" s="6">
        <v>899</v>
      </c>
      <c r="H43" s="6">
        <v>930</v>
      </c>
      <c r="I43" s="45">
        <f>I79-I46</f>
        <v>976.9850411377951</v>
      </c>
      <c r="J43" s="142" t="s">
        <v>195</v>
      </c>
    </row>
    <row r="44">
      <c r="A44" s="36" t="s">
        <v>172</v>
      </c>
      <c r="B44" s="9" t="s">
        <v>32</v>
      </c>
      <c r="C44" s="9" t="s">
        <v>32</v>
      </c>
      <c r="D44" s="9" t="s">
        <v>32</v>
      </c>
      <c r="E44" s="9" t="s">
        <v>32</v>
      </c>
      <c r="F44" s="9" t="s">
        <v>32</v>
      </c>
      <c r="G44" s="9">
        <f>IFERROR(G43/B43-1,"n/a")</f>
        <v>0.1071428571428572</v>
      </c>
      <c r="H44" s="9">
        <f>IFERROR(H43/C43-1,"n/a")</f>
        <v>0.11644657863145258</v>
      </c>
      <c r="I44" s="29">
        <f>IFERROR(I43/D43-1,"n/a")</f>
        <v>0.11783185484873582</v>
      </c>
      <c r="J44" s="17"/>
    </row>
    <row r="45">
      <c r="A45" s="36" t="s">
        <v>196</v>
      </c>
      <c r="B45" s="31" t="s">
        <v>32</v>
      </c>
      <c r="C45" s="31">
        <f>C43-B43</f>
        <v>21</v>
      </c>
      <c r="D45" s="31">
        <f>D43-C43</f>
        <v>41</v>
      </c>
      <c r="E45" s="31">
        <f>E43-D43</f>
        <v>40</v>
      </c>
      <c r="F45" s="31" t="s">
        <v>32</v>
      </c>
      <c r="G45" s="31">
        <f>G43-E43</f>
        <v>-15</v>
      </c>
      <c r="H45" s="31">
        <f>H43-G43</f>
        <v>31</v>
      </c>
      <c r="I45" s="40">
        <f>I43-H43</f>
        <v>46.985041137795065</v>
      </c>
      <c r="J45" s="17"/>
    </row>
    <row r="46">
      <c r="A46" s="35" t="s">
        <v>197</v>
      </c>
      <c r="B46" s="6">
        <v>57</v>
      </c>
      <c r="C46" s="6">
        <v>55</v>
      </c>
      <c r="D46" s="6">
        <v>73</v>
      </c>
      <c r="E46" s="6">
        <v>68</v>
      </c>
      <c r="F46" s="14">
        <f>SUM(B46:E46)</f>
        <v>253</v>
      </c>
      <c r="G46" s="6">
        <v>75</v>
      </c>
      <c r="H46" s="6">
        <v>53</v>
      </c>
      <c r="I46" s="45">
        <f>I80*I81/4</f>
        <v>43.5005</v>
      </c>
      <c r="J46" s="17" t="s">
        <v>198</v>
      </c>
    </row>
    <row r="47">
      <c r="A47" s="36" t="s">
        <v>172</v>
      </c>
      <c r="B47" s="9" t="s">
        <v>32</v>
      </c>
      <c r="C47" s="9" t="s">
        <v>32</v>
      </c>
      <c r="D47" s="9" t="s">
        <v>32</v>
      </c>
      <c r="E47" s="9" t="s">
        <v>32</v>
      </c>
      <c r="F47" s="9" t="s">
        <v>32</v>
      </c>
      <c r="G47" s="9">
        <f>IFERROR(G46/B46-1,"n/a")</f>
        <v>0.3157894736842106</v>
      </c>
      <c r="H47" s="9">
        <f>IFERROR(H46/C46-1,"n/a")</f>
        <v>-0.036363636363636376</v>
      </c>
      <c r="I47" s="29">
        <f>IFERROR(I46/D46-1,"n/a")</f>
        <v>-0.4041027397260274</v>
      </c>
      <c r="J47" s="17"/>
    </row>
    <row r="48">
      <c r="A48" s="36" t="s">
        <v>196</v>
      </c>
      <c r="B48" s="31" t="s">
        <v>32</v>
      </c>
      <c r="C48" s="31">
        <f>C46-B46</f>
        <v>-2</v>
      </c>
      <c r="D48" s="31">
        <f>D46-C46</f>
        <v>18</v>
      </c>
      <c r="E48" s="31">
        <f>E46-D46</f>
        <v>-5</v>
      </c>
      <c r="F48" s="31" t="s">
        <v>32</v>
      </c>
      <c r="G48" s="31">
        <f>G46-E46</f>
        <v>7</v>
      </c>
      <c r="H48" s="31">
        <f>H46-G46</f>
        <v>-22</v>
      </c>
      <c r="I48" s="40">
        <f>I46-H46</f>
        <v>-9.499499999999998</v>
      </c>
      <c r="J48" s="17"/>
    </row>
    <row r="49" ht="27.75">
      <c r="A49" s="35" t="s">
        <v>199</v>
      </c>
      <c r="B49" s="6">
        <v>76</v>
      </c>
      <c r="C49" s="6">
        <v>67</v>
      </c>
      <c r="D49" s="6">
        <v>101</v>
      </c>
      <c r="E49" s="6">
        <v>82</v>
      </c>
      <c r="F49" s="14">
        <f>SUM(B49:E49)</f>
        <v>326</v>
      </c>
      <c r="G49" s="6">
        <v>47</v>
      </c>
      <c r="H49" s="6">
        <v>100</v>
      </c>
      <c r="I49" s="45">
        <f>AVERAGE(D49,E49,G49,H49)</f>
        <v>82.5</v>
      </c>
      <c r="J49" s="142" t="s">
        <v>200</v>
      </c>
    </row>
    <row r="50">
      <c r="A50" s="36" t="s">
        <v>172</v>
      </c>
      <c r="B50" s="9" t="s">
        <v>32</v>
      </c>
      <c r="C50" s="9" t="s">
        <v>32</v>
      </c>
      <c r="D50" s="9" t="s">
        <v>32</v>
      </c>
      <c r="E50" s="9" t="s">
        <v>32</v>
      </c>
      <c r="F50" s="9" t="s">
        <v>32</v>
      </c>
      <c r="G50" s="9">
        <f>IFERROR(G49/B49-1,"n/a")</f>
        <v>-0.381578947368421</v>
      </c>
      <c r="H50" s="9">
        <f>IFERROR(H49/C49-1,"n/a")</f>
        <v>0.4925373134328359</v>
      </c>
      <c r="I50" s="29">
        <f>IFERROR(I49/D49-1,"n/a")</f>
        <v>-0.18316831683168322</v>
      </c>
      <c r="J50" s="17"/>
    </row>
    <row r="51">
      <c r="A51" s="36" t="s">
        <v>196</v>
      </c>
      <c r="B51" s="31" t="s">
        <v>32</v>
      </c>
      <c r="C51" s="31">
        <f>C49-B49</f>
        <v>-9</v>
      </c>
      <c r="D51" s="31">
        <f>D49-C49</f>
        <v>34</v>
      </c>
      <c r="E51" s="31">
        <f>E49-D49</f>
        <v>-19</v>
      </c>
      <c r="F51" s="31" t="s">
        <v>32</v>
      </c>
      <c r="G51" s="31">
        <f>G49-E49</f>
        <v>-35</v>
      </c>
      <c r="H51" s="31">
        <f>H49-G49</f>
        <v>53</v>
      </c>
      <c r="I51" s="40">
        <f>I49-H49</f>
        <v>-17.5</v>
      </c>
      <c r="J51" s="17"/>
    </row>
    <row r="52">
      <c r="A52" s="22" t="s">
        <v>201</v>
      </c>
      <c r="B52" s="30">
        <f>B43+B46+B49</f>
        <v>945</v>
      </c>
      <c r="C52" s="30">
        <f>C43+C46+C49</f>
        <v>955</v>
      </c>
      <c r="D52" s="30">
        <f>D43+D46+D49</f>
        <v>1048</v>
      </c>
      <c r="E52" s="30">
        <f>E43+E46+E49</f>
        <v>1064</v>
      </c>
      <c r="F52" s="30">
        <f>F43+F46+F49</f>
        <v>4012</v>
      </c>
      <c r="G52" s="30">
        <f>G43+G46+G49</f>
        <v>1021</v>
      </c>
      <c r="H52" s="30">
        <f>H43+H46+H49</f>
        <v>1083</v>
      </c>
      <c r="I52" s="44">
        <f>I43+I46+I49</f>
        <v>1102.985541137795</v>
      </c>
      <c r="J52" s="17"/>
    </row>
    <row r="53">
      <c r="A53" s="35" t="s">
        <v>202</v>
      </c>
      <c r="B53" s="6">
        <v>15</v>
      </c>
      <c r="C53" s="6">
        <v>13</v>
      </c>
      <c r="D53" s="6">
        <v>15</v>
      </c>
      <c r="E53" s="6">
        <v>10</v>
      </c>
      <c r="F53" s="14">
        <f>SUM(B53:E53)</f>
        <v>53</v>
      </c>
      <c r="G53" s="6">
        <v>13</v>
      </c>
      <c r="H53" s="6">
        <v>13</v>
      </c>
      <c r="I53" s="62">
        <v>13</v>
      </c>
      <c r="J53" s="17" t="s">
        <v>203</v>
      </c>
    </row>
    <row r="54">
      <c r="A54" s="36" t="s">
        <v>172</v>
      </c>
      <c r="B54" s="9" t="s">
        <v>32</v>
      </c>
      <c r="C54" s="9" t="s">
        <v>32</v>
      </c>
      <c r="D54" s="9" t="s">
        <v>32</v>
      </c>
      <c r="E54" s="9" t="s">
        <v>32</v>
      </c>
      <c r="F54" s="9" t="s">
        <v>32</v>
      </c>
      <c r="G54" s="9">
        <f>IFERROR(G53/B53-1,"n/a")</f>
        <v>-0.1333333333333333</v>
      </c>
      <c r="H54" s="9">
        <f>IFERROR(H53/C53-1,"n/a")</f>
        <v>0</v>
      </c>
      <c r="I54" s="29">
        <f>IFERROR(I53/D53-1,"n/a")</f>
        <v>-0.1333333333333333</v>
      </c>
      <c r="J54" s="17"/>
    </row>
    <row r="55">
      <c r="A55" s="36" t="s">
        <v>196</v>
      </c>
      <c r="B55" s="31" t="s">
        <v>32</v>
      </c>
      <c r="C55" s="31">
        <f>C53-B53</f>
        <v>-2</v>
      </c>
      <c r="D55" s="31">
        <f>D53-C53</f>
        <v>2</v>
      </c>
      <c r="E55" s="31">
        <f>E53-D53</f>
        <v>-5</v>
      </c>
      <c r="F55" s="31" t="s">
        <v>32</v>
      </c>
      <c r="G55" s="31">
        <f>G53-E53</f>
        <v>3</v>
      </c>
      <c r="H55" s="31">
        <f>H53-G53</f>
        <v>0</v>
      </c>
      <c r="I55" s="40">
        <f>I53-H53</f>
        <v>0</v>
      </c>
      <c r="J55" s="17"/>
    </row>
    <row r="56">
      <c r="A56" s="22" t="s">
        <v>204</v>
      </c>
      <c r="B56" s="30">
        <f>B52-B53</f>
        <v>930</v>
      </c>
      <c r="C56" s="30">
        <f>C52-C53</f>
        <v>942</v>
      </c>
      <c r="D56" s="30">
        <f>D52-D53</f>
        <v>1033</v>
      </c>
      <c r="E56" s="30">
        <f>E52-E53</f>
        <v>1054</v>
      </c>
      <c r="F56" s="30">
        <f>F52-F53</f>
        <v>3959</v>
      </c>
      <c r="G56" s="30">
        <f>G52-G53</f>
        <v>1008</v>
      </c>
      <c r="H56" s="30">
        <f>H52-H53</f>
        <v>1070</v>
      </c>
      <c r="I56" s="44">
        <f>I52-I53</f>
        <v>1089.985541137795</v>
      </c>
      <c r="J56" s="17"/>
    </row>
    <row r="57">
      <c r="A57" s="36" t="s">
        <v>187</v>
      </c>
      <c r="B57" s="9">
        <f>IFERROR(B56/B63-1,"n/a")</f>
        <v>0.09929078014184389</v>
      </c>
      <c r="C57" s="9">
        <f>IFERROR(C56/C63-1,"n/a")</f>
        <v>0.06440677966101704</v>
      </c>
      <c r="D57" s="9">
        <f>IFERROR(D56/D63-1,"n/a")</f>
        <v>0.14269911504424782</v>
      </c>
      <c r="E57" s="9">
        <f>IFERROR(E56/E63-1,"n/a")</f>
        <v>0.10366492146596862</v>
      </c>
      <c r="F57" s="9">
        <f>IFERROR(F56/F63-1,"n/a")</f>
        <v>0.10278551532033431</v>
      </c>
      <c r="G57" s="9">
        <f>IFERROR(G56/G63-1,"n/a")</f>
        <v>0.08387096774193559</v>
      </c>
      <c r="H57" s="9">
        <f>IFERROR(H56/H63-1,"n/a")</f>
        <v>0.13588110403397025</v>
      </c>
      <c r="I57" s="29">
        <f>IFERROR(I56/I63-1,"n/a")</f>
        <v>0.05516509306659745</v>
      </c>
      <c r="J57" s="17"/>
    </row>
    <row r="58" ht="27.75">
      <c r="A58" s="36" t="s">
        <v>205</v>
      </c>
      <c r="B58" s="9" t="s">
        <v>178</v>
      </c>
      <c r="C58" s="9" t="s">
        <v>178</v>
      </c>
      <c r="D58" s="9" t="s">
        <v>178</v>
      </c>
      <c r="E58" s="9" t="s">
        <v>178</v>
      </c>
      <c r="F58" s="9" t="s">
        <v>178</v>
      </c>
      <c r="G58" s="9" t="s">
        <v>178</v>
      </c>
      <c r="H58" s="9" t="s">
        <v>178</v>
      </c>
      <c r="I58" s="29" t="s">
        <v>178</v>
      </c>
      <c r="J58" s="142" t="s">
        <v>206</v>
      </c>
    </row>
    <row r="59">
      <c r="A59" s="36" t="s">
        <v>177</v>
      </c>
      <c r="B59" s="9" t="s">
        <v>178</v>
      </c>
      <c r="C59" s="9" t="s">
        <v>178</v>
      </c>
      <c r="D59" s="9" t="s">
        <v>178</v>
      </c>
      <c r="E59" s="9" t="s">
        <v>178</v>
      </c>
      <c r="F59" s="9" t="s">
        <v>178</v>
      </c>
      <c r="G59" s="9" t="s">
        <v>178</v>
      </c>
      <c r="H59" s="9" t="s">
        <v>178</v>
      </c>
      <c r="I59" s="29" t="s">
        <v>178</v>
      </c>
      <c r="J59" s="17" t="s">
        <v>179</v>
      </c>
    </row>
    <row r="60" ht="27.75">
      <c r="A60" s="36" t="s">
        <v>207</v>
      </c>
      <c r="B60" s="9" t="s">
        <v>178</v>
      </c>
      <c r="C60" s="9" t="s">
        <v>178</v>
      </c>
      <c r="D60" s="9" t="s">
        <v>178</v>
      </c>
      <c r="E60" s="9" t="s">
        <v>178</v>
      </c>
      <c r="F60" s="9" t="s">
        <v>178</v>
      </c>
      <c r="G60" s="9" t="s">
        <v>178</v>
      </c>
      <c r="H60" s="9" t="s">
        <v>178</v>
      </c>
      <c r="I60" s="29" t="s">
        <v>178</v>
      </c>
      <c r="J60" s="142" t="s">
        <v>208</v>
      </c>
    </row>
    <row r="61">
      <c r="A61" s="36" t="s">
        <v>196</v>
      </c>
      <c r="B61" s="31" t="s">
        <v>32</v>
      </c>
      <c r="C61" s="31">
        <f>C56-B56</f>
        <v>12</v>
      </c>
      <c r="D61" s="31">
        <f>D56-C56</f>
        <v>91</v>
      </c>
      <c r="E61" s="31">
        <f>E56-D56</f>
        <v>21</v>
      </c>
      <c r="F61" s="31" t="s">
        <v>32</v>
      </c>
      <c r="G61" s="31">
        <f>G56-E56</f>
        <v>-46</v>
      </c>
      <c r="H61" s="31">
        <f>H56-G56</f>
        <v>62</v>
      </c>
      <c r="I61" s="40">
        <f>I56-H56</f>
        <v>19.985541137795053</v>
      </c>
      <c r="J61" s="17"/>
    </row>
    <row r="62">
      <c r="A62" s="36" t="s">
        <v>174</v>
      </c>
      <c r="B62" s="9">
        <f>B56/B110</f>
        <v>0.07874682472480948</v>
      </c>
      <c r="C62" s="9">
        <f>C56/C110</f>
        <v>0.07774843182568504</v>
      </c>
      <c r="D62" s="9">
        <f>D56/D110</f>
        <v>0.08283881315156376</v>
      </c>
      <c r="E62" s="9">
        <f>E56/E110</f>
        <v>0.08478120978120979</v>
      </c>
      <c r="F62" s="9">
        <f>F56/F110</f>
        <v>0.08108052756615057</v>
      </c>
      <c r="G62" s="9">
        <f>G56/G110</f>
        <v>0.08453539080845354</v>
      </c>
      <c r="H62" s="9">
        <f>H56/H110</f>
        <v>0.08804410433637785</v>
      </c>
      <c r="I62" s="29">
        <f>I56/I110</f>
        <v>0.08844392689834465</v>
      </c>
      <c r="J62" s="17"/>
    </row>
    <row r="63">
      <c r="A63" s="35" t="s">
        <v>209</v>
      </c>
      <c r="B63" s="6">
        <v>846</v>
      </c>
      <c r="C63" s="6">
        <v>885</v>
      </c>
      <c r="D63" s="6">
        <v>904</v>
      </c>
      <c r="E63" s="6">
        <v>955</v>
      </c>
      <c r="F63" s="14">
        <f>SUM(B63:E63)</f>
        <v>3590</v>
      </c>
      <c r="G63" s="14">
        <f>B56</f>
        <v>930</v>
      </c>
      <c r="H63" s="14">
        <f>C56</f>
        <v>942</v>
      </c>
      <c r="I63" s="45">
        <f>D56</f>
        <v>1033</v>
      </c>
      <c r="J63" s="17" t="s">
        <v>210</v>
      </c>
    </row>
    <row r="64">
      <c r="A64" s="36" t="s">
        <v>211</v>
      </c>
      <c r="B64" s="59">
        <f>'Segment - Business Insurance'!B155+'Segment - Bond &amp; Specialty'!B108+'Segment - Personal Insurance'!B209-B56</f>
        <v>0</v>
      </c>
      <c r="C64" s="59">
        <f>'Segment - Business Insurance'!C155+'Segment - Bond &amp; Specialty'!C108+'Segment - Personal Insurance'!C209-C56</f>
        <v>0</v>
      </c>
      <c r="D64" s="59">
        <f>'Segment - Business Insurance'!D155+'Segment - Bond &amp; Specialty'!D108+'Segment - Personal Insurance'!D209-D56</f>
        <v>0</v>
      </c>
      <c r="E64" s="59">
        <f>'Segment - Business Insurance'!E155+'Segment - Bond &amp; Specialty'!E108+'Segment - Personal Insurance'!E209-E56</f>
        <v>0</v>
      </c>
      <c r="F64" s="59">
        <f>'Segment - Business Insurance'!F155+'Segment - Bond &amp; Specialty'!F108+'Segment - Personal Insurance'!F209-F56</f>
        <v>0</v>
      </c>
      <c r="G64" s="59">
        <f>'Segment - Business Insurance'!G155+'Segment - Bond &amp; Specialty'!G108+'Segment - Personal Insurance'!G209-G56</f>
        <v>0</v>
      </c>
      <c r="H64" s="59">
        <f>'Segment - Business Insurance'!H155+'Segment - Bond &amp; Specialty'!H108+'Segment - Personal Insurance'!H209-H56</f>
        <v>0</v>
      </c>
      <c r="I64" s="84">
        <f>'Segment - Business Insurance'!I155+'Segment - Bond &amp; Specialty'!I108+'Segment - Personal Insurance'!I209-I56</f>
        <v>0</v>
      </c>
      <c r="J64" s="17"/>
    </row>
    <row r="65" ht="40.5">
      <c r="A65" s="65" t="s">
        <v>212</v>
      </c>
      <c r="B65" s="2">
        <v>0.179</v>
      </c>
      <c r="C65" s="2">
        <v>0.179</v>
      </c>
      <c r="D65" s="2">
        <v>0.178</v>
      </c>
      <c r="E65" s="2">
        <v>0.177</v>
      </c>
      <c r="F65" s="9">
        <f>SUMPRODUCT(B56:E56,B65:E65)/F56</f>
        <v>0.17820661783278605</v>
      </c>
      <c r="G65" s="2">
        <v>0.174</v>
      </c>
      <c r="H65" s="2">
        <v>0.174</v>
      </c>
      <c r="I65" s="85">
        <f>'Income Statement'!I92</f>
        <v>0.174</v>
      </c>
      <c r="J65" s="142" t="s">
        <v>213</v>
      </c>
    </row>
    <row r="66">
      <c r="A66" s="36" t="s">
        <v>214</v>
      </c>
      <c r="B66" s="61" t="s">
        <v>32</v>
      </c>
      <c r="C66" s="61" t="s">
        <v>32</v>
      </c>
      <c r="D66" s="61" t="s">
        <v>32</v>
      </c>
      <c r="E66" s="61" t="s">
        <v>32</v>
      </c>
      <c r="F66" s="61" t="s">
        <v>32</v>
      </c>
      <c r="G66" s="61">
        <f>(G65-B65)*10000</f>
        <v>-50.00000000000004</v>
      </c>
      <c r="H66" s="61">
        <f>(H65-C65)*10000</f>
        <v>-50.00000000000004</v>
      </c>
      <c r="I66" s="79">
        <f>(I65-D65)*10000</f>
        <v>-40.000000000000036</v>
      </c>
      <c r="J66" s="17"/>
    </row>
    <row r="67">
      <c r="A67" s="36" t="s">
        <v>215</v>
      </c>
      <c r="B67" s="61" t="s">
        <v>32</v>
      </c>
      <c r="C67" s="61">
        <f>(C65-B65)*10000</f>
        <v>0</v>
      </c>
      <c r="D67" s="61">
        <f>(D65-C65)*10000</f>
        <v>-10.000000000000009</v>
      </c>
      <c r="E67" s="61">
        <f>(E65-D65)*10000</f>
        <v>-10.000000000000009</v>
      </c>
      <c r="F67" s="61" t="s">
        <v>32</v>
      </c>
      <c r="G67" s="61">
        <f>(G65-E65)*10000</f>
        <v>-30.00000000000003</v>
      </c>
      <c r="H67" s="61">
        <f>(H65-G65)*10000</f>
        <v>0</v>
      </c>
      <c r="I67" s="79">
        <f>(I65-H65)*10000</f>
        <v>0</v>
      </c>
      <c r="J67" s="17"/>
    </row>
    <row r="68">
      <c r="A68" s="88" t="s">
        <v>216</v>
      </c>
      <c r="B68" s="30">
        <f>B56*(1-B65)</f>
        <v>763.53</v>
      </c>
      <c r="C68" s="30">
        <f>C56*(1-C65)</f>
        <v>773.382</v>
      </c>
      <c r="D68" s="30">
        <f>D56*(1-D65)</f>
        <v>849.1260000000001</v>
      </c>
      <c r="E68" s="30">
        <f>E56*(1-E65)</f>
        <v>867.442</v>
      </c>
      <c r="F68" s="30">
        <f>F56*(1-F65)</f>
        <v>3253.48</v>
      </c>
      <c r="G68" s="30">
        <f>G56*(1-G65)</f>
        <v>832.6080000000001</v>
      </c>
      <c r="H68" s="30">
        <f>H56*(1-H65)</f>
        <v>883.82</v>
      </c>
      <c r="I68" s="44">
        <f>I56*(1-I65)</f>
        <v>900.3280569798188</v>
      </c>
      <c r="J68" s="17"/>
    </row>
    <row r="69">
      <c r="A69" s="36" t="s">
        <v>172</v>
      </c>
      <c r="B69" s="9" t="s">
        <v>32</v>
      </c>
      <c r="C69" s="9" t="s">
        <v>32</v>
      </c>
      <c r="D69" s="9" t="s">
        <v>32</v>
      </c>
      <c r="E69" s="9" t="s">
        <v>32</v>
      </c>
      <c r="F69" s="9" t="s">
        <v>32</v>
      </c>
      <c r="G69" s="9">
        <f>IFERROR(G68/B68-1,"n/a")</f>
        <v>0.09047188715571108</v>
      </c>
      <c r="H69" s="9">
        <f>IFERROR(H68/C68-1,"n/a")</f>
        <v>0.14279877214623582</v>
      </c>
      <c r="I69" s="29">
        <f>IFERROR(I68/D68-1,"n/a")</f>
        <v>0.06029971639052234</v>
      </c>
      <c r="J69" s="17"/>
    </row>
    <row r="70">
      <c r="A70" s="36" t="s">
        <v>196</v>
      </c>
      <c r="B70" s="31" t="s">
        <v>32</v>
      </c>
      <c r="C70" s="31">
        <f>C68-B68</f>
        <v>9.851999999999975</v>
      </c>
      <c r="D70" s="31">
        <f>D68-C68</f>
        <v>75.74400000000014</v>
      </c>
      <c r="E70" s="31">
        <f>E68-D68</f>
        <v>18.315999999999917</v>
      </c>
      <c r="F70" s="31" t="s">
        <v>32</v>
      </c>
      <c r="G70" s="31">
        <f>G68-E68</f>
        <v>-34.833999999999946</v>
      </c>
      <c r="H70" s="31">
        <f>H68-G68</f>
        <v>51.21199999999999</v>
      </c>
      <c r="I70" s="40">
        <f>I68-H68</f>
        <v>16.508056979818775</v>
      </c>
      <c r="J70" s="17"/>
    </row>
    <row r="71">
      <c r="A71" s="80" t="s">
        <v>217</v>
      </c>
      <c r="B71" s="6">
        <v>763</v>
      </c>
      <c r="C71" s="6">
        <v>774</v>
      </c>
      <c r="D71" s="6">
        <v>850</v>
      </c>
      <c r="E71" s="6">
        <v>867</v>
      </c>
      <c r="F71" s="14">
        <f>SUM(B71:E71)</f>
        <v>3254</v>
      </c>
      <c r="G71" s="6">
        <v>833</v>
      </c>
      <c r="H71" s="6">
        <v>883</v>
      </c>
      <c r="I71" s="45"/>
      <c r="J71" s="17" t="s">
        <v>218</v>
      </c>
    </row>
    <row r="72">
      <c r="A72" s="42" t="s">
        <v>219</v>
      </c>
      <c r="B72" s="8"/>
      <c r="C72" s="8"/>
      <c r="D72" s="8"/>
      <c r="E72" s="8"/>
      <c r="F72" s="8"/>
      <c r="G72" s="8"/>
      <c r="H72" s="8"/>
      <c r="I72" s="21"/>
      <c r="J72" s="17"/>
    </row>
    <row r="73">
      <c r="A73" s="35" t="s">
        <v>220</v>
      </c>
      <c r="B73" s="14"/>
      <c r="C73" s="14"/>
      <c r="D73" s="14"/>
      <c r="E73" s="14"/>
      <c r="F73" s="14"/>
      <c r="G73" s="16">
        <f>Guidance!F14</f>
        <v>800</v>
      </c>
      <c r="H73" s="16">
        <f>Guidance!F15</f>
        <v>810</v>
      </c>
      <c r="I73" s="34">
        <f>Guidance!F16</f>
        <v>840</v>
      </c>
      <c r="J73" s="17" t="s">
        <v>221</v>
      </c>
    </row>
    <row r="74">
      <c r="A74" s="35" t="s">
        <v>222</v>
      </c>
      <c r="B74" s="14">
        <f>B43+B46</f>
        <v>869</v>
      </c>
      <c r="C74" s="14">
        <f>C43+C46</f>
        <v>888</v>
      </c>
      <c r="D74" s="14">
        <f>D43+D46</f>
        <v>947</v>
      </c>
      <c r="E74" s="14">
        <f>E43+E46</f>
        <v>982</v>
      </c>
      <c r="F74" s="14">
        <f>F43+F46</f>
        <v>3686</v>
      </c>
      <c r="G74" s="14">
        <f>G43+G46</f>
        <v>974</v>
      </c>
      <c r="H74" s="14">
        <f>H43+H46</f>
        <v>983</v>
      </c>
      <c r="I74" s="45">
        <f>I43+I46</f>
        <v>1020.485541137795</v>
      </c>
      <c r="J74" s="17"/>
    </row>
    <row r="75">
      <c r="A75" s="36" t="s">
        <v>172</v>
      </c>
      <c r="B75" s="9" t="s">
        <v>32</v>
      </c>
      <c r="C75" s="9" t="s">
        <v>32</v>
      </c>
      <c r="D75" s="9" t="s">
        <v>32</v>
      </c>
      <c r="E75" s="9" t="s">
        <v>32</v>
      </c>
      <c r="F75" s="9" t="s">
        <v>32</v>
      </c>
      <c r="G75" s="9">
        <f>IFERROR(G74/B74-1,"n/a")</f>
        <v>0.1208285385500576</v>
      </c>
      <c r="H75" s="9">
        <f>IFERROR(H74/C74-1,"n/a")</f>
        <v>0.10698198198198194</v>
      </c>
      <c r="I75" s="29">
        <f>IFERROR(I74/D74-1,"n/a")</f>
        <v>0.07759824829756612</v>
      </c>
      <c r="J75" s="17"/>
    </row>
    <row r="76">
      <c r="A76" s="36" t="s">
        <v>196</v>
      </c>
      <c r="B76" s="31" t="s">
        <v>32</v>
      </c>
      <c r="C76" s="31">
        <f>C74-B74</f>
        <v>19</v>
      </c>
      <c r="D76" s="31">
        <f>D74-C74</f>
        <v>59</v>
      </c>
      <c r="E76" s="31">
        <f>E74-D74</f>
        <v>35</v>
      </c>
      <c r="F76" s="31" t="s">
        <v>32</v>
      </c>
      <c r="G76" s="31">
        <f>G74-E74</f>
        <v>-8</v>
      </c>
      <c r="H76" s="31">
        <f>H74-G74</f>
        <v>9</v>
      </c>
      <c r="I76" s="40">
        <f>I74-H74</f>
        <v>37.48554113779505</v>
      </c>
      <c r="J76" s="17"/>
    </row>
    <row r="77" ht="27.75">
      <c r="A77" s="65" t="s">
        <v>223</v>
      </c>
      <c r="B77" s="9"/>
      <c r="C77" s="9"/>
      <c r="D77" s="9"/>
      <c r="E77" s="9"/>
      <c r="F77" s="9"/>
      <c r="G77" s="9">
        <f>1-G73/(G74-G53)</f>
        <v>0.16753381893860564</v>
      </c>
      <c r="H77" s="9">
        <f>1-H73/(H74-H53)</f>
        <v>0.1649484536082474</v>
      </c>
      <c r="I77" s="29">
        <f>AVERAGE(G77,H77)</f>
        <v>0.16624113627342652</v>
      </c>
      <c r="J77" s="142" t="s">
        <v>224</v>
      </c>
    </row>
    <row r="78">
      <c r="A78" s="36" t="s">
        <v>215</v>
      </c>
      <c r="B78" s="61"/>
      <c r="C78" s="61"/>
      <c r="D78" s="61"/>
      <c r="E78" s="61"/>
      <c r="F78" s="61"/>
      <c r="G78" s="61"/>
      <c r="H78" s="61">
        <f>(H77-G77)*10000</f>
        <v>-25.85365330358247</v>
      </c>
      <c r="I78" s="79">
        <f>(I77-H77)*10000</f>
        <v>12.926826651791234</v>
      </c>
      <c r="J78" s="17"/>
    </row>
    <row r="79" ht="66">
      <c r="A79" s="35" t="s">
        <v>225</v>
      </c>
      <c r="B79" s="14"/>
      <c r="C79" s="14"/>
      <c r="D79" s="14"/>
      <c r="E79" s="14"/>
      <c r="F79" s="14"/>
      <c r="G79" s="14"/>
      <c r="H79" s="14"/>
      <c r="I79" s="45">
        <f>I73/(1-I77)+I53</f>
        <v>1020.485541137795</v>
      </c>
      <c r="J79" s="142" t="s">
        <v>226</v>
      </c>
    </row>
    <row r="80">
      <c r="A80" s="35" t="s">
        <v>227</v>
      </c>
      <c r="B80" s="14"/>
      <c r="C80" s="16">
        <f>'Balance Sheet'!B12</f>
        <v>4529</v>
      </c>
      <c r="D80" s="16">
        <f>'Balance Sheet'!C12</f>
        <v>4748</v>
      </c>
      <c r="E80" s="16">
        <f>'Balance Sheet'!D12</f>
        <v>6798</v>
      </c>
      <c r="F80" s="14"/>
      <c r="G80" s="16">
        <f>'Balance Sheet'!E12</f>
        <v>5716</v>
      </c>
      <c r="H80" s="16">
        <f>'Balance Sheet'!G12</f>
        <v>6660</v>
      </c>
      <c r="I80" s="34">
        <f>'Balance Sheet'!H12</f>
        <v>4579</v>
      </c>
      <c r="J80" s="17" t="s">
        <v>228</v>
      </c>
    </row>
    <row r="81" ht="27.75">
      <c r="A81" s="65" t="s">
        <v>229</v>
      </c>
      <c r="B81" s="2">
        <v>0.0442</v>
      </c>
      <c r="C81" s="2">
        <v>0.0443</v>
      </c>
      <c r="D81" s="2">
        <v>0.0423</v>
      </c>
      <c r="E81" s="2">
        <v>0.0386</v>
      </c>
      <c r="F81" s="9"/>
      <c r="G81" s="2">
        <v>0.0378</v>
      </c>
      <c r="H81" s="2">
        <v>0.038</v>
      </c>
      <c r="I81" s="29">
        <f>H81</f>
        <v>0.038</v>
      </c>
      <c r="J81" s="142" t="s">
        <v>230</v>
      </c>
    </row>
    <row r="82">
      <c r="A82" s="36" t="s">
        <v>214</v>
      </c>
      <c r="B82" s="61" t="s">
        <v>32</v>
      </c>
      <c r="C82" s="61" t="s">
        <v>32</v>
      </c>
      <c r="D82" s="61" t="s">
        <v>32</v>
      </c>
      <c r="E82" s="61" t="s">
        <v>32</v>
      </c>
      <c r="F82" s="61" t="s">
        <v>32</v>
      </c>
      <c r="G82" s="61">
        <f>(G81-B81)*10000</f>
        <v>-64.00000000000003</v>
      </c>
      <c r="H82" s="61">
        <f>(H81-C81)*10000</f>
        <v>-63</v>
      </c>
      <c r="I82" s="79">
        <f>(I81-D81)*10000</f>
        <v>-42.999999999999986</v>
      </c>
      <c r="J82" s="17"/>
    </row>
    <row r="83">
      <c r="A83" s="36" t="s">
        <v>215</v>
      </c>
      <c r="B83" s="61" t="s">
        <v>32</v>
      </c>
      <c r="C83" s="61">
        <f>(C81-B81)*10000</f>
        <v>0.9999999999999593</v>
      </c>
      <c r="D83" s="61">
        <f>(D81-C81)*10000</f>
        <v>-20.000000000000018</v>
      </c>
      <c r="E83" s="61">
        <f>(E81-D81)*10000</f>
        <v>-36.99999999999995</v>
      </c>
      <c r="F83" s="61" t="s">
        <v>32</v>
      </c>
      <c r="G83" s="61">
        <f>(G81-E81)*10000</f>
        <v>-8.000000000000021</v>
      </c>
      <c r="H83" s="61">
        <f>(H81-G81)*10000</f>
        <v>1.999999999999988</v>
      </c>
      <c r="I83" s="79">
        <f>(I81-H81)*10000</f>
        <v>0</v>
      </c>
      <c r="J83" s="17"/>
    </row>
    <row r="84">
      <c r="A84" s="35" t="s">
        <v>231</v>
      </c>
      <c r="B84" s="6">
        <v>101000</v>
      </c>
      <c r="C84" s="6">
        <v>102173</v>
      </c>
      <c r="D84" s="6">
        <v>105655</v>
      </c>
      <c r="E84" s="6">
        <v>107932</v>
      </c>
      <c r="F84" s="14"/>
      <c r="G84" s="6">
        <v>106666</v>
      </c>
      <c r="H84" s="6">
        <v>107067</v>
      </c>
      <c r="I84" s="45" t="s">
        <v>232</v>
      </c>
      <c r="J84" s="17" t="s">
        <v>233</v>
      </c>
    </row>
    <row r="85">
      <c r="A85" s="36" t="s">
        <v>172</v>
      </c>
      <c r="B85" s="9" t="s">
        <v>32</v>
      </c>
      <c r="C85" s="9" t="s">
        <v>32</v>
      </c>
      <c r="D85" s="9" t="s">
        <v>32</v>
      </c>
      <c r="E85" s="9" t="s">
        <v>32</v>
      </c>
      <c r="F85" s="9" t="s">
        <v>32</v>
      </c>
      <c r="G85" s="9">
        <f>IFERROR(G84/B84-1,"n/a")</f>
        <v>0.05609900990099015</v>
      </c>
      <c r="H85" s="9">
        <f>IFERROR(H84/C84-1,"n/a")</f>
        <v>0.04789915143922552</v>
      </c>
      <c r="I85" s="29" t="s">
        <v>232</v>
      </c>
      <c r="J85" s="17"/>
    </row>
    <row r="86">
      <c r="A86" s="36" t="s">
        <v>196</v>
      </c>
      <c r="B86" s="31" t="s">
        <v>32</v>
      </c>
      <c r="C86" s="31">
        <f>C84-B84</f>
        <v>1173</v>
      </c>
      <c r="D86" s="31">
        <f>D84-C84</f>
        <v>3482</v>
      </c>
      <c r="E86" s="31">
        <f>E84-D84</f>
        <v>2277</v>
      </c>
      <c r="F86" s="31" t="s">
        <v>32</v>
      </c>
      <c r="G86" s="31">
        <f>G84-E84</f>
        <v>-1266</v>
      </c>
      <c r="H86" s="31">
        <f>H84-G84</f>
        <v>401</v>
      </c>
      <c r="I86" s="40" t="s">
        <v>232</v>
      </c>
      <c r="J86" s="17"/>
    </row>
    <row r="87">
      <c r="A87" s="65" t="s">
        <v>234</v>
      </c>
      <c r="B87" s="2">
        <v>0.037</v>
      </c>
      <c r="C87" s="2">
        <v>0.037</v>
      </c>
      <c r="D87" s="2">
        <v>0.039</v>
      </c>
      <c r="E87" s="2">
        <v>0.039</v>
      </c>
      <c r="F87" s="9" t="s">
        <v>32</v>
      </c>
      <c r="G87" s="2">
        <v>0.038</v>
      </c>
      <c r="H87" s="2">
        <v>0.04</v>
      </c>
      <c r="I87" s="29" t="s">
        <v>232</v>
      </c>
      <c r="J87" s="17" t="s">
        <v>233</v>
      </c>
    </row>
    <row r="88">
      <c r="A88" s="36" t="s">
        <v>214</v>
      </c>
      <c r="B88" s="61" t="s">
        <v>32</v>
      </c>
      <c r="C88" s="61" t="s">
        <v>32</v>
      </c>
      <c r="D88" s="61" t="s">
        <v>32</v>
      </c>
      <c r="E88" s="61" t="s">
        <v>32</v>
      </c>
      <c r="F88" s="61" t="s">
        <v>32</v>
      </c>
      <c r="G88" s="61">
        <f>(G87-B87)*10000</f>
        <v>10.000000000000009</v>
      </c>
      <c r="H88" s="61">
        <f>(H87-C87)*10000</f>
        <v>30.00000000000003</v>
      </c>
      <c r="I88" s="79" t="s">
        <v>232</v>
      </c>
      <c r="J88" s="17"/>
    </row>
    <row r="89">
      <c r="A89" s="36" t="s">
        <v>215</v>
      </c>
      <c r="B89" s="61" t="s">
        <v>32</v>
      </c>
      <c r="C89" s="61">
        <f>(C87-B87)*10000</f>
        <v>0</v>
      </c>
      <c r="D89" s="61">
        <f>(D87-C87)*10000</f>
        <v>20.000000000000018</v>
      </c>
      <c r="E89" s="61">
        <f>(E87-D87)*10000</f>
        <v>0</v>
      </c>
      <c r="F89" s="61" t="s">
        <v>32</v>
      </c>
      <c r="G89" s="61">
        <f>(G87-E87)*10000</f>
        <v>-10.000000000000009</v>
      </c>
      <c r="H89" s="61">
        <f>(H87-G87)*10000</f>
        <v>20.000000000000018</v>
      </c>
      <c r="I89" s="79" t="s">
        <v>232</v>
      </c>
      <c r="J89" s="17"/>
    </row>
    <row r="90">
      <c r="A90" s="1"/>
      <c r="B90" s="8"/>
      <c r="C90" s="8"/>
      <c r="D90" s="8"/>
      <c r="E90" s="8"/>
      <c r="F90" s="8"/>
      <c r="G90" s="8"/>
      <c r="H90" s="8"/>
      <c r="I90" s="21"/>
      <c r="J90" s="17"/>
    </row>
    <row r="91">
      <c r="A91" s="42" t="s">
        <v>235</v>
      </c>
      <c r="B91" s="8"/>
      <c r="C91" s="8"/>
      <c r="D91" s="8"/>
      <c r="E91" s="8"/>
      <c r="F91" s="8"/>
      <c r="G91" s="8"/>
      <c r="H91" s="8"/>
      <c r="I91" s="21"/>
      <c r="J91" s="17"/>
    </row>
    <row r="92">
      <c r="A92" s="35" t="s">
        <v>236</v>
      </c>
      <c r="B92" s="16">
        <f>'Segment - Business Insurance'!B161+'Segment - Bond &amp; Specialty'!B114+'Segment - Personal Insurance'!B215</f>
        <v>119</v>
      </c>
      <c r="C92" s="16">
        <f>'Segment - Business Insurance'!C161+'Segment - Bond &amp; Specialty'!C114+'Segment - Personal Insurance'!C215</f>
        <v>124</v>
      </c>
      <c r="D92" s="16">
        <f>'Segment - Business Insurance'!D161+'Segment - Bond &amp; Specialty'!D114+'Segment - Personal Insurance'!D215</f>
        <v>127</v>
      </c>
      <c r="E92" s="16">
        <f>'Segment - Business Insurance'!E161+'Segment - Bond &amp; Specialty'!E114+'Segment - Personal Insurance'!E215</f>
        <v>125</v>
      </c>
      <c r="F92" s="16">
        <f>'Segment - Business Insurance'!F161+'Segment - Bond &amp; Specialty'!F114+'Segment - Personal Insurance'!F215</f>
        <v>495</v>
      </c>
      <c r="G92" s="16">
        <f>'Segment - Business Insurance'!G161+'Segment - Bond &amp; Specialty'!G114+'Segment - Personal Insurance'!G215</f>
        <v>121</v>
      </c>
      <c r="H92" s="16">
        <f>'Segment - Business Insurance'!H161+'Segment - Bond &amp; Specialty'!H114+'Segment - Personal Insurance'!H215</f>
        <v>126</v>
      </c>
      <c r="I92" s="34">
        <f>'Segment - Business Insurance'!I161+'Segment - Bond &amp; Specialty'!I114+'Segment - Personal Insurance'!I215</f>
        <v>126</v>
      </c>
      <c r="J92" s="17"/>
    </row>
    <row r="93">
      <c r="A93" s="35" t="s">
        <v>237</v>
      </c>
      <c r="B93" s="6">
        <v>109</v>
      </c>
      <c r="C93" s="6">
        <v>115</v>
      </c>
      <c r="D93" s="6">
        <v>121</v>
      </c>
      <c r="E93" s="6">
        <v>128</v>
      </c>
      <c r="F93" s="14">
        <f>SUM(B93:E93)</f>
        <v>473</v>
      </c>
      <c r="G93" s="14">
        <f>B92</f>
        <v>119</v>
      </c>
      <c r="H93" s="14">
        <f>C92</f>
        <v>124</v>
      </c>
      <c r="I93" s="45">
        <f>D92</f>
        <v>127</v>
      </c>
      <c r="J93" s="17" t="s">
        <v>210</v>
      </c>
    </row>
    <row r="94">
      <c r="A94" s="36" t="s">
        <v>187</v>
      </c>
      <c r="B94" s="9">
        <f>IFERROR(B92/B93-1,"n/a")</f>
        <v>0.09174311926605494</v>
      </c>
      <c r="C94" s="9">
        <f>IFERROR(C92/C93-1,"n/a")</f>
        <v>0.07826086956521738</v>
      </c>
      <c r="D94" s="9">
        <f>IFERROR(D92/D93-1,"n/a")</f>
        <v>0.04958677685950419</v>
      </c>
      <c r="E94" s="9">
        <f>IFERROR(E92/E93-1,"n/a")</f>
        <v>-0.0234375</v>
      </c>
      <c r="F94" s="9">
        <f>IFERROR(F92/F93-1,"n/a")</f>
        <v>0.04651162790697683</v>
      </c>
      <c r="G94" s="9">
        <f>IFERROR(G92/G93-1,"n/a")</f>
        <v>0.01680672268907557</v>
      </c>
      <c r="H94" s="9">
        <f>IFERROR(H92/H93-1,"n/a")</f>
        <v>0.016129032258064502</v>
      </c>
      <c r="I94" s="29">
        <f>IFERROR(I92/I93-1,"n/a")</f>
        <v>-0.007874015748031482</v>
      </c>
      <c r="J94" s="17"/>
    </row>
    <row r="95">
      <c r="A95" s="36" t="s">
        <v>205</v>
      </c>
      <c r="B95" s="9" t="s">
        <v>178</v>
      </c>
      <c r="C95" s="9" t="s">
        <v>178</v>
      </c>
      <c r="D95" s="9" t="s">
        <v>178</v>
      </c>
      <c r="E95" s="9" t="s">
        <v>178</v>
      </c>
      <c r="F95" s="9" t="s">
        <v>178</v>
      </c>
      <c r="G95" s="9" t="s">
        <v>178</v>
      </c>
      <c r="H95" s="9" t="s">
        <v>178</v>
      </c>
      <c r="I95" s="29" t="s">
        <v>178</v>
      </c>
      <c r="J95" s="17" t="s">
        <v>238</v>
      </c>
    </row>
    <row r="96">
      <c r="A96" s="36" t="s">
        <v>177</v>
      </c>
      <c r="B96" s="9" t="s">
        <v>178</v>
      </c>
      <c r="C96" s="9" t="s">
        <v>178</v>
      </c>
      <c r="D96" s="9" t="s">
        <v>178</v>
      </c>
      <c r="E96" s="9" t="s">
        <v>178</v>
      </c>
      <c r="F96" s="9" t="s">
        <v>178</v>
      </c>
      <c r="G96" s="9" t="s">
        <v>178</v>
      </c>
      <c r="H96" s="9" t="s">
        <v>178</v>
      </c>
      <c r="I96" s="29" t="s">
        <v>178</v>
      </c>
      <c r="J96" s="17" t="s">
        <v>179</v>
      </c>
    </row>
    <row r="97" ht="27.75">
      <c r="A97" s="36" t="s">
        <v>207</v>
      </c>
      <c r="B97" s="9" t="s">
        <v>178</v>
      </c>
      <c r="C97" s="9" t="s">
        <v>178</v>
      </c>
      <c r="D97" s="9" t="s">
        <v>178</v>
      </c>
      <c r="E97" s="9" t="s">
        <v>178</v>
      </c>
      <c r="F97" s="9" t="s">
        <v>178</v>
      </c>
      <c r="G97" s="9" t="s">
        <v>178</v>
      </c>
      <c r="H97" s="9" t="s">
        <v>178</v>
      </c>
      <c r="I97" s="29" t="s">
        <v>178</v>
      </c>
      <c r="J97" s="142" t="s">
        <v>208</v>
      </c>
    </row>
    <row r="98">
      <c r="A98" s="36" t="s">
        <v>173</v>
      </c>
      <c r="B98" s="9" t="s">
        <v>32</v>
      </c>
      <c r="C98" s="9">
        <f>IFERROR(C92/B92-1,"n/a")</f>
        <v>0.04201680672268915</v>
      </c>
      <c r="D98" s="9">
        <f>IFERROR(D92/C92-1,"n/a")</f>
        <v>0.024193548387096753</v>
      </c>
      <c r="E98" s="9">
        <f>IFERROR(E92/D92-1,"n/a")</f>
        <v>-0.015748031496062964</v>
      </c>
      <c r="F98" s="9" t="s">
        <v>32</v>
      </c>
      <c r="G98" s="9">
        <f>IFERROR(G92/E92-1,"n/a")</f>
        <v>-0.03200000000000003</v>
      </c>
      <c r="H98" s="9">
        <f>IFERROR(H92/G92-1,"n/a")</f>
        <v>0.04132231404958686</v>
      </c>
      <c r="I98" s="29">
        <f>IFERROR(I92/H92-1,"n/a")</f>
        <v>0</v>
      </c>
      <c r="J98" s="17"/>
    </row>
    <row r="99">
      <c r="A99" s="36" t="s">
        <v>174</v>
      </c>
      <c r="B99" s="9">
        <f>B92/B110</f>
        <v>0.010076206604572396</v>
      </c>
      <c r="C99" s="9">
        <f>C92/C110</f>
        <v>0.010234400792340706</v>
      </c>
      <c r="D99" s="9">
        <f>D92/D110</f>
        <v>0.010184442662389735</v>
      </c>
      <c r="E99" s="9">
        <f>E92/E110</f>
        <v>0.010054697554697555</v>
      </c>
      <c r="F99" s="9">
        <f>F92/F110</f>
        <v>0.010137625952322439</v>
      </c>
      <c r="G99" s="9">
        <f>G92/G110</f>
        <v>0.01014760147601476</v>
      </c>
      <c r="H99" s="9">
        <f>H92/H110</f>
        <v>0.010367810417180942</v>
      </c>
      <c r="I99" s="29">
        <f>I92/I110</f>
        <v>0.010223929005112023</v>
      </c>
      <c r="J99" s="17"/>
    </row>
    <row r="100">
      <c r="A100" s="35" t="s">
        <v>239</v>
      </c>
      <c r="B100" s="16">
        <f>'Segment - Business Insurance'!B164+'Segment - Bond &amp; Specialty'!B117+'Segment - Personal Insurance'!B218</f>
        <v>112</v>
      </c>
      <c r="C100" s="16">
        <f>'Segment - Business Insurance'!C164+'Segment - Bond &amp; Specialty'!C117+'Segment - Personal Insurance'!C218</f>
        <v>123</v>
      </c>
      <c r="D100" s="16">
        <f>'Segment - Business Insurance'!D164+'Segment - Bond &amp; Specialty'!D117+'Segment - Personal Insurance'!D218</f>
        <v>148</v>
      </c>
      <c r="E100" s="16">
        <f>'Segment - Business Insurance'!E164+'Segment - Bond &amp; Specialty'!E117+'Segment - Personal Insurance'!E218</f>
        <v>125</v>
      </c>
      <c r="F100" s="16">
        <f>'Segment - Business Insurance'!F164+'Segment - Bond &amp; Specialty'!F117+'Segment - Personal Insurance'!F218</f>
        <v>508</v>
      </c>
      <c r="G100" s="16">
        <f>'Segment - Business Insurance'!G164+'Segment - Bond &amp; Specialty'!G117+'Segment - Personal Insurance'!G218</f>
        <v>141</v>
      </c>
      <c r="H100" s="16">
        <f>'Segment - Business Insurance'!H164+'Segment - Bond &amp; Specialty'!H117+'Segment - Personal Insurance'!H218</f>
        <v>144</v>
      </c>
      <c r="I100" s="34">
        <f>'Segment - Business Insurance'!I164+'Segment - Bond &amp; Specialty'!I117+'Segment - Personal Insurance'!I218</f>
        <v>141</v>
      </c>
      <c r="J100" s="17"/>
    </row>
    <row r="101">
      <c r="A101" s="35" t="s">
        <v>240</v>
      </c>
      <c r="B101" s="6">
        <v>112</v>
      </c>
      <c r="C101" s="6">
        <v>105</v>
      </c>
      <c r="D101" s="6">
        <v>120</v>
      </c>
      <c r="E101" s="6">
        <v>112</v>
      </c>
      <c r="F101" s="14">
        <f>SUM(B101:E101)</f>
        <v>449</v>
      </c>
      <c r="G101" s="14">
        <f>B100</f>
        <v>112</v>
      </c>
      <c r="H101" s="14">
        <f>C100</f>
        <v>123</v>
      </c>
      <c r="I101" s="45">
        <f>D100</f>
        <v>148</v>
      </c>
      <c r="J101" s="17" t="s">
        <v>210</v>
      </c>
    </row>
    <row r="102">
      <c r="A102" s="36" t="s">
        <v>187</v>
      </c>
      <c r="B102" s="9">
        <f>IFERROR(B100/B101-1,"n/a")</f>
        <v>0</v>
      </c>
      <c r="C102" s="9">
        <f>IFERROR(C100/C101-1,"n/a")</f>
        <v>0.17142857142857149</v>
      </c>
      <c r="D102" s="9">
        <f>IFERROR(D100/D101-1,"n/a")</f>
        <v>0.2333333333333334</v>
      </c>
      <c r="E102" s="9">
        <f>IFERROR(E100/E101-1,"n/a")</f>
        <v>0.1160714285714286</v>
      </c>
      <c r="F102" s="9">
        <f>IFERROR(F100/F101-1,"n/a")</f>
        <v>0.1314031180400892</v>
      </c>
      <c r="G102" s="9">
        <f>IFERROR(G100/G101-1,"n/a")</f>
        <v>0.2589285714285714</v>
      </c>
      <c r="H102" s="9">
        <f>IFERROR(H100/H101-1,"n/a")</f>
        <v>0.1707317073170731</v>
      </c>
      <c r="I102" s="29">
        <f>IFERROR(I100/I101-1,"n/a")</f>
        <v>-0.04729729729729726</v>
      </c>
      <c r="J102" s="17"/>
    </row>
    <row r="103">
      <c r="A103" s="36" t="s">
        <v>205</v>
      </c>
      <c r="B103" s="9" t="s">
        <v>178</v>
      </c>
      <c r="C103" s="9" t="s">
        <v>178</v>
      </c>
      <c r="D103" s="9" t="s">
        <v>178</v>
      </c>
      <c r="E103" s="9" t="s">
        <v>178</v>
      </c>
      <c r="F103" s="9" t="s">
        <v>178</v>
      </c>
      <c r="G103" s="9" t="s">
        <v>178</v>
      </c>
      <c r="H103" s="9" t="s">
        <v>178</v>
      </c>
      <c r="I103" s="29" t="s">
        <v>178</v>
      </c>
      <c r="J103" s="17" t="s">
        <v>238</v>
      </c>
    </row>
    <row r="104">
      <c r="A104" s="36" t="s">
        <v>177</v>
      </c>
      <c r="B104" s="9" t="s">
        <v>178</v>
      </c>
      <c r="C104" s="9" t="s">
        <v>178</v>
      </c>
      <c r="D104" s="9" t="s">
        <v>178</v>
      </c>
      <c r="E104" s="9" t="s">
        <v>178</v>
      </c>
      <c r="F104" s="9" t="s">
        <v>178</v>
      </c>
      <c r="G104" s="9" t="s">
        <v>178</v>
      </c>
      <c r="H104" s="9" t="s">
        <v>178</v>
      </c>
      <c r="I104" s="29" t="s">
        <v>178</v>
      </c>
      <c r="J104" s="17" t="s">
        <v>179</v>
      </c>
    </row>
    <row r="105" ht="27.75">
      <c r="A105" s="36" t="s">
        <v>207</v>
      </c>
      <c r="B105" s="9" t="s">
        <v>178</v>
      </c>
      <c r="C105" s="9" t="s">
        <v>178</v>
      </c>
      <c r="D105" s="9" t="s">
        <v>178</v>
      </c>
      <c r="E105" s="9" t="s">
        <v>178</v>
      </c>
      <c r="F105" s="9" t="s">
        <v>178</v>
      </c>
      <c r="G105" s="9" t="s">
        <v>178</v>
      </c>
      <c r="H105" s="9" t="s">
        <v>178</v>
      </c>
      <c r="I105" s="29" t="s">
        <v>178</v>
      </c>
      <c r="J105" s="142" t="s">
        <v>208</v>
      </c>
    </row>
    <row r="106">
      <c r="A106" s="36" t="s">
        <v>173</v>
      </c>
      <c r="B106" s="9" t="s">
        <v>32</v>
      </c>
      <c r="C106" s="9">
        <f>IFERROR(C100/B100-1,"n/a")</f>
        <v>0.09821428571428581</v>
      </c>
      <c r="D106" s="9">
        <f>IFERROR(D100/C100-1,"n/a")</f>
        <v>0.2032520325203253</v>
      </c>
      <c r="E106" s="9">
        <f>IFERROR(E100/D100-1,"n/a")</f>
        <v>-0.15540540540540537</v>
      </c>
      <c r="F106" s="9" t="s">
        <v>32</v>
      </c>
      <c r="G106" s="9">
        <f>IFERROR(G100/E100-1,"n/a")</f>
        <v>0.1279999999999999</v>
      </c>
      <c r="H106" s="9">
        <f>IFERROR(H100/G100-1,"n/a")</f>
        <v>0.02127659574468077</v>
      </c>
      <c r="I106" s="29">
        <f>IFERROR(I100/H100-1,"n/a")</f>
        <v>-0.02083333333333337</v>
      </c>
      <c r="J106" s="17"/>
    </row>
    <row r="107">
      <c r="A107" s="36" t="s">
        <v>174</v>
      </c>
      <c r="B107" s="9">
        <f>B100/B110</f>
        <v>0.009483488569009314</v>
      </c>
      <c r="C107" s="9">
        <f>C100/C110</f>
        <v>0.010151865302079894</v>
      </c>
      <c r="D107" s="9">
        <f>D100/D110</f>
        <v>0.011868484362469928</v>
      </c>
      <c r="E107" s="9">
        <f>E100/E110</f>
        <v>0.010054697554697555</v>
      </c>
      <c r="F107" s="9">
        <f>F100/F110</f>
        <v>0.010403866633898582</v>
      </c>
      <c r="G107" s="9">
        <f>G100/G110</f>
        <v>0.011824890976182488</v>
      </c>
      <c r="H107" s="9">
        <f>H100/H110</f>
        <v>0.011848926191063935</v>
      </c>
      <c r="I107" s="29">
        <f>I100/I110</f>
        <v>0.011441063410482502</v>
      </c>
      <c r="J107" s="17"/>
    </row>
    <row r="108" ht="27.75">
      <c r="A108" s="35" t="s">
        <v>241</v>
      </c>
      <c r="B108" s="6">
        <v>-61</v>
      </c>
      <c r="C108" s="6">
        <v>6</v>
      </c>
      <c r="D108" s="6">
        <v>27</v>
      </c>
      <c r="E108" s="6">
        <v>-20</v>
      </c>
      <c r="F108" s="14">
        <f>SUM(B108:E108)</f>
        <v>-48</v>
      </c>
      <c r="G108" s="6">
        <v>49</v>
      </c>
      <c r="H108" s="6">
        <v>60</v>
      </c>
      <c r="I108" s="62">
        <v>0</v>
      </c>
      <c r="J108" s="142" t="s">
        <v>242</v>
      </c>
    </row>
    <row r="109">
      <c r="A109" s="36" t="s">
        <v>196</v>
      </c>
      <c r="B109" s="31" t="s">
        <v>32</v>
      </c>
      <c r="C109" s="31">
        <f>C108-B108</f>
        <v>67</v>
      </c>
      <c r="D109" s="31">
        <f>D108-C108</f>
        <v>21</v>
      </c>
      <c r="E109" s="31">
        <f>E108-D108</f>
        <v>-47</v>
      </c>
      <c r="F109" s="31" t="s">
        <v>32</v>
      </c>
      <c r="G109" s="31">
        <f>G108-E108</f>
        <v>69</v>
      </c>
      <c r="H109" s="31">
        <f>H108-G108</f>
        <v>11</v>
      </c>
      <c r="I109" s="40">
        <f>I108-H108</f>
        <v>-60</v>
      </c>
      <c r="J109" s="17"/>
    </row>
    <row r="110">
      <c r="A110" s="22" t="s">
        <v>33</v>
      </c>
      <c r="B110" s="30">
        <f>B30+B56+B92+B100+B108</f>
        <v>11810</v>
      </c>
      <c r="C110" s="30">
        <f>C30+C56+C92+C100+C108</f>
        <v>12116</v>
      </c>
      <c r="D110" s="30">
        <f>D30+D56+D92+D100+D108</f>
        <v>12470</v>
      </c>
      <c r="E110" s="30">
        <f>E30+E56+E92+E100+E108</f>
        <v>12432</v>
      </c>
      <c r="F110" s="30">
        <f>F30+F56+F92+F100+F108</f>
        <v>48828</v>
      </c>
      <c r="G110" s="30">
        <f>G30+G56+G92+G100+G108</f>
        <v>11924</v>
      </c>
      <c r="H110" s="30">
        <f>H30+H56+H92+H100+H108</f>
        <v>12153</v>
      </c>
      <c r="I110" s="44">
        <f>I30+I56+I92+I100+I108</f>
        <v>12324.029239346173</v>
      </c>
      <c r="J110" s="17"/>
    </row>
    <row r="111">
      <c r="A111" s="36" t="s">
        <v>187</v>
      </c>
      <c r="B111" s="9">
        <f>IFERROR(B110/B116-1,"n/a")</f>
        <v>0.05183469896686854</v>
      </c>
      <c r="C111" s="9">
        <f>IFERROR(C110/C116-1,"n/a")</f>
        <v>0.07382788265532225</v>
      </c>
      <c r="D111" s="9">
        <f>IFERROR(D110/D116-1,"n/a")</f>
        <v>0.04754704301075274</v>
      </c>
      <c r="E111" s="9">
        <f>IFERROR(E110/E116-1,"n/a")</f>
        <v>0.03530979347101937</v>
      </c>
      <c r="F111" s="9">
        <f>IFERROR(F110/F116-1,"n/a")</f>
        <v>0.0518062167460096</v>
      </c>
      <c r="G111" s="9">
        <f>IFERROR(G110/G116-1,"n/a")</f>
        <v>0.009652836579170154</v>
      </c>
      <c r="H111" s="9">
        <f>IFERROR(H110/H116-1,"n/a")</f>
        <v>0.00305381313965003</v>
      </c>
      <c r="I111" s="29">
        <f>IFERROR(I110/I116-1,"n/a")</f>
        <v>-0.011705754663498547</v>
      </c>
      <c r="J111" s="17"/>
    </row>
    <row r="112" ht="40.5">
      <c r="A112" s="36" t="s">
        <v>188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8">
        <f>-('Segment - Business Insurance'!B108+'Segment - Bond &amp; Specialty'!B67+'Segment - Personal Insurance'!B57)/G116</f>
        <v>-0.021845893310753598</v>
      </c>
      <c r="H112" s="28">
        <f>-('Segment - Business Insurance'!C108+'Segment - Bond &amp; Specialty'!C67+'Segment - Personal Insurance'!C57)/H116</f>
        <v>-0.021954440409376032</v>
      </c>
      <c r="I112" s="85">
        <f>-('Segment - Business Insurance'!D108+'Segment - Bond &amp; Specialty'!D67+'Segment - Personal Insurance'!D57)/I116</f>
        <v>-0.020769847634322373</v>
      </c>
      <c r="J112" s="153" t="s">
        <v>243</v>
      </c>
    </row>
    <row r="113">
      <c r="A113" s="36" t="s">
        <v>177</v>
      </c>
      <c r="B113" s="9" t="s">
        <v>178</v>
      </c>
      <c r="C113" s="9" t="s">
        <v>178</v>
      </c>
      <c r="D113" s="9" t="s">
        <v>178</v>
      </c>
      <c r="E113" s="9" t="s">
        <v>178</v>
      </c>
      <c r="F113" s="9" t="s">
        <v>178</v>
      </c>
      <c r="G113" s="9" t="s">
        <v>178</v>
      </c>
      <c r="H113" s="9" t="s">
        <v>178</v>
      </c>
      <c r="I113" s="29" t="s">
        <v>178</v>
      </c>
      <c r="J113" s="17" t="s">
        <v>244</v>
      </c>
    </row>
    <row r="114">
      <c r="A114" s="36" t="s">
        <v>175</v>
      </c>
      <c r="B114" s="9">
        <f>IFERROR((1+B111)/(1+B112)-1,"n/a")</f>
        <v>0.05183469896686854</v>
      </c>
      <c r="C114" s="9">
        <f>IFERROR((1+C111)/(1+C112)-1,"n/a")</f>
        <v>0.07382788265532225</v>
      </c>
      <c r="D114" s="9">
        <f>IFERROR((1+D111)/(1+D112)-1,"n/a")</f>
        <v>0.04754704301075274</v>
      </c>
      <c r="E114" s="9">
        <f>IFERROR((1+E111)/(1+E112)-1,"n/a")</f>
        <v>0.03530979347101937</v>
      </c>
      <c r="F114" s="9">
        <f>IFERROR((1+F111)/(1+F112)-1,"n/a")</f>
        <v>0.0518062167460096</v>
      </c>
      <c r="G114" s="9">
        <f>IFERROR((1+G111)/(1+G112)-1,"n/a")</f>
        <v>0.03220221606648188</v>
      </c>
      <c r="H114" s="9">
        <f>IFERROR((1+H111)/(1+H112)-1,"n/a")</f>
        <v>0.02556962025316456</v>
      </c>
      <c r="I114" s="29">
        <f>IFERROR((1+I111)/(1+I112)-1,"n/a")</f>
        <v>0.009256345864071092</v>
      </c>
      <c r="J114" s="17"/>
    </row>
    <row r="115">
      <c r="A115" s="36" t="s">
        <v>173</v>
      </c>
      <c r="B115" s="9" t="s">
        <v>32</v>
      </c>
      <c r="C115" s="9">
        <f>IFERROR(C110/B110-1,"n/a")</f>
        <v>0.02591024555461474</v>
      </c>
      <c r="D115" s="9">
        <f>IFERROR(D110/C110-1,"n/a")</f>
        <v>0.02921756355232752</v>
      </c>
      <c r="E115" s="9">
        <f>IFERROR(E110/D110-1,"n/a")</f>
        <v>-0.0030473135525260764</v>
      </c>
      <c r="F115" s="9" t="s">
        <v>32</v>
      </c>
      <c r="G115" s="9">
        <f>IFERROR(G110/E110-1,"n/a")</f>
        <v>-0.04086229086229087</v>
      </c>
      <c r="H115" s="9">
        <f>IFERROR(H110/G110-1,"n/a")</f>
        <v>0.019204964776920574</v>
      </c>
      <c r="I115" s="29">
        <f>IFERROR(I110/H110-1,"n/a")</f>
        <v>0.014073005788379334</v>
      </c>
      <c r="J115" s="17"/>
    </row>
    <row r="116">
      <c r="A116" s="35" t="s">
        <v>245</v>
      </c>
      <c r="B116" s="6">
        <v>11228</v>
      </c>
      <c r="C116" s="6">
        <v>11283</v>
      </c>
      <c r="D116" s="6">
        <v>11904</v>
      </c>
      <c r="E116" s="6">
        <v>12008</v>
      </c>
      <c r="F116" s="14">
        <f>SUM(B116:E116)</f>
        <v>46423</v>
      </c>
      <c r="G116" s="14">
        <f>B110</f>
        <v>11810</v>
      </c>
      <c r="H116" s="14">
        <f>C110</f>
        <v>12116</v>
      </c>
      <c r="I116" s="45">
        <f>D110</f>
        <v>12470</v>
      </c>
      <c r="J116" s="17" t="s">
        <v>210</v>
      </c>
    </row>
    <row r="117">
      <c r="A117" s="35" t="s">
        <v>246</v>
      </c>
      <c r="B117" s="6">
        <v>11810</v>
      </c>
      <c r="C117" s="6">
        <v>12116</v>
      </c>
      <c r="D117" s="6">
        <v>12470</v>
      </c>
      <c r="E117" s="6">
        <v>12432</v>
      </c>
      <c r="F117" s="14">
        <f>SUM(B117:E117)</f>
        <v>48828</v>
      </c>
      <c r="G117" s="6">
        <v>11924</v>
      </c>
      <c r="H117" s="6">
        <v>12153</v>
      </c>
      <c r="I117" s="45"/>
      <c r="J117" s="17" t="s">
        <v>247</v>
      </c>
    </row>
    <row r="118">
      <c r="A118" s="36" t="s">
        <v>248</v>
      </c>
      <c r="B118" s="31">
        <f>B110-B117</f>
        <v>0</v>
      </c>
      <c r="C118" s="31">
        <f>C110-C117</f>
        <v>0</v>
      </c>
      <c r="D118" s="31">
        <f>D110-D117</f>
        <v>0</v>
      </c>
      <c r="E118" s="31">
        <f>E110-E117</f>
        <v>0</v>
      </c>
      <c r="F118" s="31">
        <f>F110-F117</f>
        <v>0</v>
      </c>
      <c r="G118" s="31">
        <f>G110-G117</f>
        <v>0</v>
      </c>
      <c r="H118" s="31">
        <f>H110-H117</f>
        <v>0</v>
      </c>
      <c r="I118" s="40"/>
      <c r="J118" s="17"/>
    </row>
    <row r="119">
      <c r="A119" s="1" t="s">
        <v>249</v>
      </c>
      <c r="B119" s="8"/>
      <c r="C119" s="8"/>
      <c r="D119" s="8"/>
      <c r="E119" s="8"/>
      <c r="F119" s="8"/>
      <c r="G119" s="8"/>
      <c r="H119" s="8"/>
      <c r="I119" s="21"/>
      <c r="J119" s="17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J216"/>
  <sheetViews>
    <sheetView showGridLines="0" workbookViewId="0"/>
  </sheetViews>
  <sheetFormatPr defaultColWidth="8.42578125" defaultRowHeight="15"/>
  <cols>
    <col min="1" max="1" width="37" customWidth="1"/>
    <col min="2" max="9" width="12" customWidth="1"/>
    <col min="10" max="10" width="45" customWidth="1"/>
  </cols>
  <sheetData>
    <row r="1">
      <c r="A1" s="26" t="s">
        <v>0</v>
      </c>
      <c r="B1" s="1"/>
      <c r="C1" s="1"/>
      <c r="D1" s="1"/>
      <c r="E1" s="1"/>
      <c r="F1" s="1"/>
      <c r="G1" s="1"/>
      <c r="H1" s="1"/>
      <c r="I1" s="1"/>
      <c r="J1" s="1"/>
    </row>
    <row r="2">
      <c r="A2" s="22" t="s">
        <v>250</v>
      </c>
      <c r="B2" s="1"/>
      <c r="C2" s="1"/>
      <c r="D2" s="1"/>
      <c r="E2" s="1"/>
      <c r="F2" s="1"/>
      <c r="G2" s="1"/>
      <c r="H2" s="1"/>
      <c r="I2" s="1"/>
      <c r="J2" s="1"/>
    </row>
    <row r="3">
      <c r="A3" s="11" t="s">
        <v>2</v>
      </c>
      <c r="B3" s="1"/>
      <c r="C3" s="1"/>
      <c r="D3" s="1"/>
      <c r="E3" s="1"/>
      <c r="F3" s="1"/>
      <c r="G3" s="1"/>
      <c r="H3" s="1"/>
      <c r="I3" s="1"/>
      <c r="J3" s="1"/>
    </row>
    <row r="4">
      <c r="A4" s="12" t="s">
        <v>158</v>
      </c>
      <c r="B4" s="13" t="s">
        <v>159</v>
      </c>
      <c r="C4" s="13" t="s">
        <v>160</v>
      </c>
      <c r="D4" s="13" t="s">
        <v>161</v>
      </c>
      <c r="E4" s="13" t="s">
        <v>162</v>
      </c>
      <c r="F4" s="13" t="s">
        <v>163</v>
      </c>
      <c r="G4" s="13" t="s">
        <v>164</v>
      </c>
      <c r="H4" s="13" t="s">
        <v>165</v>
      </c>
      <c r="I4" s="39" t="s">
        <v>166</v>
      </c>
      <c r="J4" s="10" t="s">
        <v>4</v>
      </c>
    </row>
    <row r="5">
      <c r="A5" s="4" t="s">
        <v>167</v>
      </c>
      <c r="B5" s="7">
        <f>DATE(2025,3,31)</f>
        <v>45747</v>
      </c>
      <c r="C5" s="7">
        <f>DATE(2025,6,30)</f>
        <v>45838</v>
      </c>
      <c r="D5" s="7">
        <f>DATE(2025,9,30)</f>
        <v>45930</v>
      </c>
      <c r="E5" s="7">
        <f>DATE(2025,12,31)</f>
        <v>46022</v>
      </c>
      <c r="F5" s="7">
        <f>DATE(2025,12,31)</f>
        <v>46022</v>
      </c>
      <c r="G5" s="7">
        <f>DATE(2026,3,31)</f>
        <v>46112</v>
      </c>
      <c r="H5" s="7">
        <f>DATE(2026,6,30)</f>
        <v>46203</v>
      </c>
      <c r="I5" s="38">
        <f>DATE(2026,9,30)</f>
        <v>46295</v>
      </c>
      <c r="J5" s="24"/>
    </row>
    <row r="6">
      <c r="A6" s="41" t="s">
        <v>168</v>
      </c>
      <c r="B6" s="20">
        <f>B5-DATE(2024,12,31)</f>
        <v>90</v>
      </c>
      <c r="C6" s="20">
        <f>C5-B5</f>
        <v>91</v>
      </c>
      <c r="D6" s="20">
        <f>D5-C5</f>
        <v>92</v>
      </c>
      <c r="E6" s="20">
        <f>E5-D5</f>
        <v>92</v>
      </c>
      <c r="F6" s="20">
        <f>F5-DATE(2024,12,31)</f>
        <v>365</v>
      </c>
      <c r="G6" s="20">
        <f>G5-E5</f>
        <v>90</v>
      </c>
      <c r="H6" s="20">
        <f>H5-G5</f>
        <v>91</v>
      </c>
      <c r="I6" s="15">
        <f>I5-H5</f>
        <v>92</v>
      </c>
      <c r="J6" s="18"/>
    </row>
    <row r="7">
      <c r="A7" s="1"/>
      <c r="B7" s="1"/>
      <c r="C7" s="1"/>
      <c r="D7" s="1"/>
      <c r="E7" s="1"/>
      <c r="F7" s="1"/>
      <c r="G7" s="1"/>
      <c r="H7" s="1"/>
      <c r="I7" s="33"/>
      <c r="J7" s="17"/>
    </row>
    <row r="8">
      <c r="A8" s="42" t="s">
        <v>251</v>
      </c>
      <c r="B8" s="8"/>
      <c r="C8" s="8"/>
      <c r="D8" s="8"/>
      <c r="E8" s="8"/>
      <c r="F8" s="8"/>
      <c r="G8" s="8"/>
      <c r="H8" s="8"/>
      <c r="I8" s="21"/>
      <c r="J8" s="17"/>
    </row>
    <row r="9" ht="40.5">
      <c r="A9" s="65" t="s">
        <v>252</v>
      </c>
      <c r="B9" s="2">
        <v>0.86</v>
      </c>
      <c r="C9" s="2">
        <v>0.85</v>
      </c>
      <c r="D9" s="2">
        <v>0.85</v>
      </c>
      <c r="E9" s="2">
        <v>0.85</v>
      </c>
      <c r="F9" s="9">
        <f>AVERAGE(B9:E9)</f>
        <v>0.8525</v>
      </c>
      <c r="G9" s="2">
        <v>0.86</v>
      </c>
      <c r="H9" s="2">
        <v>0.86</v>
      </c>
      <c r="I9" s="29" t="s">
        <v>232</v>
      </c>
      <c r="J9" s="153" t="s">
        <v>253</v>
      </c>
    </row>
    <row r="10">
      <c r="A10" s="36" t="s">
        <v>214</v>
      </c>
      <c r="B10" s="61" t="s">
        <v>32</v>
      </c>
      <c r="C10" s="61" t="s">
        <v>32</v>
      </c>
      <c r="D10" s="61" t="s">
        <v>32</v>
      </c>
      <c r="E10" s="61" t="s">
        <v>32</v>
      </c>
      <c r="F10" s="61" t="s">
        <v>32</v>
      </c>
      <c r="G10" s="61">
        <f>(G9-B9)*10000</f>
        <v>0</v>
      </c>
      <c r="H10" s="61">
        <f>(H9-C9)*10000</f>
        <v>100.00000000000009</v>
      </c>
      <c r="I10" s="79" t="s">
        <v>232</v>
      </c>
      <c r="J10" s="17"/>
    </row>
    <row r="11">
      <c r="A11" s="36" t="s">
        <v>215</v>
      </c>
      <c r="B11" s="61" t="s">
        <v>32</v>
      </c>
      <c r="C11" s="61">
        <f>(C9-B9)*10000</f>
        <v>-100.00000000000009</v>
      </c>
      <c r="D11" s="61">
        <f>(D9-C9)*10000</f>
        <v>0</v>
      </c>
      <c r="E11" s="61">
        <f>(E9-D9)*10000</f>
        <v>0</v>
      </c>
      <c r="F11" s="61" t="s">
        <v>32</v>
      </c>
      <c r="G11" s="61">
        <f>(G9-E9)*10000</f>
        <v>100.00000000000009</v>
      </c>
      <c r="H11" s="61">
        <f>(H9-G9)*10000</f>
        <v>0</v>
      </c>
      <c r="I11" s="79" t="s">
        <v>232</v>
      </c>
      <c r="J11" s="17"/>
    </row>
    <row r="12" ht="27.75">
      <c r="A12" s="65" t="s">
        <v>254</v>
      </c>
      <c r="B12" s="2">
        <v>0.09</v>
      </c>
      <c r="C12" s="2">
        <v>0.076</v>
      </c>
      <c r="D12" s="2">
        <v>0.068</v>
      </c>
      <c r="E12" s="2">
        <v>0.06</v>
      </c>
      <c r="F12" s="9">
        <f>AVERAGE(B12:E12)</f>
        <v>0.0735</v>
      </c>
      <c r="G12" s="2">
        <v>0.057</v>
      </c>
      <c r="H12" s="2">
        <v>0.048</v>
      </c>
      <c r="I12" s="29" t="s">
        <v>232</v>
      </c>
      <c r="J12" s="153" t="s">
        <v>255</v>
      </c>
    </row>
    <row r="13">
      <c r="A13" s="36" t="s">
        <v>214</v>
      </c>
      <c r="B13" s="61" t="s">
        <v>32</v>
      </c>
      <c r="C13" s="61" t="s">
        <v>32</v>
      </c>
      <c r="D13" s="61" t="s">
        <v>32</v>
      </c>
      <c r="E13" s="61" t="s">
        <v>32</v>
      </c>
      <c r="F13" s="61" t="s">
        <v>32</v>
      </c>
      <c r="G13" s="61">
        <f>(G12-B12)*10000</f>
        <v>-329.99999999999994</v>
      </c>
      <c r="H13" s="61">
        <f>(H12-C12)*10000</f>
        <v>-279.99999999999994</v>
      </c>
      <c r="I13" s="79" t="s">
        <v>232</v>
      </c>
      <c r="J13" s="17"/>
    </row>
    <row r="14">
      <c r="A14" s="36" t="s">
        <v>215</v>
      </c>
      <c r="B14" s="61" t="s">
        <v>32</v>
      </c>
      <c r="C14" s="61">
        <f>(C12-B12)*10000</f>
        <v>-139.99999999999997</v>
      </c>
      <c r="D14" s="61">
        <f>(D12-C12)*10000</f>
        <v>-79.99999999999993</v>
      </c>
      <c r="E14" s="61">
        <f>(E12-D12)*10000</f>
        <v>-80.00000000000007</v>
      </c>
      <c r="F14" s="61" t="s">
        <v>32</v>
      </c>
      <c r="G14" s="61">
        <f>(G12-E12)*10000</f>
        <v>-29.999999999999957</v>
      </c>
      <c r="H14" s="61">
        <f>(H12-G12)*10000</f>
        <v>-90.00000000000001</v>
      </c>
      <c r="I14" s="79" t="s">
        <v>232</v>
      </c>
      <c r="J14" s="17"/>
    </row>
    <row r="15">
      <c r="A15" s="35" t="s">
        <v>256</v>
      </c>
      <c r="B15" s="6">
        <v>742</v>
      </c>
      <c r="C15" s="6">
        <v>748</v>
      </c>
      <c r="D15" s="6">
        <v>671</v>
      </c>
      <c r="E15" s="6">
        <v>669</v>
      </c>
      <c r="F15" s="14">
        <f>SUM(B15:E15)</f>
        <v>2830</v>
      </c>
      <c r="G15" s="6">
        <v>775</v>
      </c>
      <c r="H15" s="6">
        <v>805</v>
      </c>
      <c r="I15" s="45" t="s">
        <v>232</v>
      </c>
      <c r="J15" s="17" t="s">
        <v>257</v>
      </c>
    </row>
    <row r="16">
      <c r="A16" s="36" t="s">
        <v>172</v>
      </c>
      <c r="B16" s="9" t="s">
        <v>32</v>
      </c>
      <c r="C16" s="9" t="s">
        <v>32</v>
      </c>
      <c r="D16" s="9" t="s">
        <v>32</v>
      </c>
      <c r="E16" s="9" t="s">
        <v>32</v>
      </c>
      <c r="F16" s="9" t="s">
        <v>32</v>
      </c>
      <c r="G16" s="9">
        <f>IFERROR(G15/B15-1,"n/a")</f>
        <v>0.04447439353099725</v>
      </c>
      <c r="H16" s="9">
        <f>IFERROR(H15/C15-1,"n/a")</f>
        <v>0.0762032085561497</v>
      </c>
      <c r="I16" s="29" t="s">
        <v>232</v>
      </c>
      <c r="J16" s="17"/>
    </row>
    <row r="17">
      <c r="A17" s="36" t="s">
        <v>196</v>
      </c>
      <c r="B17" s="31" t="s">
        <v>32</v>
      </c>
      <c r="C17" s="31">
        <f>C15-B15</f>
        <v>6</v>
      </c>
      <c r="D17" s="31">
        <f>D15-C15</f>
        <v>-77</v>
      </c>
      <c r="E17" s="31">
        <f>E15-D15</f>
        <v>-2</v>
      </c>
      <c r="F17" s="31" t="s">
        <v>32</v>
      </c>
      <c r="G17" s="31">
        <f>G15-E15</f>
        <v>106</v>
      </c>
      <c r="H17" s="31">
        <f>H15-G15</f>
        <v>30</v>
      </c>
      <c r="I17" s="40" t="s">
        <v>232</v>
      </c>
      <c r="J17" s="17"/>
    </row>
    <row r="18">
      <c r="A18" s="42" t="s">
        <v>258</v>
      </c>
      <c r="B18" s="8"/>
      <c r="C18" s="8"/>
      <c r="D18" s="8"/>
      <c r="E18" s="8"/>
      <c r="F18" s="8"/>
      <c r="G18" s="8"/>
      <c r="H18" s="8"/>
      <c r="I18" s="21"/>
      <c r="J18" s="17"/>
    </row>
    <row r="19" ht="27.75">
      <c r="A19" s="35" t="s">
        <v>259</v>
      </c>
      <c r="B19" s="6">
        <v>974</v>
      </c>
      <c r="C19" s="6">
        <v>975</v>
      </c>
      <c r="D19" s="6">
        <v>885</v>
      </c>
      <c r="E19" s="6">
        <v>893</v>
      </c>
      <c r="F19" s="14">
        <f>SUM(B19:E19)</f>
        <v>3727</v>
      </c>
      <c r="G19" s="14">
        <f>B35</f>
        <v>976</v>
      </c>
      <c r="H19" s="14">
        <f>C35</f>
        <v>1004</v>
      </c>
      <c r="I19" s="45">
        <f>D35</f>
        <v>920</v>
      </c>
      <c r="J19" s="142" t="s">
        <v>260</v>
      </c>
    </row>
    <row r="20" ht="27.75">
      <c r="A20" s="36" t="s">
        <v>261</v>
      </c>
      <c r="B20" s="2">
        <v>0.8</v>
      </c>
      <c r="C20" s="2">
        <v>0.8</v>
      </c>
      <c r="D20" s="2">
        <v>0.81</v>
      </c>
      <c r="E20" s="2">
        <v>0.8</v>
      </c>
      <c r="F20" s="9">
        <f>SUMPRODUCT(B19:E19,B20:E20)/F19</f>
        <v>0.8023745639924873</v>
      </c>
      <c r="G20" s="2">
        <v>0.82</v>
      </c>
      <c r="H20" s="2">
        <v>0.81</v>
      </c>
      <c r="I20" s="87">
        <v>0.81</v>
      </c>
      <c r="J20" s="142" t="s">
        <v>262</v>
      </c>
    </row>
    <row r="21">
      <c r="A21" s="36" t="s">
        <v>214</v>
      </c>
      <c r="B21" s="61" t="s">
        <v>32</v>
      </c>
      <c r="C21" s="61" t="s">
        <v>32</v>
      </c>
      <c r="D21" s="61" t="s">
        <v>32</v>
      </c>
      <c r="E21" s="61" t="s">
        <v>32</v>
      </c>
      <c r="F21" s="61" t="s">
        <v>32</v>
      </c>
      <c r="G21" s="61">
        <f>(G20-B20)*10000</f>
        <v>199.99999999999906</v>
      </c>
      <c r="H21" s="61">
        <f>(H20-C20)*10000</f>
        <v>100.00000000000009</v>
      </c>
      <c r="I21" s="79">
        <f>(I20-D20)*10000</f>
        <v>0</v>
      </c>
      <c r="J21" s="17"/>
    </row>
    <row r="22">
      <c r="A22" s="36" t="s">
        <v>215</v>
      </c>
      <c r="B22" s="61" t="s">
        <v>32</v>
      </c>
      <c r="C22" s="61">
        <f>(C20-B20)*10000</f>
        <v>0</v>
      </c>
      <c r="D22" s="61">
        <f>(D20-C20)*10000</f>
        <v>100.00000000000009</v>
      </c>
      <c r="E22" s="61">
        <f>(E20-D20)*10000</f>
        <v>-100.00000000000009</v>
      </c>
      <c r="F22" s="61" t="s">
        <v>32</v>
      </c>
      <c r="G22" s="61">
        <f>(G20-E20)*10000</f>
        <v>199.99999999999906</v>
      </c>
      <c r="H22" s="61">
        <f>(H20-G20)*10000</f>
        <v>-99.99999999999898</v>
      </c>
      <c r="I22" s="79">
        <f>(I20-H20)*10000</f>
        <v>0</v>
      </c>
      <c r="J22" s="17"/>
    </row>
    <row r="23">
      <c r="A23" s="80" t="s">
        <v>263</v>
      </c>
      <c r="B23" s="14">
        <f>B19*B20</f>
        <v>779.2</v>
      </c>
      <c r="C23" s="14">
        <f>C19*C20</f>
        <v>780</v>
      </c>
      <c r="D23" s="14">
        <f>D19*D20</f>
        <v>716.85</v>
      </c>
      <c r="E23" s="14">
        <f>E19*E20</f>
        <v>714.4000000000001</v>
      </c>
      <c r="F23" s="14">
        <f>SUM(B23:E23)</f>
        <v>2990.4500000000003</v>
      </c>
      <c r="G23" s="14">
        <f>G19*G20</f>
        <v>800.3199999999999</v>
      </c>
      <c r="H23" s="14">
        <f>H19*H20</f>
        <v>813.24</v>
      </c>
      <c r="I23" s="45">
        <f>I19*I20</f>
        <v>745.2</v>
      </c>
      <c r="J23" s="17"/>
    </row>
    <row r="24" ht="27.75">
      <c r="A24" s="36" t="s">
        <v>264</v>
      </c>
      <c r="B24" s="2">
        <v>0.118</v>
      </c>
      <c r="C24" s="2">
        <v>0.113</v>
      </c>
      <c r="D24" s="2">
        <v>0.11</v>
      </c>
      <c r="E24" s="2">
        <v>0.11</v>
      </c>
      <c r="F24" s="9">
        <f>SUMPRODUCT(B23:E23,B24:E24)/F23</f>
        <v>0.11286699326188365</v>
      </c>
      <c r="G24" s="2">
        <v>0.082</v>
      </c>
      <c r="H24" s="2">
        <v>0.094</v>
      </c>
      <c r="I24" s="87">
        <v>0.09</v>
      </c>
      <c r="J24" s="142" t="s">
        <v>265</v>
      </c>
    </row>
    <row r="25">
      <c r="A25" s="36" t="s">
        <v>214</v>
      </c>
      <c r="B25" s="61" t="s">
        <v>32</v>
      </c>
      <c r="C25" s="61" t="s">
        <v>32</v>
      </c>
      <c r="D25" s="61" t="s">
        <v>32</v>
      </c>
      <c r="E25" s="61" t="s">
        <v>32</v>
      </c>
      <c r="F25" s="61" t="s">
        <v>32</v>
      </c>
      <c r="G25" s="61">
        <f>(G24-B24)*10000</f>
        <v>-359.9999999999999</v>
      </c>
      <c r="H25" s="61">
        <f>(H24-C24)*10000</f>
        <v>-190.00000000000003</v>
      </c>
      <c r="I25" s="79">
        <f>(I24-D24)*10000</f>
        <v>-200.00000000000003</v>
      </c>
      <c r="J25" s="17"/>
    </row>
    <row r="26">
      <c r="A26" s="36" t="s">
        <v>215</v>
      </c>
      <c r="B26" s="61" t="s">
        <v>32</v>
      </c>
      <c r="C26" s="61">
        <f>(C24-B24)*10000</f>
        <v>-49.99999999999991</v>
      </c>
      <c r="D26" s="61">
        <f>(D24-C24)*10000</f>
        <v>-30.00000000000003</v>
      </c>
      <c r="E26" s="61">
        <f>(E24-D24)*10000</f>
        <v>0</v>
      </c>
      <c r="F26" s="61" t="s">
        <v>32</v>
      </c>
      <c r="G26" s="61">
        <f>(G24-E24)*10000</f>
        <v>-279.99999999999994</v>
      </c>
      <c r="H26" s="61">
        <f>(H24-G24)*10000</f>
        <v>119.99999999999997</v>
      </c>
      <c r="I26" s="79">
        <f>(I24-H24)*10000</f>
        <v>-40.000000000000036</v>
      </c>
      <c r="J26" s="17"/>
    </row>
    <row r="27">
      <c r="A27" s="80" t="s">
        <v>266</v>
      </c>
      <c r="B27" s="14">
        <f>B23*(1+B24)</f>
        <v>871.1456</v>
      </c>
      <c r="C27" s="14">
        <f>C23*(1+C24)</f>
        <v>868.14</v>
      </c>
      <c r="D27" s="14">
        <f>D23*(1+D24)</f>
        <v>795.7035000000001</v>
      </c>
      <c r="E27" s="14">
        <f>E23*(1+E24)</f>
        <v>792.9840000000002</v>
      </c>
      <c r="F27" s="14">
        <f>SUM(B27:E27)</f>
        <v>3327.9731</v>
      </c>
      <c r="G27" s="14">
        <f>G23*(1+G24)</f>
        <v>865.94624</v>
      </c>
      <c r="H27" s="14">
        <f>H23*(1+H24)</f>
        <v>889.68456</v>
      </c>
      <c r="I27" s="45">
        <f>I23*(1+I24)</f>
        <v>812.2680000000001</v>
      </c>
      <c r="J27" s="17"/>
    </row>
    <row r="28" ht="40.5">
      <c r="A28" s="80" t="s">
        <v>267</v>
      </c>
      <c r="B28" s="6">
        <v>160</v>
      </c>
      <c r="C28" s="6">
        <v>150</v>
      </c>
      <c r="D28" s="6">
        <v>135</v>
      </c>
      <c r="E28" s="6">
        <v>137</v>
      </c>
      <c r="F28" s="14">
        <f>SUM(B28:E28)</f>
        <v>582</v>
      </c>
      <c r="G28" s="6">
        <v>158</v>
      </c>
      <c r="H28" s="6">
        <v>153</v>
      </c>
      <c r="I28" s="62">
        <v>140</v>
      </c>
      <c r="J28" s="142" t="s">
        <v>268</v>
      </c>
    </row>
    <row r="29">
      <c r="A29" s="36" t="s">
        <v>172</v>
      </c>
      <c r="B29" s="9" t="s">
        <v>32</v>
      </c>
      <c r="C29" s="9" t="s">
        <v>32</v>
      </c>
      <c r="D29" s="9" t="s">
        <v>32</v>
      </c>
      <c r="E29" s="9" t="s">
        <v>32</v>
      </c>
      <c r="F29" s="9" t="s">
        <v>32</v>
      </c>
      <c r="G29" s="9">
        <f>IFERROR(G28/B28-1,"n/a")</f>
        <v>-0.012499999999999956</v>
      </c>
      <c r="H29" s="9">
        <f>IFERROR(H28/C28-1,"n/a")</f>
        <v>0.020000000000000018</v>
      </c>
      <c r="I29" s="29">
        <f>IFERROR(I28/D28-1,"n/a")</f>
        <v>0.03703703703703698</v>
      </c>
      <c r="J29" s="17"/>
    </row>
    <row r="30">
      <c r="A30" s="36" t="s">
        <v>196</v>
      </c>
      <c r="B30" s="31" t="s">
        <v>32</v>
      </c>
      <c r="C30" s="31">
        <f>C28-B28</f>
        <v>-10</v>
      </c>
      <c r="D30" s="31">
        <f>D28-C28</f>
        <v>-15</v>
      </c>
      <c r="E30" s="31">
        <f>E28-D28</f>
        <v>2</v>
      </c>
      <c r="F30" s="31" t="s">
        <v>32</v>
      </c>
      <c r="G30" s="31">
        <f>G28-E28</f>
        <v>21</v>
      </c>
      <c r="H30" s="31">
        <f>H28-G28</f>
        <v>-5</v>
      </c>
      <c r="I30" s="40">
        <f>I28-H28</f>
        <v>-13</v>
      </c>
      <c r="J30" s="17"/>
    </row>
    <row r="31">
      <c r="A31" s="88" t="s">
        <v>269</v>
      </c>
      <c r="B31" s="30">
        <f>B27+B28</f>
        <v>1031.1455999999998</v>
      </c>
      <c r="C31" s="30">
        <f>C27+C28</f>
        <v>1018.14</v>
      </c>
      <c r="D31" s="30">
        <f>D27+D28</f>
        <v>930.7035000000001</v>
      </c>
      <c r="E31" s="30">
        <f>E27+E28</f>
        <v>929.9840000000002</v>
      </c>
      <c r="F31" s="30">
        <f>F27+F28</f>
        <v>3909.9731</v>
      </c>
      <c r="G31" s="30">
        <f>G27+G28</f>
        <v>1023.94624</v>
      </c>
      <c r="H31" s="30">
        <f>H27+H28</f>
        <v>1042.6845600000001</v>
      </c>
      <c r="I31" s="44">
        <f>I27+I28</f>
        <v>952.2680000000001</v>
      </c>
      <c r="J31" s="17"/>
    </row>
    <row r="32">
      <c r="A32" s="36" t="s">
        <v>270</v>
      </c>
      <c r="B32" s="9">
        <f>B35/B31-1</f>
        <v>-0.05347993532630102</v>
      </c>
      <c r="C32" s="9">
        <f>C35/C31-1</f>
        <v>-0.013888070402891528</v>
      </c>
      <c r="D32" s="9">
        <f>D35/D31-1</f>
        <v>-0.011500440258363831</v>
      </c>
      <c r="E32" s="9">
        <f>E35/E31-1</f>
        <v>0.00001720459706811006</v>
      </c>
      <c r="F32" s="9">
        <f>F35/F31-1</f>
        <v>-0.020453618977583243</v>
      </c>
      <c r="G32" s="9">
        <f>G35/G31-1</f>
        <v>-0.017526545143620065</v>
      </c>
      <c r="H32" s="9">
        <f>H35/H31-1</f>
        <v>-0.002574661698261038</v>
      </c>
      <c r="I32" s="29">
        <f>AVERAGE(D32,E32,G32,H32)</f>
        <v>-0.007896110625794206</v>
      </c>
      <c r="J32" s="17" t="s">
        <v>271</v>
      </c>
    </row>
    <row r="33">
      <c r="A33" s="36" t="s">
        <v>214</v>
      </c>
      <c r="B33" s="61" t="s">
        <v>32</v>
      </c>
      <c r="C33" s="61" t="s">
        <v>32</v>
      </c>
      <c r="D33" s="61" t="s">
        <v>32</v>
      </c>
      <c r="E33" s="61" t="s">
        <v>32</v>
      </c>
      <c r="F33" s="61" t="s">
        <v>32</v>
      </c>
      <c r="G33" s="61">
        <f>(G32-B32)*10000</f>
        <v>359.53390182680954</v>
      </c>
      <c r="H33" s="61">
        <f>(H32-C32)*10000</f>
        <v>113.1340870463049</v>
      </c>
      <c r="I33" s="79">
        <f>(I32-D32)*10000</f>
        <v>36.04329632569625</v>
      </c>
      <c r="J33" s="17"/>
    </row>
    <row r="34">
      <c r="A34" s="36" t="s">
        <v>215</v>
      </c>
      <c r="B34" s="61" t="s">
        <v>32</v>
      </c>
      <c r="C34" s="61">
        <f>(C32-B32)*10000</f>
        <v>395.9186492340949</v>
      </c>
      <c r="D34" s="61">
        <f>(D32-C32)*10000</f>
        <v>23.876301445276972</v>
      </c>
      <c r="E34" s="61">
        <f>(E32-D32)*10000</f>
        <v>115.1764485543194</v>
      </c>
      <c r="F34" s="61" t="s">
        <v>32</v>
      </c>
      <c r="G34" s="61">
        <f>(G32-E32)*10000</f>
        <v>-175.43749740688176</v>
      </c>
      <c r="H34" s="61">
        <f>(H32-G32)*10000</f>
        <v>149.51883445359027</v>
      </c>
      <c r="I34" s="79">
        <f>(I32-H32)*10000</f>
        <v>-53.21448927533168</v>
      </c>
      <c r="J34" s="17"/>
    </row>
    <row r="35">
      <c r="A35" s="88" t="s">
        <v>272</v>
      </c>
      <c r="B35" s="64">
        <v>976</v>
      </c>
      <c r="C35" s="64">
        <v>1004</v>
      </c>
      <c r="D35" s="64">
        <v>920</v>
      </c>
      <c r="E35" s="64">
        <v>930</v>
      </c>
      <c r="F35" s="30">
        <f>SUM(B35:E35)</f>
        <v>3830</v>
      </c>
      <c r="G35" s="64">
        <v>1006</v>
      </c>
      <c r="H35" s="64">
        <v>1040</v>
      </c>
      <c r="I35" s="44">
        <f>I31*(1+I32)</f>
        <v>944.7487865265963</v>
      </c>
      <c r="J35" s="17" t="s">
        <v>273</v>
      </c>
    </row>
    <row r="36">
      <c r="A36" s="36" t="s">
        <v>172</v>
      </c>
      <c r="B36" s="9">
        <f>IFERROR(B35/B19-1,"n/a")</f>
        <v>0.002053388090349051</v>
      </c>
      <c r="C36" s="9">
        <f>IFERROR(C35/C19-1,"n/a")</f>
        <v>0.029743589743589816</v>
      </c>
      <c r="D36" s="9">
        <f>IFERROR(D35/D19-1,"n/a")</f>
        <v>0.039548022598870025</v>
      </c>
      <c r="E36" s="9">
        <f>IFERROR(E35/E19-1,"n/a")</f>
        <v>0.04143337066069419</v>
      </c>
      <c r="F36" s="9">
        <f>IFERROR(F35/F19-1,"n/a")</f>
        <v>0.027636168500134062</v>
      </c>
      <c r="G36" s="9">
        <f>IFERROR(G35/G19-1,"n/a")</f>
        <v>0.03073770491803285</v>
      </c>
      <c r="H36" s="9">
        <f>IFERROR(H35/H19-1,"n/a")</f>
        <v>0.03585657370517925</v>
      </c>
      <c r="I36" s="29">
        <f>IFERROR(I35/I19-1,"n/a")</f>
        <v>0.026900854920213435</v>
      </c>
      <c r="J36" s="17"/>
    </row>
    <row r="37">
      <c r="A37" s="36" t="s">
        <v>196</v>
      </c>
      <c r="B37" s="31" t="s">
        <v>32</v>
      </c>
      <c r="C37" s="31">
        <f>C35-B35</f>
        <v>28</v>
      </c>
      <c r="D37" s="31">
        <f>D35-C35</f>
        <v>-84</v>
      </c>
      <c r="E37" s="31">
        <f>E35-D35</f>
        <v>10</v>
      </c>
      <c r="F37" s="31" t="s">
        <v>32</v>
      </c>
      <c r="G37" s="31">
        <f>G35-E35</f>
        <v>76</v>
      </c>
      <c r="H37" s="31">
        <f>H35-G35</f>
        <v>34</v>
      </c>
      <c r="I37" s="40">
        <f>I35-H35</f>
        <v>-95.25121347340371</v>
      </c>
      <c r="J37" s="17"/>
    </row>
    <row r="38" ht="27.75">
      <c r="A38" s="35" t="s">
        <v>259</v>
      </c>
      <c r="B38" s="6">
        <v>3213</v>
      </c>
      <c r="C38" s="6">
        <v>2769</v>
      </c>
      <c r="D38" s="6">
        <v>3030</v>
      </c>
      <c r="E38" s="6">
        <v>3011</v>
      </c>
      <c r="F38" s="14">
        <f>SUM(B38:E38)</f>
        <v>12023</v>
      </c>
      <c r="G38" s="14">
        <f>B54</f>
        <v>3166</v>
      </c>
      <c r="H38" s="14">
        <f>C54</f>
        <v>3034</v>
      </c>
      <c r="I38" s="45">
        <f>D54</f>
        <v>3232</v>
      </c>
      <c r="J38" s="142" t="s">
        <v>260</v>
      </c>
    </row>
    <row r="39" ht="27.75">
      <c r="A39" s="36" t="s">
        <v>261</v>
      </c>
      <c r="B39" s="2">
        <v>0.89</v>
      </c>
      <c r="C39" s="2">
        <v>0.89</v>
      </c>
      <c r="D39" s="2">
        <v>0.88</v>
      </c>
      <c r="E39" s="2">
        <v>0.87</v>
      </c>
      <c r="F39" s="9">
        <f>SUMPRODUCT(B38:E38,B39:E39)/F38</f>
        <v>0.8824710970639608</v>
      </c>
      <c r="G39" s="2">
        <v>0.89</v>
      </c>
      <c r="H39" s="2">
        <v>0.89</v>
      </c>
      <c r="I39" s="87">
        <v>0.89</v>
      </c>
      <c r="J39" s="142" t="s">
        <v>262</v>
      </c>
    </row>
    <row r="40">
      <c r="A40" s="36" t="s">
        <v>214</v>
      </c>
      <c r="B40" s="61" t="s">
        <v>32</v>
      </c>
      <c r="C40" s="61" t="s">
        <v>32</v>
      </c>
      <c r="D40" s="61" t="s">
        <v>32</v>
      </c>
      <c r="E40" s="61" t="s">
        <v>32</v>
      </c>
      <c r="F40" s="61" t="s">
        <v>32</v>
      </c>
      <c r="G40" s="61">
        <f>(G39-B39)*10000</f>
        <v>0</v>
      </c>
      <c r="H40" s="61">
        <f>(H39-C39)*10000</f>
        <v>0</v>
      </c>
      <c r="I40" s="79">
        <f>(I39-D39)*10000</f>
        <v>100.00000000000009</v>
      </c>
      <c r="J40" s="17"/>
    </row>
    <row r="41">
      <c r="A41" s="36" t="s">
        <v>215</v>
      </c>
      <c r="B41" s="61" t="s">
        <v>32</v>
      </c>
      <c r="C41" s="61">
        <f>(C39-B39)*10000</f>
        <v>0</v>
      </c>
      <c r="D41" s="61">
        <f>(D39-C39)*10000</f>
        <v>-100.00000000000009</v>
      </c>
      <c r="E41" s="61">
        <f>(E39-D39)*10000</f>
        <v>-100.00000000000009</v>
      </c>
      <c r="F41" s="61" t="s">
        <v>32</v>
      </c>
      <c r="G41" s="61">
        <f>(G39-E39)*10000</f>
        <v>200.00000000000017</v>
      </c>
      <c r="H41" s="61">
        <f>(H39-G39)*10000</f>
        <v>0</v>
      </c>
      <c r="I41" s="79">
        <f>(I39-H39)*10000</f>
        <v>0</v>
      </c>
      <c r="J41" s="17"/>
    </row>
    <row r="42">
      <c r="A42" s="80" t="s">
        <v>263</v>
      </c>
      <c r="B42" s="14">
        <f>B38*B39</f>
        <v>2859.57</v>
      </c>
      <c r="C42" s="14">
        <f>C38*C39</f>
        <v>2464.41</v>
      </c>
      <c r="D42" s="14">
        <f>D38*D39</f>
        <v>2666.4</v>
      </c>
      <c r="E42" s="14">
        <f>E38*E39</f>
        <v>2619.57</v>
      </c>
      <c r="F42" s="14">
        <f>SUM(B42:E42)</f>
        <v>10609.95</v>
      </c>
      <c r="G42" s="14">
        <f>G38*G39</f>
        <v>2817.7400000000002</v>
      </c>
      <c r="H42" s="14">
        <f>H38*H39</f>
        <v>2700.26</v>
      </c>
      <c r="I42" s="45">
        <f>I38*I39</f>
        <v>2876.48</v>
      </c>
      <c r="J42" s="17"/>
    </row>
    <row r="43" ht="27.75">
      <c r="A43" s="36" t="s">
        <v>264</v>
      </c>
      <c r="B43" s="2">
        <v>0.094</v>
      </c>
      <c r="C43" s="2">
        <v>0.082</v>
      </c>
      <c r="D43" s="2">
        <v>0.08</v>
      </c>
      <c r="E43" s="2">
        <v>0.065</v>
      </c>
      <c r="F43" s="9">
        <f>SUMPRODUCT(B42:E42,B43:E43)/F42</f>
        <v>0.08053433333804588</v>
      </c>
      <c r="G43" s="2">
        <v>0.066</v>
      </c>
      <c r="H43" s="2">
        <v>0.061</v>
      </c>
      <c r="I43" s="87">
        <v>0.058</v>
      </c>
      <c r="J43" s="142" t="s">
        <v>265</v>
      </c>
    </row>
    <row r="44">
      <c r="A44" s="36" t="s">
        <v>214</v>
      </c>
      <c r="B44" s="61" t="s">
        <v>32</v>
      </c>
      <c r="C44" s="61" t="s">
        <v>32</v>
      </c>
      <c r="D44" s="61" t="s">
        <v>32</v>
      </c>
      <c r="E44" s="61" t="s">
        <v>32</v>
      </c>
      <c r="F44" s="61" t="s">
        <v>32</v>
      </c>
      <c r="G44" s="61">
        <f>(G43-B43)*10000</f>
        <v>-279.99999999999994</v>
      </c>
      <c r="H44" s="61">
        <f>(H43-C43)*10000</f>
        <v>-210.00000000000006</v>
      </c>
      <c r="I44" s="79">
        <f>(I43-D43)*10000</f>
        <v>-220</v>
      </c>
      <c r="J44" s="17"/>
    </row>
    <row r="45">
      <c r="A45" s="36" t="s">
        <v>215</v>
      </c>
      <c r="B45" s="61" t="s">
        <v>32</v>
      </c>
      <c r="C45" s="61">
        <f>(C43-B43)*10000</f>
        <v>-119.99999999999997</v>
      </c>
      <c r="D45" s="61">
        <f>(D43-C43)*10000</f>
        <v>-20.000000000000018</v>
      </c>
      <c r="E45" s="61">
        <f>(E43-D43)*10000</f>
        <v>-150</v>
      </c>
      <c r="F45" s="61" t="s">
        <v>32</v>
      </c>
      <c r="G45" s="61">
        <f>(G43-E43)*10000</f>
        <v>10.000000000000009</v>
      </c>
      <c r="H45" s="61">
        <f>(H43-G43)*10000</f>
        <v>-50.00000000000004</v>
      </c>
      <c r="I45" s="79">
        <f>(I43-H43)*10000</f>
        <v>-29.999999999999957</v>
      </c>
      <c r="J45" s="17"/>
    </row>
    <row r="46">
      <c r="A46" s="80" t="s">
        <v>266</v>
      </c>
      <c r="B46" s="14">
        <f>B42*(1+B43)</f>
        <v>3128.3695800000005</v>
      </c>
      <c r="C46" s="14">
        <f>C42*(1+C43)</f>
        <v>2666.4916200000002</v>
      </c>
      <c r="D46" s="14">
        <f>D42*(1+D43)</f>
        <v>2879.7120000000004</v>
      </c>
      <c r="E46" s="14">
        <f>E42*(1+E43)</f>
        <v>2789.84205</v>
      </c>
      <c r="F46" s="14">
        <f>SUM(B46:E46)</f>
        <v>11464.415250000002</v>
      </c>
      <c r="G46" s="14">
        <f>G42*(1+G43)</f>
        <v>3003.7108400000006</v>
      </c>
      <c r="H46" s="14">
        <f>H42*(1+H43)</f>
        <v>2864.97586</v>
      </c>
      <c r="I46" s="45">
        <f>I42*(1+I43)</f>
        <v>3043.31584</v>
      </c>
      <c r="J46" s="17"/>
    </row>
    <row r="47" ht="40.5">
      <c r="A47" s="80" t="s">
        <v>267</v>
      </c>
      <c r="B47" s="6">
        <v>440</v>
      </c>
      <c r="C47" s="6">
        <v>431</v>
      </c>
      <c r="D47" s="6">
        <v>390</v>
      </c>
      <c r="E47" s="6">
        <v>391</v>
      </c>
      <c r="F47" s="14">
        <f>SUM(B47:E47)</f>
        <v>1652</v>
      </c>
      <c r="G47" s="6">
        <v>466</v>
      </c>
      <c r="H47" s="6">
        <v>504</v>
      </c>
      <c r="I47" s="62">
        <v>455</v>
      </c>
      <c r="J47" s="142" t="s">
        <v>268</v>
      </c>
    </row>
    <row r="48">
      <c r="A48" s="36" t="s">
        <v>172</v>
      </c>
      <c r="B48" s="9" t="s">
        <v>32</v>
      </c>
      <c r="C48" s="9" t="s">
        <v>32</v>
      </c>
      <c r="D48" s="9" t="s">
        <v>32</v>
      </c>
      <c r="E48" s="9" t="s">
        <v>32</v>
      </c>
      <c r="F48" s="9" t="s">
        <v>32</v>
      </c>
      <c r="G48" s="9">
        <f>IFERROR(G47/B47-1,"n/a")</f>
        <v>0.05909090909090908</v>
      </c>
      <c r="H48" s="9">
        <f>IFERROR(H47/C47-1,"n/a")</f>
        <v>0.16937354988399078</v>
      </c>
      <c r="I48" s="29">
        <f>IFERROR(I47/D47-1,"n/a")</f>
        <v>0.16666666666666674</v>
      </c>
      <c r="J48" s="17"/>
    </row>
    <row r="49">
      <c r="A49" s="36" t="s">
        <v>196</v>
      </c>
      <c r="B49" s="31" t="s">
        <v>32</v>
      </c>
      <c r="C49" s="31">
        <f>C47-B47</f>
        <v>-9</v>
      </c>
      <c r="D49" s="31">
        <f>D47-C47</f>
        <v>-41</v>
      </c>
      <c r="E49" s="31">
        <f>E47-D47</f>
        <v>1</v>
      </c>
      <c r="F49" s="31" t="s">
        <v>32</v>
      </c>
      <c r="G49" s="31">
        <f>G47-E47</f>
        <v>75</v>
      </c>
      <c r="H49" s="31">
        <f>H47-G47</f>
        <v>38</v>
      </c>
      <c r="I49" s="40">
        <f>I47-H47</f>
        <v>-49</v>
      </c>
      <c r="J49" s="17"/>
    </row>
    <row r="50">
      <c r="A50" s="88" t="s">
        <v>269</v>
      </c>
      <c r="B50" s="30">
        <f>B46+B47</f>
        <v>3568.3695800000005</v>
      </c>
      <c r="C50" s="30">
        <f>C46+C47</f>
        <v>3097.4916200000002</v>
      </c>
      <c r="D50" s="30">
        <f>D46+D47</f>
        <v>3269.7120000000004</v>
      </c>
      <c r="E50" s="30">
        <f>E46+E47</f>
        <v>3180.84205</v>
      </c>
      <c r="F50" s="30">
        <f>F46+F47</f>
        <v>13116.415250000002</v>
      </c>
      <c r="G50" s="30">
        <f>G46+G47</f>
        <v>3469.7108400000006</v>
      </c>
      <c r="H50" s="30">
        <f>H46+H47</f>
        <v>3368.97586</v>
      </c>
      <c r="I50" s="44">
        <f>I46+I47</f>
        <v>3498.31584</v>
      </c>
      <c r="J50" s="17"/>
    </row>
    <row r="51">
      <c r="A51" s="36" t="s">
        <v>270</v>
      </c>
      <c r="B51" s="9">
        <f>B54/B50-1</f>
        <v>-0.11276006337886124</v>
      </c>
      <c r="C51" s="9">
        <f>C54/C50-1</f>
        <v>-0.020497753598442414</v>
      </c>
      <c r="D51" s="9">
        <f>D54/D50-1</f>
        <v>-0.011533737527953614</v>
      </c>
      <c r="E51" s="9">
        <f>E54/E50-1</f>
        <v>-0.02258585898661647</v>
      </c>
      <c r="F51" s="9">
        <f>F54/F50-1</f>
        <v>-0.04386985613313832</v>
      </c>
      <c r="G51" s="9">
        <f>G54/G50-1</f>
        <v>-0.04055405377815302</v>
      </c>
      <c r="H51" s="9">
        <f>H54/H50-1</f>
        <v>-0.03976753338921224</v>
      </c>
      <c r="I51" s="29">
        <f>AVERAGE(D51,E51,G51,H51)</f>
        <v>-0.028610295920483836</v>
      </c>
      <c r="J51" s="17" t="s">
        <v>271</v>
      </c>
    </row>
    <row r="52">
      <c r="A52" s="36" t="s">
        <v>214</v>
      </c>
      <c r="B52" s="61" t="s">
        <v>32</v>
      </c>
      <c r="C52" s="61" t="s">
        <v>32</v>
      </c>
      <c r="D52" s="61" t="s">
        <v>32</v>
      </c>
      <c r="E52" s="61" t="s">
        <v>32</v>
      </c>
      <c r="F52" s="61" t="s">
        <v>32</v>
      </c>
      <c r="G52" s="61">
        <f>(G51-B51)*10000</f>
        <v>722.0600960070822</v>
      </c>
      <c r="H52" s="61">
        <f>(H51-C51)*10000</f>
        <v>-192.69779790769826</v>
      </c>
      <c r="I52" s="79">
        <f>(I51-D51)*10000</f>
        <v>-170.76558392530222</v>
      </c>
      <c r="J52" s="17"/>
    </row>
    <row r="53">
      <c r="A53" s="36" t="s">
        <v>215</v>
      </c>
      <c r="B53" s="61" t="s">
        <v>32</v>
      </c>
      <c r="C53" s="61">
        <f>(C51-B51)*10000</f>
        <v>922.6230978041883</v>
      </c>
      <c r="D53" s="61">
        <f>(D51-C51)*10000</f>
        <v>89.640160704888</v>
      </c>
      <c r="E53" s="61">
        <f>(E51-D51)*10000</f>
        <v>-110.52121458662856</v>
      </c>
      <c r="F53" s="61" t="s">
        <v>32</v>
      </c>
      <c r="G53" s="61">
        <f>(G51-E51)*10000</f>
        <v>-179.68194791536553</v>
      </c>
      <c r="H53" s="61">
        <f>(H51-G51)*10000</f>
        <v>7.8652038894078125</v>
      </c>
      <c r="I53" s="79">
        <f>(I51-H51)*10000</f>
        <v>111.57237468728404</v>
      </c>
      <c r="J53" s="17"/>
    </row>
    <row r="54">
      <c r="A54" s="88" t="s">
        <v>274</v>
      </c>
      <c r="B54" s="64">
        <v>3166</v>
      </c>
      <c r="C54" s="64">
        <v>3034</v>
      </c>
      <c r="D54" s="64">
        <v>3232</v>
      </c>
      <c r="E54" s="64">
        <v>3109</v>
      </c>
      <c r="F54" s="30">
        <f>SUM(B54:E54)</f>
        <v>12541</v>
      </c>
      <c r="G54" s="64">
        <v>3329</v>
      </c>
      <c r="H54" s="64">
        <v>3235</v>
      </c>
      <c r="I54" s="44">
        <f>I50*(1+I51)</f>
        <v>3398.2279885942844</v>
      </c>
      <c r="J54" s="17" t="s">
        <v>273</v>
      </c>
    </row>
    <row r="55">
      <c r="A55" s="36" t="s">
        <v>172</v>
      </c>
      <c r="B55" s="9">
        <f>IFERROR(B54/B38-1,"n/a")</f>
        <v>-0.014628073451602885</v>
      </c>
      <c r="C55" s="9">
        <f>IFERROR(C54/C38-1,"n/a")</f>
        <v>0.09570241964608162</v>
      </c>
      <c r="D55" s="9">
        <f>IFERROR(D54/D38-1,"n/a")</f>
        <v>0.06666666666666665</v>
      </c>
      <c r="E55" s="9">
        <f>IFERROR(E54/E38-1,"n/a")</f>
        <v>0.03254732646961145</v>
      </c>
      <c r="F55" s="9">
        <f>IFERROR(F54/F38-1,"n/a")</f>
        <v>0.04308408882974302</v>
      </c>
      <c r="G55" s="9">
        <f>IFERROR(G54/G38-1,"n/a")</f>
        <v>0.051484523057485854</v>
      </c>
      <c r="H55" s="9">
        <f>IFERROR(H54/H38-1,"n/a")</f>
        <v>0.06624917600527347</v>
      </c>
      <c r="I55" s="29">
        <f>IFERROR(I54/I38-1,"n/a")</f>
        <v>0.05143192716407308</v>
      </c>
      <c r="J55" s="17"/>
    </row>
    <row r="56">
      <c r="A56" s="36" t="s">
        <v>196</v>
      </c>
      <c r="B56" s="31" t="s">
        <v>32</v>
      </c>
      <c r="C56" s="31">
        <f>C54-B54</f>
        <v>-132</v>
      </c>
      <c r="D56" s="31">
        <f>D54-C54</f>
        <v>198</v>
      </c>
      <c r="E56" s="31">
        <f>E54-D54</f>
        <v>-123</v>
      </c>
      <c r="F56" s="31" t="s">
        <v>32</v>
      </c>
      <c r="G56" s="31">
        <f>G54-E54</f>
        <v>220</v>
      </c>
      <c r="H56" s="31">
        <f>H54-G54</f>
        <v>-94</v>
      </c>
      <c r="I56" s="40">
        <f>I54-H54</f>
        <v>163.2279885942844</v>
      </c>
      <c r="J56" s="17"/>
    </row>
    <row r="57" ht="27.75">
      <c r="A57" s="35" t="s">
        <v>275</v>
      </c>
      <c r="B57" s="6">
        <v>312</v>
      </c>
      <c r="C57" s="6">
        <v>329</v>
      </c>
      <c r="D57" s="6">
        <v>273</v>
      </c>
      <c r="E57" s="6">
        <v>348</v>
      </c>
      <c r="F57" s="14">
        <f>SUM(B57:E57)</f>
        <v>1262</v>
      </c>
      <c r="G57" s="6">
        <v>343</v>
      </c>
      <c r="H57" s="6">
        <v>344</v>
      </c>
      <c r="I57" s="45">
        <f>D57*(1+I58)</f>
        <v>286.65000000000003</v>
      </c>
      <c r="J57" s="142" t="s">
        <v>276</v>
      </c>
    </row>
    <row r="58">
      <c r="A58" s="36" t="s">
        <v>172</v>
      </c>
      <c r="B58" s="9" t="s">
        <v>32</v>
      </c>
      <c r="C58" s="9" t="s">
        <v>32</v>
      </c>
      <c r="D58" s="9" t="s">
        <v>32</v>
      </c>
      <c r="E58" s="9" t="s">
        <v>32</v>
      </c>
      <c r="F58" s="9" t="s">
        <v>32</v>
      </c>
      <c r="G58" s="9">
        <f>IFERROR(G57/B57-1,"n/a")</f>
        <v>0.09935897435897445</v>
      </c>
      <c r="H58" s="9">
        <f>IFERROR(H57/C57-1,"n/a")</f>
        <v>0.045592705167173175</v>
      </c>
      <c r="I58" s="87">
        <v>0.05</v>
      </c>
      <c r="J58" s="17" t="s">
        <v>277</v>
      </c>
    </row>
    <row r="59">
      <c r="A59" s="36" t="s">
        <v>196</v>
      </c>
      <c r="B59" s="31" t="s">
        <v>32</v>
      </c>
      <c r="C59" s="31">
        <f>C57-B57</f>
        <v>17</v>
      </c>
      <c r="D59" s="31">
        <f>D57-C57</f>
        <v>-56</v>
      </c>
      <c r="E59" s="31">
        <f>E57-D57</f>
        <v>75</v>
      </c>
      <c r="F59" s="31" t="s">
        <v>32</v>
      </c>
      <c r="G59" s="31">
        <f>G57-E57</f>
        <v>-5</v>
      </c>
      <c r="H59" s="31">
        <f>H57-G57</f>
        <v>1</v>
      </c>
      <c r="I59" s="40">
        <f>I57-H57</f>
        <v>-57.349999999999966</v>
      </c>
      <c r="J59" s="17"/>
    </row>
    <row r="60" ht="27.75">
      <c r="A60" s="35" t="s">
        <v>278</v>
      </c>
      <c r="B60" s="6">
        <v>720</v>
      </c>
      <c r="C60" s="6">
        <v>885</v>
      </c>
      <c r="D60" s="6">
        <v>841</v>
      </c>
      <c r="E60" s="6">
        <v>666</v>
      </c>
      <c r="F60" s="14">
        <f>SUM(B60:E60)</f>
        <v>3112</v>
      </c>
      <c r="G60" s="6">
        <v>691</v>
      </c>
      <c r="H60" s="6">
        <v>866</v>
      </c>
      <c r="I60" s="45">
        <f>D60*(1+I61)</f>
        <v>798.9499999999999</v>
      </c>
      <c r="J60" s="142" t="s">
        <v>279</v>
      </c>
    </row>
    <row r="61">
      <c r="A61" s="36" t="s">
        <v>172</v>
      </c>
      <c r="B61" s="9" t="s">
        <v>32</v>
      </c>
      <c r="C61" s="9" t="s">
        <v>32</v>
      </c>
      <c r="D61" s="9" t="s">
        <v>32</v>
      </c>
      <c r="E61" s="9" t="s">
        <v>32</v>
      </c>
      <c r="F61" s="9" t="s">
        <v>32</v>
      </c>
      <c r="G61" s="9">
        <f>IFERROR(G60/B60-1,"n/a")</f>
        <v>-0.040277777777777746</v>
      </c>
      <c r="H61" s="9">
        <f>IFERROR(H60/C60-1,"n/a")</f>
        <v>-0.021468926553672274</v>
      </c>
      <c r="I61" s="87">
        <v>-0.05</v>
      </c>
      <c r="J61" s="17" t="s">
        <v>277</v>
      </c>
    </row>
    <row r="62">
      <c r="A62" s="36" t="s">
        <v>196</v>
      </c>
      <c r="B62" s="31" t="s">
        <v>32</v>
      </c>
      <c r="C62" s="31">
        <f>C60-B60</f>
        <v>165</v>
      </c>
      <c r="D62" s="31">
        <f>D60-C60</f>
        <v>-44</v>
      </c>
      <c r="E62" s="31">
        <f>E60-D60</f>
        <v>-175</v>
      </c>
      <c r="F62" s="31" t="s">
        <v>32</v>
      </c>
      <c r="G62" s="31">
        <f>G60-E60</f>
        <v>25</v>
      </c>
      <c r="H62" s="31">
        <f>H60-G60</f>
        <v>175</v>
      </c>
      <c r="I62" s="40">
        <f>I60-H60</f>
        <v>-67.05000000000007</v>
      </c>
      <c r="J62" s="17"/>
    </row>
    <row r="63">
      <c r="A63" s="22" t="s">
        <v>280</v>
      </c>
      <c r="B63" s="30">
        <f>B35+B54+B57+B60</f>
        <v>5174</v>
      </c>
      <c r="C63" s="30">
        <f>C35+C54+C57+C60</f>
        <v>5252</v>
      </c>
      <c r="D63" s="30">
        <f>D35+D54+D57+D60</f>
        <v>5266</v>
      </c>
      <c r="E63" s="30">
        <f>E35+E54+E57+E60</f>
        <v>5053</v>
      </c>
      <c r="F63" s="30">
        <f>F35+F54+F57+F60</f>
        <v>20745</v>
      </c>
      <c r="G63" s="30">
        <f>G35+G54+G57+G60</f>
        <v>5369</v>
      </c>
      <c r="H63" s="30">
        <f>H35+H54+H57+H60</f>
        <v>5485</v>
      </c>
      <c r="I63" s="44">
        <f>I35+I54+I57+I60</f>
        <v>5428.5767751208805</v>
      </c>
      <c r="J63" s="17"/>
    </row>
    <row r="64">
      <c r="A64" s="36" t="s">
        <v>172</v>
      </c>
      <c r="B64" s="9" t="s">
        <v>32</v>
      </c>
      <c r="C64" s="9" t="s">
        <v>32</v>
      </c>
      <c r="D64" s="9" t="s">
        <v>32</v>
      </c>
      <c r="E64" s="9" t="s">
        <v>32</v>
      </c>
      <c r="F64" s="9" t="s">
        <v>32</v>
      </c>
      <c r="G64" s="9">
        <f>IFERROR(G63/B63-1,"n/a")</f>
        <v>0.03768844221105527</v>
      </c>
      <c r="H64" s="9">
        <f>IFERROR(H63/C63-1,"n/a")</f>
        <v>0.0443640517897943</v>
      </c>
      <c r="I64" s="29">
        <f>IFERROR(I63/D63-1,"n/a")</f>
        <v>0.030872915898382258</v>
      </c>
      <c r="J64" s="17"/>
    </row>
    <row r="65">
      <c r="A65" s="36" t="s">
        <v>196</v>
      </c>
      <c r="B65" s="31" t="s">
        <v>32</v>
      </c>
      <c r="C65" s="31">
        <f>C63-B63</f>
        <v>78</v>
      </c>
      <c r="D65" s="31">
        <f>D63-C63</f>
        <v>14</v>
      </c>
      <c r="E65" s="31">
        <f>E63-D63</f>
        <v>-213</v>
      </c>
      <c r="F65" s="31" t="s">
        <v>32</v>
      </c>
      <c r="G65" s="31">
        <f>G63-E63</f>
        <v>316</v>
      </c>
      <c r="H65" s="31">
        <f>H63-G63</f>
        <v>116</v>
      </c>
      <c r="I65" s="40">
        <f>I63-H63</f>
        <v>-56.423224879119516</v>
      </c>
      <c r="J65" s="17"/>
    </row>
    <row r="66">
      <c r="A66" s="80" t="s">
        <v>281</v>
      </c>
      <c r="B66" s="6">
        <v>67</v>
      </c>
      <c r="C66" s="6">
        <v>79</v>
      </c>
      <c r="D66" s="6">
        <v>59</v>
      </c>
      <c r="E66" s="6">
        <v>78</v>
      </c>
      <c r="F66" s="14">
        <f>SUM(B66:E66)</f>
        <v>283</v>
      </c>
      <c r="G66" s="6">
        <v>0</v>
      </c>
      <c r="H66" s="6">
        <v>0</v>
      </c>
      <c r="I66" s="62">
        <v>0</v>
      </c>
      <c r="J66" s="17" t="s">
        <v>282</v>
      </c>
    </row>
    <row r="67">
      <c r="A67" s="35" t="s">
        <v>283</v>
      </c>
      <c r="B67" s="6">
        <v>524</v>
      </c>
      <c r="C67" s="6">
        <v>540</v>
      </c>
      <c r="D67" s="6">
        <v>409</v>
      </c>
      <c r="E67" s="6">
        <v>461</v>
      </c>
      <c r="F67" s="14">
        <f>SUM(B67:E67)</f>
        <v>1934</v>
      </c>
      <c r="G67" s="6">
        <v>417</v>
      </c>
      <c r="H67" s="6">
        <v>499</v>
      </c>
      <c r="I67" s="45">
        <f>(D67-D66)*(1+I70)</f>
        <v>350</v>
      </c>
      <c r="J67" s="17" t="s">
        <v>284</v>
      </c>
    </row>
    <row r="68">
      <c r="A68" s="36" t="s">
        <v>172</v>
      </c>
      <c r="B68" s="9" t="s">
        <v>32</v>
      </c>
      <c r="C68" s="9" t="s">
        <v>32</v>
      </c>
      <c r="D68" s="9" t="s">
        <v>32</v>
      </c>
      <c r="E68" s="9" t="s">
        <v>32</v>
      </c>
      <c r="F68" s="9" t="s">
        <v>32</v>
      </c>
      <c r="G68" s="9">
        <f>IFERROR(G67/B67-1,"n/a")</f>
        <v>-0.20419847328244278</v>
      </c>
      <c r="H68" s="9">
        <f>IFERROR(H67/C67-1,"n/a")</f>
        <v>-0.07592592592592595</v>
      </c>
      <c r="I68" s="29">
        <f>IFERROR(I67/D67-1,"n/a")</f>
        <v>-0.1442542787286064</v>
      </c>
      <c r="J68" s="17"/>
    </row>
    <row r="69">
      <c r="A69" s="36" t="s">
        <v>196</v>
      </c>
      <c r="B69" s="31" t="s">
        <v>32</v>
      </c>
      <c r="C69" s="31">
        <f>C67-B67</f>
        <v>16</v>
      </c>
      <c r="D69" s="31">
        <f>D67-C67</f>
        <v>-131</v>
      </c>
      <c r="E69" s="31">
        <f>E67-D67</f>
        <v>52</v>
      </c>
      <c r="F69" s="31" t="s">
        <v>32</v>
      </c>
      <c r="G69" s="31">
        <f>G67-E67</f>
        <v>-44</v>
      </c>
      <c r="H69" s="31">
        <f>H67-G67</f>
        <v>82</v>
      </c>
      <c r="I69" s="40">
        <f>I67-H67</f>
        <v>-149</v>
      </c>
      <c r="J69" s="17"/>
    </row>
    <row r="70">
      <c r="A70" s="36" t="s">
        <v>285</v>
      </c>
      <c r="B70" s="9"/>
      <c r="C70" s="9"/>
      <c r="D70" s="9"/>
      <c r="E70" s="9"/>
      <c r="F70" s="9"/>
      <c r="G70" s="9">
        <f>G67/(B67-B66)-1</f>
        <v>-0.08752735229759301</v>
      </c>
      <c r="H70" s="9">
        <f>H67/(C67-C66)-1</f>
        <v>0.08242950108459879</v>
      </c>
      <c r="I70" s="87">
        <v>0</v>
      </c>
      <c r="J70" s="17" t="s">
        <v>286</v>
      </c>
    </row>
    <row r="71">
      <c r="A71" s="22" t="s">
        <v>287</v>
      </c>
      <c r="B71" s="30">
        <f>B63+B67</f>
        <v>5698</v>
      </c>
      <c r="C71" s="30">
        <f>C63+C67</f>
        <v>5792</v>
      </c>
      <c r="D71" s="30">
        <f>D63+D67</f>
        <v>5675</v>
      </c>
      <c r="E71" s="30">
        <f>E63+E67</f>
        <v>5514</v>
      </c>
      <c r="F71" s="30">
        <f>F63+F67</f>
        <v>22679</v>
      </c>
      <c r="G71" s="30">
        <f>G63+G67</f>
        <v>5786</v>
      </c>
      <c r="H71" s="30">
        <f>H63+H67</f>
        <v>5984</v>
      </c>
      <c r="I71" s="44">
        <f>I63+I67</f>
        <v>5778.5767751208805</v>
      </c>
      <c r="J71" s="17"/>
    </row>
    <row r="72">
      <c r="A72" s="36" t="s">
        <v>187</v>
      </c>
      <c r="B72" s="9">
        <f>IFERROR(B71/B75-1,"n/a")</f>
        <v>0.018227305218012857</v>
      </c>
      <c r="C72" s="9">
        <f>IFERROR(C71/C75-1,"n/a")</f>
        <v>0.045676114822170044</v>
      </c>
      <c r="D72" s="9">
        <f>IFERROR(D71/D75-1,"n/a")</f>
        <v>0.02863875294544127</v>
      </c>
      <c r="E72" s="9">
        <f>IFERROR(E71/E75-1,"n/a")</f>
        <v>0.01621820862513812</v>
      </c>
      <c r="F72" s="9">
        <f>IFERROR(F71/F75-1,"n/a")</f>
        <v>0.027221668629404894</v>
      </c>
      <c r="G72" s="9">
        <f>IFERROR(G71/G75-1,"n/a")</f>
        <v>0.015444015444015413</v>
      </c>
      <c r="H72" s="9">
        <f>IFERROR(H71/H75-1,"n/a")</f>
        <v>0.03314917127071815</v>
      </c>
      <c r="I72" s="29">
        <f>IFERROR(I71/I75-1,"n/a")</f>
        <v>0.018251414118216847</v>
      </c>
      <c r="J72" s="17"/>
    </row>
    <row r="73">
      <c r="A73" s="36" t="s">
        <v>196</v>
      </c>
      <c r="B73" s="31" t="s">
        <v>32</v>
      </c>
      <c r="C73" s="31">
        <f>C71-B71</f>
        <v>94</v>
      </c>
      <c r="D73" s="31">
        <f>D71-C71</f>
        <v>-117</v>
      </c>
      <c r="E73" s="31">
        <f>E71-D71</f>
        <v>-161</v>
      </c>
      <c r="F73" s="31" t="s">
        <v>32</v>
      </c>
      <c r="G73" s="31">
        <f>G71-E71</f>
        <v>272</v>
      </c>
      <c r="H73" s="31">
        <f>H71-G71</f>
        <v>198</v>
      </c>
      <c r="I73" s="40">
        <f>I71-H71</f>
        <v>-205.42322487911952</v>
      </c>
      <c r="J73" s="17"/>
    </row>
    <row r="74">
      <c r="A74" s="36" t="s">
        <v>288</v>
      </c>
      <c r="B74" s="9"/>
      <c r="C74" s="9"/>
      <c r="D74" s="9"/>
      <c r="E74" s="9"/>
      <c r="F74" s="9"/>
      <c r="G74" s="9">
        <f>G71/(B71-B66)-1</f>
        <v>0.027526194281655147</v>
      </c>
      <c r="H74" s="9">
        <f>H71/(C71-C66)-1</f>
        <v>0.047435673026430925</v>
      </c>
      <c r="I74" s="29">
        <f>I71/(D71-D66)-1</f>
        <v>0.0289488559688178</v>
      </c>
      <c r="J74" s="17"/>
    </row>
    <row r="75">
      <c r="A75" s="35" t="s">
        <v>289</v>
      </c>
      <c r="B75" s="6">
        <v>5596</v>
      </c>
      <c r="C75" s="6">
        <v>5539</v>
      </c>
      <c r="D75" s="6">
        <v>5517</v>
      </c>
      <c r="E75" s="6">
        <v>5426</v>
      </c>
      <c r="F75" s="14">
        <f>SUM(B75:E75)</f>
        <v>22078</v>
      </c>
      <c r="G75" s="14">
        <f>B71</f>
        <v>5698</v>
      </c>
      <c r="H75" s="14">
        <f>C71</f>
        <v>5792</v>
      </c>
      <c r="I75" s="45">
        <f>D71</f>
        <v>5675</v>
      </c>
      <c r="J75" s="17" t="s">
        <v>210</v>
      </c>
    </row>
    <row r="76">
      <c r="A76" s="42" t="s">
        <v>290</v>
      </c>
      <c r="B76" s="8"/>
      <c r="C76" s="8"/>
      <c r="D76" s="8"/>
      <c r="E76" s="8"/>
      <c r="F76" s="8"/>
      <c r="G76" s="8"/>
      <c r="H76" s="8"/>
      <c r="I76" s="21"/>
      <c r="J76" s="17"/>
    </row>
    <row r="77">
      <c r="A77" s="35" t="s">
        <v>291</v>
      </c>
      <c r="B77" s="6">
        <v>950</v>
      </c>
      <c r="C77" s="6">
        <v>821</v>
      </c>
      <c r="D77" s="6">
        <v>792</v>
      </c>
      <c r="E77" s="6">
        <v>786</v>
      </c>
      <c r="F77" s="14">
        <f>SUM(B77:E77)</f>
        <v>3349</v>
      </c>
      <c r="G77" s="6">
        <v>980</v>
      </c>
      <c r="H77" s="6">
        <v>835</v>
      </c>
      <c r="I77" s="45">
        <f>D77*(1+I78)</f>
        <v>807.84</v>
      </c>
      <c r="J77" s="17" t="s">
        <v>292</v>
      </c>
    </row>
    <row r="78">
      <c r="A78" s="36" t="s">
        <v>172</v>
      </c>
      <c r="B78" s="9" t="s">
        <v>32</v>
      </c>
      <c r="C78" s="9" t="s">
        <v>32</v>
      </c>
      <c r="D78" s="9" t="s">
        <v>32</v>
      </c>
      <c r="E78" s="9" t="s">
        <v>32</v>
      </c>
      <c r="F78" s="9" t="s">
        <v>32</v>
      </c>
      <c r="G78" s="9">
        <f>IFERROR(G77/B77-1,"n/a")</f>
        <v>0.03157894736842115</v>
      </c>
      <c r="H78" s="9">
        <f>IFERROR(H77/C77-1,"n/a")</f>
        <v>0.01705237515225333</v>
      </c>
      <c r="I78" s="87">
        <v>0.02</v>
      </c>
      <c r="J78" s="17" t="s">
        <v>277</v>
      </c>
    </row>
    <row r="79">
      <c r="A79" s="36" t="s">
        <v>196</v>
      </c>
      <c r="B79" s="31" t="s">
        <v>32</v>
      </c>
      <c r="C79" s="31">
        <f>C77-B77</f>
        <v>-129</v>
      </c>
      <c r="D79" s="31">
        <f>D77-C77</f>
        <v>-29</v>
      </c>
      <c r="E79" s="31">
        <f>E77-D77</f>
        <v>-6</v>
      </c>
      <c r="F79" s="31" t="s">
        <v>32</v>
      </c>
      <c r="G79" s="31">
        <f>G77-E77</f>
        <v>194</v>
      </c>
      <c r="H79" s="31">
        <f>H77-G77</f>
        <v>-145</v>
      </c>
      <c r="I79" s="40">
        <f>I77-H77</f>
        <v>-27.159999999999968</v>
      </c>
      <c r="J79" s="17"/>
    </row>
    <row r="80">
      <c r="A80" s="35" t="s">
        <v>293</v>
      </c>
      <c r="B80" s="6">
        <v>1030</v>
      </c>
      <c r="C80" s="6">
        <v>1019</v>
      </c>
      <c r="D80" s="6">
        <v>1030</v>
      </c>
      <c r="E80" s="6">
        <v>1017</v>
      </c>
      <c r="F80" s="14">
        <f>SUM(B80:E80)</f>
        <v>4096</v>
      </c>
      <c r="G80" s="6">
        <v>1106</v>
      </c>
      <c r="H80" s="6">
        <v>1106</v>
      </c>
      <c r="I80" s="45">
        <f>D80*(1+I81)</f>
        <v>1102.1000000000001</v>
      </c>
      <c r="J80" s="17" t="s">
        <v>292</v>
      </c>
    </row>
    <row r="81">
      <c r="A81" s="36" t="s">
        <v>172</v>
      </c>
      <c r="B81" s="9" t="s">
        <v>32</v>
      </c>
      <c r="C81" s="9" t="s">
        <v>32</v>
      </c>
      <c r="D81" s="9" t="s">
        <v>32</v>
      </c>
      <c r="E81" s="9" t="s">
        <v>32</v>
      </c>
      <c r="F81" s="9" t="s">
        <v>32</v>
      </c>
      <c r="G81" s="9">
        <f>IFERROR(G80/B80-1,"n/a")</f>
        <v>0.0737864077669903</v>
      </c>
      <c r="H81" s="9">
        <f>IFERROR(H80/C80-1,"n/a")</f>
        <v>0.08537782139352301</v>
      </c>
      <c r="I81" s="87">
        <v>0.07</v>
      </c>
      <c r="J81" s="17" t="s">
        <v>277</v>
      </c>
    </row>
    <row r="82">
      <c r="A82" s="36" t="s">
        <v>196</v>
      </c>
      <c r="B82" s="31" t="s">
        <v>32</v>
      </c>
      <c r="C82" s="31">
        <f>C80-B80</f>
        <v>-11</v>
      </c>
      <c r="D82" s="31">
        <f>D80-C80</f>
        <v>11</v>
      </c>
      <c r="E82" s="31">
        <f>E80-D80</f>
        <v>-13</v>
      </c>
      <c r="F82" s="31" t="s">
        <v>32</v>
      </c>
      <c r="G82" s="31">
        <f>G80-E80</f>
        <v>89</v>
      </c>
      <c r="H82" s="31">
        <f>H80-G80</f>
        <v>0</v>
      </c>
      <c r="I82" s="40">
        <f>I80-H80</f>
        <v>-3.8999999999998636</v>
      </c>
      <c r="J82" s="17"/>
    </row>
    <row r="83">
      <c r="A83" s="35" t="s">
        <v>294</v>
      </c>
      <c r="B83" s="6">
        <v>873</v>
      </c>
      <c r="C83" s="6">
        <v>1051</v>
      </c>
      <c r="D83" s="6">
        <v>961</v>
      </c>
      <c r="E83" s="6">
        <v>820</v>
      </c>
      <c r="F83" s="14">
        <f>SUM(B83:E83)</f>
        <v>3705</v>
      </c>
      <c r="G83" s="6">
        <v>821</v>
      </c>
      <c r="H83" s="6">
        <v>1042</v>
      </c>
      <c r="I83" s="45">
        <f>D83*(1+I84)</f>
        <v>932.17</v>
      </c>
      <c r="J83" s="17" t="s">
        <v>292</v>
      </c>
    </row>
    <row r="84">
      <c r="A84" s="36" t="s">
        <v>172</v>
      </c>
      <c r="B84" s="9" t="s">
        <v>32</v>
      </c>
      <c r="C84" s="9" t="s">
        <v>32</v>
      </c>
      <c r="D84" s="9" t="s">
        <v>32</v>
      </c>
      <c r="E84" s="9" t="s">
        <v>32</v>
      </c>
      <c r="F84" s="9" t="s">
        <v>32</v>
      </c>
      <c r="G84" s="9">
        <f>IFERROR(G83/B83-1,"n/a")</f>
        <v>-0.0595647193585338</v>
      </c>
      <c r="H84" s="9">
        <f>IFERROR(H83/C83-1,"n/a")</f>
        <v>-0.008563273073263544</v>
      </c>
      <c r="I84" s="87">
        <v>-0.03</v>
      </c>
      <c r="J84" s="17" t="s">
        <v>277</v>
      </c>
    </row>
    <row r="85">
      <c r="A85" s="36" t="s">
        <v>196</v>
      </c>
      <c r="B85" s="31" t="s">
        <v>32</v>
      </c>
      <c r="C85" s="31">
        <f>C83-B83</f>
        <v>178</v>
      </c>
      <c r="D85" s="31">
        <f>D83-C83</f>
        <v>-90</v>
      </c>
      <c r="E85" s="31">
        <f>E83-D83</f>
        <v>-141</v>
      </c>
      <c r="F85" s="31" t="s">
        <v>32</v>
      </c>
      <c r="G85" s="31">
        <f>G83-E83</f>
        <v>1</v>
      </c>
      <c r="H85" s="31">
        <f>H83-G83</f>
        <v>221</v>
      </c>
      <c r="I85" s="40">
        <f>I83-H83</f>
        <v>-109.83000000000004</v>
      </c>
      <c r="J85" s="17"/>
    </row>
    <row r="86">
      <c r="A86" s="35" t="s">
        <v>295</v>
      </c>
      <c r="B86" s="6">
        <v>753</v>
      </c>
      <c r="C86" s="6">
        <v>878</v>
      </c>
      <c r="D86" s="6">
        <v>998</v>
      </c>
      <c r="E86" s="6">
        <v>967</v>
      </c>
      <c r="F86" s="14">
        <f>SUM(B86:E86)</f>
        <v>3596</v>
      </c>
      <c r="G86" s="6">
        <v>847</v>
      </c>
      <c r="H86" s="6">
        <v>964</v>
      </c>
      <c r="I86" s="45">
        <f>D86*(1+I87)</f>
        <v>1037.92</v>
      </c>
      <c r="J86" s="17" t="s">
        <v>292</v>
      </c>
    </row>
    <row r="87">
      <c r="A87" s="36" t="s">
        <v>172</v>
      </c>
      <c r="B87" s="9" t="s">
        <v>32</v>
      </c>
      <c r="C87" s="9" t="s">
        <v>32</v>
      </c>
      <c r="D87" s="9" t="s">
        <v>32</v>
      </c>
      <c r="E87" s="9" t="s">
        <v>32</v>
      </c>
      <c r="F87" s="9" t="s">
        <v>32</v>
      </c>
      <c r="G87" s="9">
        <f>IFERROR(G86/B86-1,"n/a")</f>
        <v>0.12483399734395739</v>
      </c>
      <c r="H87" s="9">
        <f>IFERROR(H86/C86-1,"n/a")</f>
        <v>0.09794988610478361</v>
      </c>
      <c r="I87" s="87">
        <v>0.04</v>
      </c>
      <c r="J87" s="17" t="s">
        <v>277</v>
      </c>
    </row>
    <row r="88">
      <c r="A88" s="36" t="s">
        <v>196</v>
      </c>
      <c r="B88" s="31" t="s">
        <v>32</v>
      </c>
      <c r="C88" s="31">
        <f>C86-B86</f>
        <v>125</v>
      </c>
      <c r="D88" s="31">
        <f>D86-C86</f>
        <v>120</v>
      </c>
      <c r="E88" s="31">
        <f>E86-D86</f>
        <v>-31</v>
      </c>
      <c r="F88" s="31" t="s">
        <v>32</v>
      </c>
      <c r="G88" s="31">
        <f>G86-E86</f>
        <v>-120</v>
      </c>
      <c r="H88" s="31">
        <f>H86-G86</f>
        <v>117</v>
      </c>
      <c r="I88" s="40">
        <f>I86-H86</f>
        <v>73.92000000000007</v>
      </c>
      <c r="J88" s="17"/>
    </row>
    <row r="89">
      <c r="A89" s="35" t="s">
        <v>296</v>
      </c>
      <c r="B89" s="6">
        <v>1532</v>
      </c>
      <c r="C89" s="6">
        <v>1486</v>
      </c>
      <c r="D89" s="6">
        <v>1447</v>
      </c>
      <c r="E89" s="6">
        <v>1461</v>
      </c>
      <c r="F89" s="14">
        <f>SUM(B89:E89)</f>
        <v>5926</v>
      </c>
      <c r="G89" s="6">
        <v>1580</v>
      </c>
      <c r="H89" s="6">
        <v>1537</v>
      </c>
      <c r="I89" s="45">
        <f>D89*(1+I90)</f>
        <v>1504.88</v>
      </c>
      <c r="J89" s="17" t="s">
        <v>292</v>
      </c>
    </row>
    <row r="90">
      <c r="A90" s="36" t="s">
        <v>172</v>
      </c>
      <c r="B90" s="9" t="s">
        <v>32</v>
      </c>
      <c r="C90" s="9" t="s">
        <v>32</v>
      </c>
      <c r="D90" s="9" t="s">
        <v>32</v>
      </c>
      <c r="E90" s="9" t="s">
        <v>32</v>
      </c>
      <c r="F90" s="9" t="s">
        <v>32</v>
      </c>
      <c r="G90" s="9">
        <f>IFERROR(G89/B89-1,"n/a")</f>
        <v>0.031331592689294974</v>
      </c>
      <c r="H90" s="9">
        <f>IFERROR(H89/C89-1,"n/a")</f>
        <v>0.03432032301480481</v>
      </c>
      <c r="I90" s="87">
        <v>0.04</v>
      </c>
      <c r="J90" s="17" t="s">
        <v>277</v>
      </c>
    </row>
    <row r="91">
      <c r="A91" s="36" t="s">
        <v>196</v>
      </c>
      <c r="B91" s="31" t="s">
        <v>32</v>
      </c>
      <c r="C91" s="31">
        <f>C89-B89</f>
        <v>-46</v>
      </c>
      <c r="D91" s="31">
        <f>D89-C89</f>
        <v>-39</v>
      </c>
      <c r="E91" s="31">
        <f>E89-D89</f>
        <v>14</v>
      </c>
      <c r="F91" s="31" t="s">
        <v>32</v>
      </c>
      <c r="G91" s="31">
        <f>G89-E89</f>
        <v>119</v>
      </c>
      <c r="H91" s="31">
        <f>H89-G89</f>
        <v>-43</v>
      </c>
      <c r="I91" s="40">
        <f>I89-H89</f>
        <v>-32.11999999999989</v>
      </c>
      <c r="J91" s="17"/>
    </row>
    <row r="92" ht="27.75">
      <c r="A92" s="35" t="s">
        <v>297</v>
      </c>
      <c r="B92" s="6">
        <v>36</v>
      </c>
      <c r="C92" s="6">
        <v>-3</v>
      </c>
      <c r="D92" s="6">
        <v>38</v>
      </c>
      <c r="E92" s="6">
        <v>2</v>
      </c>
      <c r="F92" s="14">
        <f>SUM(B92:E92)</f>
        <v>73</v>
      </c>
      <c r="G92" s="6">
        <v>35</v>
      </c>
      <c r="H92" s="6">
        <v>1</v>
      </c>
      <c r="I92" s="45">
        <f>I63-I77-I80-I83-I86-I89</f>
        <v>43.66677512087972</v>
      </c>
      <c r="J92" s="142" t="s">
        <v>298</v>
      </c>
    </row>
    <row r="93">
      <c r="A93" s="36" t="s">
        <v>196</v>
      </c>
      <c r="B93" s="31" t="s">
        <v>32</v>
      </c>
      <c r="C93" s="31">
        <f>C92-B92</f>
        <v>-39</v>
      </c>
      <c r="D93" s="31">
        <f>D92-C92</f>
        <v>41</v>
      </c>
      <c r="E93" s="31">
        <f>E92-D92</f>
        <v>-36</v>
      </c>
      <c r="F93" s="31" t="s">
        <v>32</v>
      </c>
      <c r="G93" s="31">
        <f>G92-E92</f>
        <v>33</v>
      </c>
      <c r="H93" s="31">
        <f>H92-G92</f>
        <v>-34</v>
      </c>
      <c r="I93" s="40">
        <f>I92-H92</f>
        <v>42.66677512087972</v>
      </c>
      <c r="J93" s="17"/>
    </row>
    <row r="94">
      <c r="A94" s="22" t="s">
        <v>299</v>
      </c>
      <c r="B94" s="30">
        <f>B77+B80+B83+B86+B89+B92</f>
        <v>5174</v>
      </c>
      <c r="C94" s="30">
        <f>C77+C80+C83+C86+C89+C92</f>
        <v>5252</v>
      </c>
      <c r="D94" s="30">
        <f>D77+D80+D83+D86+D89+D92</f>
        <v>5266</v>
      </c>
      <c r="E94" s="30">
        <f>E77+E80+E83+E86+E89+E92</f>
        <v>5053</v>
      </c>
      <c r="F94" s="30">
        <f>F77+F80+F83+F86+F89+F92</f>
        <v>20745</v>
      </c>
      <c r="G94" s="30">
        <f>G77+G80+G83+G86+G89+G92</f>
        <v>5369</v>
      </c>
      <c r="H94" s="30">
        <f>H77+H80+H83+H86+H89+H92</f>
        <v>5485</v>
      </c>
      <c r="I94" s="44">
        <f>I77+I80+I83+I86+I89+I92</f>
        <v>5428.57677512088</v>
      </c>
      <c r="J94" s="17"/>
    </row>
    <row r="95">
      <c r="A95" s="22" t="s">
        <v>300</v>
      </c>
      <c r="B95" s="30">
        <f>B94+B67</f>
        <v>5698</v>
      </c>
      <c r="C95" s="30">
        <f>C94+C67</f>
        <v>5792</v>
      </c>
      <c r="D95" s="30">
        <f>D94+D67</f>
        <v>5675</v>
      </c>
      <c r="E95" s="30">
        <f>E94+E67</f>
        <v>5514</v>
      </c>
      <c r="F95" s="30">
        <f>F94+F67</f>
        <v>22679</v>
      </c>
      <c r="G95" s="30">
        <f>G94+G67</f>
        <v>5786</v>
      </c>
      <c r="H95" s="30">
        <f>H94+H67</f>
        <v>5984</v>
      </c>
      <c r="I95" s="44">
        <f>I94+I67</f>
        <v>5778.57677512088</v>
      </c>
      <c r="J95" s="17"/>
    </row>
    <row r="96">
      <c r="A96" s="36" t="s">
        <v>301</v>
      </c>
      <c r="B96" s="31">
        <f>B95-B71</f>
        <v>0</v>
      </c>
      <c r="C96" s="31">
        <f>C95-C71</f>
        <v>0</v>
      </c>
      <c r="D96" s="31">
        <f>D95-D71</f>
        <v>0</v>
      </c>
      <c r="E96" s="31">
        <f>E95-E71</f>
        <v>0</v>
      </c>
      <c r="F96" s="31">
        <f>F95-F71</f>
        <v>0</v>
      </c>
      <c r="G96" s="31">
        <f>G95-G71</f>
        <v>0</v>
      </c>
      <c r="H96" s="31">
        <f>H95-H71</f>
        <v>0</v>
      </c>
      <c r="I96" s="40">
        <f>I95-I71</f>
        <v>0</v>
      </c>
      <c r="J96" s="17"/>
    </row>
    <row r="97">
      <c r="A97" s="42" t="s">
        <v>302</v>
      </c>
      <c r="B97" s="8"/>
      <c r="C97" s="8"/>
      <c r="D97" s="8"/>
      <c r="E97" s="8"/>
      <c r="F97" s="8"/>
      <c r="G97" s="8"/>
      <c r="H97" s="8"/>
      <c r="I97" s="21"/>
      <c r="J97" s="17"/>
    </row>
    <row r="98" ht="27.75">
      <c r="A98" s="35" t="s">
        <v>303</v>
      </c>
      <c r="B98" s="14">
        <f>C75+D75+E75+B71</f>
        <v>22180</v>
      </c>
      <c r="C98" s="14">
        <f>D75+E75+B71+C71</f>
        <v>22433</v>
      </c>
      <c r="D98" s="14">
        <f>E75+B71+C71+D71</f>
        <v>22591</v>
      </c>
      <c r="E98" s="14">
        <f>B71+C71+D71+E71</f>
        <v>22679</v>
      </c>
      <c r="F98" s="14">
        <f>E71+D71+C71+B71</f>
        <v>22679</v>
      </c>
      <c r="G98" s="14">
        <f>C71+D71+E71+G71</f>
        <v>22767</v>
      </c>
      <c r="H98" s="14">
        <f>D71+E71+G71+H71</f>
        <v>22959</v>
      </c>
      <c r="I98" s="45">
        <f>E71+G71+H71+I71</f>
        <v>23062.57677512088</v>
      </c>
      <c r="J98" s="142" t="s">
        <v>304</v>
      </c>
    </row>
    <row r="99">
      <c r="A99" s="36" t="s">
        <v>172</v>
      </c>
      <c r="B99" s="9" t="s">
        <v>32</v>
      </c>
      <c r="C99" s="9" t="s">
        <v>32</v>
      </c>
      <c r="D99" s="9" t="s">
        <v>32</v>
      </c>
      <c r="E99" s="9" t="s">
        <v>32</v>
      </c>
      <c r="F99" s="9" t="s">
        <v>32</v>
      </c>
      <c r="G99" s="9">
        <f>IFERROR(G98/B98-1,"n/a")</f>
        <v>0.026465284039675296</v>
      </c>
      <c r="H99" s="9">
        <f>IFERROR(H98/C98-1,"n/a")</f>
        <v>0.023447599518566342</v>
      </c>
      <c r="I99" s="29">
        <f>IFERROR(I98/D98-1,"n/a")</f>
        <v>0.020874541858301177</v>
      </c>
      <c r="J99" s="17"/>
    </row>
    <row r="100">
      <c r="A100" s="36" t="s">
        <v>196</v>
      </c>
      <c r="B100" s="31" t="s">
        <v>32</v>
      </c>
      <c r="C100" s="31">
        <f>C98-B98</f>
        <v>253</v>
      </c>
      <c r="D100" s="31">
        <f>D98-C98</f>
        <v>158</v>
      </c>
      <c r="E100" s="31">
        <f>E98-D98</f>
        <v>88</v>
      </c>
      <c r="F100" s="31" t="s">
        <v>32</v>
      </c>
      <c r="G100" s="31">
        <f>G98-E98</f>
        <v>88</v>
      </c>
      <c r="H100" s="31">
        <f>H98-G98</f>
        <v>192</v>
      </c>
      <c r="I100" s="40">
        <f>I98-H98</f>
        <v>103.57677512088048</v>
      </c>
      <c r="J100" s="17"/>
    </row>
    <row r="101" ht="91.5">
      <c r="A101" s="65" t="s">
        <v>305</v>
      </c>
      <c r="B101" s="9">
        <f>B104/(B98/4)</f>
        <v>0.9855725879170424</v>
      </c>
      <c r="C101" s="9">
        <f>C104/(C98/4)</f>
        <v>0.9887219720946819</v>
      </c>
      <c r="D101" s="9">
        <f>D104/(D98/4)</f>
        <v>1.0092514718250631</v>
      </c>
      <c r="E101" s="9">
        <f>E104/(E98/4)</f>
        <v>1.0056880814850744</v>
      </c>
      <c r="F101" s="9">
        <f>F104/F98</f>
        <v>0.9882269941355439</v>
      </c>
      <c r="G101" s="9">
        <f>G104/(G98/4)</f>
        <v>0.9650810383449729</v>
      </c>
      <c r="H101" s="9">
        <f>H104/(H98/4)</f>
        <v>0.9671152924778954</v>
      </c>
      <c r="I101" s="29">
        <f>D101+I103</f>
        <v>0.9882023572306351</v>
      </c>
      <c r="J101" s="142" t="s">
        <v>306</v>
      </c>
    </row>
    <row r="102">
      <c r="A102" s="36" t="s">
        <v>215</v>
      </c>
      <c r="B102" s="61" t="s">
        <v>32</v>
      </c>
      <c r="C102" s="61">
        <f>(C101-B101)*10000</f>
        <v>31.49384177639547</v>
      </c>
      <c r="D102" s="61">
        <f>(D101-C101)*10000</f>
        <v>205.29499730381207</v>
      </c>
      <c r="E102" s="61">
        <f>(E101-D101)*10000</f>
        <v>-35.633903399887586</v>
      </c>
      <c r="F102" s="61" t="s">
        <v>32</v>
      </c>
      <c r="G102" s="61">
        <f>(G101-E101)*10000</f>
        <v>-406.0704314010144</v>
      </c>
      <c r="H102" s="61">
        <f>(H101-G101)*10000</f>
        <v>20.342541329224638</v>
      </c>
      <c r="I102" s="79">
        <f>(I101-H101)*10000</f>
        <v>210.87064752739693</v>
      </c>
      <c r="J102" s="17"/>
    </row>
    <row r="103" ht="40.5">
      <c r="A103" s="36" t="s">
        <v>307</v>
      </c>
      <c r="B103" s="9"/>
      <c r="C103" s="9"/>
      <c r="D103" s="9"/>
      <c r="E103" s="9"/>
      <c r="F103" s="9"/>
      <c r="G103" s="9">
        <f>G101-B101</f>
        <v>-0.020491549572069445</v>
      </c>
      <c r="H103" s="9">
        <f>H101-C101</f>
        <v>-0.021606679616786528</v>
      </c>
      <c r="I103" s="29">
        <f>AVERAGE(G103,H103)</f>
        <v>-0.021049114594427987</v>
      </c>
      <c r="J103" s="142" t="s">
        <v>308</v>
      </c>
    </row>
    <row r="104">
      <c r="A104" s="22" t="s">
        <v>309</v>
      </c>
      <c r="B104" s="64">
        <v>5465</v>
      </c>
      <c r="C104" s="64">
        <v>5545</v>
      </c>
      <c r="D104" s="64">
        <v>5700</v>
      </c>
      <c r="E104" s="64">
        <v>5702</v>
      </c>
      <c r="F104" s="30">
        <f>SUM(B104:E104)</f>
        <v>22412</v>
      </c>
      <c r="G104" s="64">
        <v>5493</v>
      </c>
      <c r="H104" s="64">
        <v>5551</v>
      </c>
      <c r="I104" s="44">
        <f>I101*I98/4</f>
        <v>5697.623183246738</v>
      </c>
      <c r="J104" s="17" t="s">
        <v>310</v>
      </c>
    </row>
    <row r="105">
      <c r="A105" s="36" t="s">
        <v>187</v>
      </c>
      <c r="B105" s="9">
        <f>IFERROR(B104/B113-1,"n/a")</f>
        <v>0.05910852713178305</v>
      </c>
      <c r="C105" s="9">
        <f>IFERROR(C104/C113-1,"n/a")</f>
        <v>0.07294891640866874</v>
      </c>
      <c r="D105" s="9">
        <f>IFERROR(D104/D113-1,"n/a")</f>
        <v>0.041286079649250906</v>
      </c>
      <c r="E105" s="9">
        <f>IFERROR(E104/E113-1,"n/a")</f>
        <v>0.02868482771062597</v>
      </c>
      <c r="F105" s="9">
        <f>IFERROR(F104/F113-1,"n/a")</f>
        <v>0.04998828765518848</v>
      </c>
      <c r="G105" s="9">
        <f>IFERROR(G104/G113-1,"n/a")</f>
        <v>0.005123513266239721</v>
      </c>
      <c r="H105" s="9">
        <f>IFERROR(H104/H113-1,"n/a")</f>
        <v>0.0010820559062219015</v>
      </c>
      <c r="I105" s="29">
        <f>IFERROR(I104/I113-1,"n/a")</f>
        <v>-0.0004169853953090996</v>
      </c>
      <c r="J105" s="17"/>
    </row>
    <row r="106">
      <c r="A106" s="36" t="s">
        <v>196</v>
      </c>
      <c r="B106" s="31" t="s">
        <v>32</v>
      </c>
      <c r="C106" s="31">
        <f>C104-B104</f>
        <v>80</v>
      </c>
      <c r="D106" s="31">
        <f>D104-C104</f>
        <v>155</v>
      </c>
      <c r="E106" s="31">
        <f>E104-D104</f>
        <v>2</v>
      </c>
      <c r="F106" s="31" t="s">
        <v>32</v>
      </c>
      <c r="G106" s="31">
        <f>G104-E104</f>
        <v>-209</v>
      </c>
      <c r="H106" s="31">
        <f>H104-G104</f>
        <v>58</v>
      </c>
      <c r="I106" s="40">
        <f>I104-H104</f>
        <v>146.62318324673834</v>
      </c>
      <c r="J106" s="17"/>
    </row>
    <row r="107">
      <c r="A107" s="36" t="s">
        <v>173</v>
      </c>
      <c r="B107" s="9" t="s">
        <v>32</v>
      </c>
      <c r="C107" s="9">
        <f>IFERROR(C104/B104-1,"n/a")</f>
        <v>0.014638609332113361</v>
      </c>
      <c r="D107" s="9">
        <f>IFERROR(D104/C104-1,"n/a")</f>
        <v>0.027953110910730494</v>
      </c>
      <c r="E107" s="9">
        <f>IFERROR(E104/D104-1,"n/a")</f>
        <v>0.00035087719298254605</v>
      </c>
      <c r="F107" s="9" t="s">
        <v>32</v>
      </c>
      <c r="G107" s="9">
        <f>IFERROR(G104/E104-1,"n/a")</f>
        <v>-0.03665380568221677</v>
      </c>
      <c r="H107" s="9">
        <f>IFERROR(H104/G104-1,"n/a")</f>
        <v>0.010558893136719538</v>
      </c>
      <c r="I107" s="29">
        <f>IFERROR(I104/H104-1,"n/a")</f>
        <v>0.02641383232692096</v>
      </c>
      <c r="J107" s="17"/>
    </row>
    <row r="108">
      <c r="A108" s="80" t="s">
        <v>311</v>
      </c>
      <c r="B108" s="6">
        <v>79</v>
      </c>
      <c r="C108" s="6">
        <v>80</v>
      </c>
      <c r="D108" s="6">
        <v>77</v>
      </c>
      <c r="E108" s="6">
        <v>73</v>
      </c>
      <c r="F108" s="14">
        <f>SUM(B108:E108)</f>
        <v>309</v>
      </c>
      <c r="G108" s="6">
        <v>0</v>
      </c>
      <c r="H108" s="6">
        <v>0</v>
      </c>
      <c r="I108" s="62">
        <v>0</v>
      </c>
      <c r="J108" s="17" t="s">
        <v>312</v>
      </c>
    </row>
    <row r="109">
      <c r="A109" s="36" t="s">
        <v>188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9">
        <f>-B108/G113</f>
        <v>-0.01445562671546203</v>
      </c>
      <c r="H109" s="9">
        <f>-C108/H113</f>
        <v>-0.014427412082957619</v>
      </c>
      <c r="I109" s="29">
        <f>-D108/I113</f>
        <v>-0.013508771929824562</v>
      </c>
      <c r="J109" s="17" t="s">
        <v>313</v>
      </c>
    </row>
    <row r="110" ht="27.75">
      <c r="A110" s="36" t="s">
        <v>177</v>
      </c>
      <c r="B110" s="9" t="s">
        <v>178</v>
      </c>
      <c r="C110" s="9" t="s">
        <v>178</v>
      </c>
      <c r="D110" s="9" t="s">
        <v>178</v>
      </c>
      <c r="E110" s="9" t="s">
        <v>178</v>
      </c>
      <c r="F110" s="9" t="s">
        <v>178</v>
      </c>
      <c r="G110" s="9" t="s">
        <v>178</v>
      </c>
      <c r="H110" s="9" t="s">
        <v>178</v>
      </c>
      <c r="I110" s="29" t="s">
        <v>178</v>
      </c>
      <c r="J110" s="142" t="s">
        <v>314</v>
      </c>
    </row>
    <row r="111" ht="27.75">
      <c r="A111" s="36" t="s">
        <v>175</v>
      </c>
      <c r="B111" s="9">
        <f>IFERROR((B104/B113)/(1+B109)-1,"n/a")</f>
        <v>0.05910852713178305</v>
      </c>
      <c r="C111" s="9">
        <f>IFERROR((C104/C113)/(1+C109)-1,"n/a")</f>
        <v>0.07294891640866874</v>
      </c>
      <c r="D111" s="9">
        <f>IFERROR((D104/D113)/(1+D109)-1,"n/a")</f>
        <v>0.041286079649250906</v>
      </c>
      <c r="E111" s="9">
        <f>IFERROR((E104/E113)/(1+E109)-1,"n/a")</f>
        <v>0.02868482771062597</v>
      </c>
      <c r="F111" s="9">
        <f>IFERROR((F104/F113)/(1+F109)-1,"n/a")</f>
        <v>0.04998828765518848</v>
      </c>
      <c r="G111" s="9">
        <f>IFERROR((G104/G113)/(1+G109)-1,"n/a")</f>
        <v>0.019866320089120038</v>
      </c>
      <c r="H111" s="9">
        <f>IFERROR((H104/H113)/(1+H109)-1,"n/a")</f>
        <v>0.015736505032021952</v>
      </c>
      <c r="I111" s="29">
        <f>IFERROR((I104/I113)/(1+I109)-1,"n/a")</f>
        <v>0.013271062288233715</v>
      </c>
      <c r="J111" s="142" t="s">
        <v>315</v>
      </c>
    </row>
    <row r="112">
      <c r="A112" s="36" t="s">
        <v>316</v>
      </c>
      <c r="B112" s="9">
        <f>IFERROR((1+B111)*(1+B109)-1,"n/a")</f>
        <v>0.05910852713178305</v>
      </c>
      <c r="C112" s="9">
        <f>IFERROR((1+C111)*(1+C109)-1,"n/a")</f>
        <v>0.07294891640866874</v>
      </c>
      <c r="D112" s="9">
        <f>IFERROR((1+D111)*(1+D109)-1,"n/a")</f>
        <v>0.041286079649250906</v>
      </c>
      <c r="E112" s="9">
        <f>IFERROR((1+E111)*(1+E109)-1,"n/a")</f>
        <v>0.02868482771062597</v>
      </c>
      <c r="F112" s="9">
        <f>IFERROR((1+F111)*(1+F109)-1,"n/a")</f>
        <v>0.04998828765518848</v>
      </c>
      <c r="G112" s="9">
        <f>IFERROR((1+G111)*(1+G109)-1,"n/a")</f>
        <v>0.005123513266239721</v>
      </c>
      <c r="H112" s="9">
        <f>IFERROR((1+H111)*(1+H109)-1,"n/a")</f>
        <v>0.0010820559062219015</v>
      </c>
      <c r="I112" s="29">
        <f>IFERROR((1+I111)*(1+I109)-1,"n/a")</f>
        <v>-0.0004169853953090996</v>
      </c>
      <c r="J112" s="17"/>
    </row>
    <row r="113">
      <c r="A113" s="35" t="s">
        <v>317</v>
      </c>
      <c r="B113" s="6">
        <v>5160</v>
      </c>
      <c r="C113" s="6">
        <v>5168</v>
      </c>
      <c r="D113" s="6">
        <v>5474</v>
      </c>
      <c r="E113" s="6">
        <v>5543</v>
      </c>
      <c r="F113" s="14">
        <f>SUM(B113:E113)</f>
        <v>21345</v>
      </c>
      <c r="G113" s="14">
        <f>B104</f>
        <v>5465</v>
      </c>
      <c r="H113" s="14">
        <f>C104</f>
        <v>5545</v>
      </c>
      <c r="I113" s="45">
        <f>D104</f>
        <v>5700</v>
      </c>
      <c r="J113" s="17" t="s">
        <v>210</v>
      </c>
    </row>
    <row r="114">
      <c r="A114" s="42" t="s">
        <v>318</v>
      </c>
      <c r="B114" s="8"/>
      <c r="C114" s="8"/>
      <c r="D114" s="8"/>
      <c r="E114" s="8"/>
      <c r="F114" s="8"/>
      <c r="G114" s="8"/>
      <c r="H114" s="8"/>
      <c r="I114" s="21"/>
      <c r="J114" s="17"/>
    </row>
    <row r="115">
      <c r="A115" s="35" t="s">
        <v>319</v>
      </c>
      <c r="B115" s="6">
        <v>74</v>
      </c>
      <c r="C115" s="6">
        <v>79</v>
      </c>
      <c r="D115" s="6">
        <v>152</v>
      </c>
      <c r="E115" s="6">
        <v>205</v>
      </c>
      <c r="F115" s="14">
        <f>SUM(B115:E115)</f>
        <v>510</v>
      </c>
      <c r="G115" s="6">
        <v>162</v>
      </c>
      <c r="H115" s="6">
        <v>319</v>
      </c>
      <c r="I115" s="62">
        <v>200</v>
      </c>
      <c r="J115" s="17" t="s">
        <v>320</v>
      </c>
    </row>
    <row r="116">
      <c r="A116" s="36" t="s">
        <v>321</v>
      </c>
      <c r="B116" s="31" t="s">
        <v>32</v>
      </c>
      <c r="C116" s="31" t="s">
        <v>32</v>
      </c>
      <c r="D116" s="31" t="s">
        <v>32</v>
      </c>
      <c r="E116" s="31" t="s">
        <v>32</v>
      </c>
      <c r="F116" s="31" t="s">
        <v>32</v>
      </c>
      <c r="G116" s="31">
        <f>G115-B115</f>
        <v>88</v>
      </c>
      <c r="H116" s="31">
        <f>H115-C115</f>
        <v>240</v>
      </c>
      <c r="I116" s="40">
        <f>I115-D115</f>
        <v>48</v>
      </c>
      <c r="J116" s="17"/>
    </row>
    <row r="117">
      <c r="A117" s="36" t="s">
        <v>196</v>
      </c>
      <c r="B117" s="31" t="s">
        <v>32</v>
      </c>
      <c r="C117" s="31">
        <f>C115-B115</f>
        <v>5</v>
      </c>
      <c r="D117" s="31">
        <f>D115-C115</f>
        <v>73</v>
      </c>
      <c r="E117" s="31">
        <f>E115-D115</f>
        <v>53</v>
      </c>
      <c r="F117" s="31" t="s">
        <v>32</v>
      </c>
      <c r="G117" s="31">
        <f>G115-E115</f>
        <v>-43</v>
      </c>
      <c r="H117" s="31">
        <f>H115-G115</f>
        <v>157</v>
      </c>
      <c r="I117" s="40">
        <f>I115-H115</f>
        <v>-119</v>
      </c>
      <c r="J117" s="17"/>
    </row>
    <row r="118" ht="40.5">
      <c r="A118" s="35" t="s">
        <v>322</v>
      </c>
      <c r="B118" s="6">
        <v>0</v>
      </c>
      <c r="C118" s="6">
        <v>0</v>
      </c>
      <c r="D118" s="6">
        <v>277</v>
      </c>
      <c r="E118" s="6">
        <v>0</v>
      </c>
      <c r="F118" s="14">
        <f>SUM(B118:E118)</f>
        <v>277</v>
      </c>
      <c r="G118" s="6">
        <v>0</v>
      </c>
      <c r="H118" s="6">
        <v>0</v>
      </c>
      <c r="I118" s="62">
        <v>268</v>
      </c>
      <c r="J118" s="142" t="s">
        <v>323</v>
      </c>
    </row>
    <row r="119">
      <c r="A119" s="36" t="s">
        <v>321</v>
      </c>
      <c r="B119" s="31" t="s">
        <v>32</v>
      </c>
      <c r="C119" s="31" t="s">
        <v>32</v>
      </c>
      <c r="D119" s="31" t="s">
        <v>32</v>
      </c>
      <c r="E119" s="31" t="s">
        <v>32</v>
      </c>
      <c r="F119" s="31" t="s">
        <v>32</v>
      </c>
      <c r="G119" s="31">
        <f>G118-B118</f>
        <v>0</v>
      </c>
      <c r="H119" s="31">
        <f>H118-C118</f>
        <v>0</v>
      </c>
      <c r="I119" s="40">
        <f>I118-D118</f>
        <v>-9</v>
      </c>
      <c r="J119" s="17"/>
    </row>
    <row r="120">
      <c r="A120" s="36" t="s">
        <v>196</v>
      </c>
      <c r="B120" s="31" t="s">
        <v>32</v>
      </c>
      <c r="C120" s="31">
        <f>C118-B118</f>
        <v>0</v>
      </c>
      <c r="D120" s="31">
        <f>D118-C118</f>
        <v>277</v>
      </c>
      <c r="E120" s="31">
        <f>E118-D118</f>
        <v>-277</v>
      </c>
      <c r="F120" s="31" t="s">
        <v>32</v>
      </c>
      <c r="G120" s="31">
        <f>G118-E118</f>
        <v>0</v>
      </c>
      <c r="H120" s="31">
        <f>H118-G118</f>
        <v>0</v>
      </c>
      <c r="I120" s="40">
        <f>I118-H118</f>
        <v>268</v>
      </c>
      <c r="J120" s="17"/>
    </row>
    <row r="121" ht="40.5">
      <c r="A121" s="65" t="s">
        <v>324</v>
      </c>
      <c r="B121" s="2">
        <v>0.294</v>
      </c>
      <c r="C121" s="2">
        <v>0.299</v>
      </c>
      <c r="D121" s="2">
        <v>0.296</v>
      </c>
      <c r="E121" s="2">
        <v>0.293</v>
      </c>
      <c r="F121" s="9">
        <f>SUMPRODUCT(B104:E104,B121:E121)/F104</f>
        <v>0.2954912993039443</v>
      </c>
      <c r="G121" s="2">
        <v>0.305</v>
      </c>
      <c r="H121" s="2">
        <v>0.303</v>
      </c>
      <c r="I121" s="87">
        <v>0.298</v>
      </c>
      <c r="J121" s="142" t="s">
        <v>325</v>
      </c>
    </row>
    <row r="122">
      <c r="A122" s="36" t="s">
        <v>214</v>
      </c>
      <c r="B122" s="61" t="s">
        <v>32</v>
      </c>
      <c r="C122" s="61" t="s">
        <v>32</v>
      </c>
      <c r="D122" s="61" t="s">
        <v>32</v>
      </c>
      <c r="E122" s="61" t="s">
        <v>32</v>
      </c>
      <c r="F122" s="61" t="s">
        <v>32</v>
      </c>
      <c r="G122" s="61">
        <f>(G121-B121)*10000</f>
        <v>110.0000000000001</v>
      </c>
      <c r="H122" s="61">
        <f>(H121-C121)*10000</f>
        <v>40.000000000000036</v>
      </c>
      <c r="I122" s="79">
        <f>(I121-D121)*10000</f>
        <v>20.000000000000018</v>
      </c>
      <c r="J122" s="17"/>
    </row>
    <row r="123">
      <c r="A123" s="36" t="s">
        <v>215</v>
      </c>
      <c r="B123" s="61" t="s">
        <v>32</v>
      </c>
      <c r="C123" s="61">
        <f>(C121-B121)*10000</f>
        <v>50.00000000000004</v>
      </c>
      <c r="D123" s="61">
        <f>(D121-C121)*10000</f>
        <v>-30.00000000000003</v>
      </c>
      <c r="E123" s="61">
        <f>(E121-D121)*10000</f>
        <v>-30.00000000000003</v>
      </c>
      <c r="F123" s="61" t="s">
        <v>32</v>
      </c>
      <c r="G123" s="61">
        <f>(G121-E121)*10000</f>
        <v>120.00000000000011</v>
      </c>
      <c r="H123" s="61">
        <f>(H121-G121)*10000</f>
        <v>-20.000000000000018</v>
      </c>
      <c r="I123" s="79">
        <f>(I121-H121)*10000</f>
        <v>-50.00000000000004</v>
      </c>
      <c r="J123" s="17"/>
    </row>
    <row r="124" ht="40.5">
      <c r="A124" s="65" t="s">
        <v>326</v>
      </c>
      <c r="B124" s="2">
        <v>0.882</v>
      </c>
      <c r="C124" s="2">
        <v>0.883</v>
      </c>
      <c r="D124" s="2">
        <v>0.883</v>
      </c>
      <c r="E124" s="2">
        <v>0.87</v>
      </c>
      <c r="F124" s="9">
        <f>SUMPRODUCT(B104:E104,B124:E124)/F104</f>
        <v>0.8794487328217028</v>
      </c>
      <c r="G124" s="2">
        <v>0.898</v>
      </c>
      <c r="H124" s="2">
        <v>0.882</v>
      </c>
      <c r="I124" s="29">
        <f>I127+I121</f>
        <v>0.8819999999999999</v>
      </c>
      <c r="J124" s="142" t="s">
        <v>327</v>
      </c>
    </row>
    <row r="125">
      <c r="A125" s="36" t="s">
        <v>214</v>
      </c>
      <c r="B125" s="61" t="s">
        <v>32</v>
      </c>
      <c r="C125" s="61" t="s">
        <v>32</v>
      </c>
      <c r="D125" s="61" t="s">
        <v>32</v>
      </c>
      <c r="E125" s="61" t="s">
        <v>32</v>
      </c>
      <c r="F125" s="61" t="s">
        <v>32</v>
      </c>
      <c r="G125" s="61">
        <f>(G124-B124)*10000</f>
        <v>160.00000000000014</v>
      </c>
      <c r="H125" s="61">
        <f>(H124-C124)*10000</f>
        <v>-10.000000000000009</v>
      </c>
      <c r="I125" s="79">
        <f>(I124-D124)*10000</f>
        <v>-10.000000000001119</v>
      </c>
      <c r="J125" s="17"/>
    </row>
    <row r="126">
      <c r="A126" s="36" t="s">
        <v>215</v>
      </c>
      <c r="B126" s="61" t="s">
        <v>32</v>
      </c>
      <c r="C126" s="61">
        <f>(C124-B124)*10000</f>
        <v>10.000000000000009</v>
      </c>
      <c r="D126" s="61">
        <f>(D124-C124)*10000</f>
        <v>0</v>
      </c>
      <c r="E126" s="61">
        <f>(E124-D124)*10000</f>
        <v>-130.0000000000001</v>
      </c>
      <c r="F126" s="61" t="s">
        <v>32</v>
      </c>
      <c r="G126" s="61">
        <f>(G124-E124)*10000</f>
        <v>280.0000000000002</v>
      </c>
      <c r="H126" s="61">
        <f>(H124-G124)*10000</f>
        <v>-160.00000000000014</v>
      </c>
      <c r="I126" s="79">
        <f>(I124-H124)*10000</f>
        <v>0</v>
      </c>
      <c r="J126" s="17"/>
    </row>
    <row r="127" ht="27.75">
      <c r="A127" s="65" t="s">
        <v>328</v>
      </c>
      <c r="B127" s="9">
        <f>B124-B121</f>
        <v>0.5880000000000001</v>
      </c>
      <c r="C127" s="9">
        <f>C124-C121</f>
        <v>0.5840000000000001</v>
      </c>
      <c r="D127" s="9">
        <f>D124-D121</f>
        <v>0.587</v>
      </c>
      <c r="E127" s="9">
        <f>E124-E121</f>
        <v>0.577</v>
      </c>
      <c r="F127" s="9">
        <f>F124-F121</f>
        <v>0.5839574335177584</v>
      </c>
      <c r="G127" s="9">
        <f>G124-G121</f>
        <v>0.593</v>
      </c>
      <c r="H127" s="9">
        <f>H124-H121</f>
        <v>0.579</v>
      </c>
      <c r="I127" s="87">
        <v>0.584</v>
      </c>
      <c r="J127" s="142" t="s">
        <v>329</v>
      </c>
    </row>
    <row r="128">
      <c r="A128" s="36" t="s">
        <v>214</v>
      </c>
      <c r="B128" s="61" t="s">
        <v>32</v>
      </c>
      <c r="C128" s="61" t="s">
        <v>32</v>
      </c>
      <c r="D128" s="61" t="s">
        <v>32</v>
      </c>
      <c r="E128" s="61" t="s">
        <v>32</v>
      </c>
      <c r="F128" s="61" t="s">
        <v>32</v>
      </c>
      <c r="G128" s="61">
        <f>(G127-B127)*10000</f>
        <v>49.999999999998934</v>
      </c>
      <c r="H128" s="61">
        <f>(H127-C127)*10000</f>
        <v>-50.00000000000115</v>
      </c>
      <c r="I128" s="79">
        <f>(I127-D127)*10000</f>
        <v>-30.00000000000003</v>
      </c>
      <c r="J128" s="17"/>
    </row>
    <row r="129">
      <c r="A129" s="36" t="s">
        <v>215</v>
      </c>
      <c r="B129" s="61" t="s">
        <v>32</v>
      </c>
      <c r="C129" s="61">
        <f>(C127-B127)*10000</f>
        <v>-40.000000000000036</v>
      </c>
      <c r="D129" s="61">
        <f>(D127-C127)*10000</f>
        <v>29.999999999998916</v>
      </c>
      <c r="E129" s="61">
        <f>(E127-D127)*10000</f>
        <v>-100.00000000000009</v>
      </c>
      <c r="F129" s="61" t="s">
        <v>32</v>
      </c>
      <c r="G129" s="61">
        <f>(G127-E127)*10000</f>
        <v>160.00000000000014</v>
      </c>
      <c r="H129" s="61">
        <f>(H127-G127)*10000</f>
        <v>-140.0000000000001</v>
      </c>
      <c r="I129" s="79">
        <f>(I127-H127)*10000</f>
        <v>50.00000000000004</v>
      </c>
      <c r="J129" s="17"/>
    </row>
    <row r="130" ht="27.75">
      <c r="A130" s="35" t="s">
        <v>330</v>
      </c>
      <c r="B130" s="6">
        <v>509</v>
      </c>
      <c r="C130" s="6">
        <v>368</v>
      </c>
      <c r="D130" s="6">
        <v>139</v>
      </c>
      <c r="E130" s="6">
        <v>57</v>
      </c>
      <c r="F130" s="14">
        <f>SUM(B130:E130)</f>
        <v>1073</v>
      </c>
      <c r="G130" s="6">
        <v>379</v>
      </c>
      <c r="H130" s="6">
        <v>238</v>
      </c>
      <c r="I130" s="62">
        <v>350</v>
      </c>
      <c r="J130" s="142" t="s">
        <v>331</v>
      </c>
    </row>
    <row r="131">
      <c r="A131" s="36" t="s">
        <v>172</v>
      </c>
      <c r="B131" s="9" t="s">
        <v>32</v>
      </c>
      <c r="C131" s="9" t="s">
        <v>32</v>
      </c>
      <c r="D131" s="9" t="s">
        <v>32</v>
      </c>
      <c r="E131" s="9" t="s">
        <v>32</v>
      </c>
      <c r="F131" s="9" t="s">
        <v>32</v>
      </c>
      <c r="G131" s="9">
        <f>IFERROR(G130/B130-1,"n/a")</f>
        <v>-0.2554027504911591</v>
      </c>
      <c r="H131" s="9">
        <f>IFERROR(H130/C130-1,"n/a")</f>
        <v>-0.3532608695652174</v>
      </c>
      <c r="I131" s="29">
        <f>IFERROR(I130/D130-1,"n/a")</f>
        <v>1.5179856115107913</v>
      </c>
      <c r="J131" s="17"/>
    </row>
    <row r="132">
      <c r="A132" s="36" t="s">
        <v>196</v>
      </c>
      <c r="B132" s="31" t="s">
        <v>32</v>
      </c>
      <c r="C132" s="31">
        <f>C130-B130</f>
        <v>-141</v>
      </c>
      <c r="D132" s="31">
        <f>D130-C130</f>
        <v>-229</v>
      </c>
      <c r="E132" s="31">
        <f>E130-D130</f>
        <v>-82</v>
      </c>
      <c r="F132" s="31" t="s">
        <v>32</v>
      </c>
      <c r="G132" s="31">
        <f>G130-E130</f>
        <v>322</v>
      </c>
      <c r="H132" s="31">
        <f>H130-G130</f>
        <v>-141</v>
      </c>
      <c r="I132" s="40">
        <f>I130-H130</f>
        <v>112</v>
      </c>
      <c r="J132" s="17"/>
    </row>
    <row r="133">
      <c r="A133" s="65" t="s">
        <v>332</v>
      </c>
      <c r="B133" s="9">
        <f>IFERROR(B130/B104,"n/a")</f>
        <v>0.09313815187557183</v>
      </c>
      <c r="C133" s="9">
        <f>IFERROR(C130/C104,"n/a")</f>
        <v>0.06636609558160506</v>
      </c>
      <c r="D133" s="9">
        <f>IFERROR(D130/D104,"n/a")</f>
        <v>0.024385964912280702</v>
      </c>
      <c r="E133" s="9">
        <f>IFERROR(E130/E104,"n/a")</f>
        <v>0.00999649245878639</v>
      </c>
      <c r="F133" s="9">
        <f>IFERROR(F130/F104,"n/a")</f>
        <v>0.04787613778333036</v>
      </c>
      <c r="G133" s="9">
        <f>IFERROR(G130/G104,"n/a")</f>
        <v>0.06899690515201165</v>
      </c>
      <c r="H133" s="9">
        <f>IFERROR(H130/H104,"n/a")</f>
        <v>0.04287515762925599</v>
      </c>
      <c r="I133" s="29">
        <f>IFERROR(I130/I104,"n/a")</f>
        <v>0.061429123819409154</v>
      </c>
      <c r="J133" s="17"/>
    </row>
    <row r="134">
      <c r="A134" s="36" t="s">
        <v>214</v>
      </c>
      <c r="B134" s="61" t="s">
        <v>32</v>
      </c>
      <c r="C134" s="61" t="s">
        <v>32</v>
      </c>
      <c r="D134" s="61" t="s">
        <v>32</v>
      </c>
      <c r="E134" s="61" t="s">
        <v>32</v>
      </c>
      <c r="F134" s="61" t="s">
        <v>32</v>
      </c>
      <c r="G134" s="61">
        <f>(G133-B133)*10000</f>
        <v>-241.41246723560175</v>
      </c>
      <c r="H134" s="61">
        <f>(H133-C133)*10000</f>
        <v>-234.90937952349063</v>
      </c>
      <c r="I134" s="79">
        <f>(I133-D133)*10000</f>
        <v>370.43158907128446</v>
      </c>
      <c r="J134" s="17"/>
    </row>
    <row r="135">
      <c r="A135" s="36" t="s">
        <v>215</v>
      </c>
      <c r="B135" s="61" t="s">
        <v>32</v>
      </c>
      <c r="C135" s="61">
        <f>(C133-B133)*10000</f>
        <v>-267.7205629396677</v>
      </c>
      <c r="D135" s="61">
        <f>(D133-C133)*10000</f>
        <v>-419.8013066932435</v>
      </c>
      <c r="E135" s="61">
        <f>(E133-D133)*10000</f>
        <v>-143.89472453494312</v>
      </c>
      <c r="F135" s="61" t="s">
        <v>32</v>
      </c>
      <c r="G135" s="61">
        <f>(G133-E133)*10000</f>
        <v>590.0041269322526</v>
      </c>
      <c r="H135" s="61">
        <f>(H133-G133)*10000</f>
        <v>-261.2174752275566</v>
      </c>
      <c r="I135" s="79">
        <f>(I133-H133)*10000</f>
        <v>185.53966190153162</v>
      </c>
      <c r="J135" s="17"/>
    </row>
    <row r="136">
      <c r="A136" s="35" t="s">
        <v>333</v>
      </c>
      <c r="B136" s="14">
        <f>B115-B118</f>
        <v>74</v>
      </c>
      <c r="C136" s="14">
        <f>C115-C118</f>
        <v>79</v>
      </c>
      <c r="D136" s="14">
        <f>D115-D118</f>
        <v>-125</v>
      </c>
      <c r="E136" s="14">
        <f>E115-E118</f>
        <v>205</v>
      </c>
      <c r="F136" s="14">
        <f>SUM(B136:E136)</f>
        <v>233</v>
      </c>
      <c r="G136" s="14">
        <f>G115-G118</f>
        <v>162</v>
      </c>
      <c r="H136" s="14">
        <f>H115-H118</f>
        <v>319</v>
      </c>
      <c r="I136" s="45">
        <f>I115-I118</f>
        <v>-68</v>
      </c>
      <c r="J136" s="17" t="s">
        <v>334</v>
      </c>
    </row>
    <row r="137">
      <c r="A137" s="36" t="s">
        <v>321</v>
      </c>
      <c r="B137" s="31" t="s">
        <v>32</v>
      </c>
      <c r="C137" s="31" t="s">
        <v>32</v>
      </c>
      <c r="D137" s="31" t="s">
        <v>32</v>
      </c>
      <c r="E137" s="31" t="s">
        <v>32</v>
      </c>
      <c r="F137" s="31" t="s">
        <v>32</v>
      </c>
      <c r="G137" s="31">
        <f>G136-B136</f>
        <v>88</v>
      </c>
      <c r="H137" s="31">
        <f>H136-C136</f>
        <v>240</v>
      </c>
      <c r="I137" s="40">
        <f>I136-D136</f>
        <v>57</v>
      </c>
      <c r="J137" s="17"/>
    </row>
    <row r="138">
      <c r="A138" s="36" t="s">
        <v>196</v>
      </c>
      <c r="B138" s="31" t="s">
        <v>32</v>
      </c>
      <c r="C138" s="31">
        <f>C136-B136</f>
        <v>5</v>
      </c>
      <c r="D138" s="31">
        <f>D136-C136</f>
        <v>-204</v>
      </c>
      <c r="E138" s="31">
        <f>E136-D136</f>
        <v>330</v>
      </c>
      <c r="F138" s="31" t="s">
        <v>32</v>
      </c>
      <c r="G138" s="31">
        <f>G136-E136</f>
        <v>-43</v>
      </c>
      <c r="H138" s="31">
        <f>H136-G136</f>
        <v>157</v>
      </c>
      <c r="I138" s="40">
        <f>I136-H136</f>
        <v>-387</v>
      </c>
      <c r="J138" s="17"/>
    </row>
    <row r="139">
      <c r="A139" s="65" t="s">
        <v>335</v>
      </c>
      <c r="B139" s="9">
        <f>IFERROR(-B136/B104,"n/a")</f>
        <v>-0.01354071363220494</v>
      </c>
      <c r="C139" s="9">
        <f>IFERROR(-C136/C104,"n/a")</f>
        <v>-0.01424706943192065</v>
      </c>
      <c r="D139" s="9">
        <f>IFERROR(-D136/D104,"n/a")</f>
        <v>0.021929824561403508</v>
      </c>
      <c r="E139" s="9">
        <f>IFERROR(-E136/E104,"n/a")</f>
        <v>-0.035952297439494914</v>
      </c>
      <c r="F139" s="9">
        <f>IFERROR(-F136/F104,"n/a")</f>
        <v>-0.010396216312689631</v>
      </c>
      <c r="G139" s="9">
        <f>IFERROR(-G136/G104,"n/a")</f>
        <v>-0.02949208083014746</v>
      </c>
      <c r="H139" s="9">
        <f>IFERROR(-H136/H104,"n/a")</f>
        <v>-0.057467123040893534</v>
      </c>
      <c r="I139" s="29">
        <f>IFERROR(-I136/I104,"n/a")</f>
        <v>0.011934801199199492</v>
      </c>
      <c r="J139" s="17"/>
    </row>
    <row r="140">
      <c r="A140" s="36" t="s">
        <v>214</v>
      </c>
      <c r="B140" s="61" t="s">
        <v>32</v>
      </c>
      <c r="C140" s="61" t="s">
        <v>32</v>
      </c>
      <c r="D140" s="61" t="s">
        <v>32</v>
      </c>
      <c r="E140" s="61" t="s">
        <v>32</v>
      </c>
      <c r="F140" s="61" t="s">
        <v>32</v>
      </c>
      <c r="G140" s="61">
        <f>(G139-B139)*10000</f>
        <v>-159.5136719794252</v>
      </c>
      <c r="H140" s="61">
        <f>(H139-C139)*10000</f>
        <v>-432.2005360897288</v>
      </c>
      <c r="I140" s="79">
        <f>(I139-D139)*10000</f>
        <v>-99.95023362204016</v>
      </c>
      <c r="J140" s="17"/>
    </row>
    <row r="141">
      <c r="A141" s="36" t="s">
        <v>215</v>
      </c>
      <c r="B141" s="61" t="s">
        <v>32</v>
      </c>
      <c r="C141" s="61">
        <f>(C139-B139)*10000</f>
        <v>-7.063557997157091</v>
      </c>
      <c r="D141" s="61">
        <f>(D139-C139)*10000</f>
        <v>361.7689399332416</v>
      </c>
      <c r="E141" s="61">
        <f>(E139-D139)*10000</f>
        <v>-578.8212200089843</v>
      </c>
      <c r="F141" s="61" t="s">
        <v>32</v>
      </c>
      <c r="G141" s="61">
        <f>(G139-E139)*10000</f>
        <v>64.60216609347452</v>
      </c>
      <c r="H141" s="61">
        <f>(H139-G139)*10000</f>
        <v>-279.75042210746074</v>
      </c>
      <c r="I141" s="79">
        <f>(I139-H139)*10000</f>
        <v>694.0192424009304</v>
      </c>
      <c r="J141" s="17"/>
    </row>
    <row r="142">
      <c r="A142" s="91" t="s">
        <v>336</v>
      </c>
      <c r="B142" s="86">
        <f>B124+B133+B139</f>
        <v>0.9615974382433669</v>
      </c>
      <c r="C142" s="86">
        <f>C124+C133+C139</f>
        <v>0.9351190261496843</v>
      </c>
      <c r="D142" s="86">
        <f>D124+D133+D139</f>
        <v>0.9293157894736842</v>
      </c>
      <c r="E142" s="86">
        <f>E124+E133+E139</f>
        <v>0.8440441950192915</v>
      </c>
      <c r="F142" s="86">
        <f>F124+F133+F139</f>
        <v>0.9169286542923435</v>
      </c>
      <c r="G142" s="86">
        <f>G124+G133+G139</f>
        <v>0.9375048243218642</v>
      </c>
      <c r="H142" s="86">
        <f>H124+H133+H139</f>
        <v>0.8674080345883625</v>
      </c>
      <c r="I142" s="89">
        <f>I124+I133+I139</f>
        <v>0.9553639250186086</v>
      </c>
      <c r="J142" s="17"/>
    </row>
    <row r="143">
      <c r="A143" s="36" t="s">
        <v>214</v>
      </c>
      <c r="B143" s="61" t="s">
        <v>32</v>
      </c>
      <c r="C143" s="61" t="s">
        <v>32</v>
      </c>
      <c r="D143" s="61" t="s">
        <v>32</v>
      </c>
      <c r="E143" s="61" t="s">
        <v>32</v>
      </c>
      <c r="F143" s="61" t="s">
        <v>32</v>
      </c>
      <c r="G143" s="61">
        <f>(G142-B142)*10000</f>
        <v>-240.92613921502638</v>
      </c>
      <c r="H143" s="61">
        <f>(H142-C142)*10000</f>
        <v>-677.1099156132187</v>
      </c>
      <c r="I143" s="79">
        <f>(I142-D142)*10000</f>
        <v>260.48135544924355</v>
      </c>
      <c r="J143" s="17"/>
    </row>
    <row r="144">
      <c r="A144" s="36" t="s">
        <v>215</v>
      </c>
      <c r="B144" s="61" t="s">
        <v>32</v>
      </c>
      <c r="C144" s="61">
        <f>(C142-B142)*10000</f>
        <v>-264.7841209368251</v>
      </c>
      <c r="D144" s="61">
        <f>(D142-C142)*10000</f>
        <v>-58.03236676000134</v>
      </c>
      <c r="E144" s="61">
        <f>(E142-D142)*10000</f>
        <v>-852.715944543927</v>
      </c>
      <c r="F144" s="61" t="s">
        <v>32</v>
      </c>
      <c r="G144" s="61">
        <f>(G142-E142)*10000</f>
        <v>934.606293025727</v>
      </c>
      <c r="H144" s="61">
        <f>(H142-G142)*10000</f>
        <v>-700.9678973350175</v>
      </c>
      <c r="I144" s="79">
        <f>(I142-H142)*10000</f>
        <v>879.558904302461</v>
      </c>
      <c r="J144" s="17"/>
    </row>
    <row r="145">
      <c r="A145" s="36" t="s">
        <v>337</v>
      </c>
      <c r="B145" s="2">
        <v>0.962</v>
      </c>
      <c r="C145" s="2">
        <v>0.936</v>
      </c>
      <c r="D145" s="2">
        <v>0.929</v>
      </c>
      <c r="E145" s="2">
        <v>0.844</v>
      </c>
      <c r="F145" s="9"/>
      <c r="G145" s="2">
        <v>0.938</v>
      </c>
      <c r="H145" s="2">
        <v>0.868</v>
      </c>
      <c r="I145" s="29"/>
      <c r="J145" s="17" t="s">
        <v>338</v>
      </c>
    </row>
    <row r="146">
      <c r="A146" s="65" t="s">
        <v>339</v>
      </c>
      <c r="B146" s="9">
        <f>B142-B121</f>
        <v>0.6675974382433669</v>
      </c>
      <c r="C146" s="9">
        <f>C142-C121</f>
        <v>0.6361190261496843</v>
      </c>
      <c r="D146" s="9">
        <f>D142-D121</f>
        <v>0.6333157894736843</v>
      </c>
      <c r="E146" s="9">
        <f>E142-E121</f>
        <v>0.5510441950192915</v>
      </c>
      <c r="F146" s="9">
        <f>F142-F121</f>
        <v>0.6214373549883991</v>
      </c>
      <c r="G146" s="9">
        <f>G142-G121</f>
        <v>0.6325048243218643</v>
      </c>
      <c r="H146" s="9">
        <f>H142-H121</f>
        <v>0.5644080345883624</v>
      </c>
      <c r="I146" s="29">
        <f>I142-I121</f>
        <v>0.6573639250186085</v>
      </c>
      <c r="J146" s="17"/>
    </row>
    <row r="147">
      <c r="A147" s="35" t="s">
        <v>340</v>
      </c>
      <c r="B147" s="14">
        <f>B104*(1-B124)</f>
        <v>644.87</v>
      </c>
      <c r="C147" s="14">
        <f>C104*(1-C124)</f>
        <v>648.765</v>
      </c>
      <c r="D147" s="14">
        <f>D104*(1-D124)</f>
        <v>666.9</v>
      </c>
      <c r="E147" s="14">
        <f>E104*(1-E124)</f>
        <v>741.26</v>
      </c>
      <c r="F147" s="14">
        <f>F104*(1-F124)</f>
        <v>2701.7949999999973</v>
      </c>
      <c r="G147" s="14">
        <f>G104*(1-G124)</f>
        <v>560.286</v>
      </c>
      <c r="H147" s="14">
        <f>H104*(1-H124)</f>
        <v>655.0179999999999</v>
      </c>
      <c r="I147" s="45">
        <f>I104*(1-I124)</f>
        <v>672.3195356231157</v>
      </c>
      <c r="J147" s="17"/>
    </row>
    <row r="148">
      <c r="A148" s="36" t="s">
        <v>172</v>
      </c>
      <c r="B148" s="9" t="s">
        <v>32</v>
      </c>
      <c r="C148" s="9" t="s">
        <v>32</v>
      </c>
      <c r="D148" s="9" t="s">
        <v>32</v>
      </c>
      <c r="E148" s="9" t="s">
        <v>32</v>
      </c>
      <c r="F148" s="9" t="s">
        <v>32</v>
      </c>
      <c r="G148" s="9">
        <f>IFERROR(G147/B147-1,"n/a")</f>
        <v>-0.13116442073596235</v>
      </c>
      <c r="H148" s="9">
        <f>IFERROR(H147/C147-1,"n/a")</f>
        <v>0.009638312794309156</v>
      </c>
      <c r="I148" s="29">
        <f>IFERROR(I147/D147-1,"n/a")</f>
        <v>0.008126459173962708</v>
      </c>
      <c r="J148" s="17"/>
    </row>
    <row r="149">
      <c r="A149" s="36" t="s">
        <v>196</v>
      </c>
      <c r="B149" s="31" t="s">
        <v>32</v>
      </c>
      <c r="C149" s="31">
        <f>C147-B147</f>
        <v>3.894999999999982</v>
      </c>
      <c r="D149" s="31">
        <f>D147-C147</f>
        <v>18.13499999999999</v>
      </c>
      <c r="E149" s="31">
        <f>E147-D147</f>
        <v>74.36000000000001</v>
      </c>
      <c r="F149" s="31" t="s">
        <v>32</v>
      </c>
      <c r="G149" s="31">
        <f>G147-E147</f>
        <v>-180.97400000000005</v>
      </c>
      <c r="H149" s="31">
        <f>H147-G147</f>
        <v>94.73199999999997</v>
      </c>
      <c r="I149" s="40">
        <f>I147-H147</f>
        <v>17.301535623115797</v>
      </c>
      <c r="J149" s="17"/>
    </row>
    <row r="150">
      <c r="A150" s="88" t="s">
        <v>341</v>
      </c>
      <c r="B150" s="30">
        <f>B104*(1-B142)</f>
        <v>209.87000000000015</v>
      </c>
      <c r="C150" s="30">
        <f>C104*(1-C142)</f>
        <v>359.7650000000003</v>
      </c>
      <c r="D150" s="30">
        <f>D104*(1-D142)</f>
        <v>402.90000000000003</v>
      </c>
      <c r="E150" s="30">
        <f>E104*(1-E142)</f>
        <v>889.2599999999998</v>
      </c>
      <c r="F150" s="30">
        <f>F104*(1-F142)</f>
        <v>1861.7949999999976</v>
      </c>
      <c r="G150" s="30">
        <f>G104*(1-G142)</f>
        <v>343.2859999999999</v>
      </c>
      <c r="H150" s="30">
        <f>H104*(1-H142)</f>
        <v>736.0179999999999</v>
      </c>
      <c r="I150" s="44">
        <f>I104*(1-I142)</f>
        <v>254.31953562311557</v>
      </c>
      <c r="J150" s="17"/>
    </row>
    <row r="151">
      <c r="A151" s="36" t="s">
        <v>172</v>
      </c>
      <c r="B151" s="9" t="s">
        <v>32</v>
      </c>
      <c r="C151" s="9" t="s">
        <v>32</v>
      </c>
      <c r="D151" s="9" t="s">
        <v>32</v>
      </c>
      <c r="E151" s="9" t="s">
        <v>32</v>
      </c>
      <c r="F151" s="9" t="s">
        <v>32</v>
      </c>
      <c r="G151" s="9">
        <f>IFERROR(G150/B150-1,"n/a")</f>
        <v>0.6357078191261241</v>
      </c>
      <c r="H151" s="9">
        <f>IFERROR(H150/C150-1,"n/a")</f>
        <v>1.0458299167512104</v>
      </c>
      <c r="I151" s="29">
        <f>IFERROR(I150/D150-1,"n/a")</f>
        <v>-0.3687775238939798</v>
      </c>
      <c r="J151" s="17"/>
    </row>
    <row r="152">
      <c r="A152" s="36" t="s">
        <v>196</v>
      </c>
      <c r="B152" s="31" t="s">
        <v>32</v>
      </c>
      <c r="C152" s="31">
        <f>C150-B150</f>
        <v>149.89500000000018</v>
      </c>
      <c r="D152" s="31">
        <f>D150-C150</f>
        <v>43.13499999999971</v>
      </c>
      <c r="E152" s="31">
        <f>E150-D150</f>
        <v>486.35999999999973</v>
      </c>
      <c r="F152" s="31" t="s">
        <v>32</v>
      </c>
      <c r="G152" s="31">
        <f>G150-E150</f>
        <v>-545.9739999999999</v>
      </c>
      <c r="H152" s="31">
        <f>H150-G150</f>
        <v>392.732</v>
      </c>
      <c r="I152" s="40">
        <f>I150-H150</f>
        <v>-481.6984643768843</v>
      </c>
      <c r="J152" s="17"/>
    </row>
    <row r="153">
      <c r="A153" s="42" t="s">
        <v>342</v>
      </c>
      <c r="B153" s="8"/>
      <c r="C153" s="8"/>
      <c r="D153" s="8"/>
      <c r="E153" s="8"/>
      <c r="F153" s="8"/>
      <c r="G153" s="8"/>
      <c r="H153" s="8"/>
      <c r="I153" s="21"/>
      <c r="J153" s="17"/>
    </row>
    <row r="154">
      <c r="A154" s="35" t="s">
        <v>343</v>
      </c>
      <c r="B154" s="14">
        <f>B104</f>
        <v>5465</v>
      </c>
      <c r="C154" s="14">
        <f>C104</f>
        <v>5545</v>
      </c>
      <c r="D154" s="14">
        <f>D104</f>
        <v>5700</v>
      </c>
      <c r="E154" s="14">
        <f>E104</f>
        <v>5702</v>
      </c>
      <c r="F154" s="14">
        <f>F104</f>
        <v>22412</v>
      </c>
      <c r="G154" s="14">
        <f>G104</f>
        <v>5493</v>
      </c>
      <c r="H154" s="14">
        <f>H104</f>
        <v>5551</v>
      </c>
      <c r="I154" s="45">
        <f>I104</f>
        <v>5697.623183246738</v>
      </c>
      <c r="J154" s="17"/>
    </row>
    <row r="155" ht="27.75">
      <c r="A155" s="35" t="s">
        <v>344</v>
      </c>
      <c r="B155" s="6">
        <v>656</v>
      </c>
      <c r="C155" s="6">
        <v>662</v>
      </c>
      <c r="D155" s="6">
        <v>727</v>
      </c>
      <c r="E155" s="6">
        <v>737</v>
      </c>
      <c r="F155" s="14">
        <f>SUM(B155:E155)</f>
        <v>2782</v>
      </c>
      <c r="G155" s="6">
        <v>708</v>
      </c>
      <c r="H155" s="6">
        <v>762</v>
      </c>
      <c r="I155" s="34">
        <f>'Revenue summary'!I56*I158</f>
        <v>776.2326937822428</v>
      </c>
      <c r="J155" s="142" t="s">
        <v>345</v>
      </c>
    </row>
    <row r="156">
      <c r="A156" s="36" t="s">
        <v>172</v>
      </c>
      <c r="B156" s="9" t="s">
        <v>32</v>
      </c>
      <c r="C156" s="9" t="s">
        <v>32</v>
      </c>
      <c r="D156" s="9" t="s">
        <v>32</v>
      </c>
      <c r="E156" s="9" t="s">
        <v>32</v>
      </c>
      <c r="F156" s="9" t="s">
        <v>32</v>
      </c>
      <c r="G156" s="9">
        <f>IFERROR(G155/B155-1,"n/a")</f>
        <v>0.0792682926829269</v>
      </c>
      <c r="H156" s="9">
        <f>IFERROR(H155/C155-1,"n/a")</f>
        <v>0.1510574018126889</v>
      </c>
      <c r="I156" s="29">
        <f>IFERROR(I155/D155-1,"n/a")</f>
        <v>0.0677203490814895</v>
      </c>
      <c r="J156" s="17"/>
    </row>
    <row r="157">
      <c r="A157" s="36" t="s">
        <v>196</v>
      </c>
      <c r="B157" s="31" t="s">
        <v>32</v>
      </c>
      <c r="C157" s="31">
        <f>C155-B155</f>
        <v>6</v>
      </c>
      <c r="D157" s="31">
        <f>D155-C155</f>
        <v>65</v>
      </c>
      <c r="E157" s="31">
        <f>E155-D155</f>
        <v>10</v>
      </c>
      <c r="F157" s="31" t="s">
        <v>32</v>
      </c>
      <c r="G157" s="31">
        <f>G155-E155</f>
        <v>-29</v>
      </c>
      <c r="H157" s="31">
        <f>H155-G155</f>
        <v>54</v>
      </c>
      <c r="I157" s="40">
        <f>I155-H155</f>
        <v>14.23269378224279</v>
      </c>
      <c r="J157" s="17"/>
    </row>
    <row r="158">
      <c r="A158" s="36" t="s">
        <v>346</v>
      </c>
      <c r="B158" s="28">
        <f>B155/'Revenue summary'!B56</f>
        <v>0.7053763440860215</v>
      </c>
      <c r="C158" s="28">
        <f>C155/'Revenue summary'!C56</f>
        <v>0.70276008492569</v>
      </c>
      <c r="D158" s="28">
        <f>D155/'Revenue summary'!D56</f>
        <v>0.7037754114230397</v>
      </c>
      <c r="E158" s="28">
        <f>E155/'Revenue summary'!E56</f>
        <v>0.6992409867172675</v>
      </c>
      <c r="F158" s="28">
        <f>F155/'Revenue summary'!F56</f>
        <v>0.7027027027027027</v>
      </c>
      <c r="G158" s="28">
        <f>G155/'Revenue summary'!G56</f>
        <v>0.7023809523809523</v>
      </c>
      <c r="H158" s="28">
        <f>H155/'Revenue summary'!H56</f>
        <v>0.7121495327102804</v>
      </c>
      <c r="I158" s="29">
        <f>H158</f>
        <v>0.7121495327102804</v>
      </c>
      <c r="J158" s="17" t="s">
        <v>347</v>
      </c>
    </row>
    <row r="159">
      <c r="A159" s="36" t="s">
        <v>214</v>
      </c>
      <c r="B159" s="61" t="s">
        <v>32</v>
      </c>
      <c r="C159" s="61" t="s">
        <v>32</v>
      </c>
      <c r="D159" s="61" t="s">
        <v>32</v>
      </c>
      <c r="E159" s="61" t="s">
        <v>32</v>
      </c>
      <c r="F159" s="61" t="s">
        <v>32</v>
      </c>
      <c r="G159" s="61">
        <f>(G158-B158)*10000</f>
        <v>-29.95391705069128</v>
      </c>
      <c r="H159" s="61">
        <f>(H158-C158)*10000</f>
        <v>93.89447784590388</v>
      </c>
      <c r="I159" s="79">
        <f>(I158-D158)*10000</f>
        <v>83.74121287240688</v>
      </c>
      <c r="J159" s="17"/>
    </row>
    <row r="160">
      <c r="A160" s="36" t="s">
        <v>215</v>
      </c>
      <c r="B160" s="61" t="s">
        <v>32</v>
      </c>
      <c r="C160" s="61">
        <f>(C158-B158)*10000</f>
        <v>-26.1625916033148</v>
      </c>
      <c r="D160" s="61">
        <f>(D158-C158)*10000</f>
        <v>10.153264973497</v>
      </c>
      <c r="E160" s="61">
        <f>(E158-D158)*10000</f>
        <v>-45.34424705772145</v>
      </c>
      <c r="F160" s="61" t="s">
        <v>32</v>
      </c>
      <c r="G160" s="61">
        <f>(G158-E158)*10000</f>
        <v>31.39965663684796</v>
      </c>
      <c r="H160" s="61">
        <f>(H158-G158)*10000</f>
        <v>97.68580329328036</v>
      </c>
      <c r="I160" s="79">
        <f>(I158-H158)*10000</f>
        <v>0</v>
      </c>
      <c r="J160" s="17"/>
    </row>
    <row r="161">
      <c r="A161" s="35" t="s">
        <v>236</v>
      </c>
      <c r="B161" s="6">
        <v>108</v>
      </c>
      <c r="C161" s="6">
        <v>111</v>
      </c>
      <c r="D161" s="6">
        <v>114</v>
      </c>
      <c r="E161" s="6">
        <v>112</v>
      </c>
      <c r="F161" s="14">
        <f>SUM(B161:E161)</f>
        <v>445</v>
      </c>
      <c r="G161" s="6">
        <v>111</v>
      </c>
      <c r="H161" s="6">
        <v>117</v>
      </c>
      <c r="I161" s="62">
        <v>117</v>
      </c>
      <c r="J161" s="17" t="s">
        <v>348</v>
      </c>
    </row>
    <row r="162">
      <c r="A162" s="36" t="s">
        <v>172</v>
      </c>
      <c r="B162" s="9" t="s">
        <v>32</v>
      </c>
      <c r="C162" s="9" t="s">
        <v>32</v>
      </c>
      <c r="D162" s="9" t="s">
        <v>32</v>
      </c>
      <c r="E162" s="9" t="s">
        <v>32</v>
      </c>
      <c r="F162" s="9" t="s">
        <v>32</v>
      </c>
      <c r="G162" s="9">
        <f>IFERROR(G161/B161-1,"n/a")</f>
        <v>0.02777777777777768</v>
      </c>
      <c r="H162" s="9">
        <f>IFERROR(H161/C161-1,"n/a")</f>
        <v>0.054054054054053946</v>
      </c>
      <c r="I162" s="29">
        <f>IFERROR(I161/D161-1,"n/a")</f>
        <v>0.026315789473684292</v>
      </c>
      <c r="J162" s="17"/>
    </row>
    <row r="163">
      <c r="A163" s="36" t="s">
        <v>196</v>
      </c>
      <c r="B163" s="31" t="s">
        <v>32</v>
      </c>
      <c r="C163" s="31">
        <f>C161-B161</f>
        <v>3</v>
      </c>
      <c r="D163" s="31">
        <f>D161-C161</f>
        <v>3</v>
      </c>
      <c r="E163" s="31">
        <f>E161-D161</f>
        <v>-2</v>
      </c>
      <c r="F163" s="31" t="s">
        <v>32</v>
      </c>
      <c r="G163" s="31">
        <f>G161-E161</f>
        <v>-1</v>
      </c>
      <c r="H163" s="31">
        <f>H161-G161</f>
        <v>6</v>
      </c>
      <c r="I163" s="40">
        <f>I161-H161</f>
        <v>0</v>
      </c>
      <c r="J163" s="17"/>
    </row>
    <row r="164">
      <c r="A164" s="35" t="s">
        <v>239</v>
      </c>
      <c r="B164" s="6">
        <v>82</v>
      </c>
      <c r="C164" s="6">
        <v>95</v>
      </c>
      <c r="D164" s="6">
        <v>111</v>
      </c>
      <c r="E164" s="6">
        <v>91</v>
      </c>
      <c r="F164" s="14">
        <f>SUM(B164:E164)</f>
        <v>379</v>
      </c>
      <c r="G164" s="6">
        <v>104</v>
      </c>
      <c r="H164" s="6">
        <v>113</v>
      </c>
      <c r="I164" s="62">
        <v>110</v>
      </c>
      <c r="J164" s="17" t="s">
        <v>348</v>
      </c>
    </row>
    <row r="165">
      <c r="A165" s="36" t="s">
        <v>172</v>
      </c>
      <c r="B165" s="9" t="s">
        <v>32</v>
      </c>
      <c r="C165" s="9" t="s">
        <v>32</v>
      </c>
      <c r="D165" s="9" t="s">
        <v>32</v>
      </c>
      <c r="E165" s="9" t="s">
        <v>32</v>
      </c>
      <c r="F165" s="9" t="s">
        <v>32</v>
      </c>
      <c r="G165" s="9">
        <f>IFERROR(G164/B164-1,"n/a")</f>
        <v>0.2682926829268293</v>
      </c>
      <c r="H165" s="9">
        <f>IFERROR(H164/C164-1,"n/a")</f>
        <v>0.18947368421052624</v>
      </c>
      <c r="I165" s="29">
        <f>IFERROR(I164/D164-1,"n/a")</f>
        <v>-0.009009009009009028</v>
      </c>
      <c r="J165" s="17"/>
    </row>
    <row r="166">
      <c r="A166" s="36" t="s">
        <v>196</v>
      </c>
      <c r="B166" s="31" t="s">
        <v>32</v>
      </c>
      <c r="C166" s="31">
        <f>C164-B164</f>
        <v>13</v>
      </c>
      <c r="D166" s="31">
        <f>D164-C164</f>
        <v>16</v>
      </c>
      <c r="E166" s="31">
        <f>E164-D164</f>
        <v>-20</v>
      </c>
      <c r="F166" s="31" t="s">
        <v>32</v>
      </c>
      <c r="G166" s="31">
        <f>G164-E164</f>
        <v>13</v>
      </c>
      <c r="H166" s="31">
        <f>H164-G164</f>
        <v>9</v>
      </c>
      <c r="I166" s="40">
        <f>I164-H164</f>
        <v>-3</v>
      </c>
      <c r="J166" s="17"/>
    </row>
    <row r="167">
      <c r="A167" s="22" t="s">
        <v>349</v>
      </c>
      <c r="B167" s="30">
        <f>B154+B155+B161+B164</f>
        <v>6311</v>
      </c>
      <c r="C167" s="30">
        <f>C154+C155+C161+C164</f>
        <v>6413</v>
      </c>
      <c r="D167" s="30">
        <f>D154+D155+D161+D164</f>
        <v>6652</v>
      </c>
      <c r="E167" s="30">
        <f>E154+E155+E161+E164</f>
        <v>6642</v>
      </c>
      <c r="F167" s="30">
        <f>F154+F155+F161+F164</f>
        <v>26018</v>
      </c>
      <c r="G167" s="30">
        <f>G154+G155+G161+G164</f>
        <v>6416</v>
      </c>
      <c r="H167" s="30">
        <f>H154+H155+H161+H164</f>
        <v>6543</v>
      </c>
      <c r="I167" s="44">
        <f>I154+I155+I161+I164</f>
        <v>6700.855877028981</v>
      </c>
      <c r="J167" s="17"/>
    </row>
    <row r="168">
      <c r="A168" s="36" t="s">
        <v>187</v>
      </c>
      <c r="B168" s="9">
        <f>IFERROR(B167/B173-1,"n/a")</f>
        <v>0.06120733142761048</v>
      </c>
      <c r="C168" s="9">
        <f>IFERROR(C167/C173-1,"n/a")</f>
        <v>0.07204948177866943</v>
      </c>
      <c r="D168" s="9">
        <f>IFERROR(D167/D173-1,"n/a")</f>
        <v>0.0535318340196389</v>
      </c>
      <c r="E168" s="9">
        <f>IFERROR(E167/E173-1,"n/a")</f>
        <v>0.035547240411599734</v>
      </c>
      <c r="F168" s="9">
        <f>IFERROR(F167/F173-1,"n/a")</f>
        <v>0.05519730705276382</v>
      </c>
      <c r="G168" s="9">
        <f>IFERROR(G167/G173-1,"n/a")</f>
        <v>0.016637616859451754</v>
      </c>
      <c r="H168" s="9">
        <f>IFERROR(H167/H173-1,"n/a")</f>
        <v>0.020271323873382263</v>
      </c>
      <c r="I168" s="29">
        <f>IFERROR(I167/I173-1,"n/a")</f>
        <v>0.007344539541338069</v>
      </c>
      <c r="J168" s="17"/>
    </row>
    <row r="169" ht="40.5">
      <c r="A169" s="36" t="s">
        <v>188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9">
        <f>IFERROR(-B108/G173,"n/a")</f>
        <v>-0.012517826018063699</v>
      </c>
      <c r="H169" s="9">
        <f>IFERROR(-C108/H173,"n/a")</f>
        <v>-0.012474660845158272</v>
      </c>
      <c r="I169" s="29">
        <f>IFERROR(-D108/I173,"n/a")</f>
        <v>-0.011575466025255563</v>
      </c>
      <c r="J169" s="142" t="s">
        <v>350</v>
      </c>
    </row>
    <row r="170">
      <c r="A170" s="36" t="s">
        <v>177</v>
      </c>
      <c r="B170" s="9" t="s">
        <v>178</v>
      </c>
      <c r="C170" s="9" t="s">
        <v>178</v>
      </c>
      <c r="D170" s="9" t="s">
        <v>178</v>
      </c>
      <c r="E170" s="9" t="s">
        <v>178</v>
      </c>
      <c r="F170" s="9" t="s">
        <v>178</v>
      </c>
      <c r="G170" s="9" t="s">
        <v>178</v>
      </c>
      <c r="H170" s="9" t="s">
        <v>178</v>
      </c>
      <c r="I170" s="29" t="s">
        <v>178</v>
      </c>
      <c r="J170" s="17" t="s">
        <v>244</v>
      </c>
    </row>
    <row r="171">
      <c r="A171" s="36" t="s">
        <v>175</v>
      </c>
      <c r="B171" s="9">
        <f>IFERROR((1+B168)/(1+B169)-1,"n/a")</f>
        <v>0.06120733142761048</v>
      </c>
      <c r="C171" s="9">
        <f>IFERROR((1+C168)/(1+C169)-1,"n/a")</f>
        <v>0.07204948177866943</v>
      </c>
      <c r="D171" s="9">
        <f>IFERROR((1+D168)/(1+D169)-1,"n/a")</f>
        <v>0.0535318340196389</v>
      </c>
      <c r="E171" s="9">
        <f>IFERROR((1+E168)/(1+E169)-1,"n/a")</f>
        <v>0.035547240411599734</v>
      </c>
      <c r="F171" s="9">
        <f>IFERROR((1+F168)/(1+F169)-1,"n/a")</f>
        <v>0.05519730705276382</v>
      </c>
      <c r="G171" s="9">
        <f>IFERROR((1+G168)/(1+G169)-1,"n/a")</f>
        <v>0.029525032092426295</v>
      </c>
      <c r="H171" s="9">
        <f>IFERROR((1+H168)/(1+H169)-1,"n/a")</f>
        <v>0.03315963998105165</v>
      </c>
      <c r="I171" s="29">
        <f>IFERROR((1+I168)/(1+I169)-1,"n/a")</f>
        <v>0.019141578255358338</v>
      </c>
      <c r="J171" s="17"/>
    </row>
    <row r="172">
      <c r="A172" s="36" t="s">
        <v>196</v>
      </c>
      <c r="B172" s="31" t="s">
        <v>32</v>
      </c>
      <c r="C172" s="31">
        <f>C167-B167</f>
        <v>102</v>
      </c>
      <c r="D172" s="31">
        <f>D167-C167</f>
        <v>239</v>
      </c>
      <c r="E172" s="31">
        <f>E167-D167</f>
        <v>-10</v>
      </c>
      <c r="F172" s="31" t="s">
        <v>32</v>
      </c>
      <c r="G172" s="31">
        <f>G167-E167</f>
        <v>-226</v>
      </c>
      <c r="H172" s="31">
        <f>H167-G167</f>
        <v>127</v>
      </c>
      <c r="I172" s="40">
        <f>I167-H167</f>
        <v>157.855877028981</v>
      </c>
      <c r="J172" s="17"/>
    </row>
    <row r="173">
      <c r="A173" s="35" t="s">
        <v>245</v>
      </c>
      <c r="B173" s="6">
        <v>5947</v>
      </c>
      <c r="C173" s="6">
        <v>5982</v>
      </c>
      <c r="D173" s="6">
        <v>6314</v>
      </c>
      <c r="E173" s="6">
        <v>6414</v>
      </c>
      <c r="F173" s="14">
        <f>SUM(B173:E173)</f>
        <v>24657</v>
      </c>
      <c r="G173" s="14">
        <f>B167</f>
        <v>6311</v>
      </c>
      <c r="H173" s="14">
        <f>C167</f>
        <v>6413</v>
      </c>
      <c r="I173" s="45">
        <f>D167</f>
        <v>6652</v>
      </c>
      <c r="J173" s="17" t="s">
        <v>210</v>
      </c>
    </row>
    <row r="174" ht="66">
      <c r="A174" s="35" t="s">
        <v>351</v>
      </c>
      <c r="B174" s="6">
        <v>3705</v>
      </c>
      <c r="C174" s="6">
        <v>3584</v>
      </c>
      <c r="D174" s="6">
        <v>3667</v>
      </c>
      <c r="E174" s="6">
        <v>3198</v>
      </c>
      <c r="F174" s="14">
        <f>SUM(B174:E174)</f>
        <v>14154</v>
      </c>
      <c r="G174" s="6">
        <v>3531</v>
      </c>
      <c r="H174" s="6">
        <v>3188</v>
      </c>
      <c r="I174" s="45">
        <f>I104*I146+I200</f>
        <v>3794.4119390160945</v>
      </c>
      <c r="J174" s="142" t="s">
        <v>352</v>
      </c>
    </row>
    <row r="175">
      <c r="A175" s="36" t="s">
        <v>172</v>
      </c>
      <c r="B175" s="9" t="s">
        <v>32</v>
      </c>
      <c r="C175" s="9" t="s">
        <v>32</v>
      </c>
      <c r="D175" s="9" t="s">
        <v>32</v>
      </c>
      <c r="E175" s="9" t="s">
        <v>32</v>
      </c>
      <c r="F175" s="9" t="s">
        <v>32</v>
      </c>
      <c r="G175" s="9">
        <f>IFERROR(G174/B174-1,"n/a")</f>
        <v>-0.04696356275303648</v>
      </c>
      <c r="H175" s="9">
        <f>IFERROR(H174/C174-1,"n/a")</f>
        <v>-0.1104910714285714</v>
      </c>
      <c r="I175" s="29">
        <f>IFERROR(I174/D174-1,"n/a")</f>
        <v>0.034745551954211695</v>
      </c>
      <c r="J175" s="17"/>
    </row>
    <row r="176">
      <c r="A176" s="36" t="s">
        <v>196</v>
      </c>
      <c r="B176" s="31" t="s">
        <v>32</v>
      </c>
      <c r="C176" s="31">
        <f>C174-B174</f>
        <v>-121</v>
      </c>
      <c r="D176" s="31">
        <f>D174-C174</f>
        <v>83</v>
      </c>
      <c r="E176" s="31">
        <f>E174-D174</f>
        <v>-469</v>
      </c>
      <c r="F176" s="31" t="s">
        <v>32</v>
      </c>
      <c r="G176" s="31">
        <f>G174-E174</f>
        <v>333</v>
      </c>
      <c r="H176" s="31">
        <f>H174-G174</f>
        <v>-343</v>
      </c>
      <c r="I176" s="40">
        <f>I174-H174</f>
        <v>606.4119390160945</v>
      </c>
      <c r="J176" s="17"/>
    </row>
    <row r="177">
      <c r="A177" s="35" t="s">
        <v>353</v>
      </c>
      <c r="B177" s="6">
        <v>917</v>
      </c>
      <c r="C177" s="6">
        <v>944</v>
      </c>
      <c r="D177" s="6">
        <v>973</v>
      </c>
      <c r="E177" s="6">
        <v>962</v>
      </c>
      <c r="F177" s="14">
        <f>SUM(B177:E177)</f>
        <v>3796</v>
      </c>
      <c r="G177" s="6">
        <v>938</v>
      </c>
      <c r="H177" s="6">
        <v>945</v>
      </c>
      <c r="I177" s="45">
        <f>I104*I212</f>
        <v>969.1897363779717</v>
      </c>
      <c r="J177" s="17" t="s">
        <v>354</v>
      </c>
    </row>
    <row r="178">
      <c r="A178" s="36" t="s">
        <v>172</v>
      </c>
      <c r="B178" s="9" t="s">
        <v>32</v>
      </c>
      <c r="C178" s="9" t="s">
        <v>32</v>
      </c>
      <c r="D178" s="9" t="s">
        <v>32</v>
      </c>
      <c r="E178" s="9" t="s">
        <v>32</v>
      </c>
      <c r="F178" s="9" t="s">
        <v>32</v>
      </c>
      <c r="G178" s="9">
        <f>IFERROR(G177/B177-1,"n/a")</f>
        <v>0.022900763358778553</v>
      </c>
      <c r="H178" s="9">
        <f>IFERROR(H177/C177-1,"n/a")</f>
        <v>0.0010593220338983578</v>
      </c>
      <c r="I178" s="29">
        <f>IFERROR(I177/D177-1,"n/a")</f>
        <v>-0.003915995500543001</v>
      </c>
      <c r="J178" s="17"/>
    </row>
    <row r="179">
      <c r="A179" s="36" t="s">
        <v>196</v>
      </c>
      <c r="B179" s="31" t="s">
        <v>32</v>
      </c>
      <c r="C179" s="31">
        <f>C177-B177</f>
        <v>27</v>
      </c>
      <c r="D179" s="31">
        <f>D177-C177</f>
        <v>29</v>
      </c>
      <c r="E179" s="31">
        <f>E177-D177</f>
        <v>-11</v>
      </c>
      <c r="F179" s="31" t="s">
        <v>32</v>
      </c>
      <c r="G179" s="31">
        <f>G177-E177</f>
        <v>-24</v>
      </c>
      <c r="H179" s="31">
        <f>H177-G177</f>
        <v>7</v>
      </c>
      <c r="I179" s="40">
        <f>I177-H177</f>
        <v>24.189736377971712</v>
      </c>
      <c r="J179" s="17"/>
    </row>
    <row r="180" ht="27.75">
      <c r="A180" s="35" t="s">
        <v>355</v>
      </c>
      <c r="B180" s="6">
        <v>847</v>
      </c>
      <c r="C180" s="6">
        <v>875</v>
      </c>
      <c r="D180" s="6">
        <v>894</v>
      </c>
      <c r="E180" s="6">
        <v>866</v>
      </c>
      <c r="F180" s="14">
        <f>SUM(B180:E180)</f>
        <v>3482</v>
      </c>
      <c r="G180" s="6">
        <v>912</v>
      </c>
      <c r="H180" s="6">
        <v>912</v>
      </c>
      <c r="I180" s="45">
        <f>I104*I121+I209+I203+I206-I177</f>
        <v>905.7019722295563</v>
      </c>
      <c r="J180" s="142" t="s">
        <v>356</v>
      </c>
    </row>
    <row r="181">
      <c r="A181" s="36" t="s">
        <v>172</v>
      </c>
      <c r="B181" s="9" t="s">
        <v>32</v>
      </c>
      <c r="C181" s="9" t="s">
        <v>32</v>
      </c>
      <c r="D181" s="9" t="s">
        <v>32</v>
      </c>
      <c r="E181" s="9" t="s">
        <v>32</v>
      </c>
      <c r="F181" s="9" t="s">
        <v>32</v>
      </c>
      <c r="G181" s="9">
        <f>IFERROR(G180/B180-1,"n/a")</f>
        <v>0.07674144037780395</v>
      </c>
      <c r="H181" s="9">
        <f>IFERROR(H180/C180-1,"n/a")</f>
        <v>0.04228571428571426</v>
      </c>
      <c r="I181" s="29">
        <f>IFERROR(I180/D180-1,"n/a")</f>
        <v>0.01308945439547693</v>
      </c>
      <c r="J181" s="17"/>
    </row>
    <row r="182">
      <c r="A182" s="36" t="s">
        <v>196</v>
      </c>
      <c r="B182" s="31" t="s">
        <v>32</v>
      </c>
      <c r="C182" s="31">
        <f>C180-B180</f>
        <v>28</v>
      </c>
      <c r="D182" s="31">
        <f>D180-C180</f>
        <v>19</v>
      </c>
      <c r="E182" s="31">
        <f>E180-D180</f>
        <v>-28</v>
      </c>
      <c r="F182" s="31" t="s">
        <v>32</v>
      </c>
      <c r="G182" s="31">
        <f>G180-E180</f>
        <v>46</v>
      </c>
      <c r="H182" s="31">
        <f>H180-G180</f>
        <v>0</v>
      </c>
      <c r="I182" s="40">
        <f>I180-H180</f>
        <v>-6.298027770443696</v>
      </c>
      <c r="J182" s="17"/>
    </row>
    <row r="183">
      <c r="A183" s="22" t="s">
        <v>357</v>
      </c>
      <c r="B183" s="30">
        <f>B174+B177+B180</f>
        <v>5469</v>
      </c>
      <c r="C183" s="30">
        <f>C174+C177+C180</f>
        <v>5403</v>
      </c>
      <c r="D183" s="30">
        <f>D174+D177+D180</f>
        <v>5534</v>
      </c>
      <c r="E183" s="30">
        <f>E174+E177+E180</f>
        <v>5026</v>
      </c>
      <c r="F183" s="30">
        <f>F174+F177+F180</f>
        <v>21432</v>
      </c>
      <c r="G183" s="30">
        <f>G174+G177+G180</f>
        <v>5381</v>
      </c>
      <c r="H183" s="30">
        <f>H174+H177+H180</f>
        <v>5045</v>
      </c>
      <c r="I183" s="44">
        <f>I174+I177+I180</f>
        <v>5669.303647623622</v>
      </c>
      <c r="J183" s="17"/>
    </row>
    <row r="184">
      <c r="A184" s="22" t="s">
        <v>358</v>
      </c>
      <c r="B184" s="30">
        <f>B167-B183</f>
        <v>842</v>
      </c>
      <c r="C184" s="30">
        <f>C167-C183</f>
        <v>1010</v>
      </c>
      <c r="D184" s="30">
        <f>D167-D183</f>
        <v>1118</v>
      </c>
      <c r="E184" s="30">
        <f>E167-E183</f>
        <v>1616</v>
      </c>
      <c r="F184" s="30">
        <f>F167-F183</f>
        <v>4586</v>
      </c>
      <c r="G184" s="30">
        <f>G167-G183</f>
        <v>1035</v>
      </c>
      <c r="H184" s="30">
        <f>H167-H183</f>
        <v>1498</v>
      </c>
      <c r="I184" s="44">
        <f>I167-I183</f>
        <v>1031.552229405359</v>
      </c>
      <c r="J184" s="17"/>
    </row>
    <row r="185">
      <c r="A185" s="36" t="s">
        <v>172</v>
      </c>
      <c r="B185" s="9" t="s">
        <v>32</v>
      </c>
      <c r="C185" s="9" t="s">
        <v>32</v>
      </c>
      <c r="D185" s="9" t="s">
        <v>32</v>
      </c>
      <c r="E185" s="9" t="s">
        <v>32</v>
      </c>
      <c r="F185" s="9" t="s">
        <v>32</v>
      </c>
      <c r="G185" s="9">
        <f>IFERROR(G184/B184-1,"n/a")</f>
        <v>0.22921615201900236</v>
      </c>
      <c r="H185" s="9">
        <f>IFERROR(H184/C184-1,"n/a")</f>
        <v>0.48316831683168315</v>
      </c>
      <c r="I185" s="29">
        <f>IFERROR(I184/D184-1,"n/a")</f>
        <v>-0.07732358729395439</v>
      </c>
      <c r="J185" s="17"/>
    </row>
    <row r="186">
      <c r="A186" s="36" t="s">
        <v>196</v>
      </c>
      <c r="B186" s="31" t="s">
        <v>32</v>
      </c>
      <c r="C186" s="31">
        <f>C184-B184</f>
        <v>168</v>
      </c>
      <c r="D186" s="31">
        <f>D184-C184</f>
        <v>108</v>
      </c>
      <c r="E186" s="31">
        <f>E184-D184</f>
        <v>498</v>
      </c>
      <c r="F186" s="31" t="s">
        <v>32</v>
      </c>
      <c r="G186" s="31">
        <f>G184-E184</f>
        <v>-581</v>
      </c>
      <c r="H186" s="31">
        <f>H184-G184</f>
        <v>463</v>
      </c>
      <c r="I186" s="40">
        <f>I184-H184</f>
        <v>-466.44777059464104</v>
      </c>
      <c r="J186" s="17"/>
    </row>
    <row r="187">
      <c r="A187" s="65" t="s">
        <v>359</v>
      </c>
      <c r="B187" s="9">
        <f>IFERROR(B184/B167,"n/a")</f>
        <v>0.1334178418634131</v>
      </c>
      <c r="C187" s="9">
        <f>IFERROR(C184/C167,"n/a")</f>
        <v>0.15749259317012318</v>
      </c>
      <c r="D187" s="9">
        <f>IFERROR(D184/D167,"n/a")</f>
        <v>0.16806975345760675</v>
      </c>
      <c r="E187" s="9">
        <f>IFERROR(E184/E167,"n/a")</f>
        <v>0.2433002107798856</v>
      </c>
      <c r="F187" s="9">
        <f>IFERROR(F184/F167,"n/a")</f>
        <v>0.176262587439465</v>
      </c>
      <c r="G187" s="9">
        <f>IFERROR(G184/G167,"n/a")</f>
        <v>0.1613154613466334</v>
      </c>
      <c r="H187" s="9">
        <f>IFERROR(H184/H167,"n/a")</f>
        <v>0.2289469662234449</v>
      </c>
      <c r="I187" s="29">
        <f>IFERROR(I184/I167,"n/a")</f>
        <v>0.15394335415295152</v>
      </c>
      <c r="J187" s="17"/>
    </row>
    <row r="188">
      <c r="A188" s="36" t="s">
        <v>214</v>
      </c>
      <c r="B188" s="61" t="s">
        <v>32</v>
      </c>
      <c r="C188" s="61" t="s">
        <v>32</v>
      </c>
      <c r="D188" s="61" t="s">
        <v>32</v>
      </c>
      <c r="E188" s="61" t="s">
        <v>32</v>
      </c>
      <c r="F188" s="61" t="s">
        <v>32</v>
      </c>
      <c r="G188" s="61">
        <f>(G187-B187)*10000</f>
        <v>278.9761948322031</v>
      </c>
      <c r="H188" s="61">
        <f>(H187-C187)*10000</f>
        <v>714.5437305332173</v>
      </c>
      <c r="I188" s="79">
        <f>(I187-D187)*10000</f>
        <v>-141.2639930465523</v>
      </c>
      <c r="J188" s="17"/>
    </row>
    <row r="189">
      <c r="A189" s="36" t="s">
        <v>215</v>
      </c>
      <c r="B189" s="61" t="s">
        <v>32</v>
      </c>
      <c r="C189" s="61">
        <f>(C187-B187)*10000</f>
        <v>240.74751306710078</v>
      </c>
      <c r="D189" s="61">
        <f>(D187-C187)*10000</f>
        <v>105.77160287483566</v>
      </c>
      <c r="E189" s="61">
        <f>(E187-D187)*10000</f>
        <v>752.3045732227885</v>
      </c>
      <c r="F189" s="61" t="s">
        <v>32</v>
      </c>
      <c r="G189" s="61">
        <f>(G187-E187)*10000</f>
        <v>-819.8474943325218</v>
      </c>
      <c r="H189" s="61">
        <f>(H187-G187)*10000</f>
        <v>676.3150487681149</v>
      </c>
      <c r="I189" s="79">
        <f>(I187-H187)*10000</f>
        <v>-750.0361207049339</v>
      </c>
      <c r="J189" s="17"/>
    </row>
    <row r="190" ht="27.75">
      <c r="A190" s="35" t="s">
        <v>360</v>
      </c>
      <c r="B190" s="6">
        <v>159</v>
      </c>
      <c r="C190" s="6">
        <v>197</v>
      </c>
      <c r="D190" s="6">
        <v>211</v>
      </c>
      <c r="E190" s="6">
        <v>324</v>
      </c>
      <c r="F190" s="14">
        <f>SUM(B190:E190)</f>
        <v>891</v>
      </c>
      <c r="G190" s="6">
        <v>196</v>
      </c>
      <c r="H190" s="6">
        <v>300</v>
      </c>
      <c r="I190" s="34">
        <f>I155*'Income Statement'!I92+(I184-I155)*'Income Statement'!I93</f>
        <v>188.6815911989646</v>
      </c>
      <c r="J190" s="142" t="s">
        <v>361</v>
      </c>
    </row>
    <row r="191">
      <c r="A191" s="36" t="s">
        <v>172</v>
      </c>
      <c r="B191" s="9" t="s">
        <v>32</v>
      </c>
      <c r="C191" s="9" t="s">
        <v>32</v>
      </c>
      <c r="D191" s="9" t="s">
        <v>32</v>
      </c>
      <c r="E191" s="9" t="s">
        <v>32</v>
      </c>
      <c r="F191" s="9" t="s">
        <v>32</v>
      </c>
      <c r="G191" s="9">
        <f>IFERROR(G190/B190-1,"n/a")</f>
        <v>0.23270440251572322</v>
      </c>
      <c r="H191" s="9">
        <f>IFERROR(H190/C190-1,"n/a")</f>
        <v>0.5228426395939085</v>
      </c>
      <c r="I191" s="29">
        <f>IFERROR(I190/D190-1,"n/a")</f>
        <v>-0.10577444929400659</v>
      </c>
      <c r="J191" s="17"/>
    </row>
    <row r="192">
      <c r="A192" s="36" t="s">
        <v>196</v>
      </c>
      <c r="B192" s="31" t="s">
        <v>32</v>
      </c>
      <c r="C192" s="31">
        <f>C190-B190</f>
        <v>38</v>
      </c>
      <c r="D192" s="31">
        <f>D190-C190</f>
        <v>14</v>
      </c>
      <c r="E192" s="31">
        <f>E190-D190</f>
        <v>113</v>
      </c>
      <c r="F192" s="31" t="s">
        <v>32</v>
      </c>
      <c r="G192" s="31">
        <f>G190-E190</f>
        <v>-128</v>
      </c>
      <c r="H192" s="31">
        <f>H190-G190</f>
        <v>104</v>
      </c>
      <c r="I192" s="40">
        <f>I190-H190</f>
        <v>-111.31840880103539</v>
      </c>
      <c r="J192" s="17"/>
    </row>
    <row r="193">
      <c r="A193" s="22" t="s">
        <v>362</v>
      </c>
      <c r="B193" s="30">
        <f>B184-B190</f>
        <v>683</v>
      </c>
      <c r="C193" s="30">
        <f>C184-C190</f>
        <v>813</v>
      </c>
      <c r="D193" s="30">
        <f>D184-D190</f>
        <v>907</v>
      </c>
      <c r="E193" s="30">
        <f>E184-E190</f>
        <v>1292</v>
      </c>
      <c r="F193" s="30">
        <f>F184-F190</f>
        <v>3695</v>
      </c>
      <c r="G193" s="30">
        <f>G184-G190</f>
        <v>839</v>
      </c>
      <c r="H193" s="30">
        <f>H184-H190</f>
        <v>1198</v>
      </c>
      <c r="I193" s="44">
        <f>I184-I190</f>
        <v>842.8706382063943</v>
      </c>
      <c r="J193" s="17"/>
    </row>
    <row r="194">
      <c r="A194" s="36" t="s">
        <v>172</v>
      </c>
      <c r="B194" s="9">
        <f>IFERROR(B193/B196-1,"n/a")</f>
        <v>-0.106020942408377</v>
      </c>
      <c r="C194" s="9">
        <f>IFERROR(C193/C196-1,"n/a")</f>
        <v>0.23932926829268286</v>
      </c>
      <c r="D194" s="9">
        <f>IFERROR(D193/D196-1,"n/a")</f>
        <v>0.29942693409742116</v>
      </c>
      <c r="E194" s="9">
        <f>IFERROR(E193/E196-1,"n/a")</f>
        <v>0.08754208754208759</v>
      </c>
      <c r="F194" s="9">
        <f>IFERROR(F193/F196-1,"n/a")</f>
        <v>0.11766485178463393</v>
      </c>
      <c r="G194" s="9">
        <f>IFERROR(G193/G196-1,"n/a")</f>
        <v>0.22840409956076124</v>
      </c>
      <c r="H194" s="9">
        <f>IFERROR(H193/H196-1,"n/a")</f>
        <v>0.4735547355473555</v>
      </c>
      <c r="I194" s="29">
        <f>IFERROR(I193/I196-1,"n/a")</f>
        <v>-0.07070491928732703</v>
      </c>
      <c r="J194" s="17"/>
    </row>
    <row r="195">
      <c r="A195" s="36" t="s">
        <v>196</v>
      </c>
      <c r="B195" s="31" t="s">
        <v>32</v>
      </c>
      <c r="C195" s="31">
        <f>C193-B193</f>
        <v>130</v>
      </c>
      <c r="D195" s="31">
        <f>D193-C193</f>
        <v>94</v>
      </c>
      <c r="E195" s="31">
        <f>E193-D193</f>
        <v>385</v>
      </c>
      <c r="F195" s="31" t="s">
        <v>32</v>
      </c>
      <c r="G195" s="31">
        <f>G193-E193</f>
        <v>-453</v>
      </c>
      <c r="H195" s="31">
        <f>H193-G193</f>
        <v>359</v>
      </c>
      <c r="I195" s="40">
        <f>I193-H193</f>
        <v>-355.12936179360565</v>
      </c>
      <c r="J195" s="17"/>
    </row>
    <row r="196">
      <c r="A196" s="35" t="s">
        <v>363</v>
      </c>
      <c r="B196" s="6">
        <v>764</v>
      </c>
      <c r="C196" s="6">
        <v>656</v>
      </c>
      <c r="D196" s="6">
        <v>698</v>
      </c>
      <c r="E196" s="6">
        <v>1188</v>
      </c>
      <c r="F196" s="14">
        <f>SUM(B196:E196)</f>
        <v>3306</v>
      </c>
      <c r="G196" s="14">
        <f>B193</f>
        <v>683</v>
      </c>
      <c r="H196" s="14">
        <f>C193</f>
        <v>813</v>
      </c>
      <c r="I196" s="45">
        <f>D193</f>
        <v>907</v>
      </c>
      <c r="J196" s="17" t="s">
        <v>210</v>
      </c>
    </row>
    <row r="197">
      <c r="A197" s="35" t="s">
        <v>364</v>
      </c>
      <c r="B197" s="6">
        <v>683</v>
      </c>
      <c r="C197" s="6">
        <v>813</v>
      </c>
      <c r="D197" s="6">
        <v>907</v>
      </c>
      <c r="E197" s="6">
        <v>1292</v>
      </c>
      <c r="F197" s="14">
        <f>SUM(B197:E197)</f>
        <v>3695</v>
      </c>
      <c r="G197" s="6">
        <v>839</v>
      </c>
      <c r="H197" s="6">
        <v>1198</v>
      </c>
      <c r="I197" s="45"/>
      <c r="J197" s="17" t="s">
        <v>365</v>
      </c>
    </row>
    <row r="198">
      <c r="A198" s="36" t="s">
        <v>366</v>
      </c>
      <c r="B198" s="31">
        <f>B193-B197</f>
        <v>0</v>
      </c>
      <c r="C198" s="31">
        <f>C193-C197</f>
        <v>0</v>
      </c>
      <c r="D198" s="31">
        <f>D193-D197</f>
        <v>0</v>
      </c>
      <c r="E198" s="31">
        <f>E193-E197</f>
        <v>0</v>
      </c>
      <c r="F198" s="31">
        <f>F193-F197</f>
        <v>0</v>
      </c>
      <c r="G198" s="31">
        <f>G193-G197</f>
        <v>0</v>
      </c>
      <c r="H198" s="31">
        <f>H193-H197</f>
        <v>0</v>
      </c>
      <c r="I198" s="40"/>
      <c r="J198" s="17"/>
    </row>
    <row r="199">
      <c r="A199" s="42" t="s">
        <v>367</v>
      </c>
      <c r="B199" s="8"/>
      <c r="C199" s="8"/>
      <c r="D199" s="8"/>
      <c r="E199" s="8"/>
      <c r="F199" s="8"/>
      <c r="G199" s="8"/>
      <c r="H199" s="8"/>
      <c r="I199" s="21"/>
      <c r="J199" s="17"/>
    </row>
    <row r="200">
      <c r="A200" s="35" t="s">
        <v>368</v>
      </c>
      <c r="B200" s="6">
        <v>45</v>
      </c>
      <c r="C200" s="6">
        <v>45</v>
      </c>
      <c r="D200" s="6">
        <v>48</v>
      </c>
      <c r="E200" s="6">
        <v>48</v>
      </c>
      <c r="F200" s="14">
        <f>SUM(B200:E200)</f>
        <v>186</v>
      </c>
      <c r="G200" s="6">
        <v>48</v>
      </c>
      <c r="H200" s="6">
        <v>49</v>
      </c>
      <c r="I200" s="62">
        <v>49</v>
      </c>
      <c r="J200" s="17" t="s">
        <v>369</v>
      </c>
    </row>
    <row r="201">
      <c r="A201" s="36" t="s">
        <v>172</v>
      </c>
      <c r="B201" s="9" t="s">
        <v>32</v>
      </c>
      <c r="C201" s="9" t="s">
        <v>32</v>
      </c>
      <c r="D201" s="9" t="s">
        <v>32</v>
      </c>
      <c r="E201" s="9" t="s">
        <v>32</v>
      </c>
      <c r="F201" s="9" t="s">
        <v>32</v>
      </c>
      <c r="G201" s="9">
        <f>IFERROR(G200/B200-1,"n/a")</f>
        <v>0.06666666666666665</v>
      </c>
      <c r="H201" s="9">
        <f>IFERROR(H200/C200-1,"n/a")</f>
        <v>0.0888888888888888</v>
      </c>
      <c r="I201" s="29">
        <f>IFERROR(I200/D200-1,"n/a")</f>
        <v>0.02083333333333326</v>
      </c>
      <c r="J201" s="17"/>
    </row>
    <row r="202">
      <c r="A202" s="36" t="s">
        <v>196</v>
      </c>
      <c r="B202" s="31" t="s">
        <v>32</v>
      </c>
      <c r="C202" s="31">
        <f>C200-B200</f>
        <v>0</v>
      </c>
      <c r="D202" s="31">
        <f>D200-C200</f>
        <v>3</v>
      </c>
      <c r="E202" s="31">
        <f>E200-D200</f>
        <v>0</v>
      </c>
      <c r="F202" s="31" t="s">
        <v>32</v>
      </c>
      <c r="G202" s="31">
        <f>G200-E200</f>
        <v>0</v>
      </c>
      <c r="H202" s="31">
        <f>H200-G200</f>
        <v>1</v>
      </c>
      <c r="I202" s="40">
        <f>I200-H200</f>
        <v>0</v>
      </c>
      <c r="J202" s="17"/>
    </row>
    <row r="203">
      <c r="A203" s="35" t="s">
        <v>370</v>
      </c>
      <c r="B203" s="6">
        <v>63</v>
      </c>
      <c r="C203" s="6">
        <v>66</v>
      </c>
      <c r="D203" s="6">
        <v>66</v>
      </c>
      <c r="E203" s="6">
        <v>64</v>
      </c>
      <c r="F203" s="14">
        <f>SUM(B203:E203)</f>
        <v>259</v>
      </c>
      <c r="G203" s="6">
        <v>63</v>
      </c>
      <c r="H203" s="6">
        <v>68</v>
      </c>
      <c r="I203" s="62">
        <v>68</v>
      </c>
      <c r="J203" s="17" t="s">
        <v>371</v>
      </c>
    </row>
    <row r="204">
      <c r="A204" s="36" t="s">
        <v>172</v>
      </c>
      <c r="B204" s="9" t="s">
        <v>32</v>
      </c>
      <c r="C204" s="9" t="s">
        <v>32</v>
      </c>
      <c r="D204" s="9" t="s">
        <v>32</v>
      </c>
      <c r="E204" s="9" t="s">
        <v>32</v>
      </c>
      <c r="F204" s="9" t="s">
        <v>32</v>
      </c>
      <c r="G204" s="9">
        <f>IFERROR(G203/B203-1,"n/a")</f>
        <v>0</v>
      </c>
      <c r="H204" s="9">
        <f>IFERROR(H203/C203-1,"n/a")</f>
        <v>0.030303030303030276</v>
      </c>
      <c r="I204" s="29">
        <f>IFERROR(I203/D203-1,"n/a")</f>
        <v>0.030303030303030276</v>
      </c>
      <c r="J204" s="17"/>
    </row>
    <row r="205">
      <c r="A205" s="36" t="s">
        <v>196</v>
      </c>
      <c r="B205" s="31" t="s">
        <v>32</v>
      </c>
      <c r="C205" s="31">
        <f>C203-B203</f>
        <v>3</v>
      </c>
      <c r="D205" s="31">
        <f>D203-C203</f>
        <v>0</v>
      </c>
      <c r="E205" s="31">
        <f>E203-D203</f>
        <v>-2</v>
      </c>
      <c r="F205" s="31" t="s">
        <v>32</v>
      </c>
      <c r="G205" s="31">
        <f>G203-E203</f>
        <v>-1</v>
      </c>
      <c r="H205" s="31">
        <f>H203-G203</f>
        <v>5</v>
      </c>
      <c r="I205" s="40">
        <f>I203-H203</f>
        <v>0</v>
      </c>
      <c r="J205" s="17"/>
    </row>
    <row r="206">
      <c r="A206" s="35" t="s">
        <v>372</v>
      </c>
      <c r="B206" s="6">
        <v>4</v>
      </c>
      <c r="C206" s="6">
        <v>5</v>
      </c>
      <c r="D206" s="6">
        <v>4</v>
      </c>
      <c r="E206" s="6">
        <v>4</v>
      </c>
      <c r="F206" s="14">
        <f>SUM(B206:E206)</f>
        <v>17</v>
      </c>
      <c r="G206" s="6">
        <v>4</v>
      </c>
      <c r="H206" s="6">
        <v>3</v>
      </c>
      <c r="I206" s="62">
        <v>3</v>
      </c>
      <c r="J206" s="17" t="s">
        <v>369</v>
      </c>
    </row>
    <row r="207">
      <c r="A207" s="36" t="s">
        <v>172</v>
      </c>
      <c r="B207" s="9" t="s">
        <v>32</v>
      </c>
      <c r="C207" s="9" t="s">
        <v>32</v>
      </c>
      <c r="D207" s="9" t="s">
        <v>32</v>
      </c>
      <c r="E207" s="9" t="s">
        <v>32</v>
      </c>
      <c r="F207" s="9" t="s">
        <v>32</v>
      </c>
      <c r="G207" s="9">
        <f>IFERROR(G206/B206-1,"n/a")</f>
        <v>0</v>
      </c>
      <c r="H207" s="9">
        <f>IFERROR(H206/C206-1,"n/a")</f>
        <v>-0.4</v>
      </c>
      <c r="I207" s="29">
        <f>IFERROR(I206/D206-1,"n/a")</f>
        <v>-0.25</v>
      </c>
      <c r="J207" s="17"/>
    </row>
    <row r="208">
      <c r="A208" s="36" t="s">
        <v>196</v>
      </c>
      <c r="B208" s="31" t="s">
        <v>32</v>
      </c>
      <c r="C208" s="31">
        <f>C206-B206</f>
        <v>1</v>
      </c>
      <c r="D208" s="31">
        <f>D206-C206</f>
        <v>-1</v>
      </c>
      <c r="E208" s="31">
        <f>E206-D206</f>
        <v>0</v>
      </c>
      <c r="F208" s="31" t="s">
        <v>32</v>
      </c>
      <c r="G208" s="31">
        <f>G206-E206</f>
        <v>0</v>
      </c>
      <c r="H208" s="31">
        <f>H206-G206</f>
        <v>-1</v>
      </c>
      <c r="I208" s="40">
        <f>I206-H206</f>
        <v>0</v>
      </c>
      <c r="J208" s="17"/>
    </row>
    <row r="209">
      <c r="A209" s="35" t="s">
        <v>373</v>
      </c>
      <c r="B209" s="6">
        <v>91</v>
      </c>
      <c r="C209" s="6">
        <v>93</v>
      </c>
      <c r="D209" s="6">
        <v>112</v>
      </c>
      <c r="E209" s="6">
        <v>89</v>
      </c>
      <c r="F209" s="14">
        <f>SUM(B209:E209)</f>
        <v>385</v>
      </c>
      <c r="G209" s="6">
        <v>107</v>
      </c>
      <c r="H209" s="6">
        <v>105</v>
      </c>
      <c r="I209" s="62">
        <v>106</v>
      </c>
      <c r="J209" s="17" t="s">
        <v>374</v>
      </c>
    </row>
    <row r="210">
      <c r="A210" s="36" t="s">
        <v>172</v>
      </c>
      <c r="B210" s="9" t="s">
        <v>32</v>
      </c>
      <c r="C210" s="9" t="s">
        <v>32</v>
      </c>
      <c r="D210" s="9" t="s">
        <v>32</v>
      </c>
      <c r="E210" s="9" t="s">
        <v>32</v>
      </c>
      <c r="F210" s="9" t="s">
        <v>32</v>
      </c>
      <c r="G210" s="9">
        <f>IFERROR(G209/B209-1,"n/a")</f>
        <v>0.17582417582417587</v>
      </c>
      <c r="H210" s="9">
        <f>IFERROR(H209/C209-1,"n/a")</f>
        <v>0.12903225806451624</v>
      </c>
      <c r="I210" s="29">
        <f>IFERROR(I209/D209-1,"n/a")</f>
        <v>-0.0535714285714286</v>
      </c>
      <c r="J210" s="17"/>
    </row>
    <row r="211">
      <c r="A211" s="36" t="s">
        <v>196</v>
      </c>
      <c r="B211" s="31" t="s">
        <v>32</v>
      </c>
      <c r="C211" s="31">
        <f>C209-B209</f>
        <v>2</v>
      </c>
      <c r="D211" s="31">
        <f>D209-C209</f>
        <v>19</v>
      </c>
      <c r="E211" s="31">
        <f>E209-D209</f>
        <v>-23</v>
      </c>
      <c r="F211" s="31" t="s">
        <v>32</v>
      </c>
      <c r="G211" s="31">
        <f>G209-E209</f>
        <v>18</v>
      </c>
      <c r="H211" s="31">
        <f>H209-G209</f>
        <v>-2</v>
      </c>
      <c r="I211" s="40">
        <f>I209-H209</f>
        <v>1</v>
      </c>
      <c r="J211" s="17"/>
    </row>
    <row r="212">
      <c r="A212" s="65" t="s">
        <v>375</v>
      </c>
      <c r="B212" s="9">
        <f>B177/B104</f>
        <v>0.16779505946935042</v>
      </c>
      <c r="C212" s="9">
        <f>C177/C104</f>
        <v>0.1702434625788999</v>
      </c>
      <c r="D212" s="9">
        <f>D177/D104</f>
        <v>0.1707017543859649</v>
      </c>
      <c r="E212" s="9">
        <f>E177/E104</f>
        <v>0.1687127323746054</v>
      </c>
      <c r="F212" s="9">
        <f>F177/F104</f>
        <v>0.16937354988399073</v>
      </c>
      <c r="G212" s="9">
        <f>G177/G104</f>
        <v>0.17076278900418715</v>
      </c>
      <c r="H212" s="9">
        <f>H177/H104</f>
        <v>0.17023959646910466</v>
      </c>
      <c r="I212" s="29">
        <f>AVERAGE(D212,E212,G212,H212)</f>
        <v>0.17010421805846554</v>
      </c>
      <c r="J212" s="17" t="s">
        <v>376</v>
      </c>
    </row>
    <row r="213">
      <c r="A213" s="36" t="s">
        <v>214</v>
      </c>
      <c r="B213" s="61" t="s">
        <v>32</v>
      </c>
      <c r="C213" s="61" t="s">
        <v>32</v>
      </c>
      <c r="D213" s="61" t="s">
        <v>32</v>
      </c>
      <c r="E213" s="61" t="s">
        <v>32</v>
      </c>
      <c r="F213" s="61" t="s">
        <v>32</v>
      </c>
      <c r="G213" s="61">
        <f>(G212-B212)*10000</f>
        <v>29.677295348367327</v>
      </c>
      <c r="H213" s="61">
        <f>(H212-C212)*10000</f>
        <v>-0.038661097952474854</v>
      </c>
      <c r="I213" s="79">
        <f>(I212-D212)*10000</f>
        <v>-5.975363274993706</v>
      </c>
      <c r="J213" s="17"/>
    </row>
    <row r="214">
      <c r="A214" s="36" t="s">
        <v>215</v>
      </c>
      <c r="B214" s="61" t="s">
        <v>32</v>
      </c>
      <c r="C214" s="61">
        <f>(C212-B212)*10000</f>
        <v>24.484031095494963</v>
      </c>
      <c r="D214" s="61">
        <f>(D212-C212)*10000</f>
        <v>4.582918070649978</v>
      </c>
      <c r="E214" s="61">
        <f>(E212-D212)*10000</f>
        <v>-19.890220113595035</v>
      </c>
      <c r="F214" s="61" t="s">
        <v>32</v>
      </c>
      <c r="G214" s="61">
        <f>(G212-E212)*10000</f>
        <v>20.500566295817425</v>
      </c>
      <c r="H214" s="61">
        <f>(H212-G212)*10000</f>
        <v>-5.23192535082484</v>
      </c>
      <c r="I214" s="79">
        <f>(I212-H212)*10000</f>
        <v>-1.3537841063912537</v>
      </c>
      <c r="J214" s="17"/>
    </row>
    <row r="215" ht="78.75">
      <c r="A215" s="157" t="s">
        <v>377</v>
      </c>
      <c r="B215" s="122">
        <v>9</v>
      </c>
      <c r="C215" s="122">
        <v>5</v>
      </c>
      <c r="D215" s="122">
        <v>9</v>
      </c>
      <c r="E215" s="122">
        <v>5</v>
      </c>
      <c r="F215" s="126">
        <f>SUM(B215:E215)</f>
        <v>28</v>
      </c>
      <c r="G215" s="122">
        <v>8</v>
      </c>
      <c r="H215" s="122">
        <v>4</v>
      </c>
      <c r="I215" s="141" t="s">
        <v>232</v>
      </c>
      <c r="J215" s="152" t="s">
        <v>378</v>
      </c>
    </row>
    <row r="216" ht="53.25">
      <c r="A216" s="156" t="s">
        <v>379</v>
      </c>
      <c r="B216" s="120">
        <f>B174-(B104*B146+B200+B215)</f>
        <v>2.5799999999999272</v>
      </c>
      <c r="C216" s="120">
        <f>C174-(C104*C146+C200+C215)</f>
        <v>6.720000000000709</v>
      </c>
      <c r="D216" s="120">
        <f>D174-(D104*D146+D200+D215)</f>
        <v>0.0999999999994543</v>
      </c>
      <c r="E216" s="120">
        <f>E174-(E104*E146+E200+E215)</f>
        <v>2.9459999999999127</v>
      </c>
      <c r="F216" s="120">
        <f>SUM(B216:E216)</f>
        <v>12.346000000000004</v>
      </c>
      <c r="G216" s="120">
        <f>G174-(G104*G146+G200+G215)</f>
        <v>0.6509999999993852</v>
      </c>
      <c r="H216" s="120">
        <f>H174-(H104*H146+H200+H215)</f>
        <v>1.9710000000000036</v>
      </c>
      <c r="I216" s="121"/>
      <c r="J216" s="152" t="s">
        <v>380</v>
      </c>
    </row>
  </sheetData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69"/>
  <sheetViews>
    <sheetView showGridLines="0" workbookViewId="0"/>
  </sheetViews>
  <sheetFormatPr defaultColWidth="8.42578125" defaultRowHeight="15"/>
  <cols>
    <col min="1" max="1" width="37" customWidth="1"/>
    <col min="2" max="9" width="12" customWidth="1"/>
    <col min="10" max="10" width="45" customWidth="1"/>
  </cols>
  <sheetData>
    <row r="1">
      <c r="A1" s="26" t="s">
        <v>0</v>
      </c>
      <c r="B1" s="1"/>
      <c r="C1" s="1"/>
      <c r="D1" s="1"/>
      <c r="E1" s="1"/>
      <c r="F1" s="1"/>
      <c r="G1" s="1"/>
      <c r="H1" s="1"/>
      <c r="I1" s="1"/>
      <c r="J1" s="1"/>
    </row>
    <row r="2">
      <c r="A2" s="22" t="s">
        <v>381</v>
      </c>
      <c r="B2" s="1"/>
      <c r="C2" s="1"/>
      <c r="D2" s="1"/>
      <c r="E2" s="1"/>
      <c r="F2" s="1"/>
      <c r="G2" s="1"/>
      <c r="H2" s="1"/>
      <c r="I2" s="1"/>
      <c r="J2" s="1"/>
    </row>
    <row r="3">
      <c r="A3" s="11" t="s">
        <v>2</v>
      </c>
      <c r="B3" s="1"/>
      <c r="C3" s="1"/>
      <c r="D3" s="1"/>
      <c r="E3" s="1"/>
      <c r="F3" s="1"/>
      <c r="G3" s="1"/>
      <c r="H3" s="1"/>
      <c r="I3" s="1"/>
      <c r="J3" s="1"/>
    </row>
    <row r="4">
      <c r="A4" s="12" t="s">
        <v>158</v>
      </c>
      <c r="B4" s="13" t="s">
        <v>159</v>
      </c>
      <c r="C4" s="13" t="s">
        <v>160</v>
      </c>
      <c r="D4" s="13" t="s">
        <v>161</v>
      </c>
      <c r="E4" s="13" t="s">
        <v>162</v>
      </c>
      <c r="F4" s="13" t="s">
        <v>163</v>
      </c>
      <c r="G4" s="13" t="s">
        <v>164</v>
      </c>
      <c r="H4" s="13" t="s">
        <v>165</v>
      </c>
      <c r="I4" s="39" t="s">
        <v>166</v>
      </c>
      <c r="J4" s="10" t="s">
        <v>4</v>
      </c>
    </row>
    <row r="5">
      <c r="A5" s="4" t="s">
        <v>167</v>
      </c>
      <c r="B5" s="7">
        <f>DATE(2025,3,31)</f>
        <v>45747</v>
      </c>
      <c r="C5" s="7">
        <f>DATE(2025,6,30)</f>
        <v>45838</v>
      </c>
      <c r="D5" s="7">
        <f>DATE(2025,9,30)</f>
        <v>45930</v>
      </c>
      <c r="E5" s="7">
        <f>DATE(2025,12,31)</f>
        <v>46022</v>
      </c>
      <c r="F5" s="7">
        <f>DATE(2025,12,31)</f>
        <v>46022</v>
      </c>
      <c r="G5" s="7">
        <f>DATE(2026,3,31)</f>
        <v>46112</v>
      </c>
      <c r="H5" s="7">
        <f>DATE(2026,6,30)</f>
        <v>46203</v>
      </c>
      <c r="I5" s="38">
        <f>DATE(2026,9,30)</f>
        <v>46295</v>
      </c>
      <c r="J5" s="24"/>
    </row>
    <row r="6">
      <c r="A6" s="41" t="s">
        <v>168</v>
      </c>
      <c r="B6" s="20">
        <f>B5-DATE(2024,12,31)</f>
        <v>90</v>
      </c>
      <c r="C6" s="20">
        <f>C5-B5</f>
        <v>91</v>
      </c>
      <c r="D6" s="20">
        <f>D5-C5</f>
        <v>92</v>
      </c>
      <c r="E6" s="20">
        <f>E5-D5</f>
        <v>92</v>
      </c>
      <c r="F6" s="20">
        <f>F5-DATE(2024,12,31)</f>
        <v>365</v>
      </c>
      <c r="G6" s="20">
        <f>G5-E5</f>
        <v>90</v>
      </c>
      <c r="H6" s="20">
        <f>H5-G5</f>
        <v>91</v>
      </c>
      <c r="I6" s="15">
        <f>I5-H5</f>
        <v>92</v>
      </c>
      <c r="J6" s="18"/>
    </row>
    <row r="7">
      <c r="A7" s="1"/>
      <c r="B7" s="1"/>
      <c r="C7" s="1"/>
      <c r="D7" s="1"/>
      <c r="E7" s="1"/>
      <c r="F7" s="1"/>
      <c r="G7" s="1"/>
      <c r="H7" s="1"/>
      <c r="I7" s="33"/>
      <c r="J7" s="17"/>
    </row>
    <row r="8">
      <c r="A8" s="42" t="s">
        <v>382</v>
      </c>
      <c r="B8" s="8"/>
      <c r="C8" s="8"/>
      <c r="D8" s="8"/>
      <c r="E8" s="8"/>
      <c r="F8" s="8"/>
      <c r="G8" s="8"/>
      <c r="H8" s="8"/>
      <c r="I8" s="21"/>
      <c r="J8" s="17"/>
    </row>
    <row r="9" ht="27.75">
      <c r="A9" s="35" t="s">
        <v>259</v>
      </c>
      <c r="B9" s="6">
        <v>543</v>
      </c>
      <c r="C9" s="6">
        <v>586</v>
      </c>
      <c r="D9" s="6">
        <v>617</v>
      </c>
      <c r="E9" s="6">
        <v>563</v>
      </c>
      <c r="F9" s="14">
        <f>SUM(B9:E9)</f>
        <v>2309</v>
      </c>
      <c r="G9" s="14">
        <f>B25</f>
        <v>553</v>
      </c>
      <c r="H9" s="14">
        <f>C25</f>
        <v>589</v>
      </c>
      <c r="I9" s="45">
        <f>D25</f>
        <v>613</v>
      </c>
      <c r="J9" s="142" t="s">
        <v>260</v>
      </c>
    </row>
    <row r="10" ht="27.75">
      <c r="A10" s="36" t="s">
        <v>261</v>
      </c>
      <c r="B10" s="2">
        <v>0.89</v>
      </c>
      <c r="C10" s="2">
        <v>0.87</v>
      </c>
      <c r="D10" s="2">
        <v>0.87</v>
      </c>
      <c r="E10" s="2">
        <v>0.87</v>
      </c>
      <c r="F10" s="9">
        <f>SUMPRODUCT(B9:E9,B10:E10)/F9</f>
        <v>0.8747033347769596</v>
      </c>
      <c r="G10" s="2">
        <v>0.87</v>
      </c>
      <c r="H10" s="2">
        <v>0.88</v>
      </c>
      <c r="I10" s="87">
        <v>0.88</v>
      </c>
      <c r="J10" s="142" t="s">
        <v>262</v>
      </c>
    </row>
    <row r="11">
      <c r="A11" s="36" t="s">
        <v>214</v>
      </c>
      <c r="B11" s="61" t="s">
        <v>32</v>
      </c>
      <c r="C11" s="61" t="s">
        <v>32</v>
      </c>
      <c r="D11" s="61" t="s">
        <v>32</v>
      </c>
      <c r="E11" s="61" t="s">
        <v>32</v>
      </c>
      <c r="F11" s="61" t="s">
        <v>32</v>
      </c>
      <c r="G11" s="61">
        <f>(G10-B10)*10000</f>
        <v>-200.00000000000017</v>
      </c>
      <c r="H11" s="61">
        <f>(H10-C10)*10000</f>
        <v>100.00000000000009</v>
      </c>
      <c r="I11" s="79">
        <f>(I10-D10)*10000</f>
        <v>100.00000000000009</v>
      </c>
      <c r="J11" s="17"/>
    </row>
    <row r="12">
      <c r="A12" s="36" t="s">
        <v>215</v>
      </c>
      <c r="B12" s="61" t="s">
        <v>32</v>
      </c>
      <c r="C12" s="61">
        <f>(C10-B10)*10000</f>
        <v>-200.00000000000017</v>
      </c>
      <c r="D12" s="61">
        <f>(D10-C10)*10000</f>
        <v>0</v>
      </c>
      <c r="E12" s="61">
        <f>(E10-D10)*10000</f>
        <v>0</v>
      </c>
      <c r="F12" s="61" t="s">
        <v>32</v>
      </c>
      <c r="G12" s="61">
        <f>(G10-E10)*10000</f>
        <v>0</v>
      </c>
      <c r="H12" s="61">
        <f>(H10-G10)*10000</f>
        <v>100.00000000000009</v>
      </c>
      <c r="I12" s="79">
        <f>(I10-H10)*10000</f>
        <v>0</v>
      </c>
      <c r="J12" s="17"/>
    </row>
    <row r="13">
      <c r="A13" s="80" t="s">
        <v>263</v>
      </c>
      <c r="B13" s="14">
        <f>B9*B10</f>
        <v>483.27</v>
      </c>
      <c r="C13" s="14">
        <f>C9*C10</f>
        <v>509.82</v>
      </c>
      <c r="D13" s="14">
        <f>D9*D10</f>
        <v>536.79</v>
      </c>
      <c r="E13" s="14">
        <f>E9*E10</f>
        <v>489.81</v>
      </c>
      <c r="F13" s="14">
        <f>SUM(B13:E13)</f>
        <v>2019.6899999999998</v>
      </c>
      <c r="G13" s="14">
        <f>G9*G10</f>
        <v>481.11</v>
      </c>
      <c r="H13" s="14">
        <f>H9*H10</f>
        <v>518.32</v>
      </c>
      <c r="I13" s="45">
        <f>I9*I10</f>
        <v>539.44</v>
      </c>
      <c r="J13" s="17"/>
    </row>
    <row r="14" ht="27.75">
      <c r="A14" s="36" t="s">
        <v>264</v>
      </c>
      <c r="B14" s="2">
        <v>0.031</v>
      </c>
      <c r="C14" s="2">
        <v>0.034</v>
      </c>
      <c r="D14" s="2">
        <v>0.036</v>
      </c>
      <c r="E14" s="2">
        <v>0.026</v>
      </c>
      <c r="F14" s="9">
        <f>SUMPRODUCT(B13:E13,B14:E14)/F13</f>
        <v>0.03187357960875184</v>
      </c>
      <c r="G14" s="2">
        <v>0.03</v>
      </c>
      <c r="H14" s="2">
        <v>0.029</v>
      </c>
      <c r="I14" s="87">
        <v>0.029</v>
      </c>
      <c r="J14" s="142" t="s">
        <v>265</v>
      </c>
    </row>
    <row r="15">
      <c r="A15" s="36" t="s">
        <v>214</v>
      </c>
      <c r="B15" s="61" t="s">
        <v>32</v>
      </c>
      <c r="C15" s="61" t="s">
        <v>32</v>
      </c>
      <c r="D15" s="61" t="s">
        <v>32</v>
      </c>
      <c r="E15" s="61" t="s">
        <v>32</v>
      </c>
      <c r="F15" s="61" t="s">
        <v>32</v>
      </c>
      <c r="G15" s="61">
        <f>(G14-B14)*10000</f>
        <v>-10.000000000000009</v>
      </c>
      <c r="H15" s="61">
        <f>(H14-C14)*10000</f>
        <v>-50.00000000000001</v>
      </c>
      <c r="I15" s="79">
        <f>(I14-D14)*10000</f>
        <v>-69.99999999999996</v>
      </c>
      <c r="J15" s="17"/>
    </row>
    <row r="16">
      <c r="A16" s="36" t="s">
        <v>215</v>
      </c>
      <c r="B16" s="61" t="s">
        <v>32</v>
      </c>
      <c r="C16" s="61">
        <f>(C14-B14)*10000</f>
        <v>30.00000000000003</v>
      </c>
      <c r="D16" s="61">
        <f>(D14-C14)*10000</f>
        <v>19.999999999999947</v>
      </c>
      <c r="E16" s="61">
        <f>(E14-D14)*10000</f>
        <v>-99.99999999999999</v>
      </c>
      <c r="F16" s="61" t="s">
        <v>32</v>
      </c>
      <c r="G16" s="61">
        <f>(G14-E14)*10000</f>
        <v>40</v>
      </c>
      <c r="H16" s="61">
        <f>(H14-G14)*10000</f>
        <v>-9.999999999999973</v>
      </c>
      <c r="I16" s="79">
        <f>(I14-H14)*10000</f>
        <v>0</v>
      </c>
      <c r="J16" s="17"/>
    </row>
    <row r="17">
      <c r="A17" s="80" t="s">
        <v>266</v>
      </c>
      <c r="B17" s="14">
        <f>B13*(1+B14)</f>
        <v>498.25136999999995</v>
      </c>
      <c r="C17" s="14">
        <f>C13*(1+C14)</f>
        <v>527.15388</v>
      </c>
      <c r="D17" s="14">
        <f>D13*(1+D14)</f>
        <v>556.11444</v>
      </c>
      <c r="E17" s="14">
        <f>E13*(1+E14)</f>
        <v>502.54506000000003</v>
      </c>
      <c r="F17" s="14">
        <f>SUM(B17:E17)</f>
        <v>2084.06475</v>
      </c>
      <c r="G17" s="14">
        <f>G13*(1+G14)</f>
        <v>495.54330000000004</v>
      </c>
      <c r="H17" s="14">
        <f>H13*(1+H14)</f>
        <v>533.35128</v>
      </c>
      <c r="I17" s="45">
        <f>I13*(1+I14)</f>
        <v>555.08376</v>
      </c>
      <c r="J17" s="17"/>
    </row>
    <row r="18" ht="66">
      <c r="A18" s="80" t="s">
        <v>267</v>
      </c>
      <c r="B18" s="6">
        <v>71</v>
      </c>
      <c r="C18" s="6">
        <v>71</v>
      </c>
      <c r="D18" s="6">
        <v>71</v>
      </c>
      <c r="E18" s="6">
        <v>60</v>
      </c>
      <c r="F18" s="14">
        <f>SUM(B18:E18)</f>
        <v>273</v>
      </c>
      <c r="G18" s="6">
        <v>67</v>
      </c>
      <c r="H18" s="6">
        <v>77</v>
      </c>
      <c r="I18" s="62">
        <v>72</v>
      </c>
      <c r="J18" s="142" t="s">
        <v>383</v>
      </c>
    </row>
    <row r="19">
      <c r="A19" s="36" t="s">
        <v>172</v>
      </c>
      <c r="B19" s="9" t="s">
        <v>32</v>
      </c>
      <c r="C19" s="9" t="s">
        <v>32</v>
      </c>
      <c r="D19" s="9" t="s">
        <v>32</v>
      </c>
      <c r="E19" s="9" t="s">
        <v>32</v>
      </c>
      <c r="F19" s="9" t="s">
        <v>32</v>
      </c>
      <c r="G19" s="9">
        <f>IFERROR(G18/B18-1,"n/a")</f>
        <v>-0.05633802816901412</v>
      </c>
      <c r="H19" s="9">
        <f>IFERROR(H18/C18-1,"n/a")</f>
        <v>0.08450704225352124</v>
      </c>
      <c r="I19" s="29">
        <f>IFERROR(I18/D18-1,"n/a")</f>
        <v>0.014084507042253502</v>
      </c>
      <c r="J19" s="17"/>
    </row>
    <row r="20">
      <c r="A20" s="36" t="s">
        <v>196</v>
      </c>
      <c r="B20" s="31" t="s">
        <v>32</v>
      </c>
      <c r="C20" s="31">
        <f>C18-B18</f>
        <v>0</v>
      </c>
      <c r="D20" s="31">
        <f>D18-C18</f>
        <v>0</v>
      </c>
      <c r="E20" s="31">
        <f>E18-D18</f>
        <v>-11</v>
      </c>
      <c r="F20" s="31" t="s">
        <v>32</v>
      </c>
      <c r="G20" s="31">
        <f>G18-E18</f>
        <v>7</v>
      </c>
      <c r="H20" s="31">
        <f>H18-G18</f>
        <v>10</v>
      </c>
      <c r="I20" s="40">
        <f>I18-H18</f>
        <v>-5</v>
      </c>
      <c r="J20" s="17"/>
    </row>
    <row r="21">
      <c r="A21" s="88" t="s">
        <v>269</v>
      </c>
      <c r="B21" s="30">
        <f>B17+B18</f>
        <v>569.25137</v>
      </c>
      <c r="C21" s="30">
        <f>C17+C18</f>
        <v>598.15388</v>
      </c>
      <c r="D21" s="30">
        <f>D17+D18</f>
        <v>627.11444</v>
      </c>
      <c r="E21" s="30">
        <f>E17+E18</f>
        <v>562.54506</v>
      </c>
      <c r="F21" s="30">
        <f>F17+F18</f>
        <v>2357.06475</v>
      </c>
      <c r="G21" s="30">
        <f>G17+G18</f>
        <v>562.5433</v>
      </c>
      <c r="H21" s="30">
        <f>H17+H18</f>
        <v>610.35128</v>
      </c>
      <c r="I21" s="44">
        <f>I17+I18</f>
        <v>627.08376</v>
      </c>
      <c r="J21" s="17"/>
    </row>
    <row r="22">
      <c r="A22" s="36" t="s">
        <v>270</v>
      </c>
      <c r="B22" s="9">
        <f>B25/B21-1</f>
        <v>-0.02854867086222379</v>
      </c>
      <c r="C22" s="9">
        <f>C25/C21-1</f>
        <v>-0.015303553660807045</v>
      </c>
      <c r="D22" s="9">
        <f>D25/D21-1</f>
        <v>-0.022506960611527238</v>
      </c>
      <c r="E22" s="9">
        <f>E25/E21-1</f>
        <v>0.015029800457229125</v>
      </c>
      <c r="F22" s="9">
        <f>F25/F21-1</f>
        <v>-0.013179421566590355</v>
      </c>
      <c r="G22" s="9">
        <f>G25/G21-1</f>
        <v>0.016810617067166023</v>
      </c>
      <c r="H22" s="9">
        <f>H25/H21-1</f>
        <v>0.00106286333994432</v>
      </c>
      <c r="I22" s="29">
        <f>AVERAGE(D22,E22,G22,H22)</f>
        <v>0.0025990800632030575</v>
      </c>
      <c r="J22" s="17" t="s">
        <v>271</v>
      </c>
    </row>
    <row r="23">
      <c r="A23" s="36" t="s">
        <v>214</v>
      </c>
      <c r="B23" s="61" t="s">
        <v>32</v>
      </c>
      <c r="C23" s="61" t="s">
        <v>32</v>
      </c>
      <c r="D23" s="61" t="s">
        <v>32</v>
      </c>
      <c r="E23" s="61" t="s">
        <v>32</v>
      </c>
      <c r="F23" s="61" t="s">
        <v>32</v>
      </c>
      <c r="G23" s="61">
        <f>(G22-B22)*10000</f>
        <v>453.59287929389814</v>
      </c>
      <c r="H23" s="61">
        <f>(H22-C22)*10000</f>
        <v>163.66417000751366</v>
      </c>
      <c r="I23" s="79">
        <f>(I22-D22)*10000</f>
        <v>251.06040674730295</v>
      </c>
      <c r="J23" s="17"/>
    </row>
    <row r="24">
      <c r="A24" s="36" t="s">
        <v>215</v>
      </c>
      <c r="B24" s="61" t="s">
        <v>32</v>
      </c>
      <c r="C24" s="61">
        <f>(C22-B22)*10000</f>
        <v>132.45117201416744</v>
      </c>
      <c r="D24" s="61">
        <f>(D22-C22)*10000</f>
        <v>-72.03406950720192</v>
      </c>
      <c r="E24" s="61">
        <f>(E22-D22)*10000</f>
        <v>375.3676106875636</v>
      </c>
      <c r="F24" s="61" t="s">
        <v>32</v>
      </c>
      <c r="G24" s="61">
        <f>(G22-E22)*10000</f>
        <v>17.80816609936897</v>
      </c>
      <c r="H24" s="61">
        <f>(H22-G22)*10000</f>
        <v>-157.47753727221703</v>
      </c>
      <c r="I24" s="79">
        <f>(I22-H22)*10000</f>
        <v>15.362167232587376</v>
      </c>
      <c r="J24" s="17"/>
    </row>
    <row r="25">
      <c r="A25" s="88" t="s">
        <v>384</v>
      </c>
      <c r="B25" s="64">
        <v>553</v>
      </c>
      <c r="C25" s="64">
        <v>589</v>
      </c>
      <c r="D25" s="64">
        <v>613</v>
      </c>
      <c r="E25" s="64">
        <v>571</v>
      </c>
      <c r="F25" s="30">
        <f>SUM(B25:E25)</f>
        <v>2326</v>
      </c>
      <c r="G25" s="64">
        <v>572</v>
      </c>
      <c r="H25" s="64">
        <v>611</v>
      </c>
      <c r="I25" s="44">
        <f>I21*(1+I22)</f>
        <v>628.7136008985743</v>
      </c>
      <c r="J25" s="17" t="s">
        <v>273</v>
      </c>
    </row>
    <row r="26">
      <c r="A26" s="36" t="s">
        <v>172</v>
      </c>
      <c r="B26" s="9">
        <f>IFERROR(B25/B9-1,"n/a")</f>
        <v>0.018416206261510082</v>
      </c>
      <c r="C26" s="9">
        <f>IFERROR(C25/C9-1,"n/a")</f>
        <v>0.005119453924914641</v>
      </c>
      <c r="D26" s="9">
        <f>IFERROR(D25/D9-1,"n/a")</f>
        <v>-0.00648298217179899</v>
      </c>
      <c r="E26" s="9">
        <f>IFERROR(E25/E9-1,"n/a")</f>
        <v>0.014209591474245054</v>
      </c>
      <c r="F26" s="9">
        <f>IFERROR(F25/F9-1,"n/a")</f>
        <v>0.007362494586401036</v>
      </c>
      <c r="G26" s="9">
        <f>IFERROR(G25/G9-1,"n/a")</f>
        <v>0.03435804701627476</v>
      </c>
      <c r="H26" s="9">
        <f>IFERROR(H25/H9-1,"n/a")</f>
        <v>0.03735144312393879</v>
      </c>
      <c r="I26" s="29">
        <f>IFERROR(I25/I9-1,"n/a")</f>
        <v>0.025633932950365867</v>
      </c>
      <c r="J26" s="17"/>
    </row>
    <row r="27">
      <c r="A27" s="36" t="s">
        <v>196</v>
      </c>
      <c r="B27" s="31" t="s">
        <v>32</v>
      </c>
      <c r="C27" s="31">
        <f>C25-B25</f>
        <v>36</v>
      </c>
      <c r="D27" s="31">
        <f>D25-C25</f>
        <v>24</v>
      </c>
      <c r="E27" s="31">
        <f>E25-D25</f>
        <v>-42</v>
      </c>
      <c r="F27" s="31" t="s">
        <v>32</v>
      </c>
      <c r="G27" s="31">
        <f>G25-E25</f>
        <v>1</v>
      </c>
      <c r="H27" s="31">
        <f>H25-G25</f>
        <v>39</v>
      </c>
      <c r="I27" s="40">
        <f>I25-H25</f>
        <v>17.713600898574327</v>
      </c>
      <c r="J27" s="17"/>
    </row>
    <row r="28" ht="40.5">
      <c r="A28" s="35" t="s">
        <v>385</v>
      </c>
      <c r="B28" s="6">
        <v>333</v>
      </c>
      <c r="C28" s="6">
        <v>342</v>
      </c>
      <c r="D28" s="6">
        <v>342</v>
      </c>
      <c r="E28" s="6">
        <v>337</v>
      </c>
      <c r="F28" s="14">
        <f>SUM(B28:E28)</f>
        <v>1354</v>
      </c>
      <c r="G28" s="6">
        <v>381</v>
      </c>
      <c r="H28" s="6">
        <v>480</v>
      </c>
      <c r="I28" s="45">
        <f>D28*(1+I29)</f>
        <v>410.4</v>
      </c>
      <c r="J28" s="142" t="s">
        <v>386</v>
      </c>
    </row>
    <row r="29">
      <c r="A29" s="36" t="s">
        <v>172</v>
      </c>
      <c r="B29" s="9" t="s">
        <v>32</v>
      </c>
      <c r="C29" s="9" t="s">
        <v>32</v>
      </c>
      <c r="D29" s="9" t="s">
        <v>32</v>
      </c>
      <c r="E29" s="9" t="s">
        <v>32</v>
      </c>
      <c r="F29" s="9" t="s">
        <v>32</v>
      </c>
      <c r="G29" s="9">
        <f>IFERROR(G28/B28-1,"n/a")</f>
        <v>0.14414414414414423</v>
      </c>
      <c r="H29" s="9">
        <f>IFERROR(H28/C28-1,"n/a")</f>
        <v>0.4035087719298245</v>
      </c>
      <c r="I29" s="87">
        <v>0.2</v>
      </c>
      <c r="J29" s="17" t="s">
        <v>277</v>
      </c>
    </row>
    <row r="30">
      <c r="A30" s="36" t="s">
        <v>196</v>
      </c>
      <c r="B30" s="31" t="s">
        <v>32</v>
      </c>
      <c r="C30" s="31">
        <f>C28-B28</f>
        <v>9</v>
      </c>
      <c r="D30" s="31">
        <f>D28-C28</f>
        <v>0</v>
      </c>
      <c r="E30" s="31">
        <f>E28-D28</f>
        <v>-5</v>
      </c>
      <c r="F30" s="31" t="s">
        <v>32</v>
      </c>
      <c r="G30" s="31">
        <f>G28-E28</f>
        <v>44</v>
      </c>
      <c r="H30" s="31">
        <f>H28-G28</f>
        <v>99</v>
      </c>
      <c r="I30" s="40">
        <f>I28-H28</f>
        <v>-69.60000000000002</v>
      </c>
      <c r="J30" s="17"/>
    </row>
    <row r="31">
      <c r="A31" s="22" t="s">
        <v>280</v>
      </c>
      <c r="B31" s="30">
        <f>B25+B28</f>
        <v>886</v>
      </c>
      <c r="C31" s="30">
        <f>C25+C28</f>
        <v>931</v>
      </c>
      <c r="D31" s="30">
        <f>D25+D28</f>
        <v>955</v>
      </c>
      <c r="E31" s="30">
        <f>E25+E28</f>
        <v>908</v>
      </c>
      <c r="F31" s="30">
        <f>F25+F28</f>
        <v>3680</v>
      </c>
      <c r="G31" s="30">
        <f>G25+G28</f>
        <v>953</v>
      </c>
      <c r="H31" s="30">
        <f>H25+H28</f>
        <v>1091</v>
      </c>
      <c r="I31" s="44">
        <f>I25+I28</f>
        <v>1039.1136008985743</v>
      </c>
      <c r="J31" s="17"/>
    </row>
    <row r="32">
      <c r="A32" s="36" t="s">
        <v>172</v>
      </c>
      <c r="B32" s="9" t="s">
        <v>32</v>
      </c>
      <c r="C32" s="9" t="s">
        <v>32</v>
      </c>
      <c r="D32" s="9" t="s">
        <v>32</v>
      </c>
      <c r="E32" s="9" t="s">
        <v>32</v>
      </c>
      <c r="F32" s="9" t="s">
        <v>32</v>
      </c>
      <c r="G32" s="9">
        <f>IFERROR(G31/B31-1,"n/a")</f>
        <v>0.07562076749435676</v>
      </c>
      <c r="H32" s="9">
        <f>IFERROR(H31/C31-1,"n/a")</f>
        <v>0.171858216970999</v>
      </c>
      <c r="I32" s="29">
        <f>IFERROR(I31/D31-1,"n/a")</f>
        <v>0.08807706900374268</v>
      </c>
      <c r="J32" s="17"/>
    </row>
    <row r="33">
      <c r="A33" s="36" t="s">
        <v>196</v>
      </c>
      <c r="B33" s="31" t="s">
        <v>32</v>
      </c>
      <c r="C33" s="31">
        <f>C31-B31</f>
        <v>45</v>
      </c>
      <c r="D33" s="31">
        <f>D31-C31</f>
        <v>24</v>
      </c>
      <c r="E33" s="31">
        <f>E31-D31</f>
        <v>-47</v>
      </c>
      <c r="F33" s="31" t="s">
        <v>32</v>
      </c>
      <c r="G33" s="31">
        <f>G31-E31</f>
        <v>45</v>
      </c>
      <c r="H33" s="31">
        <f>H31-G31</f>
        <v>138</v>
      </c>
      <c r="I33" s="40">
        <f>I31-H31</f>
        <v>-51.886399101425695</v>
      </c>
      <c r="J33" s="17"/>
    </row>
    <row r="34">
      <c r="A34" s="80" t="s">
        <v>281</v>
      </c>
      <c r="B34" s="6">
        <v>10</v>
      </c>
      <c r="C34" s="6">
        <v>16</v>
      </c>
      <c r="D34" s="6">
        <v>14</v>
      </c>
      <c r="E34" s="6">
        <v>16</v>
      </c>
      <c r="F34" s="14">
        <f>SUM(B34:E34)</f>
        <v>56</v>
      </c>
      <c r="G34" s="6">
        <v>0</v>
      </c>
      <c r="H34" s="6">
        <v>0</v>
      </c>
      <c r="I34" s="62">
        <v>0</v>
      </c>
      <c r="J34" s="17" t="s">
        <v>387</v>
      </c>
    </row>
    <row r="35">
      <c r="A35" s="35" t="s">
        <v>283</v>
      </c>
      <c r="B35" s="6">
        <v>113</v>
      </c>
      <c r="C35" s="6">
        <v>154</v>
      </c>
      <c r="D35" s="6">
        <v>125</v>
      </c>
      <c r="E35" s="6">
        <v>190</v>
      </c>
      <c r="F35" s="14">
        <f>SUM(B35:E35)</f>
        <v>582</v>
      </c>
      <c r="G35" s="6">
        <v>113</v>
      </c>
      <c r="H35" s="6">
        <v>146</v>
      </c>
      <c r="I35" s="45">
        <f>(D35-D34)*(1+I38)</f>
        <v>117.66000000000001</v>
      </c>
      <c r="J35" s="17" t="s">
        <v>388</v>
      </c>
    </row>
    <row r="36">
      <c r="A36" s="36" t="s">
        <v>172</v>
      </c>
      <c r="B36" s="9" t="s">
        <v>32</v>
      </c>
      <c r="C36" s="9" t="s">
        <v>32</v>
      </c>
      <c r="D36" s="9" t="s">
        <v>32</v>
      </c>
      <c r="E36" s="9" t="s">
        <v>32</v>
      </c>
      <c r="F36" s="9" t="s">
        <v>32</v>
      </c>
      <c r="G36" s="9">
        <f>IFERROR(G35/B35-1,"n/a")</f>
        <v>0</v>
      </c>
      <c r="H36" s="9">
        <f>IFERROR(H35/C35-1,"n/a")</f>
        <v>-0.051948051948051965</v>
      </c>
      <c r="I36" s="29">
        <f>IFERROR(I35/D35-1,"n/a")</f>
        <v>-0.05871999999999988</v>
      </c>
      <c r="J36" s="17"/>
    </row>
    <row r="37">
      <c r="A37" s="36" t="s">
        <v>196</v>
      </c>
      <c r="B37" s="31" t="s">
        <v>32</v>
      </c>
      <c r="C37" s="31">
        <f>C35-B35</f>
        <v>41</v>
      </c>
      <c r="D37" s="31">
        <f>D35-C35</f>
        <v>-29</v>
      </c>
      <c r="E37" s="31">
        <f>E35-D35</f>
        <v>65</v>
      </c>
      <c r="F37" s="31" t="s">
        <v>32</v>
      </c>
      <c r="G37" s="31">
        <f>G35-E35</f>
        <v>-77</v>
      </c>
      <c r="H37" s="31">
        <f>H35-G35</f>
        <v>33</v>
      </c>
      <c r="I37" s="40">
        <f>I35-H35</f>
        <v>-28.33999999999999</v>
      </c>
      <c r="J37" s="17"/>
    </row>
    <row r="38">
      <c r="A38" s="36" t="s">
        <v>285</v>
      </c>
      <c r="B38" s="9"/>
      <c r="C38" s="9"/>
      <c r="D38" s="9"/>
      <c r="E38" s="9"/>
      <c r="F38" s="9"/>
      <c r="G38" s="9">
        <f>G35/(B35-B34)-1</f>
        <v>0.09708737864077666</v>
      </c>
      <c r="H38" s="9">
        <f>H35/(C35-C34)-1</f>
        <v>0.05797101449275366</v>
      </c>
      <c r="I38" s="87">
        <v>0.06</v>
      </c>
      <c r="J38" s="17" t="s">
        <v>389</v>
      </c>
    </row>
    <row r="39">
      <c r="A39" s="22" t="s">
        <v>287</v>
      </c>
      <c r="B39" s="30">
        <f>B31+B35</f>
        <v>999</v>
      </c>
      <c r="C39" s="30">
        <f>C31+C35</f>
        <v>1085</v>
      </c>
      <c r="D39" s="30">
        <f>D31+D35</f>
        <v>1080</v>
      </c>
      <c r="E39" s="30">
        <f>E31+E35</f>
        <v>1098</v>
      </c>
      <c r="F39" s="30">
        <f>F31+F35</f>
        <v>4262</v>
      </c>
      <c r="G39" s="30">
        <f>G31+G35</f>
        <v>1066</v>
      </c>
      <c r="H39" s="30">
        <f>H31+H35</f>
        <v>1237</v>
      </c>
      <c r="I39" s="44">
        <f>I31+I35</f>
        <v>1156.7736008985744</v>
      </c>
      <c r="J39" s="17"/>
    </row>
    <row r="40">
      <c r="A40" s="36" t="s">
        <v>187</v>
      </c>
      <c r="B40" s="9">
        <f>IFERROR(B39/B43-1,"n/a")</f>
        <v>0.05938494167550368</v>
      </c>
      <c r="C40" s="9">
        <f>IFERROR(C39/C43-1,"n/a")</f>
        <v>0.04326923076923084</v>
      </c>
      <c r="D40" s="9">
        <f>IFERROR(D39/D43-1,"n/a")</f>
        <v>0.00746268656716409</v>
      </c>
      <c r="E40" s="9">
        <f>IFERROR(E39/E43-1,"n/a")</f>
        <v>0.04174573055028463</v>
      </c>
      <c r="F40" s="9">
        <f>IFERROR(F39/F43-1,"n/a")</f>
        <v>0.03723533706497939</v>
      </c>
      <c r="G40" s="9">
        <f>IFERROR(G39/G43-1,"n/a")</f>
        <v>0.067067067067067</v>
      </c>
      <c r="H40" s="9">
        <f>IFERROR(H39/H43-1,"n/a")</f>
        <v>0.14009216589861762</v>
      </c>
      <c r="I40" s="29">
        <f>IFERROR(I39/I43-1,"n/a")</f>
        <v>0.07108666749868009</v>
      </c>
      <c r="J40" s="17"/>
    </row>
    <row r="41">
      <c r="A41" s="36" t="s">
        <v>196</v>
      </c>
      <c r="B41" s="31" t="s">
        <v>32</v>
      </c>
      <c r="C41" s="31">
        <f>C39-B39</f>
        <v>86</v>
      </c>
      <c r="D41" s="31">
        <f>D39-C39</f>
        <v>-5</v>
      </c>
      <c r="E41" s="31">
        <f>E39-D39</f>
        <v>18</v>
      </c>
      <c r="F41" s="31" t="s">
        <v>32</v>
      </c>
      <c r="G41" s="31">
        <f>G39-E39</f>
        <v>-32</v>
      </c>
      <c r="H41" s="31">
        <f>H39-G39</f>
        <v>171</v>
      </c>
      <c r="I41" s="40">
        <f>I39-H39</f>
        <v>-80.22639910142561</v>
      </c>
      <c r="J41" s="17"/>
    </row>
    <row r="42">
      <c r="A42" s="36" t="s">
        <v>288</v>
      </c>
      <c r="B42" s="9"/>
      <c r="C42" s="9"/>
      <c r="D42" s="9"/>
      <c r="E42" s="9"/>
      <c r="F42" s="9"/>
      <c r="G42" s="9">
        <f>G39/(B39-B34)-1</f>
        <v>0.0778564206268959</v>
      </c>
      <c r="H42" s="9">
        <f>H39/(C39-C34)-1</f>
        <v>0.15715622076707203</v>
      </c>
      <c r="I42" s="29">
        <f>I39/(D39-D34)-1</f>
        <v>0.08515347176226484</v>
      </c>
      <c r="J42" s="17"/>
    </row>
    <row r="43">
      <c r="A43" s="35" t="s">
        <v>289</v>
      </c>
      <c r="B43" s="6">
        <v>943</v>
      </c>
      <c r="C43" s="6">
        <v>1040</v>
      </c>
      <c r="D43" s="6">
        <v>1072</v>
      </c>
      <c r="E43" s="6">
        <v>1054</v>
      </c>
      <c r="F43" s="14">
        <f>SUM(B43:E43)</f>
        <v>4109</v>
      </c>
      <c r="G43" s="14">
        <f>B39</f>
        <v>999</v>
      </c>
      <c r="H43" s="14">
        <f>C39</f>
        <v>1085</v>
      </c>
      <c r="I43" s="45">
        <f>D39</f>
        <v>1080</v>
      </c>
      <c r="J43" s="17" t="s">
        <v>210</v>
      </c>
    </row>
    <row r="44">
      <c r="A44" s="42" t="s">
        <v>290</v>
      </c>
      <c r="B44" s="8"/>
      <c r="C44" s="8"/>
      <c r="D44" s="8"/>
      <c r="E44" s="8"/>
      <c r="F44" s="8"/>
      <c r="G44" s="8"/>
      <c r="H44" s="8"/>
      <c r="I44" s="21"/>
      <c r="J44" s="17"/>
    </row>
    <row r="45">
      <c r="A45" s="35" t="s">
        <v>390</v>
      </c>
      <c r="B45" s="6">
        <v>394</v>
      </c>
      <c r="C45" s="6">
        <v>400</v>
      </c>
      <c r="D45" s="6">
        <v>407</v>
      </c>
      <c r="E45" s="6">
        <v>395</v>
      </c>
      <c r="F45" s="14">
        <f>SUM(B45:E45)</f>
        <v>1596</v>
      </c>
      <c r="G45" s="6">
        <v>447</v>
      </c>
      <c r="H45" s="6">
        <v>536</v>
      </c>
      <c r="I45" s="45">
        <f>D45*(1+I46)</f>
        <v>476.19</v>
      </c>
      <c r="J45" s="17" t="s">
        <v>391</v>
      </c>
    </row>
    <row r="46">
      <c r="A46" s="36" t="s">
        <v>172</v>
      </c>
      <c r="B46" s="9" t="s">
        <v>32</v>
      </c>
      <c r="C46" s="9" t="s">
        <v>32</v>
      </c>
      <c r="D46" s="9" t="s">
        <v>32</v>
      </c>
      <c r="E46" s="9" t="s">
        <v>32</v>
      </c>
      <c r="F46" s="9" t="s">
        <v>32</v>
      </c>
      <c r="G46" s="9">
        <f>IFERROR(G45/B45-1,"n/a")</f>
        <v>0.13451776649746194</v>
      </c>
      <c r="H46" s="9">
        <f>IFERROR(H45/C45-1,"n/a")</f>
        <v>0.3400000000000001</v>
      </c>
      <c r="I46" s="87">
        <v>0.17</v>
      </c>
      <c r="J46" s="17" t="s">
        <v>277</v>
      </c>
    </row>
    <row r="47">
      <c r="A47" s="36" t="s">
        <v>196</v>
      </c>
      <c r="B47" s="31" t="s">
        <v>32</v>
      </c>
      <c r="C47" s="31">
        <f>C45-B45</f>
        <v>6</v>
      </c>
      <c r="D47" s="31">
        <f>D45-C45</f>
        <v>7</v>
      </c>
      <c r="E47" s="31">
        <f>E45-D45</f>
        <v>-12</v>
      </c>
      <c r="F47" s="31" t="s">
        <v>32</v>
      </c>
      <c r="G47" s="31">
        <f>G45-E45</f>
        <v>52</v>
      </c>
      <c r="H47" s="31">
        <f>H45-G45</f>
        <v>89</v>
      </c>
      <c r="I47" s="40">
        <f>I45-H45</f>
        <v>-59.81</v>
      </c>
      <c r="J47" s="17"/>
    </row>
    <row r="48">
      <c r="A48" s="35" t="s">
        <v>295</v>
      </c>
      <c r="B48" s="6">
        <v>440</v>
      </c>
      <c r="C48" s="6">
        <v>469</v>
      </c>
      <c r="D48" s="6">
        <v>475</v>
      </c>
      <c r="E48" s="6">
        <v>458</v>
      </c>
      <c r="F48" s="14">
        <f>SUM(B48:E48)</f>
        <v>1842</v>
      </c>
      <c r="G48" s="6">
        <v>455</v>
      </c>
      <c r="H48" s="6">
        <v>491</v>
      </c>
      <c r="I48" s="45">
        <f>D48*(1+I49)</f>
        <v>494</v>
      </c>
      <c r="J48" s="17" t="s">
        <v>391</v>
      </c>
    </row>
    <row r="49">
      <c r="A49" s="36" t="s">
        <v>172</v>
      </c>
      <c r="B49" s="9" t="s">
        <v>32</v>
      </c>
      <c r="C49" s="9" t="s">
        <v>32</v>
      </c>
      <c r="D49" s="9" t="s">
        <v>32</v>
      </c>
      <c r="E49" s="9" t="s">
        <v>32</v>
      </c>
      <c r="F49" s="9" t="s">
        <v>32</v>
      </c>
      <c r="G49" s="9">
        <f>IFERROR(G48/B48-1,"n/a")</f>
        <v>0.03409090909090917</v>
      </c>
      <c r="H49" s="9">
        <f>IFERROR(H48/C48-1,"n/a")</f>
        <v>0.046908315565032055</v>
      </c>
      <c r="I49" s="87">
        <v>0.04</v>
      </c>
      <c r="J49" s="17" t="s">
        <v>277</v>
      </c>
    </row>
    <row r="50">
      <c r="A50" s="36" t="s">
        <v>196</v>
      </c>
      <c r="B50" s="31" t="s">
        <v>32</v>
      </c>
      <c r="C50" s="31">
        <f>C48-B48</f>
        <v>29</v>
      </c>
      <c r="D50" s="31">
        <f>D48-C48</f>
        <v>6</v>
      </c>
      <c r="E50" s="31">
        <f>E48-D48</f>
        <v>-17</v>
      </c>
      <c r="F50" s="31" t="s">
        <v>32</v>
      </c>
      <c r="G50" s="31">
        <f>G48-E48</f>
        <v>-3</v>
      </c>
      <c r="H50" s="31">
        <f>H48-G48</f>
        <v>36</v>
      </c>
      <c r="I50" s="40">
        <f>I48-H48</f>
        <v>3</v>
      </c>
      <c r="J50" s="17"/>
    </row>
    <row r="51">
      <c r="A51" s="35" t="s">
        <v>297</v>
      </c>
      <c r="B51" s="6">
        <v>52</v>
      </c>
      <c r="C51" s="6">
        <v>62</v>
      </c>
      <c r="D51" s="6">
        <v>73</v>
      </c>
      <c r="E51" s="6">
        <v>55</v>
      </c>
      <c r="F51" s="14">
        <f>SUM(B51:E51)</f>
        <v>242</v>
      </c>
      <c r="G51" s="6">
        <v>51</v>
      </c>
      <c r="H51" s="6">
        <v>64</v>
      </c>
      <c r="I51" s="45">
        <f>I31-I45-I48</f>
        <v>68.92360089857425</v>
      </c>
      <c r="J51" s="17" t="s">
        <v>388</v>
      </c>
    </row>
    <row r="52">
      <c r="A52" s="36" t="s">
        <v>196</v>
      </c>
      <c r="B52" s="31" t="s">
        <v>32</v>
      </c>
      <c r="C52" s="31">
        <f>C51-B51</f>
        <v>10</v>
      </c>
      <c r="D52" s="31">
        <f>D51-C51</f>
        <v>11</v>
      </c>
      <c r="E52" s="31">
        <f>E51-D51</f>
        <v>-18</v>
      </c>
      <c r="F52" s="31" t="s">
        <v>32</v>
      </c>
      <c r="G52" s="31">
        <f>G51-E51</f>
        <v>-4</v>
      </c>
      <c r="H52" s="31">
        <f>H51-G51</f>
        <v>13</v>
      </c>
      <c r="I52" s="40">
        <f>I51-H51</f>
        <v>4.92360089857425</v>
      </c>
      <c r="J52" s="17"/>
    </row>
    <row r="53">
      <c r="A53" s="22" t="s">
        <v>299</v>
      </c>
      <c r="B53" s="30">
        <f>B45+B48+B51</f>
        <v>886</v>
      </c>
      <c r="C53" s="30">
        <f>C45+C48+C51</f>
        <v>931</v>
      </c>
      <c r="D53" s="30">
        <f>D45+D48+D51</f>
        <v>955</v>
      </c>
      <c r="E53" s="30">
        <f>E45+E48+E51</f>
        <v>908</v>
      </c>
      <c r="F53" s="30">
        <f>F45+F48+F51</f>
        <v>3680</v>
      </c>
      <c r="G53" s="30">
        <f>G45+G48+G51</f>
        <v>953</v>
      </c>
      <c r="H53" s="30">
        <f>H45+H48+H51</f>
        <v>1091</v>
      </c>
      <c r="I53" s="44">
        <f>I45+I48+I51</f>
        <v>1039.1136008985743</v>
      </c>
      <c r="J53" s="17"/>
    </row>
    <row r="54">
      <c r="A54" s="22" t="s">
        <v>300</v>
      </c>
      <c r="B54" s="30">
        <f>B53+B35</f>
        <v>999</v>
      </c>
      <c r="C54" s="30">
        <f>C53+C35</f>
        <v>1085</v>
      </c>
      <c r="D54" s="30">
        <f>D53+D35</f>
        <v>1080</v>
      </c>
      <c r="E54" s="30">
        <f>E53+E35</f>
        <v>1098</v>
      </c>
      <c r="F54" s="30">
        <f>F53+F35</f>
        <v>4262</v>
      </c>
      <c r="G54" s="30">
        <f>G53+G35</f>
        <v>1066</v>
      </c>
      <c r="H54" s="30">
        <f>H53+H35</f>
        <v>1237</v>
      </c>
      <c r="I54" s="44">
        <f>I53+I35</f>
        <v>1156.7736008985744</v>
      </c>
      <c r="J54" s="17"/>
    </row>
    <row r="55">
      <c r="A55" s="36" t="s">
        <v>301</v>
      </c>
      <c r="B55" s="31">
        <f>B54-B39</f>
        <v>0</v>
      </c>
      <c r="C55" s="31">
        <f>C54-C39</f>
        <v>0</v>
      </c>
      <c r="D55" s="31">
        <f>D54-D39</f>
        <v>0</v>
      </c>
      <c r="E55" s="31">
        <f>E54-E39</f>
        <v>0</v>
      </c>
      <c r="F55" s="31">
        <f>F54-F39</f>
        <v>0</v>
      </c>
      <c r="G55" s="31">
        <f>G54-G39</f>
        <v>0</v>
      </c>
      <c r="H55" s="31">
        <f>H54-H39</f>
        <v>0</v>
      </c>
      <c r="I55" s="40">
        <f>I54-I39</f>
        <v>0</v>
      </c>
      <c r="J55" s="17"/>
    </row>
    <row r="56">
      <c r="A56" s="42" t="s">
        <v>302</v>
      </c>
      <c r="B56" s="8"/>
      <c r="C56" s="8"/>
      <c r="D56" s="8"/>
      <c r="E56" s="8"/>
      <c r="F56" s="8"/>
      <c r="G56" s="8"/>
      <c r="H56" s="8"/>
      <c r="I56" s="21"/>
      <c r="J56" s="17"/>
    </row>
    <row r="57" ht="27.75">
      <c r="A57" s="35" t="s">
        <v>303</v>
      </c>
      <c r="B57" s="14">
        <f>C43+D43+E43+B39</f>
        <v>4165</v>
      </c>
      <c r="C57" s="14">
        <f>D43+E43+B39+C39</f>
        <v>4210</v>
      </c>
      <c r="D57" s="14">
        <f>E43+B39+C39+D39</f>
        <v>4218</v>
      </c>
      <c r="E57" s="14">
        <f>B39+C39+D39+E39</f>
        <v>4262</v>
      </c>
      <c r="F57" s="14">
        <f>E39+D39+C39+B39</f>
        <v>4262</v>
      </c>
      <c r="G57" s="14">
        <f>C39+D39+E39+G39</f>
        <v>4329</v>
      </c>
      <c r="H57" s="14">
        <f>D39+E39+G39+H39</f>
        <v>4481</v>
      </c>
      <c r="I57" s="45">
        <f>E39+G39+H39+I39</f>
        <v>4557.773600898574</v>
      </c>
      <c r="J57" s="142" t="s">
        <v>304</v>
      </c>
    </row>
    <row r="58">
      <c r="A58" s="36" t="s">
        <v>172</v>
      </c>
      <c r="B58" s="9" t="s">
        <v>32</v>
      </c>
      <c r="C58" s="9" t="s">
        <v>32</v>
      </c>
      <c r="D58" s="9" t="s">
        <v>32</v>
      </c>
      <c r="E58" s="9" t="s">
        <v>32</v>
      </c>
      <c r="F58" s="9" t="s">
        <v>32</v>
      </c>
      <c r="G58" s="9">
        <f>IFERROR(G57/B57-1,"n/a")</f>
        <v>0.03937575030011997</v>
      </c>
      <c r="H58" s="9">
        <f>IFERROR(H57/C57-1,"n/a")</f>
        <v>0.06437054631828976</v>
      </c>
      <c r="I58" s="29">
        <f>IFERROR(I57/D57-1,"n/a")</f>
        <v>0.08055324819786014</v>
      </c>
      <c r="J58" s="17"/>
    </row>
    <row r="59">
      <c r="A59" s="36" t="s">
        <v>196</v>
      </c>
      <c r="B59" s="31" t="s">
        <v>32</v>
      </c>
      <c r="C59" s="31">
        <f>C57-B57</f>
        <v>45</v>
      </c>
      <c r="D59" s="31">
        <f>D57-C57</f>
        <v>8</v>
      </c>
      <c r="E59" s="31">
        <f>E57-D57</f>
        <v>44</v>
      </c>
      <c r="F59" s="31" t="s">
        <v>32</v>
      </c>
      <c r="G59" s="31">
        <f>G57-E57</f>
        <v>67</v>
      </c>
      <c r="H59" s="31">
        <f>H57-G57</f>
        <v>152</v>
      </c>
      <c r="I59" s="40">
        <f>I57-H57</f>
        <v>76.77360089857393</v>
      </c>
      <c r="J59" s="17"/>
    </row>
    <row r="60" ht="78.75">
      <c r="A60" s="65" t="s">
        <v>305</v>
      </c>
      <c r="B60" s="9">
        <f>B63/(B57/4)</f>
        <v>0.9555822328931572</v>
      </c>
      <c r="C60" s="9">
        <f>C63/(C57/4)</f>
        <v>0.9700712589073635</v>
      </c>
      <c r="D60" s="9">
        <f>D63/(D57/4)</f>
        <v>0.9881460407776197</v>
      </c>
      <c r="E60" s="9">
        <f>E63/(E57/4)</f>
        <v>0.984514312529329</v>
      </c>
      <c r="F60" s="9">
        <f>F63/F57</f>
        <v>0.9636320976067574</v>
      </c>
      <c r="G60" s="9">
        <f>G63/(G57/4)</f>
        <v>0.9406329406329407</v>
      </c>
      <c r="H60" s="9">
        <f>H63/(H57/4)</f>
        <v>0.942646730640482</v>
      </c>
      <c r="I60" s="29">
        <f>D60+I62</f>
        <v>0.9669591305140707</v>
      </c>
      <c r="J60" s="142" t="s">
        <v>392</v>
      </c>
    </row>
    <row r="61">
      <c r="A61" s="36" t="s">
        <v>215</v>
      </c>
      <c r="B61" s="61" t="s">
        <v>32</v>
      </c>
      <c r="C61" s="61">
        <f>(C60-B60)*10000</f>
        <v>144.8902601420621</v>
      </c>
      <c r="D61" s="61">
        <f>(D60-C60)*10000</f>
        <v>180.7478187025624</v>
      </c>
      <c r="E61" s="61">
        <f>(E60-D60)*10000</f>
        <v>-36.31728248290722</v>
      </c>
      <c r="F61" s="61" t="s">
        <v>32</v>
      </c>
      <c r="G61" s="61">
        <f>(G60-E60)*10000</f>
        <v>-438.813718963883</v>
      </c>
      <c r="H61" s="61">
        <f>(H60-G60)*10000</f>
        <v>20.137900075413164</v>
      </c>
      <c r="I61" s="79">
        <f>(I60-H60)*10000</f>
        <v>243.12399873588686</v>
      </c>
      <c r="J61" s="17"/>
    </row>
    <row r="62" ht="40.5">
      <c r="A62" s="36" t="s">
        <v>307</v>
      </c>
      <c r="B62" s="9"/>
      <c r="C62" s="9"/>
      <c r="D62" s="9"/>
      <c r="E62" s="9"/>
      <c r="F62" s="9"/>
      <c r="G62" s="9">
        <f>G60-B60</f>
        <v>-0.014949292260216573</v>
      </c>
      <c r="H62" s="9">
        <f>H60-C60</f>
        <v>-0.027424528266881465</v>
      </c>
      <c r="I62" s="29">
        <f>AVERAGE(G62,H62)</f>
        <v>-0.02118691026354902</v>
      </c>
      <c r="J62" s="142" t="s">
        <v>393</v>
      </c>
    </row>
    <row r="63">
      <c r="A63" s="22" t="s">
        <v>309</v>
      </c>
      <c r="B63" s="64">
        <v>995</v>
      </c>
      <c r="C63" s="64">
        <v>1021</v>
      </c>
      <c r="D63" s="64">
        <v>1042</v>
      </c>
      <c r="E63" s="64">
        <v>1049</v>
      </c>
      <c r="F63" s="30">
        <f>SUM(B63:E63)</f>
        <v>4107</v>
      </c>
      <c r="G63" s="64">
        <v>1018</v>
      </c>
      <c r="H63" s="64">
        <v>1056</v>
      </c>
      <c r="I63" s="44">
        <f>I60*I57/4</f>
        <v>1101.7951995512176</v>
      </c>
      <c r="J63" s="17" t="s">
        <v>394</v>
      </c>
    </row>
    <row r="64">
      <c r="A64" s="36" t="s">
        <v>187</v>
      </c>
      <c r="B64" s="9">
        <f>IFERROR(B63/B72-1,"n/a")</f>
        <v>0.04079497907949792</v>
      </c>
      <c r="C64" s="9">
        <f>IFERROR(C63/C72-1,"n/a")</f>
        <v>0.04503582395086991</v>
      </c>
      <c r="D64" s="9">
        <f>IFERROR(D63/D72-1,"n/a")</f>
        <v>0.03270564915758167</v>
      </c>
      <c r="E64" s="9">
        <f>IFERROR(E63/E72-1,"n/a")</f>
        <v>0.032480314960629864</v>
      </c>
      <c r="F64" s="9">
        <f>IFERROR(F63/F72-1,"n/a")</f>
        <v>0.03764527539161189</v>
      </c>
      <c r="G64" s="9">
        <f>IFERROR(G63/G72-1,"n/a")</f>
        <v>0.02311557788944718</v>
      </c>
      <c r="H64" s="9">
        <f>IFERROR(H63/H72-1,"n/a")</f>
        <v>0.03428011753183147</v>
      </c>
      <c r="I64" s="29">
        <f>IFERROR(I63/I72-1,"n/a")</f>
        <v>0.057385028360093626</v>
      </c>
      <c r="J64" s="17"/>
    </row>
    <row r="65">
      <c r="A65" s="36" t="s">
        <v>196</v>
      </c>
      <c r="B65" s="31" t="s">
        <v>32</v>
      </c>
      <c r="C65" s="31">
        <f>C63-B63</f>
        <v>26</v>
      </c>
      <c r="D65" s="31">
        <f>D63-C63</f>
        <v>21</v>
      </c>
      <c r="E65" s="31">
        <f>E63-D63</f>
        <v>7</v>
      </c>
      <c r="F65" s="31" t="s">
        <v>32</v>
      </c>
      <c r="G65" s="31">
        <f>G63-E63</f>
        <v>-31</v>
      </c>
      <c r="H65" s="31">
        <f>H63-G63</f>
        <v>38</v>
      </c>
      <c r="I65" s="40">
        <f>I63-H63</f>
        <v>45.79519955121759</v>
      </c>
      <c r="J65" s="17"/>
    </row>
    <row r="66">
      <c r="A66" s="36" t="s">
        <v>173</v>
      </c>
      <c r="B66" s="9" t="s">
        <v>32</v>
      </c>
      <c r="C66" s="9">
        <f>IFERROR(C63/B63-1,"n/a")</f>
        <v>0.026130653266331683</v>
      </c>
      <c r="D66" s="9">
        <f>IFERROR(D63/C63-1,"n/a")</f>
        <v>0.020568070519098924</v>
      </c>
      <c r="E66" s="9">
        <f>IFERROR(E63/D63-1,"n/a")</f>
        <v>0.006717850287907945</v>
      </c>
      <c r="F66" s="9" t="s">
        <v>32</v>
      </c>
      <c r="G66" s="9">
        <f>IFERROR(G63/E63-1,"n/a")</f>
        <v>-0.029551954242135414</v>
      </c>
      <c r="H66" s="9">
        <f>IFERROR(H63/G63-1,"n/a")</f>
        <v>0.037328094302554016</v>
      </c>
      <c r="I66" s="29">
        <f>IFERROR(I63/H63-1,"n/a")</f>
        <v>0.043366666241683394</v>
      </c>
      <c r="J66" s="17"/>
    </row>
    <row r="67">
      <c r="A67" s="80" t="s">
        <v>311</v>
      </c>
      <c r="B67" s="6">
        <v>14</v>
      </c>
      <c r="C67" s="6">
        <v>14</v>
      </c>
      <c r="D67" s="6">
        <v>14</v>
      </c>
      <c r="E67" s="6">
        <v>14</v>
      </c>
      <c r="F67" s="14">
        <f>SUM(B67:E67)</f>
        <v>56</v>
      </c>
      <c r="G67" s="6">
        <v>0</v>
      </c>
      <c r="H67" s="6">
        <v>0</v>
      </c>
      <c r="I67" s="62">
        <v>0</v>
      </c>
      <c r="J67" s="17" t="s">
        <v>312</v>
      </c>
    </row>
    <row r="68">
      <c r="A68" s="36" t="s">
        <v>188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9">
        <f>-B67/G72</f>
        <v>-0.01407035175879397</v>
      </c>
      <c r="H68" s="9">
        <f>-C67/H72</f>
        <v>-0.013712047012732615</v>
      </c>
      <c r="I68" s="29">
        <f>-D67/I72</f>
        <v>-0.013435700575815739</v>
      </c>
      <c r="J68" s="17" t="s">
        <v>313</v>
      </c>
    </row>
    <row r="69">
      <c r="A69" s="36" t="s">
        <v>177</v>
      </c>
      <c r="B69" s="9" t="s">
        <v>178</v>
      </c>
      <c r="C69" s="9" t="s">
        <v>178</v>
      </c>
      <c r="D69" s="9" t="s">
        <v>178</v>
      </c>
      <c r="E69" s="9" t="s">
        <v>178</v>
      </c>
      <c r="F69" s="9" t="s">
        <v>178</v>
      </c>
      <c r="G69" s="9" t="s">
        <v>178</v>
      </c>
      <c r="H69" s="9" t="s">
        <v>178</v>
      </c>
      <c r="I69" s="29" t="s">
        <v>178</v>
      </c>
      <c r="J69" s="17" t="s">
        <v>179</v>
      </c>
    </row>
    <row r="70" ht="27.75">
      <c r="A70" s="36" t="s">
        <v>175</v>
      </c>
      <c r="B70" s="9">
        <f>IFERROR((B63/B72)/(1+B68)-1,"n/a")</f>
        <v>0.04079497907949792</v>
      </c>
      <c r="C70" s="9">
        <f>IFERROR((C63/C72)/(1+C68)-1,"n/a")</f>
        <v>0.04503582395086991</v>
      </c>
      <c r="D70" s="9">
        <f>IFERROR((D63/D72)/(1+D68)-1,"n/a")</f>
        <v>0.03270564915758167</v>
      </c>
      <c r="E70" s="9">
        <f>IFERROR((E63/E72)/(1+E68)-1,"n/a")</f>
        <v>0.032480314960629864</v>
      </c>
      <c r="F70" s="9">
        <f>IFERROR((F63/F72)/(1+F68)-1,"n/a")</f>
        <v>0.03764527539161189</v>
      </c>
      <c r="G70" s="9">
        <f>IFERROR((G63/G72)/(1+G68)-1,"n/a")</f>
        <v>0.03771661569826712</v>
      </c>
      <c r="H70" s="9">
        <f>IFERROR((H63/H72)/(1+H68)-1,"n/a")</f>
        <v>0.04865938430983108</v>
      </c>
      <c r="I70" s="29">
        <f>IFERROR((I63/I72)/(1+I68)-1,"n/a")</f>
        <v>0.07178521357122336</v>
      </c>
      <c r="J70" s="142" t="s">
        <v>315</v>
      </c>
    </row>
    <row r="71">
      <c r="A71" s="36" t="s">
        <v>316</v>
      </c>
      <c r="B71" s="9">
        <f>IFERROR((1+B70)*(1+B68)-1,"n/a")</f>
        <v>0.04079497907949792</v>
      </c>
      <c r="C71" s="9">
        <f>IFERROR((1+C70)*(1+C68)-1,"n/a")</f>
        <v>0.04503582395086991</v>
      </c>
      <c r="D71" s="9">
        <f>IFERROR((1+D70)*(1+D68)-1,"n/a")</f>
        <v>0.03270564915758167</v>
      </c>
      <c r="E71" s="9">
        <f>IFERROR((1+E70)*(1+E68)-1,"n/a")</f>
        <v>0.032480314960629864</v>
      </c>
      <c r="F71" s="9">
        <f>IFERROR((1+F70)*(1+F68)-1,"n/a")</f>
        <v>0.03764527539161189</v>
      </c>
      <c r="G71" s="9">
        <f>IFERROR((1+G70)*(1+G68)-1,"n/a")</f>
        <v>0.02311557788944718</v>
      </c>
      <c r="H71" s="9">
        <f>IFERROR((1+H70)*(1+H68)-1,"n/a")</f>
        <v>0.03428011753183147</v>
      </c>
      <c r="I71" s="29">
        <f>IFERROR((1+I70)*(1+I68)-1,"n/a")</f>
        <v>0.057385028360093626</v>
      </c>
      <c r="J71" s="17"/>
    </row>
    <row r="72">
      <c r="A72" s="35" t="s">
        <v>317</v>
      </c>
      <c r="B72" s="6">
        <v>956</v>
      </c>
      <c r="C72" s="6">
        <v>977</v>
      </c>
      <c r="D72" s="6">
        <v>1009</v>
      </c>
      <c r="E72" s="6">
        <v>1016</v>
      </c>
      <c r="F72" s="14">
        <f>SUM(B72:E72)</f>
        <v>3958</v>
      </c>
      <c r="G72" s="14">
        <f>B63</f>
        <v>995</v>
      </c>
      <c r="H72" s="14">
        <f>C63</f>
        <v>1021</v>
      </c>
      <c r="I72" s="45">
        <f>D63</f>
        <v>1042</v>
      </c>
      <c r="J72" s="17" t="s">
        <v>210</v>
      </c>
    </row>
    <row r="73">
      <c r="A73" s="42" t="s">
        <v>318</v>
      </c>
      <c r="B73" s="8"/>
      <c r="C73" s="8"/>
      <c r="D73" s="8"/>
      <c r="E73" s="8"/>
      <c r="F73" s="8"/>
      <c r="G73" s="8"/>
      <c r="H73" s="8"/>
      <c r="I73" s="21"/>
      <c r="J73" s="17"/>
    </row>
    <row r="74" ht="40.5">
      <c r="A74" s="65" t="s">
        <v>324</v>
      </c>
      <c r="B74" s="2">
        <v>0.393</v>
      </c>
      <c r="C74" s="2">
        <v>0.398</v>
      </c>
      <c r="D74" s="2">
        <v>0.387</v>
      </c>
      <c r="E74" s="2">
        <v>0.395</v>
      </c>
      <c r="F74" s="9">
        <f>SUMPRODUCT(B63:E63,B74:E74)/F63</f>
        <v>0.39323155588020453</v>
      </c>
      <c r="G74" s="2">
        <v>0.403</v>
      </c>
      <c r="H74" s="2">
        <v>0.398</v>
      </c>
      <c r="I74" s="87">
        <v>0.393</v>
      </c>
      <c r="J74" s="142" t="s">
        <v>325</v>
      </c>
    </row>
    <row r="75">
      <c r="A75" s="36" t="s">
        <v>214</v>
      </c>
      <c r="B75" s="61" t="s">
        <v>32</v>
      </c>
      <c r="C75" s="61" t="s">
        <v>32</v>
      </c>
      <c r="D75" s="61" t="s">
        <v>32</v>
      </c>
      <c r="E75" s="61" t="s">
        <v>32</v>
      </c>
      <c r="F75" s="61" t="s">
        <v>32</v>
      </c>
      <c r="G75" s="61">
        <f>(G74-B74)*10000</f>
        <v>100.00000000000009</v>
      </c>
      <c r="H75" s="61">
        <f>(H74-C74)*10000</f>
        <v>0</v>
      </c>
      <c r="I75" s="79">
        <f>(I74-D74)*10000</f>
        <v>60.00000000000006</v>
      </c>
      <c r="J75" s="17"/>
    </row>
    <row r="76">
      <c r="A76" s="36" t="s">
        <v>215</v>
      </c>
      <c r="B76" s="61" t="s">
        <v>32</v>
      </c>
      <c r="C76" s="61">
        <f>(C74-B74)*10000</f>
        <v>50.00000000000004</v>
      </c>
      <c r="D76" s="61">
        <f>(D74-C74)*10000</f>
        <v>-110.0000000000001</v>
      </c>
      <c r="E76" s="61">
        <f>(E74-D74)*10000</f>
        <v>80.00000000000007</v>
      </c>
      <c r="F76" s="61" t="s">
        <v>32</v>
      </c>
      <c r="G76" s="61">
        <f>(G74-E74)*10000</f>
        <v>80.00000000000007</v>
      </c>
      <c r="H76" s="61">
        <f>(H74-G74)*10000</f>
        <v>-50.00000000000004</v>
      </c>
      <c r="I76" s="79">
        <f>(I74-H74)*10000</f>
        <v>-50.00000000000004</v>
      </c>
      <c r="J76" s="17"/>
    </row>
    <row r="77" ht="40.5">
      <c r="A77" s="65" t="s">
        <v>326</v>
      </c>
      <c r="B77" s="2">
        <v>0.873</v>
      </c>
      <c r="C77" s="2">
        <v>0.878</v>
      </c>
      <c r="D77" s="2">
        <v>0.858</v>
      </c>
      <c r="E77" s="2">
        <v>0.857</v>
      </c>
      <c r="F77" s="9">
        <f>SUMPRODUCT(B63:E63,B77:E77)/F63</f>
        <v>0.8663506208911614</v>
      </c>
      <c r="G77" s="2">
        <v>0.889</v>
      </c>
      <c r="H77" s="2">
        <v>0.896</v>
      </c>
      <c r="I77" s="29">
        <f>I80+I74</f>
        <v>0.88</v>
      </c>
      <c r="J77" s="142" t="s">
        <v>327</v>
      </c>
    </row>
    <row r="78">
      <c r="A78" s="36" t="s">
        <v>214</v>
      </c>
      <c r="B78" s="61" t="s">
        <v>32</v>
      </c>
      <c r="C78" s="61" t="s">
        <v>32</v>
      </c>
      <c r="D78" s="61" t="s">
        <v>32</v>
      </c>
      <c r="E78" s="61" t="s">
        <v>32</v>
      </c>
      <c r="F78" s="61" t="s">
        <v>32</v>
      </c>
      <c r="G78" s="61">
        <f>(G77-B77)*10000</f>
        <v>160.00000000000014</v>
      </c>
      <c r="H78" s="61">
        <f>(H77-C77)*10000</f>
        <v>180.00000000000017</v>
      </c>
      <c r="I78" s="79">
        <f>(I77-D77)*10000</f>
        <v>220.0000000000002</v>
      </c>
      <c r="J78" s="17"/>
    </row>
    <row r="79">
      <c r="A79" s="36" t="s">
        <v>215</v>
      </c>
      <c r="B79" s="61" t="s">
        <v>32</v>
      </c>
      <c r="C79" s="61">
        <f>(C77-B77)*10000</f>
        <v>50.00000000000004</v>
      </c>
      <c r="D79" s="61">
        <f>(D77-C77)*10000</f>
        <v>-200.00000000000017</v>
      </c>
      <c r="E79" s="61">
        <f>(E77-D77)*10000</f>
        <v>-10.000000000000009</v>
      </c>
      <c r="F79" s="61" t="s">
        <v>32</v>
      </c>
      <c r="G79" s="61">
        <f>(G77-E77)*10000</f>
        <v>320.0000000000003</v>
      </c>
      <c r="H79" s="61">
        <f>(H77-G77)*10000</f>
        <v>70.00000000000006</v>
      </c>
      <c r="I79" s="79">
        <f>(I77-H77)*10000</f>
        <v>-160.00000000000014</v>
      </c>
      <c r="J79" s="17"/>
    </row>
    <row r="80" ht="27.75">
      <c r="A80" s="65" t="s">
        <v>328</v>
      </c>
      <c r="B80" s="9">
        <f>B77-B74</f>
        <v>0.48</v>
      </c>
      <c r="C80" s="9">
        <f>C77-C74</f>
        <v>0.48</v>
      </c>
      <c r="D80" s="9">
        <f>D77-D74</f>
        <v>0.471</v>
      </c>
      <c r="E80" s="9">
        <f>E77-E74</f>
        <v>0.46199999999999997</v>
      </c>
      <c r="F80" s="9">
        <f>F77-F74</f>
        <v>0.4731190650109569</v>
      </c>
      <c r="G80" s="9">
        <f>G77-G74</f>
        <v>0.486</v>
      </c>
      <c r="H80" s="9">
        <f>H77-H74</f>
        <v>0.498</v>
      </c>
      <c r="I80" s="87">
        <v>0.487</v>
      </c>
      <c r="J80" s="142" t="s">
        <v>329</v>
      </c>
    </row>
    <row r="81">
      <c r="A81" s="36" t="s">
        <v>214</v>
      </c>
      <c r="B81" s="61" t="s">
        <v>32</v>
      </c>
      <c r="C81" s="61" t="s">
        <v>32</v>
      </c>
      <c r="D81" s="61" t="s">
        <v>32</v>
      </c>
      <c r="E81" s="61" t="s">
        <v>32</v>
      </c>
      <c r="F81" s="61" t="s">
        <v>32</v>
      </c>
      <c r="G81" s="61">
        <f>(G80-B80)*10000</f>
        <v>60.00000000000006</v>
      </c>
      <c r="H81" s="61">
        <f>(H80-C80)*10000</f>
        <v>180.00000000000017</v>
      </c>
      <c r="I81" s="79">
        <f>(I80-D80)*10000</f>
        <v>160.00000000000014</v>
      </c>
      <c r="J81" s="17"/>
    </row>
    <row r="82">
      <c r="A82" s="36" t="s">
        <v>215</v>
      </c>
      <c r="B82" s="61" t="s">
        <v>32</v>
      </c>
      <c r="C82" s="61">
        <f>(C80-B80)*10000</f>
        <v>0</v>
      </c>
      <c r="D82" s="61">
        <f>(D80-C80)*10000</f>
        <v>-90.00000000000009</v>
      </c>
      <c r="E82" s="61">
        <f>(E80-D80)*10000</f>
        <v>-90.00000000000009</v>
      </c>
      <c r="F82" s="61" t="s">
        <v>32</v>
      </c>
      <c r="G82" s="61">
        <f>(G80-E80)*10000</f>
        <v>240.00000000000023</v>
      </c>
      <c r="H82" s="61">
        <f>(H80-G80)*10000</f>
        <v>120.00000000000011</v>
      </c>
      <c r="I82" s="79">
        <f>(I80-H80)*10000</f>
        <v>-110.0000000000001</v>
      </c>
      <c r="J82" s="17"/>
    </row>
    <row r="83">
      <c r="A83" s="35" t="s">
        <v>330</v>
      </c>
      <c r="B83" s="6">
        <v>19</v>
      </c>
      <c r="C83" s="6">
        <v>5</v>
      </c>
      <c r="D83" s="6">
        <v>0</v>
      </c>
      <c r="E83" s="6">
        <v>1</v>
      </c>
      <c r="F83" s="14">
        <f>SUM(B83:E83)</f>
        <v>25</v>
      </c>
      <c r="G83" s="6">
        <v>8</v>
      </c>
      <c r="H83" s="6">
        <v>4</v>
      </c>
      <c r="I83" s="62">
        <v>5</v>
      </c>
      <c r="J83" s="17" t="s">
        <v>334</v>
      </c>
    </row>
    <row r="84">
      <c r="A84" s="36" t="s">
        <v>172</v>
      </c>
      <c r="B84" s="9" t="s">
        <v>32</v>
      </c>
      <c r="C84" s="9" t="s">
        <v>32</v>
      </c>
      <c r="D84" s="9" t="s">
        <v>32</v>
      </c>
      <c r="E84" s="9" t="s">
        <v>32</v>
      </c>
      <c r="F84" s="9" t="s">
        <v>32</v>
      </c>
      <c r="G84" s="9">
        <f>IFERROR(G83/B83-1,"n/a")</f>
        <v>-0.5789473684210527</v>
      </c>
      <c r="H84" s="9">
        <f>IFERROR(H83/C83-1,"n/a")</f>
        <v>-0.19999999999999996</v>
      </c>
      <c r="I84" s="29" t="str">
        <f>IFERROR(I83/D83-1,"n/a")</f>
        <v>n/a</v>
      </c>
      <c r="J84" s="17"/>
    </row>
    <row r="85">
      <c r="A85" s="36" t="s">
        <v>196</v>
      </c>
      <c r="B85" s="31" t="s">
        <v>32</v>
      </c>
      <c r="C85" s="31">
        <f>C83-B83</f>
        <v>-14</v>
      </c>
      <c r="D85" s="31">
        <f>D83-C83</f>
        <v>-5</v>
      </c>
      <c r="E85" s="31">
        <f>E83-D83</f>
        <v>1</v>
      </c>
      <c r="F85" s="31" t="s">
        <v>32</v>
      </c>
      <c r="G85" s="31">
        <f>G83-E83</f>
        <v>7</v>
      </c>
      <c r="H85" s="31">
        <f>H83-G83</f>
        <v>-4</v>
      </c>
      <c r="I85" s="40">
        <f>I83-H83</f>
        <v>1</v>
      </c>
      <c r="J85" s="17"/>
    </row>
    <row r="86">
      <c r="A86" s="65" t="s">
        <v>332</v>
      </c>
      <c r="B86" s="9">
        <f>IFERROR(B83/B63,"n/a")</f>
        <v>0.019095477386934675</v>
      </c>
      <c r="C86" s="9">
        <f>IFERROR(C83/C63,"n/a")</f>
        <v>0.004897159647404506</v>
      </c>
      <c r="D86" s="9">
        <f>IFERROR(D83/D63,"n/a")</f>
        <v>0</v>
      </c>
      <c r="E86" s="9">
        <f>IFERROR(E83/E63,"n/a")</f>
        <v>0.0009532888465204957</v>
      </c>
      <c r="F86" s="9">
        <f>IFERROR(F83/F63,"n/a")</f>
        <v>0.006087168249330412</v>
      </c>
      <c r="G86" s="9">
        <f>IFERROR(G83/G63,"n/a")</f>
        <v>0.007858546168958742</v>
      </c>
      <c r="H86" s="9">
        <f>IFERROR(H83/H63,"n/a")</f>
        <v>0.003787878787878788</v>
      </c>
      <c r="I86" s="29">
        <f>IFERROR(I83/I63,"n/a")</f>
        <v>0.004538048452231954</v>
      </c>
      <c r="J86" s="17"/>
    </row>
    <row r="87">
      <c r="A87" s="36" t="s">
        <v>214</v>
      </c>
      <c r="B87" s="61" t="s">
        <v>32</v>
      </c>
      <c r="C87" s="61" t="s">
        <v>32</v>
      </c>
      <c r="D87" s="61" t="s">
        <v>32</v>
      </c>
      <c r="E87" s="61" t="s">
        <v>32</v>
      </c>
      <c r="F87" s="61" t="s">
        <v>32</v>
      </c>
      <c r="G87" s="61">
        <f>(G86-B86)*10000</f>
        <v>-112.36931217975933</v>
      </c>
      <c r="H87" s="61">
        <f>(H86-C86)*10000</f>
        <v>-11.092808595257178</v>
      </c>
      <c r="I87" s="79">
        <f>(I86-D86)*10000</f>
        <v>45.38048452231954</v>
      </c>
      <c r="J87" s="17"/>
    </row>
    <row r="88">
      <c r="A88" s="36" t="s">
        <v>215</v>
      </c>
      <c r="B88" s="61" t="s">
        <v>32</v>
      </c>
      <c r="C88" s="61">
        <f>(C86-B86)*10000</f>
        <v>-141.98317739530168</v>
      </c>
      <c r="D88" s="61">
        <f>(D86-C86)*10000</f>
        <v>-48.97159647404506</v>
      </c>
      <c r="E88" s="61">
        <f>(E86-D86)*10000</f>
        <v>9.532888465204957</v>
      </c>
      <c r="F88" s="61" t="s">
        <v>32</v>
      </c>
      <c r="G88" s="61">
        <f>(G86-E86)*10000</f>
        <v>69.05257322438246</v>
      </c>
      <c r="H88" s="61">
        <f>(H86-G86)*10000</f>
        <v>-40.70667381079954</v>
      </c>
      <c r="I88" s="79">
        <f>(I86-H86)*10000</f>
        <v>7.501696643531664</v>
      </c>
      <c r="J88" s="17"/>
    </row>
    <row r="89">
      <c r="A89" s="35" t="s">
        <v>333</v>
      </c>
      <c r="B89" s="6">
        <v>67</v>
      </c>
      <c r="C89" s="6">
        <v>81</v>
      </c>
      <c r="D89" s="6">
        <v>43</v>
      </c>
      <c r="E89" s="6">
        <v>30</v>
      </c>
      <c r="F89" s="14">
        <f>SUM(B89:E89)</f>
        <v>221</v>
      </c>
      <c r="G89" s="6">
        <v>65</v>
      </c>
      <c r="H89" s="6">
        <v>75</v>
      </c>
      <c r="I89" s="62">
        <v>55</v>
      </c>
      <c r="J89" s="17" t="s">
        <v>334</v>
      </c>
    </row>
    <row r="90">
      <c r="A90" s="36" t="s">
        <v>321</v>
      </c>
      <c r="B90" s="31" t="s">
        <v>32</v>
      </c>
      <c r="C90" s="31" t="s">
        <v>32</v>
      </c>
      <c r="D90" s="31" t="s">
        <v>32</v>
      </c>
      <c r="E90" s="31" t="s">
        <v>32</v>
      </c>
      <c r="F90" s="31" t="s">
        <v>32</v>
      </c>
      <c r="G90" s="31">
        <f>G89-B89</f>
        <v>-2</v>
      </c>
      <c r="H90" s="31">
        <f>H89-C89</f>
        <v>-6</v>
      </c>
      <c r="I90" s="40">
        <f>I89-D89</f>
        <v>12</v>
      </c>
      <c r="J90" s="17"/>
    </row>
    <row r="91">
      <c r="A91" s="36" t="s">
        <v>196</v>
      </c>
      <c r="B91" s="31" t="s">
        <v>32</v>
      </c>
      <c r="C91" s="31">
        <f>C89-B89</f>
        <v>14</v>
      </c>
      <c r="D91" s="31">
        <f>D89-C89</f>
        <v>-38</v>
      </c>
      <c r="E91" s="31">
        <f>E89-D89</f>
        <v>-13</v>
      </c>
      <c r="F91" s="31" t="s">
        <v>32</v>
      </c>
      <c r="G91" s="31">
        <f>G89-E89</f>
        <v>35</v>
      </c>
      <c r="H91" s="31">
        <f>H89-G89</f>
        <v>10</v>
      </c>
      <c r="I91" s="40">
        <f>I89-H89</f>
        <v>-20</v>
      </c>
      <c r="J91" s="17"/>
    </row>
    <row r="92">
      <c r="A92" s="65" t="s">
        <v>335</v>
      </c>
      <c r="B92" s="9">
        <f>IFERROR(-B89/B63,"n/a")</f>
        <v>-0.06733668341708543</v>
      </c>
      <c r="C92" s="9">
        <f>IFERROR(-C89/C63,"n/a")</f>
        <v>-0.07933398628795299</v>
      </c>
      <c r="D92" s="9">
        <f>IFERROR(-D89/D63,"n/a")</f>
        <v>-0.04126679462571977</v>
      </c>
      <c r="E92" s="9">
        <f>IFERROR(-E89/E63,"n/a")</f>
        <v>-0.028598665395614873</v>
      </c>
      <c r="F92" s="9">
        <f>IFERROR(-F89/F63,"n/a")</f>
        <v>-0.053810567324080835</v>
      </c>
      <c r="G92" s="9">
        <f>IFERROR(-G89/G63,"n/a")</f>
        <v>-0.06385068762278978</v>
      </c>
      <c r="H92" s="9">
        <f>IFERROR(-H89/H63,"n/a")</f>
        <v>-0.07102272727272728</v>
      </c>
      <c r="I92" s="29">
        <f>IFERROR(-I89/I63,"n/a")</f>
        <v>-0.0499185329745515</v>
      </c>
      <c r="J92" s="17"/>
    </row>
    <row r="93">
      <c r="A93" s="36" t="s">
        <v>214</v>
      </c>
      <c r="B93" s="61" t="s">
        <v>32</v>
      </c>
      <c r="C93" s="61" t="s">
        <v>32</v>
      </c>
      <c r="D93" s="61" t="s">
        <v>32</v>
      </c>
      <c r="E93" s="61" t="s">
        <v>32</v>
      </c>
      <c r="F93" s="61" t="s">
        <v>32</v>
      </c>
      <c r="G93" s="61">
        <f>(G92-B92)*10000</f>
        <v>34.859957942956484</v>
      </c>
      <c r="H93" s="61">
        <f>(H92-C92)*10000</f>
        <v>83.11259015225711</v>
      </c>
      <c r="I93" s="79">
        <f>(I92-D92)*10000</f>
        <v>-86.51738348831726</v>
      </c>
      <c r="J93" s="17"/>
    </row>
    <row r="94">
      <c r="A94" s="36" t="s">
        <v>215</v>
      </c>
      <c r="B94" s="61" t="s">
        <v>32</v>
      </c>
      <c r="C94" s="61">
        <f>(C92-B92)*10000</f>
        <v>-119.9730287086756</v>
      </c>
      <c r="D94" s="61">
        <f>(D92-C92)*10000</f>
        <v>380.6719166223322</v>
      </c>
      <c r="E94" s="61">
        <f>(E92-D92)*10000</f>
        <v>126.68129230104897</v>
      </c>
      <c r="F94" s="61" t="s">
        <v>32</v>
      </c>
      <c r="G94" s="61">
        <f>(G92-E92)*10000</f>
        <v>-352.5202222717491</v>
      </c>
      <c r="H94" s="61">
        <f>(H92-G92)*10000</f>
        <v>-71.72039649937497</v>
      </c>
      <c r="I94" s="79">
        <f>(I92-H92)*10000</f>
        <v>211.0419429817578</v>
      </c>
      <c r="J94" s="17"/>
    </row>
    <row r="95">
      <c r="A95" s="91" t="s">
        <v>336</v>
      </c>
      <c r="B95" s="86">
        <f>B77+B86+B92</f>
        <v>0.8247587939698492</v>
      </c>
      <c r="C95" s="86">
        <f>C77+C86+C92</f>
        <v>0.8035631733594516</v>
      </c>
      <c r="D95" s="86">
        <f>D77+D86+D92</f>
        <v>0.8167332053742802</v>
      </c>
      <c r="E95" s="86">
        <f>E77+E86+E92</f>
        <v>0.8293546234509056</v>
      </c>
      <c r="F95" s="86">
        <f>F77+F86+F92</f>
        <v>0.818627221816411</v>
      </c>
      <c r="G95" s="86">
        <f>G77+G86+G92</f>
        <v>0.833007858546169</v>
      </c>
      <c r="H95" s="86">
        <f>H77+H86+H92</f>
        <v>0.8287651515151515</v>
      </c>
      <c r="I95" s="89">
        <f>I77+I86+I92</f>
        <v>0.8346195154776804</v>
      </c>
      <c r="J95" s="17"/>
    </row>
    <row r="96">
      <c r="A96" s="36" t="s">
        <v>214</v>
      </c>
      <c r="B96" s="61" t="s">
        <v>32</v>
      </c>
      <c r="C96" s="61" t="s">
        <v>32</v>
      </c>
      <c r="D96" s="61" t="s">
        <v>32</v>
      </c>
      <c r="E96" s="61" t="s">
        <v>32</v>
      </c>
      <c r="F96" s="61" t="s">
        <v>32</v>
      </c>
      <c r="G96" s="61">
        <f>(G95-B95)*10000</f>
        <v>82.49064576319797</v>
      </c>
      <c r="H96" s="61">
        <f>(H95-C95)*10000</f>
        <v>252.0197815569991</v>
      </c>
      <c r="I96" s="79">
        <f>(I95-D95)*10000</f>
        <v>178.86310103400248</v>
      </c>
      <c r="J96" s="17"/>
    </row>
    <row r="97">
      <c r="A97" s="36" t="s">
        <v>215</v>
      </c>
      <c r="B97" s="61" t="s">
        <v>32</v>
      </c>
      <c r="C97" s="61">
        <f>(C95-B95)*10000</f>
        <v>-211.95620610397592</v>
      </c>
      <c r="D97" s="61">
        <f>(D95-C95)*10000</f>
        <v>131.7003201482858</v>
      </c>
      <c r="E97" s="61">
        <f>(E95-D95)*10000</f>
        <v>126.21418076625423</v>
      </c>
      <c r="F97" s="61" t="s">
        <v>32</v>
      </c>
      <c r="G97" s="61">
        <f>(G95-E95)*10000</f>
        <v>36.53235095263385</v>
      </c>
      <c r="H97" s="61">
        <f>(H95-G95)*10000</f>
        <v>-42.427070310174784</v>
      </c>
      <c r="I97" s="79">
        <f>(I95-H95)*10000</f>
        <v>58.54363962528919</v>
      </c>
      <c r="J97" s="17"/>
    </row>
    <row r="98">
      <c r="A98" s="36" t="s">
        <v>337</v>
      </c>
      <c r="B98" s="2">
        <v>0.825</v>
      </c>
      <c r="C98" s="2">
        <v>0.803</v>
      </c>
      <c r="D98" s="2">
        <v>0.816</v>
      </c>
      <c r="E98" s="2">
        <v>0.83</v>
      </c>
      <c r="F98" s="9"/>
      <c r="G98" s="2">
        <v>0.833</v>
      </c>
      <c r="H98" s="2">
        <v>0.828</v>
      </c>
      <c r="I98" s="29"/>
      <c r="J98" s="17" t="s">
        <v>338</v>
      </c>
    </row>
    <row r="99">
      <c r="A99" s="65" t="s">
        <v>339</v>
      </c>
      <c r="B99" s="9">
        <f>B95-B74</f>
        <v>0.4317587939698492</v>
      </c>
      <c r="C99" s="9">
        <f>C95-C74</f>
        <v>0.4055631733594516</v>
      </c>
      <c r="D99" s="9">
        <f>D95-D74</f>
        <v>0.42973320537428017</v>
      </c>
      <c r="E99" s="9">
        <f>E95-E74</f>
        <v>0.4343546234509056</v>
      </c>
      <c r="F99" s="9">
        <f>F95-F74</f>
        <v>0.4253956659362065</v>
      </c>
      <c r="G99" s="9">
        <f>G95-G74</f>
        <v>0.43000785854616896</v>
      </c>
      <c r="H99" s="9">
        <f>H95-H74</f>
        <v>0.4307651515151515</v>
      </c>
      <c r="I99" s="29">
        <f>I95-I74</f>
        <v>0.4416195154776804</v>
      </c>
      <c r="J99" s="17"/>
    </row>
    <row r="100">
      <c r="A100" s="35" t="s">
        <v>340</v>
      </c>
      <c r="B100" s="14">
        <f>B63*(1-B77)</f>
        <v>126.365</v>
      </c>
      <c r="C100" s="14">
        <f>C63*(1-C77)</f>
        <v>124.562</v>
      </c>
      <c r="D100" s="14">
        <f>D63*(1-D77)</f>
        <v>147.96400000000003</v>
      </c>
      <c r="E100" s="14">
        <f>E63*(1-E77)</f>
        <v>150.007</v>
      </c>
      <c r="F100" s="14">
        <f>F63*(1-F77)</f>
        <v>548.898</v>
      </c>
      <c r="G100" s="14">
        <f>G63*(1-G77)</f>
        <v>112.99799999999999</v>
      </c>
      <c r="H100" s="14">
        <f>H63*(1-H77)</f>
        <v>109.82399999999998</v>
      </c>
      <c r="I100" s="45">
        <f>I63*(1-I77)</f>
        <v>132.2154239461461</v>
      </c>
      <c r="J100" s="17"/>
    </row>
    <row r="101">
      <c r="A101" s="36" t="s">
        <v>172</v>
      </c>
      <c r="B101" s="9" t="s">
        <v>32</v>
      </c>
      <c r="C101" s="9" t="s">
        <v>32</v>
      </c>
      <c r="D101" s="9" t="s">
        <v>32</v>
      </c>
      <c r="E101" s="9" t="s">
        <v>32</v>
      </c>
      <c r="F101" s="9" t="s">
        <v>32</v>
      </c>
      <c r="G101" s="9">
        <f>IFERROR(G100/B100-1,"n/a")</f>
        <v>-0.10578087286827842</v>
      </c>
      <c r="H101" s="9">
        <f>IFERROR(H100/C100-1,"n/a")</f>
        <v>-0.11831858833352082</v>
      </c>
      <c r="I101" s="29">
        <f>IFERROR(I100/D100-1,"n/a")</f>
        <v>-0.1064351873013295</v>
      </c>
      <c r="J101" s="17"/>
    </row>
    <row r="102">
      <c r="A102" s="36" t="s">
        <v>196</v>
      </c>
      <c r="B102" s="31" t="s">
        <v>32</v>
      </c>
      <c r="C102" s="31">
        <f>C100-B100</f>
        <v>-1.8029999999999973</v>
      </c>
      <c r="D102" s="31">
        <f>D100-C100</f>
        <v>23.40200000000003</v>
      </c>
      <c r="E102" s="31">
        <f>E100-D100</f>
        <v>2.042999999999978</v>
      </c>
      <c r="F102" s="31" t="s">
        <v>32</v>
      </c>
      <c r="G102" s="31">
        <f>G100-E100</f>
        <v>-37.009000000000015</v>
      </c>
      <c r="H102" s="31">
        <f>H100-G100</f>
        <v>-3.1740000000000066</v>
      </c>
      <c r="I102" s="40">
        <f>I100-H100</f>
        <v>22.39142394614612</v>
      </c>
      <c r="J102" s="17"/>
    </row>
    <row r="103">
      <c r="A103" s="88" t="s">
        <v>341</v>
      </c>
      <c r="B103" s="30">
        <f>B63*(1-B95)</f>
        <v>174.36500000000007</v>
      </c>
      <c r="C103" s="30">
        <f>C63*(1-C95)</f>
        <v>200.56199999999993</v>
      </c>
      <c r="D103" s="30">
        <f>D63*(1-D95)</f>
        <v>190.96400000000006</v>
      </c>
      <c r="E103" s="30">
        <f>E63*(1-E95)</f>
        <v>179.00700000000003</v>
      </c>
      <c r="F103" s="30">
        <f>F63*(1-F95)</f>
        <v>744.898</v>
      </c>
      <c r="G103" s="30">
        <f>G63*(1-G95)</f>
        <v>169.99799999999996</v>
      </c>
      <c r="H103" s="30">
        <f>H63*(1-H95)</f>
        <v>180.824</v>
      </c>
      <c r="I103" s="44">
        <f>I63*(1-I95)</f>
        <v>182.21542394614613</v>
      </c>
      <c r="J103" s="17"/>
    </row>
    <row r="104">
      <c r="A104" s="36" t="s">
        <v>172</v>
      </c>
      <c r="B104" s="9" t="s">
        <v>32</v>
      </c>
      <c r="C104" s="9" t="s">
        <v>32</v>
      </c>
      <c r="D104" s="9" t="s">
        <v>32</v>
      </c>
      <c r="E104" s="9" t="s">
        <v>32</v>
      </c>
      <c r="F104" s="9" t="s">
        <v>32</v>
      </c>
      <c r="G104" s="9">
        <f>IFERROR(G103/B103-1,"n/a")</f>
        <v>-0.025045163880366483</v>
      </c>
      <c r="H104" s="9">
        <f>IFERROR(H103/C103-1,"n/a")</f>
        <v>-0.0984134581825068</v>
      </c>
      <c r="I104" s="29">
        <f>IFERROR(I103/D103-1,"n/a")</f>
        <v>-0.04581269796324916</v>
      </c>
      <c r="J104" s="17"/>
    </row>
    <row r="105">
      <c r="A105" s="36" t="s">
        <v>196</v>
      </c>
      <c r="B105" s="31" t="s">
        <v>32</v>
      </c>
      <c r="C105" s="31">
        <f>C103-B103</f>
        <v>26.19699999999986</v>
      </c>
      <c r="D105" s="31">
        <f>D103-C103</f>
        <v>-9.597999999999871</v>
      </c>
      <c r="E105" s="31">
        <f>E103-D103</f>
        <v>-11.957000000000022</v>
      </c>
      <c r="F105" s="31" t="s">
        <v>32</v>
      </c>
      <c r="G105" s="31">
        <f>G103-E103</f>
        <v>-9.009000000000071</v>
      </c>
      <c r="H105" s="31">
        <f>H103-G103</f>
        <v>10.82600000000005</v>
      </c>
      <c r="I105" s="40">
        <f>I103-H103</f>
        <v>1.3914239461461193</v>
      </c>
      <c r="J105" s="17"/>
    </row>
    <row r="106">
      <c r="A106" s="42" t="s">
        <v>342</v>
      </c>
      <c r="B106" s="8"/>
      <c r="C106" s="8"/>
      <c r="D106" s="8"/>
      <c r="E106" s="8"/>
      <c r="F106" s="8"/>
      <c r="G106" s="8"/>
      <c r="H106" s="8"/>
      <c r="I106" s="21"/>
      <c r="J106" s="17"/>
    </row>
    <row r="107">
      <c r="A107" s="35" t="s">
        <v>343</v>
      </c>
      <c r="B107" s="14">
        <f>B63</f>
        <v>995</v>
      </c>
      <c r="C107" s="14">
        <f>C63</f>
        <v>1021</v>
      </c>
      <c r="D107" s="14">
        <f>D63</f>
        <v>1042</v>
      </c>
      <c r="E107" s="14">
        <f>E63</f>
        <v>1049</v>
      </c>
      <c r="F107" s="14">
        <f>F63</f>
        <v>4107</v>
      </c>
      <c r="G107" s="14">
        <f>G63</f>
        <v>1018</v>
      </c>
      <c r="H107" s="14">
        <f>H63</f>
        <v>1056</v>
      </c>
      <c r="I107" s="45">
        <f>I63</f>
        <v>1101.7951995512176</v>
      </c>
      <c r="J107" s="17"/>
    </row>
    <row r="108" ht="27.75">
      <c r="A108" s="35" t="s">
        <v>344</v>
      </c>
      <c r="B108" s="6">
        <v>102</v>
      </c>
      <c r="C108" s="6">
        <v>107</v>
      </c>
      <c r="D108" s="6">
        <v>116</v>
      </c>
      <c r="E108" s="6">
        <v>120</v>
      </c>
      <c r="F108" s="14">
        <f>SUM(B108:E108)</f>
        <v>445</v>
      </c>
      <c r="G108" s="6">
        <v>113</v>
      </c>
      <c r="H108" s="6">
        <v>113</v>
      </c>
      <c r="I108" s="34">
        <f>'Revenue summary'!I56*I111</f>
        <v>115.1106225687578</v>
      </c>
      <c r="J108" s="142" t="s">
        <v>345</v>
      </c>
    </row>
    <row r="109">
      <c r="A109" s="36" t="s">
        <v>172</v>
      </c>
      <c r="B109" s="9" t="s">
        <v>32</v>
      </c>
      <c r="C109" s="9" t="s">
        <v>32</v>
      </c>
      <c r="D109" s="9" t="s">
        <v>32</v>
      </c>
      <c r="E109" s="9" t="s">
        <v>32</v>
      </c>
      <c r="F109" s="9" t="s">
        <v>32</v>
      </c>
      <c r="G109" s="9">
        <f>IFERROR(G108/B108-1,"n/a")</f>
        <v>0.10784313725490202</v>
      </c>
      <c r="H109" s="9">
        <f>IFERROR(H108/C108-1,"n/a")</f>
        <v>0.05607476635514019</v>
      </c>
      <c r="I109" s="29">
        <f>IFERROR(I108/D108-1,"n/a")</f>
        <v>-0.007667046821053458</v>
      </c>
      <c r="J109" s="17"/>
    </row>
    <row r="110">
      <c r="A110" s="36" t="s">
        <v>196</v>
      </c>
      <c r="B110" s="31" t="s">
        <v>32</v>
      </c>
      <c r="C110" s="31">
        <f>C108-B108</f>
        <v>5</v>
      </c>
      <c r="D110" s="31">
        <f>D108-C108</f>
        <v>9</v>
      </c>
      <c r="E110" s="31">
        <f>E108-D108</f>
        <v>4</v>
      </c>
      <c r="F110" s="31" t="s">
        <v>32</v>
      </c>
      <c r="G110" s="31">
        <f>G108-E108</f>
        <v>-7</v>
      </c>
      <c r="H110" s="31">
        <f>H108-G108</f>
        <v>0</v>
      </c>
      <c r="I110" s="40">
        <f>I108-H108</f>
        <v>2.1106225687578046</v>
      </c>
      <c r="J110" s="17"/>
    </row>
    <row r="111">
      <c r="A111" s="36" t="s">
        <v>346</v>
      </c>
      <c r="B111" s="28">
        <f>B108/'Revenue summary'!B56</f>
        <v>0.10967741935483871</v>
      </c>
      <c r="C111" s="28">
        <f>C108/'Revenue summary'!C56</f>
        <v>0.11358811040339703</v>
      </c>
      <c r="D111" s="28">
        <f>D108/'Revenue summary'!D56</f>
        <v>0.1122942884801549</v>
      </c>
      <c r="E111" s="28">
        <f>E108/'Revenue summary'!E56</f>
        <v>0.11385199240986717</v>
      </c>
      <c r="F111" s="28">
        <f>F108/'Revenue summary'!F56</f>
        <v>0.11240212174791614</v>
      </c>
      <c r="G111" s="28">
        <f>G108/'Revenue summary'!G56</f>
        <v>0.11210317460317461</v>
      </c>
      <c r="H111" s="28">
        <f>H108/'Revenue summary'!H56</f>
        <v>0.10560747663551402</v>
      </c>
      <c r="I111" s="29">
        <f>H111</f>
        <v>0.10560747663551402</v>
      </c>
      <c r="J111" s="17" t="s">
        <v>347</v>
      </c>
    </row>
    <row r="112">
      <c r="A112" s="36" t="s">
        <v>214</v>
      </c>
      <c r="B112" s="61" t="s">
        <v>32</v>
      </c>
      <c r="C112" s="61" t="s">
        <v>32</v>
      </c>
      <c r="D112" s="61" t="s">
        <v>32</v>
      </c>
      <c r="E112" s="61" t="s">
        <v>32</v>
      </c>
      <c r="F112" s="61" t="s">
        <v>32</v>
      </c>
      <c r="G112" s="61">
        <f>(G111-B111)*10000</f>
        <v>24.257552483358953</v>
      </c>
      <c r="H112" s="61">
        <f>(H111-C111)*10000</f>
        <v>-79.80633767883008</v>
      </c>
      <c r="I112" s="79">
        <f>(I111-D111)*10000</f>
        <v>-66.86811844640872</v>
      </c>
      <c r="J112" s="17"/>
    </row>
    <row r="113">
      <c r="A113" s="36" t="s">
        <v>215</v>
      </c>
      <c r="B113" s="61" t="s">
        <v>32</v>
      </c>
      <c r="C113" s="61">
        <f>(C111-B111)*10000</f>
        <v>39.10691048558318</v>
      </c>
      <c r="D113" s="61">
        <f>(D111-C111)*10000</f>
        <v>-12.93821923242136</v>
      </c>
      <c r="E113" s="61">
        <f>(E111-D111)*10000</f>
        <v>15.577039297122731</v>
      </c>
      <c r="F113" s="61" t="s">
        <v>32</v>
      </c>
      <c r="G113" s="61">
        <f>(G111-E111)*10000</f>
        <v>-17.4881780669256</v>
      </c>
      <c r="H113" s="61">
        <f>(H111-G111)*10000</f>
        <v>-64.95697967660585</v>
      </c>
      <c r="I113" s="79">
        <f>(I111-H111)*10000</f>
        <v>0</v>
      </c>
      <c r="J113" s="17"/>
    </row>
    <row r="114">
      <c r="A114" s="35" t="s">
        <v>236</v>
      </c>
      <c r="B114" s="6">
        <v>0</v>
      </c>
      <c r="C114" s="6">
        <v>0</v>
      </c>
      <c r="D114" s="6">
        <v>0</v>
      </c>
      <c r="E114" s="6">
        <v>0</v>
      </c>
      <c r="F114" s="14">
        <f>SUM(B114:E114)</f>
        <v>0</v>
      </c>
      <c r="G114" s="6">
        <v>0</v>
      </c>
      <c r="H114" s="6">
        <v>0</v>
      </c>
      <c r="I114" s="62">
        <v>0</v>
      </c>
      <c r="J114" s="17" t="s">
        <v>348</v>
      </c>
    </row>
    <row r="115">
      <c r="A115" s="36" t="s">
        <v>172</v>
      </c>
      <c r="B115" s="9" t="s">
        <v>32</v>
      </c>
      <c r="C115" s="9" t="s">
        <v>32</v>
      </c>
      <c r="D115" s="9" t="s">
        <v>32</v>
      </c>
      <c r="E115" s="9" t="s">
        <v>32</v>
      </c>
      <c r="F115" s="9" t="s">
        <v>32</v>
      </c>
      <c r="G115" s="9" t="str">
        <f>IFERROR(G114/B114-1,"n/a")</f>
        <v>n/a</v>
      </c>
      <c r="H115" s="9" t="str">
        <f>IFERROR(H114/C114-1,"n/a")</f>
        <v>n/a</v>
      </c>
      <c r="I115" s="29" t="str">
        <f>IFERROR(I114/D114-1,"n/a")</f>
        <v>n/a</v>
      </c>
      <c r="J115" s="17"/>
    </row>
    <row r="116">
      <c r="A116" s="36" t="s">
        <v>196</v>
      </c>
      <c r="B116" s="31" t="s">
        <v>32</v>
      </c>
      <c r="C116" s="31">
        <f>C114-B114</f>
        <v>0</v>
      </c>
      <c r="D116" s="31">
        <f>D114-C114</f>
        <v>0</v>
      </c>
      <c r="E116" s="31">
        <f>E114-D114</f>
        <v>0</v>
      </c>
      <c r="F116" s="31" t="s">
        <v>32</v>
      </c>
      <c r="G116" s="31">
        <f>G114-E114</f>
        <v>0</v>
      </c>
      <c r="H116" s="31">
        <f>H114-G114</f>
        <v>0</v>
      </c>
      <c r="I116" s="40">
        <f>I114-H114</f>
        <v>0</v>
      </c>
      <c r="J116" s="17"/>
    </row>
    <row r="117">
      <c r="A117" s="35" t="s">
        <v>239</v>
      </c>
      <c r="B117" s="6">
        <v>6</v>
      </c>
      <c r="C117" s="6">
        <v>5</v>
      </c>
      <c r="D117" s="6">
        <v>8</v>
      </c>
      <c r="E117" s="6">
        <v>8</v>
      </c>
      <c r="F117" s="14">
        <f>SUM(B117:E117)</f>
        <v>27</v>
      </c>
      <c r="G117" s="6">
        <v>5</v>
      </c>
      <c r="H117" s="6">
        <v>6</v>
      </c>
      <c r="I117" s="62">
        <v>6</v>
      </c>
      <c r="J117" s="17" t="s">
        <v>348</v>
      </c>
    </row>
    <row r="118">
      <c r="A118" s="36" t="s">
        <v>172</v>
      </c>
      <c r="B118" s="9" t="s">
        <v>32</v>
      </c>
      <c r="C118" s="9" t="s">
        <v>32</v>
      </c>
      <c r="D118" s="9" t="s">
        <v>32</v>
      </c>
      <c r="E118" s="9" t="s">
        <v>32</v>
      </c>
      <c r="F118" s="9" t="s">
        <v>32</v>
      </c>
      <c r="G118" s="9">
        <f>IFERROR(G117/B117-1,"n/a")</f>
        <v>-0.16666666666666663</v>
      </c>
      <c r="H118" s="9">
        <f>IFERROR(H117/C117-1,"n/a")</f>
        <v>0.19999999999999996</v>
      </c>
      <c r="I118" s="29">
        <f>IFERROR(I117/D117-1,"n/a")</f>
        <v>-0.25</v>
      </c>
      <c r="J118" s="17"/>
    </row>
    <row r="119">
      <c r="A119" s="36" t="s">
        <v>196</v>
      </c>
      <c r="B119" s="31" t="s">
        <v>32</v>
      </c>
      <c r="C119" s="31">
        <f>C117-B117</f>
        <v>-1</v>
      </c>
      <c r="D119" s="31">
        <f>D117-C117</f>
        <v>3</v>
      </c>
      <c r="E119" s="31">
        <f>E117-D117</f>
        <v>0</v>
      </c>
      <c r="F119" s="31" t="s">
        <v>32</v>
      </c>
      <c r="G119" s="31">
        <f>G117-E117</f>
        <v>-3</v>
      </c>
      <c r="H119" s="31">
        <f>H117-G117</f>
        <v>1</v>
      </c>
      <c r="I119" s="40">
        <f>I117-H117</f>
        <v>0</v>
      </c>
      <c r="J119" s="17"/>
    </row>
    <row r="120">
      <c r="A120" s="22" t="s">
        <v>349</v>
      </c>
      <c r="B120" s="30">
        <f>B107+B108+B114+B117</f>
        <v>1103</v>
      </c>
      <c r="C120" s="30">
        <f>C107+C108+C114+C117</f>
        <v>1133</v>
      </c>
      <c r="D120" s="30">
        <f>D107+D108+D114+D117</f>
        <v>1166</v>
      </c>
      <c r="E120" s="30">
        <f>E107+E108+E114+E117</f>
        <v>1177</v>
      </c>
      <c r="F120" s="30">
        <f>F107+F108+F114+F117</f>
        <v>4579</v>
      </c>
      <c r="G120" s="30">
        <f>G107+G108+G114+G117</f>
        <v>1136</v>
      </c>
      <c r="H120" s="30">
        <f>H107+H108+H114+H117</f>
        <v>1175</v>
      </c>
      <c r="I120" s="44">
        <f>I107+I108+I114+I117</f>
        <v>1222.9058221199755</v>
      </c>
      <c r="J120" s="17"/>
    </row>
    <row r="121">
      <c r="A121" s="36" t="s">
        <v>187</v>
      </c>
      <c r="B121" s="9">
        <f>IFERROR(B120/B126-1,"n/a")</f>
        <v>0.04549763033175358</v>
      </c>
      <c r="C121" s="9">
        <f>IFERROR(C120/C126-1,"n/a")</f>
        <v>0.05199628597957284</v>
      </c>
      <c r="D121" s="9">
        <f>IFERROR(D120/D126-1,"n/a")</f>
        <v>0.043867502238137845</v>
      </c>
      <c r="E121" s="9">
        <f>IFERROR(E120/E126-1,"n/a")</f>
        <v>0.04251550044286989</v>
      </c>
      <c r="F121" s="9">
        <f>IFERROR(F120/F126-1,"n/a")</f>
        <v>0.04591137505710363</v>
      </c>
      <c r="G121" s="9">
        <f>IFERROR(G120/G126-1,"n/a")</f>
        <v>0.029918404351767958</v>
      </c>
      <c r="H121" s="9">
        <f>IFERROR(H120/H126-1,"n/a")</f>
        <v>0.03706972639011474</v>
      </c>
      <c r="I121" s="29">
        <f>IFERROR(I120/I126-1,"n/a")</f>
        <v>0.04880430713548489</v>
      </c>
      <c r="J121" s="17"/>
    </row>
    <row r="122" ht="40.5">
      <c r="A122" s="36" t="s">
        <v>188</v>
      </c>
      <c r="B122" s="2">
        <v>0</v>
      </c>
      <c r="C122" s="2">
        <v>0</v>
      </c>
      <c r="D122" s="2">
        <v>0</v>
      </c>
      <c r="E122" s="2">
        <v>0</v>
      </c>
      <c r="F122" s="2">
        <v>0</v>
      </c>
      <c r="G122" s="9">
        <f>IFERROR(-B67/G126,"n/a")</f>
        <v>-0.012692656391659111</v>
      </c>
      <c r="H122" s="9">
        <f>IFERROR(-C67/H126,"n/a")</f>
        <v>-0.01235657546337158</v>
      </c>
      <c r="I122" s="29">
        <f>IFERROR(-D67/I126,"n/a")</f>
        <v>-0.012006861063464836</v>
      </c>
      <c r="J122" s="142" t="s">
        <v>350</v>
      </c>
    </row>
    <row r="123">
      <c r="A123" s="36" t="s">
        <v>177</v>
      </c>
      <c r="B123" s="9" t="s">
        <v>178</v>
      </c>
      <c r="C123" s="9" t="s">
        <v>178</v>
      </c>
      <c r="D123" s="9" t="s">
        <v>178</v>
      </c>
      <c r="E123" s="9" t="s">
        <v>178</v>
      </c>
      <c r="F123" s="9" t="s">
        <v>178</v>
      </c>
      <c r="G123" s="9" t="s">
        <v>178</v>
      </c>
      <c r="H123" s="9" t="s">
        <v>178</v>
      </c>
      <c r="I123" s="29" t="s">
        <v>178</v>
      </c>
      <c r="J123" s="17" t="s">
        <v>244</v>
      </c>
    </row>
    <row r="124">
      <c r="A124" s="36" t="s">
        <v>175</v>
      </c>
      <c r="B124" s="9">
        <f>IFERROR((1+B121)/(1+B122)-1,"n/a")</f>
        <v>0.04549763033175358</v>
      </c>
      <c r="C124" s="9">
        <f>IFERROR((1+C121)/(1+C122)-1,"n/a")</f>
        <v>0.05199628597957284</v>
      </c>
      <c r="D124" s="9">
        <f>IFERROR((1+D121)/(1+D122)-1,"n/a")</f>
        <v>0.043867502238137845</v>
      </c>
      <c r="E124" s="9">
        <f>IFERROR((1+E121)/(1+E122)-1,"n/a")</f>
        <v>0.04251550044286989</v>
      </c>
      <c r="F124" s="9">
        <f>IFERROR((1+F121)/(1+F122)-1,"n/a")</f>
        <v>0.04591137505710363</v>
      </c>
      <c r="G124" s="9">
        <f>IFERROR((1+G121)/(1+G122)-1,"n/a")</f>
        <v>0.04315886134067948</v>
      </c>
      <c r="H124" s="9">
        <f>IFERROR((1+H121)/(1+H122)-1,"n/a")</f>
        <v>0.05004468275245744</v>
      </c>
      <c r="I124" s="29">
        <f>IFERROR((1+I121)/(1+I122)-1,"n/a")</f>
        <v>0.061550192812478643</v>
      </c>
      <c r="J124" s="17"/>
    </row>
    <row r="125">
      <c r="A125" s="36" t="s">
        <v>196</v>
      </c>
      <c r="B125" s="31" t="s">
        <v>32</v>
      </c>
      <c r="C125" s="31">
        <f>C120-B120</f>
        <v>30</v>
      </c>
      <c r="D125" s="31">
        <f>D120-C120</f>
        <v>33</v>
      </c>
      <c r="E125" s="31">
        <f>E120-D120</f>
        <v>11</v>
      </c>
      <c r="F125" s="31" t="s">
        <v>32</v>
      </c>
      <c r="G125" s="31">
        <f>G120-E120</f>
        <v>-41</v>
      </c>
      <c r="H125" s="31">
        <f>H120-G120</f>
        <v>39</v>
      </c>
      <c r="I125" s="40">
        <f>I120-H120</f>
        <v>47.90582211997548</v>
      </c>
      <c r="J125" s="17"/>
    </row>
    <row r="126">
      <c r="A126" s="35" t="s">
        <v>245</v>
      </c>
      <c r="B126" s="6">
        <v>1055</v>
      </c>
      <c r="C126" s="6">
        <v>1077</v>
      </c>
      <c r="D126" s="6">
        <v>1117</v>
      </c>
      <c r="E126" s="6">
        <v>1129</v>
      </c>
      <c r="F126" s="14">
        <f>SUM(B126:E126)</f>
        <v>4378</v>
      </c>
      <c r="G126" s="14">
        <f>B120</f>
        <v>1103</v>
      </c>
      <c r="H126" s="14">
        <f>C120</f>
        <v>1133</v>
      </c>
      <c r="I126" s="45">
        <f>D120</f>
        <v>1166</v>
      </c>
      <c r="J126" s="17" t="s">
        <v>210</v>
      </c>
    </row>
    <row r="127" ht="66">
      <c r="A127" s="35" t="s">
        <v>351</v>
      </c>
      <c r="B127" s="6">
        <v>434</v>
      </c>
      <c r="C127" s="6">
        <v>418</v>
      </c>
      <c r="D127" s="6">
        <v>451</v>
      </c>
      <c r="E127" s="6">
        <v>461</v>
      </c>
      <c r="F127" s="14">
        <f>SUM(B127:E127)</f>
        <v>1764</v>
      </c>
      <c r="G127" s="6">
        <v>441</v>
      </c>
      <c r="H127" s="6">
        <v>458</v>
      </c>
      <c r="I127" s="45">
        <f>I63*I99+I153</f>
        <v>486.5742621814429</v>
      </c>
      <c r="J127" s="142" t="s">
        <v>395</v>
      </c>
    </row>
    <row r="128">
      <c r="A128" s="36" t="s">
        <v>172</v>
      </c>
      <c r="B128" s="9" t="s">
        <v>32</v>
      </c>
      <c r="C128" s="9" t="s">
        <v>32</v>
      </c>
      <c r="D128" s="9" t="s">
        <v>32</v>
      </c>
      <c r="E128" s="9" t="s">
        <v>32</v>
      </c>
      <c r="F128" s="9" t="s">
        <v>32</v>
      </c>
      <c r="G128" s="9">
        <f>IFERROR(G127/B127-1,"n/a")</f>
        <v>0.016129032258064502</v>
      </c>
      <c r="H128" s="9">
        <f>IFERROR(H127/C127-1,"n/a")</f>
        <v>0.09569377990430628</v>
      </c>
      <c r="I128" s="29">
        <f>IFERROR(I127/D127-1,"n/a")</f>
        <v>0.07887863011406404</v>
      </c>
      <c r="J128" s="17"/>
    </row>
    <row r="129">
      <c r="A129" s="36" t="s">
        <v>196</v>
      </c>
      <c r="B129" s="31" t="s">
        <v>32</v>
      </c>
      <c r="C129" s="31">
        <f>C127-B127</f>
        <v>-16</v>
      </c>
      <c r="D129" s="31">
        <f>D127-C127</f>
        <v>33</v>
      </c>
      <c r="E129" s="31">
        <f>E127-D127</f>
        <v>10</v>
      </c>
      <c r="F129" s="31" t="s">
        <v>32</v>
      </c>
      <c r="G129" s="31">
        <f>G127-E127</f>
        <v>-20</v>
      </c>
      <c r="H129" s="31">
        <f>H127-G127</f>
        <v>17</v>
      </c>
      <c r="I129" s="40">
        <f>I127-H127</f>
        <v>28.57426218144292</v>
      </c>
      <c r="J129" s="17"/>
    </row>
    <row r="130">
      <c r="A130" s="35" t="s">
        <v>353</v>
      </c>
      <c r="B130" s="6">
        <v>187</v>
      </c>
      <c r="C130" s="6">
        <v>195</v>
      </c>
      <c r="D130" s="6">
        <v>197</v>
      </c>
      <c r="E130" s="6">
        <v>199</v>
      </c>
      <c r="F130" s="14">
        <f>SUM(B130:E130)</f>
        <v>778</v>
      </c>
      <c r="G130" s="6">
        <v>194</v>
      </c>
      <c r="H130" s="6">
        <v>204</v>
      </c>
      <c r="I130" s="45">
        <f>I63*I165</f>
        <v>210.03399154467772</v>
      </c>
      <c r="J130" s="17" t="s">
        <v>354</v>
      </c>
    </row>
    <row r="131">
      <c r="A131" s="36" t="s">
        <v>172</v>
      </c>
      <c r="B131" s="9" t="s">
        <v>32</v>
      </c>
      <c r="C131" s="9" t="s">
        <v>32</v>
      </c>
      <c r="D131" s="9" t="s">
        <v>32</v>
      </c>
      <c r="E131" s="9" t="s">
        <v>32</v>
      </c>
      <c r="F131" s="9" t="s">
        <v>32</v>
      </c>
      <c r="G131" s="9">
        <f>IFERROR(G130/B130-1,"n/a")</f>
        <v>0.03743315508021383</v>
      </c>
      <c r="H131" s="9">
        <f>IFERROR(H130/C130-1,"n/a")</f>
        <v>0.04615384615384621</v>
      </c>
      <c r="I131" s="29">
        <f>IFERROR(I130/D130-1,"n/a")</f>
        <v>0.06616239362780574</v>
      </c>
      <c r="J131" s="17"/>
    </row>
    <row r="132">
      <c r="A132" s="36" t="s">
        <v>196</v>
      </c>
      <c r="B132" s="31" t="s">
        <v>32</v>
      </c>
      <c r="C132" s="31">
        <f>C130-B130</f>
        <v>8</v>
      </c>
      <c r="D132" s="31">
        <f>D130-C130</f>
        <v>2</v>
      </c>
      <c r="E132" s="31">
        <f>E130-D130</f>
        <v>2</v>
      </c>
      <c r="F132" s="31" t="s">
        <v>32</v>
      </c>
      <c r="G132" s="31">
        <f>G130-E130</f>
        <v>-5</v>
      </c>
      <c r="H132" s="31">
        <f>H130-G130</f>
        <v>10</v>
      </c>
      <c r="I132" s="40">
        <f>I130-H130</f>
        <v>6.033991544677718</v>
      </c>
      <c r="J132" s="17"/>
    </row>
    <row r="133" ht="27.75">
      <c r="A133" s="35" t="s">
        <v>355</v>
      </c>
      <c r="B133" s="6">
        <v>205</v>
      </c>
      <c r="C133" s="6">
        <v>214</v>
      </c>
      <c r="D133" s="6">
        <v>207</v>
      </c>
      <c r="E133" s="6">
        <v>217</v>
      </c>
      <c r="F133" s="14">
        <f>SUM(B133:E133)</f>
        <v>843</v>
      </c>
      <c r="G133" s="6">
        <v>219</v>
      </c>
      <c r="H133" s="6">
        <v>218</v>
      </c>
      <c r="I133" s="45">
        <f>I63*I74+I162+I156+I159-I130</f>
        <v>225.97152187895082</v>
      </c>
      <c r="J133" s="142" t="s">
        <v>356</v>
      </c>
    </row>
    <row r="134">
      <c r="A134" s="36" t="s">
        <v>172</v>
      </c>
      <c r="B134" s="9" t="s">
        <v>32</v>
      </c>
      <c r="C134" s="9" t="s">
        <v>32</v>
      </c>
      <c r="D134" s="9" t="s">
        <v>32</v>
      </c>
      <c r="E134" s="9" t="s">
        <v>32</v>
      </c>
      <c r="F134" s="9" t="s">
        <v>32</v>
      </c>
      <c r="G134" s="9">
        <f>IFERROR(G133/B133-1,"n/a")</f>
        <v>0.06829268292682933</v>
      </c>
      <c r="H134" s="9">
        <f>IFERROR(H133/C133-1,"n/a")</f>
        <v>0.01869158878504673</v>
      </c>
      <c r="I134" s="29">
        <f>IFERROR(I133/D133-1,"n/a")</f>
        <v>0.09164986414952092</v>
      </c>
      <c r="J134" s="17"/>
    </row>
    <row r="135">
      <c r="A135" s="36" t="s">
        <v>196</v>
      </c>
      <c r="B135" s="31" t="s">
        <v>32</v>
      </c>
      <c r="C135" s="31">
        <f>C133-B133</f>
        <v>9</v>
      </c>
      <c r="D135" s="31">
        <f>D133-C133</f>
        <v>-7</v>
      </c>
      <c r="E135" s="31">
        <f>E133-D133</f>
        <v>10</v>
      </c>
      <c r="F135" s="31" t="s">
        <v>32</v>
      </c>
      <c r="G135" s="31">
        <f>G133-E133</f>
        <v>2</v>
      </c>
      <c r="H135" s="31">
        <f>H133-G133</f>
        <v>-1</v>
      </c>
      <c r="I135" s="40">
        <f>I133-H133</f>
        <v>7.971521878950824</v>
      </c>
      <c r="J135" s="17"/>
    </row>
    <row r="136">
      <c r="A136" s="22" t="s">
        <v>357</v>
      </c>
      <c r="B136" s="30">
        <f>B127+B130+B133</f>
        <v>826</v>
      </c>
      <c r="C136" s="30">
        <f>C127+C130+C133</f>
        <v>827</v>
      </c>
      <c r="D136" s="30">
        <f>D127+D130+D133</f>
        <v>855</v>
      </c>
      <c r="E136" s="30">
        <f>E127+E130+E133</f>
        <v>877</v>
      </c>
      <c r="F136" s="30">
        <f>F127+F130+F133</f>
        <v>3385</v>
      </c>
      <c r="G136" s="30">
        <f>G127+G130+G133</f>
        <v>854</v>
      </c>
      <c r="H136" s="30">
        <f>H127+H130+H133</f>
        <v>880</v>
      </c>
      <c r="I136" s="44">
        <f>I127+I130+I133</f>
        <v>922.5797756050715</v>
      </c>
      <c r="J136" s="17"/>
    </row>
    <row r="137">
      <c r="A137" s="22" t="s">
        <v>358</v>
      </c>
      <c r="B137" s="30">
        <f>B120-B136</f>
        <v>277</v>
      </c>
      <c r="C137" s="30">
        <f>C120-C136</f>
        <v>306</v>
      </c>
      <c r="D137" s="30">
        <f>D120-D136</f>
        <v>311</v>
      </c>
      <c r="E137" s="30">
        <f>E120-E136</f>
        <v>300</v>
      </c>
      <c r="F137" s="30">
        <f>F120-F136</f>
        <v>1194</v>
      </c>
      <c r="G137" s="30">
        <f>G120-G136</f>
        <v>282</v>
      </c>
      <c r="H137" s="30">
        <f>H120-H136</f>
        <v>295</v>
      </c>
      <c r="I137" s="44">
        <f>I120-I136</f>
        <v>300.32604651490396</v>
      </c>
      <c r="J137" s="17"/>
    </row>
    <row r="138">
      <c r="A138" s="36" t="s">
        <v>172</v>
      </c>
      <c r="B138" s="9" t="s">
        <v>32</v>
      </c>
      <c r="C138" s="9" t="s">
        <v>32</v>
      </c>
      <c r="D138" s="9" t="s">
        <v>32</v>
      </c>
      <c r="E138" s="9" t="s">
        <v>32</v>
      </c>
      <c r="F138" s="9" t="s">
        <v>32</v>
      </c>
      <c r="G138" s="9">
        <f>IFERROR(G137/B137-1,"n/a")</f>
        <v>0.018050541516245522</v>
      </c>
      <c r="H138" s="9">
        <f>IFERROR(H137/C137-1,"n/a")</f>
        <v>-0.03594771241830064</v>
      </c>
      <c r="I138" s="29">
        <f>IFERROR(I137/D137-1,"n/a")</f>
        <v>-0.03432139384275257</v>
      </c>
      <c r="J138" s="17"/>
    </row>
    <row r="139">
      <c r="A139" s="36" t="s">
        <v>196</v>
      </c>
      <c r="B139" s="31" t="s">
        <v>32</v>
      </c>
      <c r="C139" s="31">
        <f>C137-B137</f>
        <v>29</v>
      </c>
      <c r="D139" s="31">
        <f>D137-C137</f>
        <v>5</v>
      </c>
      <c r="E139" s="31">
        <f>E137-D137</f>
        <v>-11</v>
      </c>
      <c r="F139" s="31" t="s">
        <v>32</v>
      </c>
      <c r="G139" s="31">
        <f>G137-E137</f>
        <v>-18</v>
      </c>
      <c r="H139" s="31">
        <f>H137-G137</f>
        <v>13</v>
      </c>
      <c r="I139" s="40">
        <f>I137-H137</f>
        <v>5.326046514903965</v>
      </c>
      <c r="J139" s="17"/>
    </row>
    <row r="140">
      <c r="A140" s="65" t="s">
        <v>359</v>
      </c>
      <c r="B140" s="9">
        <f>IFERROR(B137/B120,"n/a")</f>
        <v>0.2511332728921124</v>
      </c>
      <c r="C140" s="9">
        <f>IFERROR(C137/C120,"n/a")</f>
        <v>0.27007943512797883</v>
      </c>
      <c r="D140" s="9">
        <f>IFERROR(D137/D120,"n/a")</f>
        <v>0.2667238421955403</v>
      </c>
      <c r="E140" s="9">
        <f>IFERROR(E137/E120,"n/a")</f>
        <v>0.2548853016142736</v>
      </c>
      <c r="F140" s="9">
        <f>IFERROR(F137/F120,"n/a")</f>
        <v>0.2607556234985805</v>
      </c>
      <c r="G140" s="9">
        <f>IFERROR(G137/G120,"n/a")</f>
        <v>0.2482394366197183</v>
      </c>
      <c r="H140" s="9">
        <f>IFERROR(H137/H120,"n/a")</f>
        <v>0.251063829787234</v>
      </c>
      <c r="I140" s="29">
        <f>IFERROR(I137/I120,"n/a")</f>
        <v>0.24558395346771023</v>
      </c>
      <c r="J140" s="17"/>
    </row>
    <row r="141">
      <c r="A141" s="36" t="s">
        <v>214</v>
      </c>
      <c r="B141" s="61" t="s">
        <v>32</v>
      </c>
      <c r="C141" s="61" t="s">
        <v>32</v>
      </c>
      <c r="D141" s="61" t="s">
        <v>32</v>
      </c>
      <c r="E141" s="61" t="s">
        <v>32</v>
      </c>
      <c r="F141" s="61" t="s">
        <v>32</v>
      </c>
      <c r="G141" s="61">
        <f>(G140-B140)*10000</f>
        <v>-28.9383627239409</v>
      </c>
      <c r="H141" s="61">
        <f>(H140-C140)*10000</f>
        <v>-190.15605340744813</v>
      </c>
      <c r="I141" s="79">
        <f>(I140-D140)*10000</f>
        <v>-211.3988872783007</v>
      </c>
      <c r="J141" s="17"/>
    </row>
    <row r="142">
      <c r="A142" s="36" t="s">
        <v>215</v>
      </c>
      <c r="B142" s="61" t="s">
        <v>32</v>
      </c>
      <c r="C142" s="61">
        <f>(C140-B140)*10000</f>
        <v>189.46162235866427</v>
      </c>
      <c r="D142" s="61">
        <f>(D140-C140)*10000</f>
        <v>-33.55592932438534</v>
      </c>
      <c r="E142" s="61">
        <f>(E140-D140)*10000</f>
        <v>-118.3854058126671</v>
      </c>
      <c r="F142" s="61" t="s">
        <v>32</v>
      </c>
      <c r="G142" s="61">
        <f>(G140-E140)*10000</f>
        <v>-66.45864994555272</v>
      </c>
      <c r="H142" s="61">
        <f>(H140-G140)*10000</f>
        <v>28.243931675157043</v>
      </c>
      <c r="I142" s="79">
        <f>(I140-H140)*10000</f>
        <v>-54.79876319523791</v>
      </c>
      <c r="J142" s="17"/>
    </row>
    <row r="143" ht="27.75">
      <c r="A143" s="35" t="s">
        <v>360</v>
      </c>
      <c r="B143" s="6">
        <v>57</v>
      </c>
      <c r="C143" s="6">
        <v>62</v>
      </c>
      <c r="D143" s="6">
        <v>61</v>
      </c>
      <c r="E143" s="6">
        <v>64</v>
      </c>
      <c r="F143" s="14">
        <f>SUM(B143:E143)</f>
        <v>244</v>
      </c>
      <c r="G143" s="6">
        <v>28</v>
      </c>
      <c r="H143" s="6">
        <v>61</v>
      </c>
      <c r="I143" s="34">
        <f>I108*'Income Statement'!I92+(I137-I108)*'Income Statement'!I93</f>
        <v>58.92448735565455</v>
      </c>
      <c r="J143" s="142" t="s">
        <v>361</v>
      </c>
    </row>
    <row r="144">
      <c r="A144" s="36" t="s">
        <v>172</v>
      </c>
      <c r="B144" s="9" t="s">
        <v>32</v>
      </c>
      <c r="C144" s="9" t="s">
        <v>32</v>
      </c>
      <c r="D144" s="9" t="s">
        <v>32</v>
      </c>
      <c r="E144" s="9" t="s">
        <v>32</v>
      </c>
      <c r="F144" s="9" t="s">
        <v>32</v>
      </c>
      <c r="G144" s="9">
        <f>IFERROR(G143/B143-1,"n/a")</f>
        <v>-0.5087719298245614</v>
      </c>
      <c r="H144" s="9">
        <f>IFERROR(H143/C143-1,"n/a")</f>
        <v>-0.016129032258064502</v>
      </c>
      <c r="I144" s="29">
        <f>IFERROR(I143/D143-1,"n/a")</f>
        <v>-0.034024797448286126</v>
      </c>
      <c r="J144" s="17"/>
    </row>
    <row r="145">
      <c r="A145" s="36" t="s">
        <v>196</v>
      </c>
      <c r="B145" s="31" t="s">
        <v>32</v>
      </c>
      <c r="C145" s="31">
        <f>C143-B143</f>
        <v>5</v>
      </c>
      <c r="D145" s="31">
        <f>D143-C143</f>
        <v>-1</v>
      </c>
      <c r="E145" s="31">
        <f>E143-D143</f>
        <v>3</v>
      </c>
      <c r="F145" s="31" t="s">
        <v>32</v>
      </c>
      <c r="G145" s="31">
        <f>G143-E143</f>
        <v>-36</v>
      </c>
      <c r="H145" s="31">
        <f>H143-G143</f>
        <v>33</v>
      </c>
      <c r="I145" s="40">
        <f>I143-H143</f>
        <v>-2.0755126443454515</v>
      </c>
      <c r="J145" s="17"/>
    </row>
    <row r="146">
      <c r="A146" s="22" t="s">
        <v>362</v>
      </c>
      <c r="B146" s="30">
        <f>B137-B143</f>
        <v>220</v>
      </c>
      <c r="C146" s="30">
        <f>C137-C143</f>
        <v>244</v>
      </c>
      <c r="D146" s="30">
        <f>D137-D143</f>
        <v>250</v>
      </c>
      <c r="E146" s="30">
        <f>E137-E143</f>
        <v>236</v>
      </c>
      <c r="F146" s="30">
        <f>F137-F143</f>
        <v>950</v>
      </c>
      <c r="G146" s="30">
        <f>G137-G143</f>
        <v>254</v>
      </c>
      <c r="H146" s="30">
        <f>H137-H143</f>
        <v>234</v>
      </c>
      <c r="I146" s="44">
        <f>I137-I143</f>
        <v>241.40155915924942</v>
      </c>
      <c r="J146" s="17"/>
    </row>
    <row r="147">
      <c r="A147" s="36" t="s">
        <v>172</v>
      </c>
      <c r="B147" s="9">
        <f>IFERROR(B146/B149-1,"n/a")</f>
        <v>0.1282051282051282</v>
      </c>
      <c r="C147" s="9">
        <f>IFERROR(C146/C149-1,"n/a")</f>
        <v>0.43529411764705883</v>
      </c>
      <c r="D147" s="9">
        <f>IFERROR(D146/D149-1,"n/a")</f>
        <v>0.12612612612612617</v>
      </c>
      <c r="E147" s="9">
        <f>IFERROR(E146/E149-1,"n/a")</f>
        <v>0.03508771929824572</v>
      </c>
      <c r="F147" s="9">
        <f>IFERROR(F146/F149-1,"n/a")</f>
        <v>0.16564417177914104</v>
      </c>
      <c r="G147" s="9">
        <f>IFERROR(G146/G149-1,"n/a")</f>
        <v>0.15454545454545454</v>
      </c>
      <c r="H147" s="9">
        <f>IFERROR(H146/H149-1,"n/a")</f>
        <v>-0.040983606557377095</v>
      </c>
      <c r="I147" s="29">
        <f>IFERROR(I146/I149-1,"n/a")</f>
        <v>-0.03439376336300237</v>
      </c>
      <c r="J147" s="17"/>
    </row>
    <row r="148">
      <c r="A148" s="36" t="s">
        <v>196</v>
      </c>
      <c r="B148" s="31" t="s">
        <v>32</v>
      </c>
      <c r="C148" s="31">
        <f>C146-B146</f>
        <v>24</v>
      </c>
      <c r="D148" s="31">
        <f>D146-C146</f>
        <v>6</v>
      </c>
      <c r="E148" s="31">
        <f>E146-D146</f>
        <v>-14</v>
      </c>
      <c r="F148" s="31" t="s">
        <v>32</v>
      </c>
      <c r="G148" s="31">
        <f>G146-E146</f>
        <v>18</v>
      </c>
      <c r="H148" s="31">
        <f>H146-G146</f>
        <v>-20</v>
      </c>
      <c r="I148" s="40">
        <f>I146-H146</f>
        <v>7.401559159249416</v>
      </c>
      <c r="J148" s="17"/>
    </row>
    <row r="149">
      <c r="A149" s="35" t="s">
        <v>363</v>
      </c>
      <c r="B149" s="6">
        <v>195</v>
      </c>
      <c r="C149" s="6">
        <v>170</v>
      </c>
      <c r="D149" s="6">
        <v>222</v>
      </c>
      <c r="E149" s="6">
        <v>228</v>
      </c>
      <c r="F149" s="14">
        <f>SUM(B149:E149)</f>
        <v>815</v>
      </c>
      <c r="G149" s="14">
        <f>B146</f>
        <v>220</v>
      </c>
      <c r="H149" s="14">
        <f>C146</f>
        <v>244</v>
      </c>
      <c r="I149" s="45">
        <f>D146</f>
        <v>250</v>
      </c>
      <c r="J149" s="17" t="s">
        <v>210</v>
      </c>
    </row>
    <row r="150">
      <c r="A150" s="35" t="s">
        <v>364</v>
      </c>
      <c r="B150" s="6">
        <v>220</v>
      </c>
      <c r="C150" s="6">
        <v>244</v>
      </c>
      <c r="D150" s="6">
        <v>250</v>
      </c>
      <c r="E150" s="6">
        <v>236</v>
      </c>
      <c r="F150" s="14">
        <f>SUM(B150:E150)</f>
        <v>950</v>
      </c>
      <c r="G150" s="6">
        <v>254</v>
      </c>
      <c r="H150" s="6">
        <v>234</v>
      </c>
      <c r="I150" s="45"/>
      <c r="J150" s="17" t="s">
        <v>365</v>
      </c>
    </row>
    <row r="151">
      <c r="A151" s="36" t="s">
        <v>366</v>
      </c>
      <c r="B151" s="31">
        <f>B146-B150</f>
        <v>0</v>
      </c>
      <c r="C151" s="31">
        <f>C146-C150</f>
        <v>0</v>
      </c>
      <c r="D151" s="31">
        <f>D146-D150</f>
        <v>0</v>
      </c>
      <c r="E151" s="31">
        <f>E146-E150</f>
        <v>0</v>
      </c>
      <c r="F151" s="31">
        <f>F146-F150</f>
        <v>0</v>
      </c>
      <c r="G151" s="31">
        <f>G146-G150</f>
        <v>0</v>
      </c>
      <c r="H151" s="31">
        <f>H146-H150</f>
        <v>0</v>
      </c>
      <c r="I151" s="40"/>
      <c r="J151" s="17"/>
    </row>
    <row r="152">
      <c r="A152" s="42" t="s">
        <v>367</v>
      </c>
      <c r="B152" s="8"/>
      <c r="C152" s="8"/>
      <c r="D152" s="8"/>
      <c r="E152" s="8"/>
      <c r="F152" s="8"/>
      <c r="G152" s="8"/>
      <c r="H152" s="8"/>
      <c r="I152" s="21"/>
      <c r="J152" s="17"/>
    </row>
    <row r="153">
      <c r="A153" s="35" t="s">
        <v>368</v>
      </c>
      <c r="B153" s="6">
        <v>0</v>
      </c>
      <c r="C153" s="6">
        <v>0</v>
      </c>
      <c r="D153" s="6">
        <v>0</v>
      </c>
      <c r="E153" s="6">
        <v>0</v>
      </c>
      <c r="F153" s="14">
        <f>SUM(B153:E153)</f>
        <v>0</v>
      </c>
      <c r="G153" s="6">
        <v>0</v>
      </c>
      <c r="H153" s="6">
        <v>0</v>
      </c>
      <c r="I153" s="62">
        <v>0</v>
      </c>
      <c r="J153" s="17" t="s">
        <v>369</v>
      </c>
    </row>
    <row r="154">
      <c r="A154" s="36" t="s">
        <v>172</v>
      </c>
      <c r="B154" s="9" t="s">
        <v>32</v>
      </c>
      <c r="C154" s="9" t="s">
        <v>32</v>
      </c>
      <c r="D154" s="9" t="s">
        <v>32</v>
      </c>
      <c r="E154" s="9" t="s">
        <v>32</v>
      </c>
      <c r="F154" s="9" t="s">
        <v>32</v>
      </c>
      <c r="G154" s="9" t="str">
        <f>IFERROR(G153/B153-1,"n/a")</f>
        <v>n/a</v>
      </c>
      <c r="H154" s="9" t="str">
        <f>IFERROR(H153/C153-1,"n/a")</f>
        <v>n/a</v>
      </c>
      <c r="I154" s="29" t="str">
        <f>IFERROR(I153/D153-1,"n/a")</f>
        <v>n/a</v>
      </c>
      <c r="J154" s="17"/>
    </row>
    <row r="155">
      <c r="A155" s="36" t="s">
        <v>196</v>
      </c>
      <c r="B155" s="31" t="s">
        <v>32</v>
      </c>
      <c r="C155" s="31">
        <f>C153-B153</f>
        <v>0</v>
      </c>
      <c r="D155" s="31">
        <f>D153-C153</f>
        <v>0</v>
      </c>
      <c r="E155" s="31">
        <f>E153-D153</f>
        <v>0</v>
      </c>
      <c r="F155" s="31" t="s">
        <v>32</v>
      </c>
      <c r="G155" s="31">
        <f>G153-E153</f>
        <v>0</v>
      </c>
      <c r="H155" s="31">
        <f>H153-G153</f>
        <v>0</v>
      </c>
      <c r="I155" s="40">
        <f>I153-H153</f>
        <v>0</v>
      </c>
      <c r="J155" s="17"/>
    </row>
    <row r="156">
      <c r="A156" s="35" t="s">
        <v>370</v>
      </c>
      <c r="B156" s="6">
        <v>0</v>
      </c>
      <c r="C156" s="6">
        <v>0</v>
      </c>
      <c r="D156" s="6">
        <v>0</v>
      </c>
      <c r="E156" s="6">
        <v>0</v>
      </c>
      <c r="F156" s="14">
        <f>SUM(B156:E156)</f>
        <v>0</v>
      </c>
      <c r="G156" s="6">
        <v>0</v>
      </c>
      <c r="H156" s="6">
        <v>0</v>
      </c>
      <c r="I156" s="62">
        <v>0</v>
      </c>
      <c r="J156" s="17" t="s">
        <v>371</v>
      </c>
    </row>
    <row r="157">
      <c r="A157" s="36" t="s">
        <v>172</v>
      </c>
      <c r="B157" s="9" t="s">
        <v>32</v>
      </c>
      <c r="C157" s="9" t="s">
        <v>32</v>
      </c>
      <c r="D157" s="9" t="s">
        <v>32</v>
      </c>
      <c r="E157" s="9" t="s">
        <v>32</v>
      </c>
      <c r="F157" s="9" t="s">
        <v>32</v>
      </c>
      <c r="G157" s="9" t="str">
        <f>IFERROR(G156/B156-1,"n/a")</f>
        <v>n/a</v>
      </c>
      <c r="H157" s="9" t="str">
        <f>IFERROR(H156/C156-1,"n/a")</f>
        <v>n/a</v>
      </c>
      <c r="I157" s="29" t="str">
        <f>IFERROR(I156/D156-1,"n/a")</f>
        <v>n/a</v>
      </c>
      <c r="J157" s="17"/>
    </row>
    <row r="158">
      <c r="A158" s="36" t="s">
        <v>196</v>
      </c>
      <c r="B158" s="31" t="s">
        <v>32</v>
      </c>
      <c r="C158" s="31">
        <f>C156-B156</f>
        <v>0</v>
      </c>
      <c r="D158" s="31">
        <f>D156-C156</f>
        <v>0</v>
      </c>
      <c r="E158" s="31">
        <f>E156-D156</f>
        <v>0</v>
      </c>
      <c r="F158" s="31" t="s">
        <v>32</v>
      </c>
      <c r="G158" s="31">
        <f>G156-E156</f>
        <v>0</v>
      </c>
      <c r="H158" s="31">
        <f>H156-G156</f>
        <v>0</v>
      </c>
      <c r="I158" s="40">
        <f>I156-H156</f>
        <v>0</v>
      </c>
      <c r="J158" s="17"/>
    </row>
    <row r="159">
      <c r="A159" s="35" t="s">
        <v>372</v>
      </c>
      <c r="B159" s="6">
        <v>0</v>
      </c>
      <c r="C159" s="6">
        <v>0</v>
      </c>
      <c r="D159" s="6">
        <v>1</v>
      </c>
      <c r="E159" s="6">
        <v>0</v>
      </c>
      <c r="F159" s="14">
        <f>SUM(B159:E159)</f>
        <v>1</v>
      </c>
      <c r="G159" s="6">
        <v>0</v>
      </c>
      <c r="H159" s="6">
        <v>1</v>
      </c>
      <c r="I159" s="62">
        <v>1</v>
      </c>
      <c r="J159" s="17" t="s">
        <v>369</v>
      </c>
    </row>
    <row r="160">
      <c r="A160" s="36" t="s">
        <v>172</v>
      </c>
      <c r="B160" s="9" t="s">
        <v>32</v>
      </c>
      <c r="C160" s="9" t="s">
        <v>32</v>
      </c>
      <c r="D160" s="9" t="s">
        <v>32</v>
      </c>
      <c r="E160" s="9" t="s">
        <v>32</v>
      </c>
      <c r="F160" s="9" t="s">
        <v>32</v>
      </c>
      <c r="G160" s="9" t="str">
        <f>IFERROR(G159/B159-1,"n/a")</f>
        <v>n/a</v>
      </c>
      <c r="H160" s="9" t="str">
        <f>IFERROR(H159/C159-1,"n/a")</f>
        <v>n/a</v>
      </c>
      <c r="I160" s="29">
        <f>IFERROR(I159/D159-1,"n/a")</f>
        <v>0</v>
      </c>
      <c r="J160" s="17"/>
    </row>
    <row r="161">
      <c r="A161" s="36" t="s">
        <v>196</v>
      </c>
      <c r="B161" s="31" t="s">
        <v>32</v>
      </c>
      <c r="C161" s="31">
        <f>C159-B159</f>
        <v>0</v>
      </c>
      <c r="D161" s="31">
        <f>D159-C159</f>
        <v>1</v>
      </c>
      <c r="E161" s="31">
        <f>E159-D159</f>
        <v>-1</v>
      </c>
      <c r="F161" s="31" t="s">
        <v>32</v>
      </c>
      <c r="G161" s="31">
        <f>G159-E159</f>
        <v>0</v>
      </c>
      <c r="H161" s="31">
        <f>H159-G159</f>
        <v>1</v>
      </c>
      <c r="I161" s="40">
        <f>I159-H159</f>
        <v>0</v>
      </c>
      <c r="J161" s="17"/>
    </row>
    <row r="162">
      <c r="A162" s="35" t="s">
        <v>373</v>
      </c>
      <c r="B162" s="6">
        <v>1</v>
      </c>
      <c r="C162" s="6">
        <v>2</v>
      </c>
      <c r="D162" s="6">
        <v>1</v>
      </c>
      <c r="E162" s="6">
        <v>2</v>
      </c>
      <c r="F162" s="14">
        <f>SUM(B162:E162)</f>
        <v>6</v>
      </c>
      <c r="G162" s="6">
        <v>2</v>
      </c>
      <c r="H162" s="6">
        <v>2</v>
      </c>
      <c r="I162" s="62">
        <v>2</v>
      </c>
      <c r="J162" s="17" t="s">
        <v>374</v>
      </c>
    </row>
    <row r="163">
      <c r="A163" s="36" t="s">
        <v>172</v>
      </c>
      <c r="B163" s="9" t="s">
        <v>32</v>
      </c>
      <c r="C163" s="9" t="s">
        <v>32</v>
      </c>
      <c r="D163" s="9" t="s">
        <v>32</v>
      </c>
      <c r="E163" s="9" t="s">
        <v>32</v>
      </c>
      <c r="F163" s="9" t="s">
        <v>32</v>
      </c>
      <c r="G163" s="9">
        <f>IFERROR(G162/B162-1,"n/a")</f>
        <v>1</v>
      </c>
      <c r="H163" s="9">
        <f>IFERROR(H162/C162-1,"n/a")</f>
        <v>0</v>
      </c>
      <c r="I163" s="29">
        <f>IFERROR(I162/D162-1,"n/a")</f>
        <v>1</v>
      </c>
      <c r="J163" s="17"/>
    </row>
    <row r="164">
      <c r="A164" s="36" t="s">
        <v>196</v>
      </c>
      <c r="B164" s="31" t="s">
        <v>32</v>
      </c>
      <c r="C164" s="31">
        <f>C162-B162</f>
        <v>1</v>
      </c>
      <c r="D164" s="31">
        <f>D162-C162</f>
        <v>-1</v>
      </c>
      <c r="E164" s="31">
        <f>E162-D162</f>
        <v>1</v>
      </c>
      <c r="F164" s="31" t="s">
        <v>32</v>
      </c>
      <c r="G164" s="31">
        <f>G162-E162</f>
        <v>0</v>
      </c>
      <c r="H164" s="31">
        <f>H162-G162</f>
        <v>0</v>
      </c>
      <c r="I164" s="40">
        <f>I162-H162</f>
        <v>0</v>
      </c>
      <c r="J164" s="17"/>
    </row>
    <row r="165">
      <c r="A165" s="65" t="s">
        <v>375</v>
      </c>
      <c r="B165" s="9">
        <f>B130/B63</f>
        <v>0.1879396984924623</v>
      </c>
      <c r="C165" s="9">
        <f>C130/C63</f>
        <v>0.1909892262487757</v>
      </c>
      <c r="D165" s="9">
        <f>D130/D63</f>
        <v>0.1890595009596929</v>
      </c>
      <c r="E165" s="9">
        <f>E130/E63</f>
        <v>0.18970448045757865</v>
      </c>
      <c r="F165" s="9">
        <f>F130/F63</f>
        <v>0.1894326759191624</v>
      </c>
      <c r="G165" s="9">
        <f>G130/G63</f>
        <v>0.1905697445972495</v>
      </c>
      <c r="H165" s="9">
        <f>H130/H63</f>
        <v>0.19318181818181818</v>
      </c>
      <c r="I165" s="29">
        <f>AVERAGE(D165,E165,G165,H165)</f>
        <v>0.19062888604908482</v>
      </c>
      <c r="J165" s="17" t="s">
        <v>376</v>
      </c>
    </row>
    <row r="166">
      <c r="A166" s="36" t="s">
        <v>214</v>
      </c>
      <c r="B166" s="61" t="s">
        <v>32</v>
      </c>
      <c r="C166" s="61" t="s">
        <v>32</v>
      </c>
      <c r="D166" s="61" t="s">
        <v>32</v>
      </c>
      <c r="E166" s="61" t="s">
        <v>32</v>
      </c>
      <c r="F166" s="61" t="s">
        <v>32</v>
      </c>
      <c r="G166" s="61">
        <f>(G165-B165)*10000</f>
        <v>26.300461047872037</v>
      </c>
      <c r="H166" s="61">
        <f>(H165-C165)*10000</f>
        <v>21.925919330424705</v>
      </c>
      <c r="I166" s="79">
        <f>(I165-D165)*10000</f>
        <v>15.69385089391917</v>
      </c>
      <c r="J166" s="17"/>
    </row>
    <row r="167">
      <c r="A167" s="36" t="s">
        <v>215</v>
      </c>
      <c r="B167" s="61" t="s">
        <v>32</v>
      </c>
      <c r="C167" s="61">
        <f>(C165-B165)*10000</f>
        <v>30.49527756313397</v>
      </c>
      <c r="D167" s="61">
        <f>(D165-C165)*10000</f>
        <v>-19.297252890828066</v>
      </c>
      <c r="E167" s="61">
        <f>(E165-D165)*10000</f>
        <v>6.449794978857504</v>
      </c>
      <c r="F167" s="61" t="s">
        <v>32</v>
      </c>
      <c r="G167" s="61">
        <f>(G165-E165)*10000</f>
        <v>8.652641396708628</v>
      </c>
      <c r="H167" s="61">
        <f>(H165-G165)*10000</f>
        <v>26.12073584568664</v>
      </c>
      <c r="I167" s="79">
        <f>(I165-H165)*10000</f>
        <v>-25.529321327333598</v>
      </c>
      <c r="J167" s="17"/>
    </row>
    <row r="168" ht="78.75">
      <c r="A168" s="157" t="s">
        <v>377</v>
      </c>
      <c r="B168" s="122">
        <v>4</v>
      </c>
      <c r="C168" s="122">
        <v>5</v>
      </c>
      <c r="D168" s="122">
        <v>3</v>
      </c>
      <c r="E168" s="122">
        <v>5</v>
      </c>
      <c r="F168" s="126">
        <f>SUM(B168:E168)</f>
        <v>17</v>
      </c>
      <c r="G168" s="122">
        <v>4</v>
      </c>
      <c r="H168" s="122">
        <v>4</v>
      </c>
      <c r="I168" s="141" t="s">
        <v>232</v>
      </c>
      <c r="J168" s="152" t="s">
        <v>396</v>
      </c>
    </row>
    <row r="169" ht="53.25">
      <c r="A169" s="156" t="s">
        <v>379</v>
      </c>
      <c r="B169" s="120">
        <f>B127-(B63*B99+B153+B168)</f>
        <v>0.40000000000009095</v>
      </c>
      <c r="C169" s="120">
        <f>C127-(C63*C99+C153+C168)</f>
        <v>-1.080000000000041</v>
      </c>
      <c r="D169" s="120">
        <f>D127-(D63*D99+D153+D168)</f>
        <v>0.21800000000007458</v>
      </c>
      <c r="E169" s="120">
        <f>E127-(E63*E99+E153+E168)</f>
        <v>0.3620000000000232</v>
      </c>
      <c r="F169" s="120">
        <f>SUM(B169:E169)</f>
        <v>-0.09999999999985221</v>
      </c>
      <c r="G169" s="120">
        <f>G127-(G63*G99+G153+G168)</f>
        <v>-0.7479999999999905</v>
      </c>
      <c r="H169" s="120">
        <f>H127-(H63*H99+H153+H168)</f>
        <v>-0.8879999999999768</v>
      </c>
      <c r="I169" s="121"/>
      <c r="J169" s="152" t="s">
        <v>380</v>
      </c>
    </row>
  </sheetData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68"/>
  <sheetViews>
    <sheetView showGridLines="0" workbookViewId="0"/>
  </sheetViews>
  <sheetFormatPr defaultColWidth="8.42578125" defaultRowHeight="15"/>
  <cols>
    <col min="1" max="1" width="37" customWidth="1"/>
    <col min="2" max="9" width="12" customWidth="1"/>
    <col min="10" max="10" width="45" customWidth="1"/>
  </cols>
  <sheetData>
    <row r="1">
      <c r="A1" s="26" t="s">
        <v>0</v>
      </c>
      <c r="B1" s="1"/>
      <c r="C1" s="1"/>
      <c r="D1" s="1"/>
      <c r="E1" s="1"/>
      <c r="F1" s="1"/>
      <c r="G1" s="1"/>
      <c r="H1" s="1"/>
      <c r="I1" s="1"/>
      <c r="J1" s="1"/>
    </row>
    <row r="2">
      <c r="A2" s="22" t="s">
        <v>397</v>
      </c>
      <c r="B2" s="1"/>
      <c r="C2" s="1"/>
      <c r="D2" s="1"/>
      <c r="E2" s="1"/>
      <c r="F2" s="1"/>
      <c r="G2" s="1"/>
      <c r="H2" s="1"/>
      <c r="I2" s="1"/>
      <c r="J2" s="1"/>
    </row>
    <row r="3">
      <c r="A3" s="11" t="s">
        <v>2</v>
      </c>
      <c r="B3" s="1"/>
      <c r="C3" s="1"/>
      <c r="D3" s="1"/>
      <c r="E3" s="1"/>
      <c r="F3" s="1"/>
      <c r="G3" s="1"/>
      <c r="H3" s="1"/>
      <c r="I3" s="1"/>
      <c r="J3" s="1"/>
    </row>
    <row r="4">
      <c r="A4" s="12" t="s">
        <v>158</v>
      </c>
      <c r="B4" s="13" t="s">
        <v>159</v>
      </c>
      <c r="C4" s="13" t="s">
        <v>160</v>
      </c>
      <c r="D4" s="13" t="s">
        <v>161</v>
      </c>
      <c r="E4" s="13" t="s">
        <v>162</v>
      </c>
      <c r="F4" s="13" t="s">
        <v>163</v>
      </c>
      <c r="G4" s="13" t="s">
        <v>164</v>
      </c>
      <c r="H4" s="13" t="s">
        <v>165</v>
      </c>
      <c r="I4" s="39" t="s">
        <v>166</v>
      </c>
      <c r="J4" s="10" t="s">
        <v>4</v>
      </c>
    </row>
    <row r="5">
      <c r="A5" s="4" t="s">
        <v>167</v>
      </c>
      <c r="B5" s="7">
        <f>DATE(2025,3,31)</f>
        <v>45747</v>
      </c>
      <c r="C5" s="7">
        <f>DATE(2025,6,30)</f>
        <v>45838</v>
      </c>
      <c r="D5" s="7">
        <f>DATE(2025,9,30)</f>
        <v>45930</v>
      </c>
      <c r="E5" s="7">
        <f>DATE(2025,12,31)</f>
        <v>46022</v>
      </c>
      <c r="F5" s="7">
        <f>DATE(2025,12,31)</f>
        <v>46022</v>
      </c>
      <c r="G5" s="7">
        <f>DATE(2026,3,31)</f>
        <v>46112</v>
      </c>
      <c r="H5" s="7">
        <f>DATE(2026,6,30)</f>
        <v>46203</v>
      </c>
      <c r="I5" s="38">
        <f>DATE(2026,9,30)</f>
        <v>46295</v>
      </c>
      <c r="J5" s="24"/>
    </row>
    <row r="6">
      <c r="A6" s="41" t="s">
        <v>168</v>
      </c>
      <c r="B6" s="20">
        <f>B5-DATE(2024,12,31)</f>
        <v>90</v>
      </c>
      <c r="C6" s="20">
        <f>C5-B5</f>
        <v>91</v>
      </c>
      <c r="D6" s="20">
        <f>D5-C5</f>
        <v>92</v>
      </c>
      <c r="E6" s="20">
        <f>E5-D5</f>
        <v>92</v>
      </c>
      <c r="F6" s="20">
        <f>F5-DATE(2024,12,31)</f>
        <v>365</v>
      </c>
      <c r="G6" s="20">
        <f>G5-E5</f>
        <v>90</v>
      </c>
      <c r="H6" s="20">
        <f>H5-G5</f>
        <v>91</v>
      </c>
      <c r="I6" s="15">
        <f>I5-H5</f>
        <v>92</v>
      </c>
      <c r="J6" s="18"/>
    </row>
    <row r="7">
      <c r="A7" s="1"/>
      <c r="B7" s="1"/>
      <c r="C7" s="1"/>
      <c r="D7" s="1"/>
      <c r="E7" s="1"/>
      <c r="F7" s="1"/>
      <c r="G7" s="1"/>
      <c r="H7" s="1"/>
      <c r="I7" s="33"/>
      <c r="J7" s="17"/>
    </row>
    <row r="8">
      <c r="A8" s="42" t="s">
        <v>398</v>
      </c>
      <c r="B8" s="8"/>
      <c r="C8" s="8"/>
      <c r="D8" s="8"/>
      <c r="E8" s="8"/>
      <c r="F8" s="8"/>
      <c r="G8" s="8"/>
      <c r="H8" s="8"/>
      <c r="I8" s="21"/>
      <c r="J8" s="17"/>
    </row>
    <row r="9" ht="27.75">
      <c r="A9" s="35" t="s">
        <v>259</v>
      </c>
      <c r="B9" s="6">
        <v>1859</v>
      </c>
      <c r="C9" s="6">
        <v>2001</v>
      </c>
      <c r="D9" s="6">
        <v>2138</v>
      </c>
      <c r="E9" s="6">
        <v>1927</v>
      </c>
      <c r="F9" s="14">
        <f>SUM(B9:E9)</f>
        <v>7925</v>
      </c>
      <c r="G9" s="14">
        <f>B25</f>
        <v>1859</v>
      </c>
      <c r="H9" s="14">
        <f>C25</f>
        <v>1968</v>
      </c>
      <c r="I9" s="45">
        <f>D25</f>
        <v>2062</v>
      </c>
      <c r="J9" s="142" t="s">
        <v>260</v>
      </c>
    </row>
    <row r="10" ht="27.75">
      <c r="A10" s="36" t="s">
        <v>261</v>
      </c>
      <c r="B10" s="2">
        <v>0.81</v>
      </c>
      <c r="C10" s="2">
        <v>0.81</v>
      </c>
      <c r="D10" s="2">
        <v>0.81</v>
      </c>
      <c r="E10" s="2">
        <v>0.81</v>
      </c>
      <c r="F10" s="9">
        <f>SUMPRODUCT(B9:E9,B10:E10)/F9</f>
        <v>0.8100000000000002</v>
      </c>
      <c r="G10" s="2">
        <v>0.82</v>
      </c>
      <c r="H10" s="2">
        <v>0.82</v>
      </c>
      <c r="I10" s="87">
        <v>0.82</v>
      </c>
      <c r="J10" s="142" t="s">
        <v>262</v>
      </c>
    </row>
    <row r="11">
      <c r="A11" s="36" t="s">
        <v>214</v>
      </c>
      <c r="B11" s="61" t="s">
        <v>32</v>
      </c>
      <c r="C11" s="61" t="s">
        <v>32</v>
      </c>
      <c r="D11" s="61" t="s">
        <v>32</v>
      </c>
      <c r="E11" s="61" t="s">
        <v>32</v>
      </c>
      <c r="F11" s="61" t="s">
        <v>32</v>
      </c>
      <c r="G11" s="61">
        <f>(G10-B10)*10000</f>
        <v>99.99999999999898</v>
      </c>
      <c r="H11" s="61">
        <f>(H10-C10)*10000</f>
        <v>99.99999999999898</v>
      </c>
      <c r="I11" s="79">
        <f>(I10-D10)*10000</f>
        <v>99.99999999999898</v>
      </c>
      <c r="J11" s="17"/>
    </row>
    <row r="12">
      <c r="A12" s="36" t="s">
        <v>215</v>
      </c>
      <c r="B12" s="61" t="s">
        <v>32</v>
      </c>
      <c r="C12" s="61">
        <f>(C10-B10)*10000</f>
        <v>0</v>
      </c>
      <c r="D12" s="61">
        <f>(D10-C10)*10000</f>
        <v>0</v>
      </c>
      <c r="E12" s="61">
        <f>(E10-D10)*10000</f>
        <v>0</v>
      </c>
      <c r="F12" s="61" t="s">
        <v>32</v>
      </c>
      <c r="G12" s="61">
        <f>(G10-E10)*10000</f>
        <v>99.99999999999898</v>
      </c>
      <c r="H12" s="61">
        <f>(H10-G10)*10000</f>
        <v>0</v>
      </c>
      <c r="I12" s="79">
        <f>(I10-H10)*10000</f>
        <v>0</v>
      </c>
      <c r="J12" s="17"/>
    </row>
    <row r="13">
      <c r="A13" s="80" t="s">
        <v>263</v>
      </c>
      <c r="B13" s="14">
        <f>B9*B10</f>
        <v>1505.7900000000002</v>
      </c>
      <c r="C13" s="14">
        <f>C9*C10</f>
        <v>1620.8100000000002</v>
      </c>
      <c r="D13" s="14">
        <f>D9*D10</f>
        <v>1731.7800000000002</v>
      </c>
      <c r="E13" s="14">
        <f>E9*E10</f>
        <v>1560.8700000000001</v>
      </c>
      <c r="F13" s="14">
        <f>SUM(B13:E13)</f>
        <v>6419.250000000001</v>
      </c>
      <c r="G13" s="14">
        <f>G9*G10</f>
        <v>1524.3799999999999</v>
      </c>
      <c r="H13" s="14">
        <f>H9*H10</f>
        <v>1613.76</v>
      </c>
      <c r="I13" s="45">
        <f>I9*I10</f>
        <v>1690.84</v>
      </c>
      <c r="J13" s="17"/>
    </row>
    <row r="14" ht="27.75">
      <c r="A14" s="36" t="s">
        <v>264</v>
      </c>
      <c r="B14" s="2">
        <v>0.075</v>
      </c>
      <c r="C14" s="2">
        <v>0.051</v>
      </c>
      <c r="D14" s="2">
        <v>0.039</v>
      </c>
      <c r="E14" s="2">
        <v>0.023</v>
      </c>
      <c r="F14" s="9">
        <f>SUMPRODUCT(B13:E13,B14:E14)/F13</f>
        <v>0.046584100946372234</v>
      </c>
      <c r="G14" s="2">
        <v>0.008</v>
      </c>
      <c r="H14" s="2">
        <v>0</v>
      </c>
      <c r="I14" s="87">
        <v>-0.005</v>
      </c>
      <c r="J14" s="142" t="s">
        <v>265</v>
      </c>
    </row>
    <row r="15">
      <c r="A15" s="36" t="s">
        <v>214</v>
      </c>
      <c r="B15" s="61" t="s">
        <v>32</v>
      </c>
      <c r="C15" s="61" t="s">
        <v>32</v>
      </c>
      <c r="D15" s="61" t="s">
        <v>32</v>
      </c>
      <c r="E15" s="61" t="s">
        <v>32</v>
      </c>
      <c r="F15" s="61" t="s">
        <v>32</v>
      </c>
      <c r="G15" s="61">
        <f>(G14-B14)*10000</f>
        <v>-670</v>
      </c>
      <c r="H15" s="61">
        <f>(H14-C14)*10000</f>
        <v>-509.99999999999994</v>
      </c>
      <c r="I15" s="79">
        <f>(I14-D14)*10000</f>
        <v>-440</v>
      </c>
      <c r="J15" s="17"/>
    </row>
    <row r="16">
      <c r="A16" s="36" t="s">
        <v>215</v>
      </c>
      <c r="B16" s="61" t="s">
        <v>32</v>
      </c>
      <c r="C16" s="61">
        <f>(C14-B14)*10000</f>
        <v>-240</v>
      </c>
      <c r="D16" s="61">
        <f>(D14-C14)*10000</f>
        <v>-119.99999999999997</v>
      </c>
      <c r="E16" s="61">
        <f>(E14-D14)*10000</f>
        <v>-160</v>
      </c>
      <c r="F16" s="61" t="s">
        <v>32</v>
      </c>
      <c r="G16" s="61">
        <f>(G14-E14)*10000</f>
        <v>-150</v>
      </c>
      <c r="H16" s="61">
        <f>(H14-G14)*10000</f>
        <v>-80</v>
      </c>
      <c r="I16" s="79">
        <f>(I14-H14)*10000</f>
        <v>-50</v>
      </c>
      <c r="J16" s="17"/>
    </row>
    <row r="17">
      <c r="A17" s="80" t="s">
        <v>266</v>
      </c>
      <c r="B17" s="14">
        <f>B13*(1+B14)</f>
        <v>1618.7242500000002</v>
      </c>
      <c r="C17" s="14">
        <f>C13*(1+C14)</f>
        <v>1703.4713100000001</v>
      </c>
      <c r="D17" s="14">
        <f>D13*(1+D14)</f>
        <v>1799.31942</v>
      </c>
      <c r="E17" s="14">
        <f>E13*(1+E14)</f>
        <v>1596.77001</v>
      </c>
      <c r="F17" s="14">
        <f>SUM(B17:E17)</f>
        <v>6718.28499</v>
      </c>
      <c r="G17" s="14">
        <f>G13*(1+G14)</f>
        <v>1536.57504</v>
      </c>
      <c r="H17" s="14">
        <f>H13*(1+H14)</f>
        <v>1613.76</v>
      </c>
      <c r="I17" s="45">
        <f>I13*(1+I14)</f>
        <v>1682.3858</v>
      </c>
      <c r="J17" s="17"/>
    </row>
    <row r="18" ht="40.5">
      <c r="A18" s="80" t="s">
        <v>267</v>
      </c>
      <c r="B18" s="6">
        <v>288</v>
      </c>
      <c r="C18" s="6">
        <v>307</v>
      </c>
      <c r="D18" s="6">
        <v>318</v>
      </c>
      <c r="E18" s="6">
        <v>309</v>
      </c>
      <c r="F18" s="14">
        <f>SUM(B18:E18)</f>
        <v>1222</v>
      </c>
      <c r="G18" s="6">
        <v>293</v>
      </c>
      <c r="H18" s="6">
        <v>301</v>
      </c>
      <c r="I18" s="62">
        <v>310</v>
      </c>
      <c r="J18" s="142" t="s">
        <v>268</v>
      </c>
    </row>
    <row r="19">
      <c r="A19" s="36" t="s">
        <v>172</v>
      </c>
      <c r="B19" s="9" t="s">
        <v>32</v>
      </c>
      <c r="C19" s="9" t="s">
        <v>32</v>
      </c>
      <c r="D19" s="9" t="s">
        <v>32</v>
      </c>
      <c r="E19" s="9" t="s">
        <v>32</v>
      </c>
      <c r="F19" s="9" t="s">
        <v>32</v>
      </c>
      <c r="G19" s="9">
        <f>IFERROR(G18/B18-1,"n/a")</f>
        <v>0.01736111111111116</v>
      </c>
      <c r="H19" s="9">
        <f>IFERROR(H18/C18-1,"n/a")</f>
        <v>-0.019543973941368087</v>
      </c>
      <c r="I19" s="29">
        <f>IFERROR(I18/D18-1,"n/a")</f>
        <v>-0.02515723270440251</v>
      </c>
      <c r="J19" s="17"/>
    </row>
    <row r="20">
      <c r="A20" s="36" t="s">
        <v>196</v>
      </c>
      <c r="B20" s="31" t="s">
        <v>32</v>
      </c>
      <c r="C20" s="31">
        <f>C18-B18</f>
        <v>19</v>
      </c>
      <c r="D20" s="31">
        <f>D18-C18</f>
        <v>11</v>
      </c>
      <c r="E20" s="31">
        <f>E18-D18</f>
        <v>-9</v>
      </c>
      <c r="F20" s="31" t="s">
        <v>32</v>
      </c>
      <c r="G20" s="31">
        <f>G18-E18</f>
        <v>-16</v>
      </c>
      <c r="H20" s="31">
        <f>H18-G18</f>
        <v>8</v>
      </c>
      <c r="I20" s="40">
        <f>I18-H18</f>
        <v>9</v>
      </c>
      <c r="J20" s="17"/>
    </row>
    <row r="21">
      <c r="A21" s="88" t="s">
        <v>269</v>
      </c>
      <c r="B21" s="30">
        <f>B17+B18</f>
        <v>1906.7242500000002</v>
      </c>
      <c r="C21" s="30">
        <f>C17+C18</f>
        <v>2010.4713100000001</v>
      </c>
      <c r="D21" s="30">
        <f>D17+D18</f>
        <v>2117.31942</v>
      </c>
      <c r="E21" s="30">
        <f>E17+E18</f>
        <v>1905.77001</v>
      </c>
      <c r="F21" s="30">
        <f>F17+F18</f>
        <v>7940.28499</v>
      </c>
      <c r="G21" s="30">
        <f>G17+G18</f>
        <v>1829.57504</v>
      </c>
      <c r="H21" s="30">
        <f>H17+H18</f>
        <v>1914.76</v>
      </c>
      <c r="I21" s="44">
        <f>I17+I18</f>
        <v>1992.3858</v>
      </c>
      <c r="J21" s="17"/>
    </row>
    <row r="22">
      <c r="A22" s="36" t="s">
        <v>270</v>
      </c>
      <c r="B22" s="9">
        <f>B25/B21-1</f>
        <v>-0.02502944513345351</v>
      </c>
      <c r="C22" s="9">
        <f>C25/C21-1</f>
        <v>-0.0211250515183925</v>
      </c>
      <c r="D22" s="9">
        <f>D25/D21-1</f>
        <v>-0.02612710178608757</v>
      </c>
      <c r="E22" s="9">
        <f>E25/E21-1</f>
        <v>-0.02611543351970369</v>
      </c>
      <c r="F22" s="9">
        <f>F25/F21-1</f>
        <v>-0.02459420414329483</v>
      </c>
      <c r="G22" s="9">
        <f>G25/G21-1</f>
        <v>-0.040214278393303826</v>
      </c>
      <c r="H22" s="9">
        <f>H25/H21-1</f>
        <v>-0.029643401784035572</v>
      </c>
      <c r="I22" s="29">
        <f>AVERAGE(D22,E22,G22,H22)</f>
        <v>-0.030525053870782665</v>
      </c>
      <c r="J22" s="17" t="s">
        <v>271</v>
      </c>
    </row>
    <row r="23">
      <c r="A23" s="36" t="s">
        <v>214</v>
      </c>
      <c r="B23" s="61" t="s">
        <v>32</v>
      </c>
      <c r="C23" s="61" t="s">
        <v>32</v>
      </c>
      <c r="D23" s="61" t="s">
        <v>32</v>
      </c>
      <c r="E23" s="61" t="s">
        <v>32</v>
      </c>
      <c r="F23" s="61" t="s">
        <v>32</v>
      </c>
      <c r="G23" s="61">
        <f>(G22-B22)*10000</f>
        <v>-151.84833259850316</v>
      </c>
      <c r="H23" s="61">
        <f>(H22-C22)*10000</f>
        <v>-85.1835026564307</v>
      </c>
      <c r="I23" s="79">
        <f>(I22-D22)*10000</f>
        <v>-43.97952084695095</v>
      </c>
      <c r="J23" s="17"/>
    </row>
    <row r="24">
      <c r="A24" s="36" t="s">
        <v>215</v>
      </c>
      <c r="B24" s="61" t="s">
        <v>32</v>
      </c>
      <c r="C24" s="61">
        <f>(C22-B22)*10000</f>
        <v>39.04393615061008</v>
      </c>
      <c r="D24" s="61">
        <f>(D22-C22)*10000</f>
        <v>-50.020502676950684</v>
      </c>
      <c r="E24" s="61">
        <f>(E22-D22)*10000</f>
        <v>0.11668266383879633</v>
      </c>
      <c r="F24" s="61" t="s">
        <v>32</v>
      </c>
      <c r="G24" s="61">
        <f>(G22-E22)*10000</f>
        <v>-140.98844873600137</v>
      </c>
      <c r="H24" s="61">
        <f>(H22-G22)*10000</f>
        <v>105.70876609268254</v>
      </c>
      <c r="I24" s="79">
        <f>(I22-H22)*10000</f>
        <v>-8.816520867470922</v>
      </c>
      <c r="J24" s="17"/>
    </row>
    <row r="25">
      <c r="A25" s="88" t="s">
        <v>399</v>
      </c>
      <c r="B25" s="64">
        <v>1859</v>
      </c>
      <c r="C25" s="64">
        <v>1968</v>
      </c>
      <c r="D25" s="64">
        <v>2062</v>
      </c>
      <c r="E25" s="64">
        <v>1856</v>
      </c>
      <c r="F25" s="30">
        <f>SUM(B25:E25)</f>
        <v>7745</v>
      </c>
      <c r="G25" s="64">
        <v>1756</v>
      </c>
      <c r="H25" s="64">
        <v>1858</v>
      </c>
      <c r="I25" s="44">
        <f>I21*(1+I22)</f>
        <v>1931.5681161236178</v>
      </c>
      <c r="J25" s="17" t="s">
        <v>273</v>
      </c>
    </row>
    <row r="26">
      <c r="A26" s="36" t="s">
        <v>172</v>
      </c>
      <c r="B26" s="9">
        <f>IFERROR(B25/B9-1,"n/a")</f>
        <v>0</v>
      </c>
      <c r="C26" s="9">
        <f>IFERROR(C25/C9-1,"n/a")</f>
        <v>-0.016491754122938573</v>
      </c>
      <c r="D26" s="9">
        <f>IFERROR(D25/D9-1,"n/a")</f>
        <v>-0.03554724041159962</v>
      </c>
      <c r="E26" s="9">
        <f>IFERROR(E25/E9-1,"n/a")</f>
        <v>-0.0368448365334717</v>
      </c>
      <c r="F26" s="9">
        <f>IFERROR(F25/F9-1,"n/a")</f>
        <v>-0.022712933753943232</v>
      </c>
      <c r="G26" s="9">
        <f>IFERROR(G25/G9-1,"n/a")</f>
        <v>-0.05540613232920921</v>
      </c>
      <c r="H26" s="9">
        <f>IFERROR(H25/H9-1,"n/a")</f>
        <v>-0.055894308943089444</v>
      </c>
      <c r="I26" s="29">
        <f>IFERROR(I25/I9-1,"n/a")</f>
        <v>-0.06325503582753744</v>
      </c>
      <c r="J26" s="17"/>
    </row>
    <row r="27">
      <c r="A27" s="36" t="s">
        <v>196</v>
      </c>
      <c r="B27" s="31" t="s">
        <v>32</v>
      </c>
      <c r="C27" s="31">
        <f>C25-B25</f>
        <v>109</v>
      </c>
      <c r="D27" s="31">
        <f>D25-C25</f>
        <v>94</v>
      </c>
      <c r="E27" s="31">
        <f>E25-D25</f>
        <v>-206</v>
      </c>
      <c r="F27" s="31" t="s">
        <v>32</v>
      </c>
      <c r="G27" s="31">
        <f>G25-E25</f>
        <v>-100</v>
      </c>
      <c r="H27" s="31">
        <f>H25-G25</f>
        <v>102</v>
      </c>
      <c r="I27" s="40">
        <f>I25-H25</f>
        <v>73.56811612361776</v>
      </c>
      <c r="J27" s="17"/>
    </row>
    <row r="28" ht="27.75">
      <c r="A28" s="35" t="s">
        <v>259</v>
      </c>
      <c r="B28" s="6">
        <v>1635</v>
      </c>
      <c r="C28" s="6">
        <v>2347</v>
      </c>
      <c r="D28" s="6">
        <v>2410</v>
      </c>
      <c r="E28" s="6">
        <v>2158</v>
      </c>
      <c r="F28" s="14">
        <f>SUM(B28:E28)</f>
        <v>8550</v>
      </c>
      <c r="G28" s="14">
        <f>B44</f>
        <v>1813</v>
      </c>
      <c r="H28" s="14">
        <f>C44</f>
        <v>2520</v>
      </c>
      <c r="I28" s="45">
        <f>D44</f>
        <v>2489</v>
      </c>
      <c r="J28" s="142" t="s">
        <v>260</v>
      </c>
    </row>
    <row r="29" ht="27.75">
      <c r="A29" s="36" t="s">
        <v>261</v>
      </c>
      <c r="B29" s="2">
        <v>0.84</v>
      </c>
      <c r="C29" s="2">
        <v>0.84</v>
      </c>
      <c r="D29" s="2">
        <v>0.83</v>
      </c>
      <c r="E29" s="2">
        <v>0.84</v>
      </c>
      <c r="F29" s="9">
        <f>SUMPRODUCT(B28:E28,B29:E29)/F28</f>
        <v>0.8371812865497076</v>
      </c>
      <c r="G29" s="2">
        <v>0.85</v>
      </c>
      <c r="H29" s="2">
        <v>0.85</v>
      </c>
      <c r="I29" s="87">
        <v>0.85</v>
      </c>
      <c r="J29" s="142" t="s">
        <v>262</v>
      </c>
    </row>
    <row r="30">
      <c r="A30" s="36" t="s">
        <v>214</v>
      </c>
      <c r="B30" s="61" t="s">
        <v>32</v>
      </c>
      <c r="C30" s="61" t="s">
        <v>32</v>
      </c>
      <c r="D30" s="61" t="s">
        <v>32</v>
      </c>
      <c r="E30" s="61" t="s">
        <v>32</v>
      </c>
      <c r="F30" s="61" t="s">
        <v>32</v>
      </c>
      <c r="G30" s="61">
        <f>(G29-B29)*10000</f>
        <v>100.00000000000009</v>
      </c>
      <c r="H30" s="61">
        <f>(H29-C29)*10000</f>
        <v>100.00000000000009</v>
      </c>
      <c r="I30" s="79">
        <f>(I29-D29)*10000</f>
        <v>200.00000000000017</v>
      </c>
      <c r="J30" s="17"/>
    </row>
    <row r="31">
      <c r="A31" s="36" t="s">
        <v>215</v>
      </c>
      <c r="B31" s="61" t="s">
        <v>32</v>
      </c>
      <c r="C31" s="61">
        <f>(C29-B29)*10000</f>
        <v>0</v>
      </c>
      <c r="D31" s="61">
        <f>(D29-C29)*10000</f>
        <v>-100.00000000000009</v>
      </c>
      <c r="E31" s="61">
        <f>(E29-D29)*10000</f>
        <v>100.00000000000009</v>
      </c>
      <c r="F31" s="61" t="s">
        <v>32</v>
      </c>
      <c r="G31" s="61">
        <f>(G29-E29)*10000</f>
        <v>100.00000000000009</v>
      </c>
      <c r="H31" s="61">
        <f>(H29-G29)*10000</f>
        <v>0</v>
      </c>
      <c r="I31" s="79">
        <f>(I29-H29)*10000</f>
        <v>0</v>
      </c>
      <c r="J31" s="17"/>
    </row>
    <row r="32">
      <c r="A32" s="80" t="s">
        <v>263</v>
      </c>
      <c r="B32" s="14">
        <f>B28*B29</f>
        <v>1373.3999999999999</v>
      </c>
      <c r="C32" s="14">
        <f>C28*C29</f>
        <v>1971.48</v>
      </c>
      <c r="D32" s="14">
        <f>D28*D29</f>
        <v>2000.3</v>
      </c>
      <c r="E32" s="14">
        <f>E28*E29</f>
        <v>1812.72</v>
      </c>
      <c r="F32" s="14">
        <f>SUM(B32:E32)</f>
        <v>7157.9</v>
      </c>
      <c r="G32" s="14">
        <f>G28*G29</f>
        <v>1541.05</v>
      </c>
      <c r="H32" s="14">
        <f>H28*H29</f>
        <v>2142</v>
      </c>
      <c r="I32" s="45">
        <f>I28*I29</f>
        <v>2115.65</v>
      </c>
      <c r="J32" s="17"/>
    </row>
    <row r="33" ht="27.75">
      <c r="A33" s="36" t="s">
        <v>264</v>
      </c>
      <c r="B33" s="2">
        <v>0.19</v>
      </c>
      <c r="C33" s="2">
        <v>0.186</v>
      </c>
      <c r="D33" s="2">
        <v>0.176</v>
      </c>
      <c r="E33" s="2">
        <v>0.163</v>
      </c>
      <c r="F33" s="9">
        <f>SUMPRODUCT(B32:E32,B33:E33)/F32</f>
        <v>0.17814826136157252</v>
      </c>
      <c r="G33" s="2">
        <v>0.093</v>
      </c>
      <c r="H33" s="2">
        <v>0.066</v>
      </c>
      <c r="I33" s="87">
        <v>0.05</v>
      </c>
      <c r="J33" s="142" t="s">
        <v>265</v>
      </c>
    </row>
    <row r="34">
      <c r="A34" s="36" t="s">
        <v>214</v>
      </c>
      <c r="B34" s="61" t="s">
        <v>32</v>
      </c>
      <c r="C34" s="61" t="s">
        <v>32</v>
      </c>
      <c r="D34" s="61" t="s">
        <v>32</v>
      </c>
      <c r="E34" s="61" t="s">
        <v>32</v>
      </c>
      <c r="F34" s="61" t="s">
        <v>32</v>
      </c>
      <c r="G34" s="61">
        <f>(G33-B33)*10000</f>
        <v>-970</v>
      </c>
      <c r="H34" s="61">
        <f>(H33-C33)*10000</f>
        <v>-1200</v>
      </c>
      <c r="I34" s="79">
        <f>(I33-D33)*10000</f>
        <v>-1260</v>
      </c>
      <c r="J34" s="17"/>
    </row>
    <row r="35">
      <c r="A35" s="36" t="s">
        <v>215</v>
      </c>
      <c r="B35" s="61" t="s">
        <v>32</v>
      </c>
      <c r="C35" s="61">
        <f>(C33-B33)*10000</f>
        <v>-40.000000000000036</v>
      </c>
      <c r="D35" s="61">
        <f>(D33-C33)*10000</f>
        <v>-100.00000000000009</v>
      </c>
      <c r="E35" s="61">
        <f>(E33-D33)*10000</f>
        <v>-129.99999999999983</v>
      </c>
      <c r="F35" s="61" t="s">
        <v>32</v>
      </c>
      <c r="G35" s="61">
        <f>(G33-E33)*10000</f>
        <v>-700.0000000000001</v>
      </c>
      <c r="H35" s="61">
        <f>(H33-G33)*10000</f>
        <v>-269.99999999999994</v>
      </c>
      <c r="I35" s="79">
        <f>(I33-H33)*10000</f>
        <v>-160</v>
      </c>
      <c r="J35" s="17"/>
    </row>
    <row r="36">
      <c r="A36" s="80" t="s">
        <v>266</v>
      </c>
      <c r="B36" s="14">
        <f>B32*(1+B33)</f>
        <v>1634.3459999999998</v>
      </c>
      <c r="C36" s="14">
        <f>C32*(1+C33)</f>
        <v>2338.17528</v>
      </c>
      <c r="D36" s="14">
        <f>D32*(1+D33)</f>
        <v>2352.3527999999997</v>
      </c>
      <c r="E36" s="14">
        <f>E32*(1+E33)</f>
        <v>2108.19336</v>
      </c>
      <c r="F36" s="14">
        <f>SUM(B36:E36)</f>
        <v>8433.067439999999</v>
      </c>
      <c r="G36" s="14">
        <f>G32*(1+G33)</f>
        <v>1684.36765</v>
      </c>
      <c r="H36" s="14">
        <f>H32*(1+H33)</f>
        <v>2283.3720000000003</v>
      </c>
      <c r="I36" s="45">
        <f>I32*(1+I33)</f>
        <v>2221.4325000000003</v>
      </c>
      <c r="J36" s="17"/>
    </row>
    <row r="37" ht="40.5">
      <c r="A37" s="80" t="s">
        <v>267</v>
      </c>
      <c r="B37" s="6">
        <v>199</v>
      </c>
      <c r="C37" s="6">
        <v>216</v>
      </c>
      <c r="D37" s="6">
        <v>224</v>
      </c>
      <c r="E37" s="6">
        <v>218</v>
      </c>
      <c r="F37" s="14">
        <f>SUM(B37:E37)</f>
        <v>857</v>
      </c>
      <c r="G37" s="6">
        <v>200</v>
      </c>
      <c r="H37" s="6">
        <v>260</v>
      </c>
      <c r="I37" s="62">
        <v>268</v>
      </c>
      <c r="J37" s="142" t="s">
        <v>268</v>
      </c>
    </row>
    <row r="38">
      <c r="A38" s="36" t="s">
        <v>172</v>
      </c>
      <c r="B38" s="9" t="s">
        <v>32</v>
      </c>
      <c r="C38" s="9" t="s">
        <v>32</v>
      </c>
      <c r="D38" s="9" t="s">
        <v>32</v>
      </c>
      <c r="E38" s="9" t="s">
        <v>32</v>
      </c>
      <c r="F38" s="9" t="s">
        <v>32</v>
      </c>
      <c r="G38" s="9">
        <f>IFERROR(G37/B37-1,"n/a")</f>
        <v>0.005025125628140614</v>
      </c>
      <c r="H38" s="9">
        <f>IFERROR(H37/C37-1,"n/a")</f>
        <v>0.20370370370370372</v>
      </c>
      <c r="I38" s="29">
        <f>IFERROR(I37/D37-1,"n/a")</f>
        <v>0.1964285714285714</v>
      </c>
      <c r="J38" s="17"/>
    </row>
    <row r="39">
      <c r="A39" s="36" t="s">
        <v>196</v>
      </c>
      <c r="B39" s="31" t="s">
        <v>32</v>
      </c>
      <c r="C39" s="31">
        <f>C37-B37</f>
        <v>17</v>
      </c>
      <c r="D39" s="31">
        <f>D37-C37</f>
        <v>8</v>
      </c>
      <c r="E39" s="31">
        <f>E37-D37</f>
        <v>-6</v>
      </c>
      <c r="F39" s="31" t="s">
        <v>32</v>
      </c>
      <c r="G39" s="31">
        <f>G37-E37</f>
        <v>-18</v>
      </c>
      <c r="H39" s="31">
        <f>H37-G37</f>
        <v>60</v>
      </c>
      <c r="I39" s="40">
        <f>I37-H37</f>
        <v>8</v>
      </c>
      <c r="J39" s="17"/>
    </row>
    <row r="40">
      <c r="A40" s="88" t="s">
        <v>269</v>
      </c>
      <c r="B40" s="30">
        <f>B36+B37</f>
        <v>1833.3459999999998</v>
      </c>
      <c r="C40" s="30">
        <f>C36+C37</f>
        <v>2554.17528</v>
      </c>
      <c r="D40" s="30">
        <f>D36+D37</f>
        <v>2576.3527999999997</v>
      </c>
      <c r="E40" s="30">
        <f>E36+E37</f>
        <v>2326.19336</v>
      </c>
      <c r="F40" s="30">
        <f>F36+F37</f>
        <v>9290.067439999999</v>
      </c>
      <c r="G40" s="30">
        <f>G36+G37</f>
        <v>1884.36765</v>
      </c>
      <c r="H40" s="30">
        <f>H36+H37</f>
        <v>2543.3720000000003</v>
      </c>
      <c r="I40" s="44">
        <f>I36+I37</f>
        <v>2489.4325000000003</v>
      </c>
      <c r="J40" s="17"/>
    </row>
    <row r="41">
      <c r="A41" s="36" t="s">
        <v>270</v>
      </c>
      <c r="B41" s="9">
        <f>B44/B40-1</f>
        <v>-0.011097741506513104</v>
      </c>
      <c r="C41" s="9">
        <f>C44/C40-1</f>
        <v>-0.013380162382590988</v>
      </c>
      <c r="D41" s="9">
        <f>D44/D40-1</f>
        <v>-0.033905604853496696</v>
      </c>
      <c r="E41" s="9">
        <f>E44/E40-1</f>
        <v>-0.041782150044483046</v>
      </c>
      <c r="F41" s="9">
        <f>F44/F40-1</f>
        <v>-0.025733660336054398</v>
      </c>
      <c r="G41" s="9">
        <f>G44/G40-1</f>
        <v>-0.08192013379130125</v>
      </c>
      <c r="H41" s="9">
        <f>H44/H40-1</f>
        <v>-0.03671189271565478</v>
      </c>
      <c r="I41" s="29">
        <f>AVERAGE(D41,E41,G41,H41)</f>
        <v>-0.048579945351233944</v>
      </c>
      <c r="J41" s="17" t="s">
        <v>271</v>
      </c>
    </row>
    <row r="42">
      <c r="A42" s="36" t="s">
        <v>214</v>
      </c>
      <c r="B42" s="61" t="s">
        <v>32</v>
      </c>
      <c r="C42" s="61" t="s">
        <v>32</v>
      </c>
      <c r="D42" s="61" t="s">
        <v>32</v>
      </c>
      <c r="E42" s="61" t="s">
        <v>32</v>
      </c>
      <c r="F42" s="61" t="s">
        <v>32</v>
      </c>
      <c r="G42" s="61">
        <f>(G41-B41)*10000</f>
        <v>-708.2239228478815</v>
      </c>
      <c r="H42" s="61">
        <f>(H41-C41)*10000</f>
        <v>-233.31730333063794</v>
      </c>
      <c r="I42" s="79">
        <f>(I41-D41)*10000</f>
        <v>-146.74340497737248</v>
      </c>
      <c r="J42" s="17"/>
    </row>
    <row r="43">
      <c r="A43" s="36" t="s">
        <v>215</v>
      </c>
      <c r="B43" s="61" t="s">
        <v>32</v>
      </c>
      <c r="C43" s="61">
        <f>(C41-B41)*10000</f>
        <v>-22.82420876077884</v>
      </c>
      <c r="D43" s="61">
        <f>(D41-C41)*10000</f>
        <v>-205.25442470905708</v>
      </c>
      <c r="E43" s="61">
        <f>(E41-D41)*10000</f>
        <v>-78.7654519098635</v>
      </c>
      <c r="F43" s="61" t="s">
        <v>32</v>
      </c>
      <c r="G43" s="61">
        <f>(G41-E41)*10000</f>
        <v>-401.3798374681821</v>
      </c>
      <c r="H43" s="61">
        <f>(H41-G41)*10000</f>
        <v>452.0824107564647</v>
      </c>
      <c r="I43" s="79">
        <f>(I41-H41)*10000</f>
        <v>-118.68052635579163</v>
      </c>
      <c r="J43" s="17"/>
    </row>
    <row r="44">
      <c r="A44" s="88" t="s">
        <v>400</v>
      </c>
      <c r="B44" s="64">
        <v>1813</v>
      </c>
      <c r="C44" s="64">
        <v>2520</v>
      </c>
      <c r="D44" s="64">
        <v>2489</v>
      </c>
      <c r="E44" s="64">
        <v>2229</v>
      </c>
      <c r="F44" s="30">
        <f>SUM(B44:E44)</f>
        <v>9051</v>
      </c>
      <c r="G44" s="64">
        <v>1730</v>
      </c>
      <c r="H44" s="64">
        <v>2450</v>
      </c>
      <c r="I44" s="44">
        <f>I40*(1+I41)</f>
        <v>2368.496005194415</v>
      </c>
      <c r="J44" s="17" t="s">
        <v>273</v>
      </c>
    </row>
    <row r="45">
      <c r="A45" s="36" t="s">
        <v>172</v>
      </c>
      <c r="B45" s="9">
        <f>IFERROR(B44/B28-1,"n/a")</f>
        <v>0.10886850152905203</v>
      </c>
      <c r="C45" s="9">
        <f>IFERROR(C44/C28-1,"n/a")</f>
        <v>0.07371112057946316</v>
      </c>
      <c r="D45" s="9">
        <f>IFERROR(D44/D28-1,"n/a")</f>
        <v>0.03278008298755197</v>
      </c>
      <c r="E45" s="9">
        <f>IFERROR(E44/E28-1,"n/a")</f>
        <v>0.032900834105653365</v>
      </c>
      <c r="F45" s="9">
        <f>IFERROR(F44/F28-1,"n/a")</f>
        <v>0.05859649122807009</v>
      </c>
      <c r="G45" s="9">
        <f>IFERROR(G44/G28-1,"n/a")</f>
        <v>-0.04578047435190291</v>
      </c>
      <c r="H45" s="9">
        <f>IFERROR(H44/H28-1,"n/a")</f>
        <v>-0.02777777777777779</v>
      </c>
      <c r="I45" s="29">
        <f>IFERROR(I44/I28-1,"n/a")</f>
        <v>-0.048414622260178786</v>
      </c>
      <c r="J45" s="17"/>
    </row>
    <row r="46">
      <c r="A46" s="36" t="s">
        <v>196</v>
      </c>
      <c r="B46" s="31" t="s">
        <v>32</v>
      </c>
      <c r="C46" s="31">
        <f>C44-B44</f>
        <v>707</v>
      </c>
      <c r="D46" s="31">
        <f>D44-C44</f>
        <v>-31</v>
      </c>
      <c r="E46" s="31">
        <f>E44-D44</f>
        <v>-260</v>
      </c>
      <c r="F46" s="31" t="s">
        <v>32</v>
      </c>
      <c r="G46" s="31">
        <f>G44-E44</f>
        <v>-499</v>
      </c>
      <c r="H46" s="31">
        <f>H44-G44</f>
        <v>720</v>
      </c>
      <c r="I46" s="40">
        <f>I44-H44</f>
        <v>-81.50399480558508</v>
      </c>
      <c r="J46" s="17"/>
    </row>
    <row r="47">
      <c r="A47" s="22" t="s">
        <v>280</v>
      </c>
      <c r="B47" s="30">
        <f>B25+B44</f>
        <v>3672</v>
      </c>
      <c r="C47" s="30">
        <f>C25+C44</f>
        <v>4488</v>
      </c>
      <c r="D47" s="30">
        <f>D25+D44</f>
        <v>4551</v>
      </c>
      <c r="E47" s="30">
        <f>E25+E44</f>
        <v>4085</v>
      </c>
      <c r="F47" s="30">
        <f>F25+F44</f>
        <v>16796</v>
      </c>
      <c r="G47" s="30">
        <f>G25+G44</f>
        <v>3486</v>
      </c>
      <c r="H47" s="30">
        <f>H25+H44</f>
        <v>4308</v>
      </c>
      <c r="I47" s="44">
        <f>I25+I44</f>
        <v>4300.064121318032</v>
      </c>
      <c r="J47" s="17"/>
    </row>
    <row r="48">
      <c r="A48" s="36" t="s">
        <v>172</v>
      </c>
      <c r="B48" s="9" t="s">
        <v>32</v>
      </c>
      <c r="C48" s="9" t="s">
        <v>32</v>
      </c>
      <c r="D48" s="9" t="s">
        <v>32</v>
      </c>
      <c r="E48" s="9" t="s">
        <v>32</v>
      </c>
      <c r="F48" s="9" t="s">
        <v>32</v>
      </c>
      <c r="G48" s="9">
        <f>IFERROR(G47/B47-1,"n/a")</f>
        <v>-0.05065359477124187</v>
      </c>
      <c r="H48" s="9">
        <f>IFERROR(H47/C47-1,"n/a")</f>
        <v>-0.0401069518716578</v>
      </c>
      <c r="I48" s="29">
        <f>IFERROR(I47/D47-1,"n/a")</f>
        <v>-0.05513862418852289</v>
      </c>
      <c r="J48" s="17"/>
    </row>
    <row r="49">
      <c r="A49" s="36" t="s">
        <v>196</v>
      </c>
      <c r="B49" s="31" t="s">
        <v>32</v>
      </c>
      <c r="C49" s="31">
        <f>C47-B47</f>
        <v>816</v>
      </c>
      <c r="D49" s="31">
        <f>D47-C47</f>
        <v>63</v>
      </c>
      <c r="E49" s="31">
        <f>E47-D47</f>
        <v>-466</v>
      </c>
      <c r="F49" s="31" t="s">
        <v>32</v>
      </c>
      <c r="G49" s="31">
        <f>G47-E47</f>
        <v>-599</v>
      </c>
      <c r="H49" s="31">
        <f>H47-G47</f>
        <v>822</v>
      </c>
      <c r="I49" s="40">
        <f>I47-H47</f>
        <v>-7.9358786819675515</v>
      </c>
      <c r="J49" s="17"/>
    </row>
    <row r="50" ht="27.75">
      <c r="A50" s="35" t="s">
        <v>401</v>
      </c>
      <c r="B50" s="6">
        <v>146</v>
      </c>
      <c r="C50" s="6">
        <v>178</v>
      </c>
      <c r="D50" s="6">
        <v>167</v>
      </c>
      <c r="E50" s="6">
        <v>159</v>
      </c>
      <c r="F50" s="14">
        <f>SUM(B50:E50)</f>
        <v>650</v>
      </c>
      <c r="G50" s="6">
        <v>0</v>
      </c>
      <c r="H50" s="6">
        <v>0</v>
      </c>
      <c r="I50" s="62">
        <v>0</v>
      </c>
      <c r="J50" s="142" t="s">
        <v>402</v>
      </c>
    </row>
    <row r="51">
      <c r="A51" s="36" t="s">
        <v>196</v>
      </c>
      <c r="B51" s="31" t="s">
        <v>32</v>
      </c>
      <c r="C51" s="31">
        <f>C50-B50</f>
        <v>32</v>
      </c>
      <c r="D51" s="31">
        <f>D50-C50</f>
        <v>-11</v>
      </c>
      <c r="E51" s="31">
        <f>E50-D50</f>
        <v>-8</v>
      </c>
      <c r="F51" s="31" t="s">
        <v>32</v>
      </c>
      <c r="G51" s="31">
        <f>G50-E50</f>
        <v>-159</v>
      </c>
      <c r="H51" s="31">
        <f>H50-G50</f>
        <v>0</v>
      </c>
      <c r="I51" s="40">
        <f>I50-H50</f>
        <v>0</v>
      </c>
      <c r="J51" s="17"/>
    </row>
    <row r="52">
      <c r="A52" s="22" t="s">
        <v>287</v>
      </c>
      <c r="B52" s="30">
        <f>B47+B50</f>
        <v>3818</v>
      </c>
      <c r="C52" s="30">
        <f>C47+C50</f>
        <v>4666</v>
      </c>
      <c r="D52" s="30">
        <f>D47+D50</f>
        <v>4718</v>
      </c>
      <c r="E52" s="30">
        <f>E47+E50</f>
        <v>4244</v>
      </c>
      <c r="F52" s="30">
        <f>F47+F50</f>
        <v>17446</v>
      </c>
      <c r="G52" s="30">
        <f>G47+G50</f>
        <v>3486</v>
      </c>
      <c r="H52" s="30">
        <f>H47+H50</f>
        <v>4308</v>
      </c>
      <c r="I52" s="44">
        <f>I47+I50</f>
        <v>4300.064121318032</v>
      </c>
      <c r="J52" s="17"/>
    </row>
    <row r="53">
      <c r="A53" s="36" t="s">
        <v>187</v>
      </c>
      <c r="B53" s="9">
        <f>IFERROR(B52/B56-1,"n/a")</f>
        <v>0.04803733186933856</v>
      </c>
      <c r="C53" s="9">
        <f>IFERROR(C52/C56-1,"n/a")</f>
        <v>0.028659611992945422</v>
      </c>
      <c r="D53" s="9">
        <f>IFERROR(D52/D56-1,"n/a")</f>
        <v>-0.002115059221658222</v>
      </c>
      <c r="E53" s="9">
        <f>IFERROR(E52/E56-1,"n/a")</f>
        <v>-0.004223369310182967</v>
      </c>
      <c r="F53" s="9">
        <f>IFERROR(F52/F56-1,"n/a")</f>
        <v>0.016133729396004437</v>
      </c>
      <c r="G53" s="9">
        <f>IFERROR(G52/G56-1,"n/a")</f>
        <v>-0.08695652173913049</v>
      </c>
      <c r="H53" s="9">
        <f>IFERROR(H52/H56-1,"n/a")</f>
        <v>-0.07672524646378054</v>
      </c>
      <c r="I53" s="29">
        <f>IFERROR(I52/I56-1,"n/a")</f>
        <v>-0.08858327229376162</v>
      </c>
      <c r="J53" s="17"/>
    </row>
    <row r="54">
      <c r="A54" s="36" t="s">
        <v>196</v>
      </c>
      <c r="B54" s="31" t="s">
        <v>32</v>
      </c>
      <c r="C54" s="31">
        <f>C52-B52</f>
        <v>848</v>
      </c>
      <c r="D54" s="31">
        <f>D52-C52</f>
        <v>52</v>
      </c>
      <c r="E54" s="31">
        <f>E52-D52</f>
        <v>-474</v>
      </c>
      <c r="F54" s="31" t="s">
        <v>32</v>
      </c>
      <c r="G54" s="31">
        <f>G52-E52</f>
        <v>-758</v>
      </c>
      <c r="H54" s="31">
        <f>H52-G52</f>
        <v>822</v>
      </c>
      <c r="I54" s="40">
        <f>I52-H52</f>
        <v>-7.9358786819675515</v>
      </c>
      <c r="J54" s="17"/>
    </row>
    <row r="55">
      <c r="A55" s="36" t="s">
        <v>288</v>
      </c>
      <c r="B55" s="9"/>
      <c r="C55" s="9"/>
      <c r="D55" s="9"/>
      <c r="E55" s="9"/>
      <c r="F55" s="9"/>
      <c r="G55" s="9">
        <f>G52/(B52-B50)-1</f>
        <v>-0.05065359477124187</v>
      </c>
      <c r="H55" s="9">
        <f>H52/(C52-C50)-1</f>
        <v>-0.0401069518716578</v>
      </c>
      <c r="I55" s="29">
        <f>I52/(D52-D50)-1</f>
        <v>-0.05513862418852289</v>
      </c>
      <c r="J55" s="17"/>
    </row>
    <row r="56">
      <c r="A56" s="35" t="s">
        <v>289</v>
      </c>
      <c r="B56" s="6">
        <v>3643</v>
      </c>
      <c r="C56" s="6">
        <v>4536</v>
      </c>
      <c r="D56" s="6">
        <v>4728</v>
      </c>
      <c r="E56" s="6">
        <v>4262</v>
      </c>
      <c r="F56" s="14">
        <f>SUM(B56:E56)</f>
        <v>17169</v>
      </c>
      <c r="G56" s="14">
        <f>B52</f>
        <v>3818</v>
      </c>
      <c r="H56" s="14">
        <f>C52</f>
        <v>4666</v>
      </c>
      <c r="I56" s="45">
        <f>D52</f>
        <v>4718</v>
      </c>
      <c r="J56" s="17" t="s">
        <v>210</v>
      </c>
    </row>
    <row r="57">
      <c r="A57" s="35" t="s">
        <v>403</v>
      </c>
      <c r="B57" s="6">
        <v>165</v>
      </c>
      <c r="C57" s="6">
        <v>172</v>
      </c>
      <c r="D57" s="6">
        <v>168</v>
      </c>
      <c r="E57" s="6">
        <v>165</v>
      </c>
      <c r="F57" s="14">
        <f>SUM(B57:E57)</f>
        <v>670</v>
      </c>
      <c r="G57" s="6">
        <v>0</v>
      </c>
      <c r="H57" s="6">
        <v>0</v>
      </c>
      <c r="I57" s="62">
        <v>0</v>
      </c>
      <c r="J57" s="17" t="s">
        <v>404</v>
      </c>
    </row>
    <row r="58">
      <c r="A58" s="42" t="s">
        <v>405</v>
      </c>
      <c r="B58" s="8"/>
      <c r="C58" s="8"/>
      <c r="D58" s="8"/>
      <c r="E58" s="8"/>
      <c r="F58" s="8"/>
      <c r="G58" s="8"/>
      <c r="H58" s="8"/>
      <c r="I58" s="21"/>
      <c r="J58" s="17"/>
    </row>
    <row r="59" ht="27.75">
      <c r="A59" s="35" t="s">
        <v>406</v>
      </c>
      <c r="B59" s="95">
        <v>3150</v>
      </c>
      <c r="C59" s="93">
        <f>B64</f>
        <v>3118</v>
      </c>
      <c r="D59" s="93">
        <f>C64</f>
        <v>3083</v>
      </c>
      <c r="E59" s="93">
        <f>D64</f>
        <v>3050</v>
      </c>
      <c r="F59" s="93">
        <f>B59</f>
        <v>3150</v>
      </c>
      <c r="G59" s="93">
        <f>E64</f>
        <v>3025</v>
      </c>
      <c r="H59" s="93">
        <f>G64</f>
        <v>2819</v>
      </c>
      <c r="I59" s="98">
        <f>H64</f>
        <v>2801</v>
      </c>
      <c r="J59" s="142" t="s">
        <v>407</v>
      </c>
    </row>
    <row r="60" ht="40.5">
      <c r="A60" s="35" t="s">
        <v>408</v>
      </c>
      <c r="B60" s="93" t="s">
        <v>178</v>
      </c>
      <c r="C60" s="93" t="s">
        <v>178</v>
      </c>
      <c r="D60" s="93" t="s">
        <v>178</v>
      </c>
      <c r="E60" s="93" t="s">
        <v>178</v>
      </c>
      <c r="F60" s="93" t="s">
        <v>178</v>
      </c>
      <c r="G60" s="93" t="s">
        <v>178</v>
      </c>
      <c r="H60" s="93" t="s">
        <v>178</v>
      </c>
      <c r="I60" s="98" t="s">
        <v>178</v>
      </c>
      <c r="J60" s="142" t="s">
        <v>409</v>
      </c>
    </row>
    <row r="61">
      <c r="A61" s="35" t="s">
        <v>410</v>
      </c>
      <c r="B61" s="93" t="s">
        <v>178</v>
      </c>
      <c r="C61" s="93" t="s">
        <v>178</v>
      </c>
      <c r="D61" s="93" t="s">
        <v>178</v>
      </c>
      <c r="E61" s="93" t="s">
        <v>178</v>
      </c>
      <c r="F61" s="93" t="s">
        <v>178</v>
      </c>
      <c r="G61" s="93" t="s">
        <v>178</v>
      </c>
      <c r="H61" s="93" t="s">
        <v>178</v>
      </c>
      <c r="I61" s="98" t="s">
        <v>178</v>
      </c>
      <c r="J61" s="17" t="s">
        <v>179</v>
      </c>
    </row>
    <row r="62">
      <c r="A62" s="35" t="s">
        <v>411</v>
      </c>
      <c r="B62" s="93">
        <f>B64-B59</f>
        <v>-32</v>
      </c>
      <c r="C62" s="93">
        <f>C64-C59</f>
        <v>-35</v>
      </c>
      <c r="D62" s="93">
        <f>D64-D59</f>
        <v>-33</v>
      </c>
      <c r="E62" s="93">
        <f>E64-E59</f>
        <v>-25</v>
      </c>
      <c r="F62" s="93">
        <f>F64-F59</f>
        <v>-125</v>
      </c>
      <c r="G62" s="93">
        <f>G64-G59</f>
        <v>-206</v>
      </c>
      <c r="H62" s="93">
        <f>H64-H59</f>
        <v>-18</v>
      </c>
      <c r="I62" s="98">
        <f>I64-I59</f>
        <v>-22.4079999999999</v>
      </c>
      <c r="J62" s="17" t="s">
        <v>412</v>
      </c>
    </row>
    <row r="63">
      <c r="A63" s="36" t="s">
        <v>413</v>
      </c>
      <c r="B63" s="31" t="s">
        <v>32</v>
      </c>
      <c r="C63" s="31" t="s">
        <v>32</v>
      </c>
      <c r="D63" s="31" t="s">
        <v>32</v>
      </c>
      <c r="E63" s="31" t="s">
        <v>32</v>
      </c>
      <c r="F63" s="31" t="s">
        <v>32</v>
      </c>
      <c r="G63" s="31">
        <f>G62-B62</f>
        <v>-174</v>
      </c>
      <c r="H63" s="31">
        <f>H62-C62</f>
        <v>17</v>
      </c>
      <c r="I63" s="40">
        <f>I62-D62</f>
        <v>10.592000000000098</v>
      </c>
      <c r="J63" s="17"/>
    </row>
    <row r="64">
      <c r="A64" s="88" t="s">
        <v>414</v>
      </c>
      <c r="B64" s="96">
        <v>3118</v>
      </c>
      <c r="C64" s="96">
        <v>3083</v>
      </c>
      <c r="D64" s="96">
        <v>3050</v>
      </c>
      <c r="E64" s="96">
        <v>3025</v>
      </c>
      <c r="F64" s="97">
        <f>E64</f>
        <v>3025</v>
      </c>
      <c r="G64" s="96">
        <v>2819</v>
      </c>
      <c r="H64" s="96">
        <v>2801</v>
      </c>
      <c r="I64" s="100">
        <f>I59*(1+I66)</f>
        <v>2778.592</v>
      </c>
      <c r="J64" s="17" t="s">
        <v>415</v>
      </c>
    </row>
    <row r="65">
      <c r="A65" s="36" t="s">
        <v>172</v>
      </c>
      <c r="B65" s="9" t="s">
        <v>32</v>
      </c>
      <c r="C65" s="9" t="s">
        <v>32</v>
      </c>
      <c r="D65" s="9" t="s">
        <v>32</v>
      </c>
      <c r="E65" s="9" t="s">
        <v>32</v>
      </c>
      <c r="F65" s="9" t="s">
        <v>32</v>
      </c>
      <c r="G65" s="9">
        <f>IFERROR(G64/B64-1,"n/a")</f>
        <v>-0.09589480436177034</v>
      </c>
      <c r="H65" s="9">
        <f>IFERROR(H64/C64-1,"n/a")</f>
        <v>-0.09146934803762574</v>
      </c>
      <c r="I65" s="29">
        <f>IFERROR(I64/D64-1,"n/a")</f>
        <v>-0.08898622950819668</v>
      </c>
      <c r="J65" s="17"/>
    </row>
    <row r="66" ht="40.5">
      <c r="A66" s="36" t="s">
        <v>416</v>
      </c>
      <c r="B66" s="9">
        <f>B64/B59-1</f>
        <v>-0.010158730158730145</v>
      </c>
      <c r="C66" s="9">
        <f>C64/C59-1</f>
        <v>-0.011225144323284142</v>
      </c>
      <c r="D66" s="9">
        <f>D64/D59-1</f>
        <v>-0.010703859876743382</v>
      </c>
      <c r="E66" s="9">
        <f>E64/E59-1</f>
        <v>-0.008196721311475419</v>
      </c>
      <c r="F66" s="9">
        <f>F64/F59-1</f>
        <v>-0.03968253968253965</v>
      </c>
      <c r="G66" s="9">
        <f>G64/G59-1</f>
        <v>-0.06809917355371897</v>
      </c>
      <c r="H66" s="9">
        <f>H64/H59-1</f>
        <v>-0.0063852429939694755</v>
      </c>
      <c r="I66" s="87">
        <v>-0.008</v>
      </c>
      <c r="J66" s="142" t="s">
        <v>417</v>
      </c>
    </row>
    <row r="67">
      <c r="A67" s="36" t="s">
        <v>215</v>
      </c>
      <c r="B67" s="61" t="s">
        <v>32</v>
      </c>
      <c r="C67" s="61">
        <f>(C66-B66)*10000</f>
        <v>-10.66414164553997</v>
      </c>
      <c r="D67" s="61">
        <f>(D66-C66)*10000</f>
        <v>5.212844465407596</v>
      </c>
      <c r="E67" s="61">
        <f>(E66-D66)*10000</f>
        <v>25.071385652679634</v>
      </c>
      <c r="F67" s="61" t="s">
        <v>32</v>
      </c>
      <c r="G67" s="61">
        <f>(G66-E66)*10000</f>
        <v>-599.0245224224356</v>
      </c>
      <c r="H67" s="61">
        <f>(H66-G66)*10000</f>
        <v>617.139305597495</v>
      </c>
      <c r="I67" s="79">
        <f>(I66-H66)*10000</f>
        <v>-16.147570060305245</v>
      </c>
      <c r="J67" s="17"/>
    </row>
    <row r="68">
      <c r="A68" s="35" t="s">
        <v>418</v>
      </c>
      <c r="B68" s="93">
        <f>AVERAGE(B59,B64)</f>
        <v>3134</v>
      </c>
      <c r="C68" s="93">
        <f>AVERAGE(C59,C64)</f>
        <v>3100.5</v>
      </c>
      <c r="D68" s="93">
        <f>AVERAGE(D59,D64)</f>
        <v>3066.5</v>
      </c>
      <c r="E68" s="93">
        <f>AVERAGE(E59,E64)</f>
        <v>3037.5</v>
      </c>
      <c r="F68" s="93">
        <f>AVERAGE(B68,C68,D68,E68)</f>
        <v>3084.625</v>
      </c>
      <c r="G68" s="93">
        <f>AVERAGE(G59,G64)</f>
        <v>2922</v>
      </c>
      <c r="H68" s="93">
        <f>AVERAGE(H59,H64)</f>
        <v>2810</v>
      </c>
      <c r="I68" s="98">
        <f>AVERAGE(I59,I64)</f>
        <v>2789.7960000000003</v>
      </c>
      <c r="J68" s="17"/>
    </row>
    <row r="69">
      <c r="A69" s="36" t="s">
        <v>172</v>
      </c>
      <c r="B69" s="9" t="s">
        <v>32</v>
      </c>
      <c r="C69" s="9" t="s">
        <v>32</v>
      </c>
      <c r="D69" s="9" t="s">
        <v>32</v>
      </c>
      <c r="E69" s="9" t="s">
        <v>32</v>
      </c>
      <c r="F69" s="9" t="s">
        <v>32</v>
      </c>
      <c r="G69" s="9">
        <f>IFERROR(G68/B68-1,"n/a")</f>
        <v>-0.0676451818761965</v>
      </c>
      <c r="H69" s="9">
        <f>IFERROR(H68/C68-1,"n/a")</f>
        <v>-0.09369456539267862</v>
      </c>
      <c r="I69" s="29">
        <f>IFERROR(I68/D68-1,"n/a")</f>
        <v>-0.09023446926463385</v>
      </c>
      <c r="J69" s="17"/>
    </row>
    <row r="70">
      <c r="A70" s="36" t="s">
        <v>419</v>
      </c>
      <c r="B70" s="94" t="s">
        <v>32</v>
      </c>
      <c r="C70" s="94">
        <f>C68-B68</f>
        <v>-33.5</v>
      </c>
      <c r="D70" s="94">
        <f>D68-C68</f>
        <v>-34</v>
      </c>
      <c r="E70" s="94">
        <f>E68-D68</f>
        <v>-29</v>
      </c>
      <c r="F70" s="94" t="s">
        <v>32</v>
      </c>
      <c r="G70" s="94">
        <f>G68-E68</f>
        <v>-115.5</v>
      </c>
      <c r="H70" s="94">
        <f>H68-G68</f>
        <v>-112</v>
      </c>
      <c r="I70" s="99">
        <f>I68-H68</f>
        <v>-20.203999999999724</v>
      </c>
      <c r="J70" s="17"/>
    </row>
    <row r="71">
      <c r="A71" s="80" t="s">
        <v>420</v>
      </c>
      <c r="B71" s="95">
        <v>3212</v>
      </c>
      <c r="C71" s="95">
        <v>3180</v>
      </c>
      <c r="D71" s="95">
        <v>3158</v>
      </c>
      <c r="E71" s="95">
        <v>3150</v>
      </c>
      <c r="F71" s="93">
        <f>E71</f>
        <v>3150</v>
      </c>
      <c r="G71" s="93">
        <f>B64</f>
        <v>3118</v>
      </c>
      <c r="H71" s="93">
        <f>C64</f>
        <v>3083</v>
      </c>
      <c r="I71" s="98">
        <f>D64</f>
        <v>3050</v>
      </c>
      <c r="J71" s="17" t="s">
        <v>421</v>
      </c>
    </row>
    <row r="72">
      <c r="A72" s="42" t="s">
        <v>422</v>
      </c>
      <c r="B72" s="8"/>
      <c r="C72" s="8"/>
      <c r="D72" s="8"/>
      <c r="E72" s="8"/>
      <c r="F72" s="8"/>
      <c r="G72" s="8"/>
      <c r="H72" s="8"/>
      <c r="I72" s="21"/>
      <c r="J72" s="17"/>
    </row>
    <row r="73" ht="53.25">
      <c r="A73" s="35" t="s">
        <v>423</v>
      </c>
      <c r="B73" s="93">
        <f>B76*4000/B68</f>
        <v>2643.267389917039</v>
      </c>
      <c r="C73" s="93">
        <f>C76*4000/C68</f>
        <v>2697.6294146105465</v>
      </c>
      <c r="D73" s="93">
        <f>D76*4000/D68</f>
        <v>2727.5395401924015</v>
      </c>
      <c r="E73" s="93">
        <f>E76*4000/E68</f>
        <v>2732.5102880658437</v>
      </c>
      <c r="F73" s="93">
        <f>F76*1000/F68</f>
        <v>2699.841958098634</v>
      </c>
      <c r="G73" s="93">
        <f>G76*4000/G68</f>
        <v>2590.006844626968</v>
      </c>
      <c r="H73" s="93">
        <f>H76*4000/H68</f>
        <v>2700.355871886121</v>
      </c>
      <c r="I73" s="98">
        <f>D73*(1+I74)</f>
        <v>2713.9018424914393</v>
      </c>
      <c r="J73" s="142" t="s">
        <v>424</v>
      </c>
    </row>
    <row r="74" ht="27.75">
      <c r="A74" s="36" t="s">
        <v>425</v>
      </c>
      <c r="B74" s="9" t="s">
        <v>32</v>
      </c>
      <c r="C74" s="9">
        <f>C73/(C83*4000/AVERAGE(B71,C71))-1</f>
        <v>0.06387260724275756</v>
      </c>
      <c r="D74" s="9">
        <f>D73/(D83*4000/AVERAGE(C71,D71))-1</f>
        <v>0.038890961883379926</v>
      </c>
      <c r="E74" s="9">
        <f>E73/(E83*4000/AVERAGE(D71,E71))-1</f>
        <v>0.02113002945019793</v>
      </c>
      <c r="F74" s="9" t="s">
        <v>32</v>
      </c>
      <c r="G74" s="9">
        <f>G73/B73-1</f>
        <v>-0.02014951097767781</v>
      </c>
      <c r="H74" s="9">
        <f>H73/C73-1</f>
        <v>0.001010686368115632</v>
      </c>
      <c r="I74" s="87">
        <v>-0.005</v>
      </c>
      <c r="J74" s="142" t="s">
        <v>426</v>
      </c>
    </row>
    <row r="75">
      <c r="A75" s="36" t="s">
        <v>196</v>
      </c>
      <c r="B75" s="94" t="s">
        <v>32</v>
      </c>
      <c r="C75" s="94">
        <f>C73-B73</f>
        <v>54.362024693507465</v>
      </c>
      <c r="D75" s="94">
        <f>D73-C73</f>
        <v>29.910125581855027</v>
      </c>
      <c r="E75" s="94">
        <f>E73-D73</f>
        <v>4.970747873442178</v>
      </c>
      <c r="F75" s="94" t="s">
        <v>32</v>
      </c>
      <c r="G75" s="94">
        <f>G73-E73</f>
        <v>-142.50344343887582</v>
      </c>
      <c r="H75" s="94">
        <f>H73-G73</f>
        <v>110.34902725915299</v>
      </c>
      <c r="I75" s="99">
        <f>I73-H73</f>
        <v>13.545970605318416</v>
      </c>
      <c r="J75" s="17"/>
    </row>
    <row r="76" ht="27.75">
      <c r="A76" s="22" t="s">
        <v>427</v>
      </c>
      <c r="B76" s="64">
        <v>2071</v>
      </c>
      <c r="C76" s="64">
        <v>2091</v>
      </c>
      <c r="D76" s="64">
        <v>2091</v>
      </c>
      <c r="E76" s="64">
        <v>2075</v>
      </c>
      <c r="F76" s="30">
        <f>SUM(B76:E76)</f>
        <v>8328</v>
      </c>
      <c r="G76" s="64">
        <v>1892</v>
      </c>
      <c r="H76" s="64">
        <v>1897</v>
      </c>
      <c r="I76" s="44">
        <f>I73*I68/4000</f>
        <v>1892.808126143812</v>
      </c>
      <c r="J76" s="142" t="s">
        <v>428</v>
      </c>
    </row>
    <row r="77">
      <c r="A77" s="36" t="s">
        <v>187</v>
      </c>
      <c r="B77" s="9">
        <f>IFERROR(B76/B83-1,"n/a")</f>
        <v>0.04595959595959598</v>
      </c>
      <c r="C77" s="9">
        <f>IFERROR(C76/C83-1,"n/a")</f>
        <v>0.03208292201382035</v>
      </c>
      <c r="D77" s="9">
        <f>IFERROR(D76/D83-1,"n/a")</f>
        <v>0.005288461538461631</v>
      </c>
      <c r="E77" s="9">
        <f>IFERROR(E76/E83-1,"n/a")</f>
        <v>-0.016587677725118488</v>
      </c>
      <c r="F77" s="9">
        <f>IFERROR(F76/F83-1,"n/a")</f>
        <v>0.016105417276720324</v>
      </c>
      <c r="G77" s="9">
        <f>IFERROR(G76/G83-1,"n/a")</f>
        <v>-0.08643167551907294</v>
      </c>
      <c r="H77" s="9">
        <f>IFERROR(H76/H83-1,"n/a")</f>
        <v>-0.09277857484457197</v>
      </c>
      <c r="I77" s="29">
        <f>IFERROR(I76/I83-1,"n/a")</f>
        <v>-0.09478329691831089</v>
      </c>
      <c r="J77" s="17"/>
    </row>
    <row r="78">
      <c r="A78" s="36" t="s">
        <v>196</v>
      </c>
      <c r="B78" s="31" t="s">
        <v>32</v>
      </c>
      <c r="C78" s="31">
        <f>C76-B76</f>
        <v>20</v>
      </c>
      <c r="D78" s="31">
        <f>D76-C76</f>
        <v>0</v>
      </c>
      <c r="E78" s="31">
        <f>E76-D76</f>
        <v>-16</v>
      </c>
      <c r="F78" s="31" t="s">
        <v>32</v>
      </c>
      <c r="G78" s="31">
        <f>G76-E76</f>
        <v>-183</v>
      </c>
      <c r="H78" s="31">
        <f>H76-G76</f>
        <v>5</v>
      </c>
      <c r="I78" s="40">
        <f>I76-H76</f>
        <v>-4.191873856188067</v>
      </c>
      <c r="J78" s="17"/>
    </row>
    <row r="79">
      <c r="A79" s="36" t="s">
        <v>173</v>
      </c>
      <c r="B79" s="9" t="s">
        <v>32</v>
      </c>
      <c r="C79" s="9">
        <f>IFERROR(C76/B76-1,"n/a")</f>
        <v>0.00965717044905845</v>
      </c>
      <c r="D79" s="9">
        <f>IFERROR(D76/C76-1,"n/a")</f>
        <v>0</v>
      </c>
      <c r="E79" s="9">
        <f>IFERROR(E76/D76-1,"n/a")</f>
        <v>-0.007651841224294631</v>
      </c>
      <c r="F79" s="9" t="s">
        <v>32</v>
      </c>
      <c r="G79" s="9">
        <f>IFERROR(G76/E76-1,"n/a")</f>
        <v>-0.08819277108433732</v>
      </c>
      <c r="H79" s="9">
        <f>IFERROR(H76/G76-1,"n/a")</f>
        <v>0.0026427061310783095</v>
      </c>
      <c r="I79" s="29">
        <f>IFERROR(I76/H76-1,"n/a")</f>
        <v>-0.002209738458717969</v>
      </c>
      <c r="J79" s="17"/>
    </row>
    <row r="80" ht="27.75">
      <c r="A80" s="36" t="s">
        <v>429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9">
        <f>-B57/(G83+G142)</f>
        <v>-0.03882352941176471</v>
      </c>
      <c r="H80" s="9">
        <f>-C57/(H83+H142)</f>
        <v>-0.03949483352468427</v>
      </c>
      <c r="I80" s="29">
        <f>-D57/(I83+I142)</f>
        <v>-0.03824265877532438</v>
      </c>
      <c r="J80" s="142" t="s">
        <v>430</v>
      </c>
    </row>
    <row r="81">
      <c r="A81" s="36" t="s">
        <v>177</v>
      </c>
      <c r="B81" s="9" t="s">
        <v>178</v>
      </c>
      <c r="C81" s="9" t="s">
        <v>178</v>
      </c>
      <c r="D81" s="9" t="s">
        <v>178</v>
      </c>
      <c r="E81" s="9" t="s">
        <v>178</v>
      </c>
      <c r="F81" s="9" t="s">
        <v>178</v>
      </c>
      <c r="G81" s="9" t="s">
        <v>178</v>
      </c>
      <c r="H81" s="9" t="s">
        <v>178</v>
      </c>
      <c r="I81" s="29" t="s">
        <v>178</v>
      </c>
      <c r="J81" s="17" t="s">
        <v>179</v>
      </c>
    </row>
    <row r="82" ht="27.75">
      <c r="A82" s="36" t="s">
        <v>175</v>
      </c>
      <c r="B82" s="9">
        <f>IFERROR((B76/B83)/(1+B80)-1,"n/a")</f>
        <v>0.04595959595959598</v>
      </c>
      <c r="C82" s="9">
        <f>IFERROR((C76/C83)/(1+C80)-1,"n/a")</f>
        <v>0.03208292201382035</v>
      </c>
      <c r="D82" s="9">
        <f>IFERROR((D76/D83)/(1+D80)-1,"n/a")</f>
        <v>0.005288461538461631</v>
      </c>
      <c r="E82" s="9">
        <f>IFERROR((E76/E83)/(1+E80)-1,"n/a")</f>
        <v>-0.016587677725118488</v>
      </c>
      <c r="F82" s="9">
        <f>IFERROR((F76/F83)/(1+F80)-1,"n/a")</f>
        <v>0.016105417276720324</v>
      </c>
      <c r="G82" s="9">
        <f>IFERROR((G76/G83)/(1+G80)-1,"n/a")</f>
        <v>-0.04953111896109175</v>
      </c>
      <c r="H82" s="9">
        <f>IFERROR((H76/H83)/(1+H80)-1,"n/a")</f>
        <v>-0.05547470558166645</v>
      </c>
      <c r="I82" s="29">
        <f>IFERROR((I76/I83)/(1+I80)-1,"n/a")</f>
        <v>-0.0587888812691455</v>
      </c>
      <c r="J82" s="142" t="s">
        <v>315</v>
      </c>
    </row>
    <row r="83">
      <c r="A83" s="35" t="s">
        <v>317</v>
      </c>
      <c r="B83" s="6">
        <v>1980</v>
      </c>
      <c r="C83" s="6">
        <v>2026</v>
      </c>
      <c r="D83" s="6">
        <v>2080</v>
      </c>
      <c r="E83" s="6">
        <v>2110</v>
      </c>
      <c r="F83" s="14">
        <f>SUM(B83:E83)</f>
        <v>8196</v>
      </c>
      <c r="G83" s="14">
        <f>B76</f>
        <v>2071</v>
      </c>
      <c r="H83" s="14">
        <f>C76</f>
        <v>2091</v>
      </c>
      <c r="I83" s="45">
        <f>D76</f>
        <v>2091</v>
      </c>
      <c r="J83" s="17" t="s">
        <v>210</v>
      </c>
    </row>
    <row r="84">
      <c r="A84" s="42" t="s">
        <v>431</v>
      </c>
      <c r="B84" s="8"/>
      <c r="C84" s="8"/>
      <c r="D84" s="8"/>
      <c r="E84" s="8"/>
      <c r="F84" s="8"/>
      <c r="G84" s="8"/>
      <c r="H84" s="8"/>
      <c r="I84" s="21"/>
      <c r="J84" s="17"/>
    </row>
    <row r="85" ht="40.5">
      <c r="A85" s="65" t="s">
        <v>324</v>
      </c>
      <c r="B85" s="2">
        <v>0.221</v>
      </c>
      <c r="C85" s="2">
        <v>0.222</v>
      </c>
      <c r="D85" s="2">
        <v>0.228</v>
      </c>
      <c r="E85" s="2">
        <v>0.223</v>
      </c>
      <c r="F85" s="9">
        <f>SUMPRODUCT(B76:E76,B85:E85)/F76</f>
        <v>0.22350696445725263</v>
      </c>
      <c r="G85" s="2">
        <v>0.223</v>
      </c>
      <c r="H85" s="2">
        <v>0.229</v>
      </c>
      <c r="I85" s="87">
        <v>0.228</v>
      </c>
      <c r="J85" s="142" t="s">
        <v>325</v>
      </c>
    </row>
    <row r="86">
      <c r="A86" s="36" t="s">
        <v>214</v>
      </c>
      <c r="B86" s="61" t="s">
        <v>32</v>
      </c>
      <c r="C86" s="61" t="s">
        <v>32</v>
      </c>
      <c r="D86" s="61" t="s">
        <v>32</v>
      </c>
      <c r="E86" s="61" t="s">
        <v>32</v>
      </c>
      <c r="F86" s="61" t="s">
        <v>32</v>
      </c>
      <c r="G86" s="61">
        <f>(G85-B85)*10000</f>
        <v>20.000000000000018</v>
      </c>
      <c r="H86" s="61">
        <f>(H85-C85)*10000</f>
        <v>70.00000000000006</v>
      </c>
      <c r="I86" s="79">
        <f>(I85-D85)*10000</f>
        <v>0</v>
      </c>
      <c r="J86" s="17"/>
    </row>
    <row r="87">
      <c r="A87" s="36" t="s">
        <v>215</v>
      </c>
      <c r="B87" s="61" t="s">
        <v>32</v>
      </c>
      <c r="C87" s="61">
        <f>(C85-B85)*10000</f>
        <v>10.000000000000009</v>
      </c>
      <c r="D87" s="61">
        <f>(D85-C85)*10000</f>
        <v>60.00000000000006</v>
      </c>
      <c r="E87" s="61">
        <f>(E85-D85)*10000</f>
        <v>-50.00000000000004</v>
      </c>
      <c r="F87" s="61" t="s">
        <v>32</v>
      </c>
      <c r="G87" s="61">
        <f>(G85-E85)*10000</f>
        <v>0</v>
      </c>
      <c r="H87" s="61">
        <f>(H85-G85)*10000</f>
        <v>60.00000000000006</v>
      </c>
      <c r="I87" s="79">
        <f>(I85-H85)*10000</f>
        <v>-10.000000000000009</v>
      </c>
      <c r="J87" s="17"/>
    </row>
    <row r="88" ht="40.5">
      <c r="A88" s="65" t="s">
        <v>326</v>
      </c>
      <c r="B88" s="2">
        <v>0.875</v>
      </c>
      <c r="C88" s="2">
        <v>0.89</v>
      </c>
      <c r="D88" s="2">
        <v>0.883</v>
      </c>
      <c r="E88" s="2">
        <v>0.922</v>
      </c>
      <c r="F88" s="9">
        <f>SUMPRODUCT(B76:E76,B88:E88)/F76</f>
        <v>0.8924853506243997</v>
      </c>
      <c r="G88" s="2">
        <v>0.883</v>
      </c>
      <c r="H88" s="2">
        <v>0.858</v>
      </c>
      <c r="I88" s="29">
        <f>I91+I85</f>
        <v>0.873</v>
      </c>
      <c r="J88" s="142" t="s">
        <v>327</v>
      </c>
    </row>
    <row r="89">
      <c r="A89" s="36" t="s">
        <v>214</v>
      </c>
      <c r="B89" s="61" t="s">
        <v>32</v>
      </c>
      <c r="C89" s="61" t="s">
        <v>32</v>
      </c>
      <c r="D89" s="61" t="s">
        <v>32</v>
      </c>
      <c r="E89" s="61" t="s">
        <v>32</v>
      </c>
      <c r="F89" s="61" t="s">
        <v>32</v>
      </c>
      <c r="G89" s="61">
        <f>(G88-B88)*10000</f>
        <v>80.00000000000007</v>
      </c>
      <c r="H89" s="61">
        <f>(H88-C88)*10000</f>
        <v>-320.0000000000003</v>
      </c>
      <c r="I89" s="79">
        <f>(I88-D88)*10000</f>
        <v>-100.00000000000009</v>
      </c>
      <c r="J89" s="17"/>
    </row>
    <row r="90">
      <c r="A90" s="36" t="s">
        <v>215</v>
      </c>
      <c r="B90" s="61" t="s">
        <v>32</v>
      </c>
      <c r="C90" s="61">
        <f>(C88-B88)*10000</f>
        <v>150.00000000000014</v>
      </c>
      <c r="D90" s="61">
        <f>(D88-C88)*10000</f>
        <v>-70.00000000000006</v>
      </c>
      <c r="E90" s="61">
        <f>(E88-D88)*10000</f>
        <v>390.00000000000034</v>
      </c>
      <c r="F90" s="61" t="s">
        <v>32</v>
      </c>
      <c r="G90" s="61">
        <f>(G88-E88)*10000</f>
        <v>-390.00000000000034</v>
      </c>
      <c r="H90" s="61">
        <f>(H88-G88)*10000</f>
        <v>-250.00000000000023</v>
      </c>
      <c r="I90" s="79">
        <f>(I88-H88)*10000</f>
        <v>150.00000000000014</v>
      </c>
      <c r="J90" s="17"/>
    </row>
    <row r="91" ht="27.75">
      <c r="A91" s="65" t="s">
        <v>328</v>
      </c>
      <c r="B91" s="9">
        <f>B88-B85</f>
        <v>0.654</v>
      </c>
      <c r="C91" s="9">
        <f>C88-C85</f>
        <v>0.668</v>
      </c>
      <c r="D91" s="9">
        <f>D88-D85</f>
        <v>0.655</v>
      </c>
      <c r="E91" s="9">
        <f>E88-E85</f>
        <v>0.6990000000000001</v>
      </c>
      <c r="F91" s="9">
        <f>F88-F85</f>
        <v>0.6689783861671471</v>
      </c>
      <c r="G91" s="9">
        <f>G88-G85</f>
        <v>0.66</v>
      </c>
      <c r="H91" s="9">
        <f>H88-H85</f>
        <v>0.629</v>
      </c>
      <c r="I91" s="87">
        <v>0.645</v>
      </c>
      <c r="J91" s="142" t="s">
        <v>329</v>
      </c>
    </row>
    <row r="92">
      <c r="A92" s="36" t="s">
        <v>214</v>
      </c>
      <c r="B92" s="61" t="s">
        <v>32</v>
      </c>
      <c r="C92" s="61" t="s">
        <v>32</v>
      </c>
      <c r="D92" s="61" t="s">
        <v>32</v>
      </c>
      <c r="E92" s="61" t="s">
        <v>32</v>
      </c>
      <c r="F92" s="61" t="s">
        <v>32</v>
      </c>
      <c r="G92" s="61">
        <f>(G91-B91)*10000</f>
        <v>60.00000000000006</v>
      </c>
      <c r="H92" s="61">
        <f>(H91-C91)*10000</f>
        <v>-390.00000000000034</v>
      </c>
      <c r="I92" s="79">
        <f>(I91-D91)*10000</f>
        <v>-100.00000000000009</v>
      </c>
      <c r="J92" s="17"/>
    </row>
    <row r="93">
      <c r="A93" s="36" t="s">
        <v>215</v>
      </c>
      <c r="B93" s="61" t="s">
        <v>32</v>
      </c>
      <c r="C93" s="61">
        <f>(C91-B91)*10000</f>
        <v>140.0000000000001</v>
      </c>
      <c r="D93" s="61">
        <f>(D91-C91)*10000</f>
        <v>-130.0000000000001</v>
      </c>
      <c r="E93" s="61">
        <f>(E91-D91)*10000</f>
        <v>440.0000000000004</v>
      </c>
      <c r="F93" s="61" t="s">
        <v>32</v>
      </c>
      <c r="G93" s="61">
        <f>(G91-E91)*10000</f>
        <v>-390.00000000000034</v>
      </c>
      <c r="H93" s="61">
        <f>(H91-G91)*10000</f>
        <v>-310.0000000000003</v>
      </c>
      <c r="I93" s="79">
        <f>(I91-H91)*10000</f>
        <v>160.00000000000014</v>
      </c>
      <c r="J93" s="17"/>
    </row>
    <row r="94">
      <c r="A94" s="35" t="s">
        <v>330</v>
      </c>
      <c r="B94" s="6">
        <v>39</v>
      </c>
      <c r="C94" s="6">
        <v>27</v>
      </c>
      <c r="D94" s="6">
        <v>19</v>
      </c>
      <c r="E94" s="6">
        <v>4</v>
      </c>
      <c r="F94" s="14">
        <f>SUM(B94:E94)</f>
        <v>89</v>
      </c>
      <c r="G94" s="6">
        <v>15</v>
      </c>
      <c r="H94" s="6">
        <v>29</v>
      </c>
      <c r="I94" s="62">
        <v>45</v>
      </c>
      <c r="J94" s="17" t="s">
        <v>334</v>
      </c>
    </row>
    <row r="95">
      <c r="A95" s="36" t="s">
        <v>172</v>
      </c>
      <c r="B95" s="9" t="s">
        <v>32</v>
      </c>
      <c r="C95" s="9" t="s">
        <v>32</v>
      </c>
      <c r="D95" s="9" t="s">
        <v>32</v>
      </c>
      <c r="E95" s="9" t="s">
        <v>32</v>
      </c>
      <c r="F95" s="9" t="s">
        <v>32</v>
      </c>
      <c r="G95" s="9">
        <f>IFERROR(G94/B94-1,"n/a")</f>
        <v>-0.6153846153846154</v>
      </c>
      <c r="H95" s="9">
        <f>IFERROR(H94/C94-1,"n/a")</f>
        <v>0.07407407407407418</v>
      </c>
      <c r="I95" s="29">
        <f>IFERROR(I94/D94-1,"n/a")</f>
        <v>1.3684210526315788</v>
      </c>
      <c r="J95" s="17"/>
    </row>
    <row r="96">
      <c r="A96" s="36" t="s">
        <v>196</v>
      </c>
      <c r="B96" s="31" t="s">
        <v>32</v>
      </c>
      <c r="C96" s="31">
        <f>C94-B94</f>
        <v>-12</v>
      </c>
      <c r="D96" s="31">
        <f>D94-C94</f>
        <v>-8</v>
      </c>
      <c r="E96" s="31">
        <f>E94-D94</f>
        <v>-15</v>
      </c>
      <c r="F96" s="31" t="s">
        <v>32</v>
      </c>
      <c r="G96" s="31">
        <f>G94-E94</f>
        <v>11</v>
      </c>
      <c r="H96" s="31">
        <f>H94-G94</f>
        <v>14</v>
      </c>
      <c r="I96" s="40">
        <f>I94-H94</f>
        <v>16</v>
      </c>
      <c r="J96" s="17"/>
    </row>
    <row r="97">
      <c r="A97" s="65" t="s">
        <v>332</v>
      </c>
      <c r="B97" s="9">
        <f>IFERROR(B94/B76,"n/a")</f>
        <v>0.01883148237566393</v>
      </c>
      <c r="C97" s="9">
        <f>IFERROR(C94/C76,"n/a")</f>
        <v>0.01291248206599713</v>
      </c>
      <c r="D97" s="9">
        <f>IFERROR(D94/D76,"n/a")</f>
        <v>0.009086561453849833</v>
      </c>
      <c r="E97" s="9">
        <f>IFERROR(E94/E76,"n/a")</f>
        <v>0.0019277108433734939</v>
      </c>
      <c r="F97" s="9">
        <f>IFERROR(F94/F76,"n/a")</f>
        <v>0.010686839577329492</v>
      </c>
      <c r="G97" s="9">
        <f>IFERROR(G94/G76,"n/a")</f>
        <v>0.007928118393234672</v>
      </c>
      <c r="H97" s="9">
        <f>IFERROR(H94/H76,"n/a")</f>
        <v>0.015287295730100159</v>
      </c>
      <c r="I97" s="29">
        <f>IFERROR(I94/I76,"n/a")</f>
        <v>0.02377420055337452</v>
      </c>
      <c r="J97" s="17"/>
    </row>
    <row r="98">
      <c r="A98" s="36" t="s">
        <v>214</v>
      </c>
      <c r="B98" s="61" t="s">
        <v>32</v>
      </c>
      <c r="C98" s="61" t="s">
        <v>32</v>
      </c>
      <c r="D98" s="61" t="s">
        <v>32</v>
      </c>
      <c r="E98" s="61" t="s">
        <v>32</v>
      </c>
      <c r="F98" s="61" t="s">
        <v>32</v>
      </c>
      <c r="G98" s="61">
        <f>(G97-B97)*10000</f>
        <v>-109.03363982429259</v>
      </c>
      <c r="H98" s="61">
        <f>(H97-C97)*10000</f>
        <v>23.74813664103028</v>
      </c>
      <c r="I98" s="79">
        <f>(I97-D97)*10000</f>
        <v>146.87639099524685</v>
      </c>
      <c r="J98" s="17"/>
    </row>
    <row r="99">
      <c r="A99" s="36" t="s">
        <v>215</v>
      </c>
      <c r="B99" s="61" t="s">
        <v>32</v>
      </c>
      <c r="C99" s="61">
        <f>(C97-B97)*10000</f>
        <v>-59.190003096668</v>
      </c>
      <c r="D99" s="61">
        <f>(D97-C97)*10000</f>
        <v>-38.25920612147298</v>
      </c>
      <c r="E99" s="61">
        <f>(E97-D97)*10000</f>
        <v>-71.5885061047634</v>
      </c>
      <c r="F99" s="61" t="s">
        <v>32</v>
      </c>
      <c r="G99" s="61">
        <f>(G97-E97)*10000</f>
        <v>60.00407549861178</v>
      </c>
      <c r="H99" s="61">
        <f>(H97-G97)*10000</f>
        <v>73.59177336865487</v>
      </c>
      <c r="I99" s="79">
        <f>(I97-H97)*10000</f>
        <v>84.8690482327436</v>
      </c>
      <c r="J99" s="17"/>
    </row>
    <row r="100">
      <c r="A100" s="35" t="s">
        <v>333</v>
      </c>
      <c r="B100" s="6">
        <v>125</v>
      </c>
      <c r="C100" s="6">
        <v>104</v>
      </c>
      <c r="D100" s="6">
        <v>89</v>
      </c>
      <c r="E100" s="6">
        <v>61</v>
      </c>
      <c r="F100" s="14">
        <f>SUM(B100:E100)</f>
        <v>379</v>
      </c>
      <c r="G100" s="6">
        <v>120</v>
      </c>
      <c r="H100" s="6">
        <v>85</v>
      </c>
      <c r="I100" s="62">
        <v>80</v>
      </c>
      <c r="J100" s="17" t="s">
        <v>334</v>
      </c>
    </row>
    <row r="101">
      <c r="A101" s="36" t="s">
        <v>321</v>
      </c>
      <c r="B101" s="31" t="s">
        <v>32</v>
      </c>
      <c r="C101" s="31" t="s">
        <v>32</v>
      </c>
      <c r="D101" s="31" t="s">
        <v>32</v>
      </c>
      <c r="E101" s="31" t="s">
        <v>32</v>
      </c>
      <c r="F101" s="31" t="s">
        <v>32</v>
      </c>
      <c r="G101" s="31">
        <f>G100-B100</f>
        <v>-5</v>
      </c>
      <c r="H101" s="31">
        <f>H100-C100</f>
        <v>-19</v>
      </c>
      <c r="I101" s="40">
        <f>I100-D100</f>
        <v>-9</v>
      </c>
      <c r="J101" s="17"/>
    </row>
    <row r="102">
      <c r="A102" s="36" t="s">
        <v>196</v>
      </c>
      <c r="B102" s="31" t="s">
        <v>32</v>
      </c>
      <c r="C102" s="31">
        <f>C100-B100</f>
        <v>-21</v>
      </c>
      <c r="D102" s="31">
        <f>D100-C100</f>
        <v>-15</v>
      </c>
      <c r="E102" s="31">
        <f>E100-D100</f>
        <v>-28</v>
      </c>
      <c r="F102" s="31" t="s">
        <v>32</v>
      </c>
      <c r="G102" s="31">
        <f>G100-E100</f>
        <v>59</v>
      </c>
      <c r="H102" s="31">
        <f>H100-G100</f>
        <v>-35</v>
      </c>
      <c r="I102" s="40">
        <f>I100-H100</f>
        <v>-5</v>
      </c>
      <c r="J102" s="17"/>
    </row>
    <row r="103">
      <c r="A103" s="65" t="s">
        <v>335</v>
      </c>
      <c r="B103" s="9">
        <f>IFERROR(-B100/B76,"n/a")</f>
        <v>-0.06035731530661516</v>
      </c>
      <c r="C103" s="9">
        <f>IFERROR(-C100/C76,"n/a")</f>
        <v>-0.04973696795791487</v>
      </c>
      <c r="D103" s="9">
        <f>IFERROR(-D100/D76,"n/a")</f>
        <v>-0.04256336681013869</v>
      </c>
      <c r="E103" s="9">
        <f>IFERROR(-E100/E76,"n/a")</f>
        <v>-0.029397590361445784</v>
      </c>
      <c r="F103" s="9">
        <f>IFERROR(-F100/F76,"n/a")</f>
        <v>-0.04550912584053794</v>
      </c>
      <c r="G103" s="9">
        <f>IFERROR(-G100/G76,"n/a")</f>
        <v>-0.06342494714587738</v>
      </c>
      <c r="H103" s="9">
        <f>IFERROR(-H100/H76,"n/a")</f>
        <v>-0.044807590933052185</v>
      </c>
      <c r="I103" s="29">
        <f>IFERROR(-I100/I76,"n/a")</f>
        <v>-0.04226524542822137</v>
      </c>
      <c r="J103" s="17"/>
    </row>
    <row r="104">
      <c r="A104" s="36" t="s">
        <v>214</v>
      </c>
      <c r="B104" s="61" t="s">
        <v>32</v>
      </c>
      <c r="C104" s="61" t="s">
        <v>32</v>
      </c>
      <c r="D104" s="61" t="s">
        <v>32</v>
      </c>
      <c r="E104" s="61" t="s">
        <v>32</v>
      </c>
      <c r="F104" s="61" t="s">
        <v>32</v>
      </c>
      <c r="G104" s="61">
        <f>(G103-B103)*10000</f>
        <v>-30.676318392622164</v>
      </c>
      <c r="H104" s="61">
        <f>(H103-C103)*10000</f>
        <v>49.29377024862687</v>
      </c>
      <c r="I104" s="79">
        <f>(I103-D103)*10000</f>
        <v>2.9812138191732256</v>
      </c>
      <c r="J104" s="17"/>
    </row>
    <row r="105">
      <c r="A105" s="36" t="s">
        <v>215</v>
      </c>
      <c r="B105" s="61" t="s">
        <v>32</v>
      </c>
      <c r="C105" s="61">
        <f>(C103-B103)*10000</f>
        <v>106.20347348700287</v>
      </c>
      <c r="D105" s="61">
        <f>(D103-C103)*10000</f>
        <v>71.73601147776182</v>
      </c>
      <c r="E105" s="61">
        <f>(E103-D103)*10000</f>
        <v>131.65776448692907</v>
      </c>
      <c r="F105" s="61" t="s">
        <v>32</v>
      </c>
      <c r="G105" s="61">
        <f>(G103-E103)*10000</f>
        <v>-340.2735678443159</v>
      </c>
      <c r="H105" s="61">
        <f>(H103-G103)*10000</f>
        <v>186.1735621282519</v>
      </c>
      <c r="I105" s="79">
        <f>(I103-H103)*10000</f>
        <v>25.423455048308174</v>
      </c>
      <c r="J105" s="17"/>
    </row>
    <row r="106">
      <c r="A106" s="91" t="s">
        <v>336</v>
      </c>
      <c r="B106" s="86">
        <f>B88+B97+B103</f>
        <v>0.8334741670690488</v>
      </c>
      <c r="C106" s="86">
        <f>C88+C97+C103</f>
        <v>0.8531755141080823</v>
      </c>
      <c r="D106" s="86">
        <f>D88+D97+D103</f>
        <v>0.8495231946437111</v>
      </c>
      <c r="E106" s="86">
        <f>E88+E97+E103</f>
        <v>0.8945301204819278</v>
      </c>
      <c r="F106" s="86">
        <f>F88+F97+F103</f>
        <v>0.8576630643611913</v>
      </c>
      <c r="G106" s="86">
        <f>G88+G97+G103</f>
        <v>0.8275031712473573</v>
      </c>
      <c r="H106" s="86">
        <f>H88+H97+H103</f>
        <v>0.8284797047970479</v>
      </c>
      <c r="I106" s="89">
        <f>I88+I97+I103</f>
        <v>0.8545089551251531</v>
      </c>
      <c r="J106" s="17"/>
    </row>
    <row r="107">
      <c r="A107" s="36" t="s">
        <v>214</v>
      </c>
      <c r="B107" s="61" t="s">
        <v>32</v>
      </c>
      <c r="C107" s="61" t="s">
        <v>32</v>
      </c>
      <c r="D107" s="61" t="s">
        <v>32</v>
      </c>
      <c r="E107" s="61" t="s">
        <v>32</v>
      </c>
      <c r="F107" s="61" t="s">
        <v>32</v>
      </c>
      <c r="G107" s="61">
        <f>(G106-B106)*10000</f>
        <v>-59.709958216914714</v>
      </c>
      <c r="H107" s="61">
        <f>(H106-C106)*10000</f>
        <v>-246.95809311034432</v>
      </c>
      <c r="I107" s="79">
        <f>(I106-D106)*10000</f>
        <v>49.85760481442058</v>
      </c>
      <c r="J107" s="17"/>
    </row>
    <row r="108">
      <c r="A108" s="36" t="s">
        <v>215</v>
      </c>
      <c r="B108" s="61" t="s">
        <v>32</v>
      </c>
      <c r="C108" s="61">
        <f>(C106-B106)*10000</f>
        <v>197.0134703903359</v>
      </c>
      <c r="D108" s="61">
        <f>(D106-C106)*10000</f>
        <v>-36.523194643712785</v>
      </c>
      <c r="E108" s="61">
        <f>(E106-D106)*10000</f>
        <v>450.0692583821675</v>
      </c>
      <c r="F108" s="61" t="s">
        <v>32</v>
      </c>
      <c r="G108" s="61">
        <f>(G106-E106)*10000</f>
        <v>-670.2694923457053</v>
      </c>
      <c r="H108" s="61">
        <f>(H106-G106)*10000</f>
        <v>9.76533549690628</v>
      </c>
      <c r="I108" s="79">
        <f>(I106-H106)*10000</f>
        <v>260.2925032810521</v>
      </c>
      <c r="J108" s="17"/>
    </row>
    <row r="109">
      <c r="A109" s="36" t="s">
        <v>337</v>
      </c>
      <c r="B109" s="2">
        <v>0.834</v>
      </c>
      <c r="C109" s="2">
        <v>0.853</v>
      </c>
      <c r="D109" s="2">
        <v>0.849</v>
      </c>
      <c r="E109" s="2">
        <v>0.894</v>
      </c>
      <c r="F109" s="9"/>
      <c r="G109" s="2">
        <v>0.829</v>
      </c>
      <c r="H109" s="2">
        <v>0.828</v>
      </c>
      <c r="I109" s="29"/>
      <c r="J109" s="17" t="s">
        <v>338</v>
      </c>
    </row>
    <row r="110">
      <c r="A110" s="65" t="s">
        <v>339</v>
      </c>
      <c r="B110" s="9">
        <f>B106-B85</f>
        <v>0.6124741670690488</v>
      </c>
      <c r="C110" s="9">
        <f>C106-C85</f>
        <v>0.6311755141080824</v>
      </c>
      <c r="D110" s="9">
        <f>D106-D85</f>
        <v>0.6215231946437111</v>
      </c>
      <c r="E110" s="9">
        <f>E106-E85</f>
        <v>0.6715301204819278</v>
      </c>
      <c r="F110" s="9">
        <f>F106-F85</f>
        <v>0.6341560999039387</v>
      </c>
      <c r="G110" s="9">
        <f>G106-G85</f>
        <v>0.6045031712473573</v>
      </c>
      <c r="H110" s="9">
        <f>H106-H85</f>
        <v>0.5994797047970479</v>
      </c>
      <c r="I110" s="29">
        <f>I106-I85</f>
        <v>0.6265089551251531</v>
      </c>
      <c r="J110" s="17"/>
    </row>
    <row r="111">
      <c r="A111" s="35" t="s">
        <v>340</v>
      </c>
      <c r="B111" s="14">
        <f>B76*(1-B88)</f>
        <v>258.875</v>
      </c>
      <c r="C111" s="14">
        <f>C76*(1-C88)</f>
        <v>230.00999999999996</v>
      </c>
      <c r="D111" s="14">
        <f>D76*(1-D88)</f>
        <v>244.647</v>
      </c>
      <c r="E111" s="14">
        <f>E76*(1-E88)</f>
        <v>161.8499999999999</v>
      </c>
      <c r="F111" s="14">
        <f>F76*(1-F88)</f>
        <v>895.3819999999993</v>
      </c>
      <c r="G111" s="14">
        <f>G76*(1-G88)</f>
        <v>221.36399999999998</v>
      </c>
      <c r="H111" s="14">
        <f>H76*(1-H88)</f>
        <v>269.374</v>
      </c>
      <c r="I111" s="45">
        <f>I76*(1-I88)</f>
        <v>240.38663202026413</v>
      </c>
      <c r="J111" s="17"/>
    </row>
    <row r="112">
      <c r="A112" s="36" t="s">
        <v>172</v>
      </c>
      <c r="B112" s="9" t="s">
        <v>32</v>
      </c>
      <c r="C112" s="9" t="s">
        <v>32</v>
      </c>
      <c r="D112" s="9" t="s">
        <v>32</v>
      </c>
      <c r="E112" s="9" t="s">
        <v>32</v>
      </c>
      <c r="F112" s="9" t="s">
        <v>32</v>
      </c>
      <c r="G112" s="9">
        <f>IFERROR(G111/B111-1,"n/a")</f>
        <v>-0.14490004828585235</v>
      </c>
      <c r="H112" s="9">
        <f>IFERROR(H111/C111-1,"n/a")</f>
        <v>0.17114038520064367</v>
      </c>
      <c r="I112" s="29">
        <f>IFERROR(I111/D111-1,"n/a")</f>
        <v>-0.017414347936969832</v>
      </c>
      <c r="J112" s="17"/>
    </row>
    <row r="113">
      <c r="A113" s="36" t="s">
        <v>196</v>
      </c>
      <c r="B113" s="31" t="s">
        <v>32</v>
      </c>
      <c r="C113" s="31">
        <f>C111-B111</f>
        <v>-28.865000000000038</v>
      </c>
      <c r="D113" s="31">
        <f>D111-C111</f>
        <v>14.637000000000029</v>
      </c>
      <c r="E113" s="31">
        <f>E111-D111</f>
        <v>-82.79700000000008</v>
      </c>
      <c r="F113" s="31" t="s">
        <v>32</v>
      </c>
      <c r="G113" s="31">
        <f>G111-E111</f>
        <v>59.51400000000007</v>
      </c>
      <c r="H113" s="31">
        <f>H111-G111</f>
        <v>48.01000000000005</v>
      </c>
      <c r="I113" s="40">
        <f>I111-H111</f>
        <v>-28.987367979735893</v>
      </c>
      <c r="J113" s="17"/>
    </row>
    <row r="114">
      <c r="A114" s="88" t="s">
        <v>341</v>
      </c>
      <c r="B114" s="30">
        <f>B76*(1-B106)</f>
        <v>344.87500000000006</v>
      </c>
      <c r="C114" s="30">
        <f>C76*(1-C106)</f>
        <v>307.0099999999998</v>
      </c>
      <c r="D114" s="30">
        <f>D76*(1-D106)</f>
        <v>314.64700000000016</v>
      </c>
      <c r="E114" s="30">
        <f>E76*(1-E106)</f>
        <v>218.8499999999998</v>
      </c>
      <c r="F114" s="30">
        <f>F76*(1-F106)</f>
        <v>1185.3819999999987</v>
      </c>
      <c r="G114" s="30">
        <f>G76*(1-G106)</f>
        <v>326.36400000000003</v>
      </c>
      <c r="H114" s="30">
        <f>H76*(1-H106)</f>
        <v>325.37400000000014</v>
      </c>
      <c r="I114" s="44">
        <f>I76*(1-I106)</f>
        <v>275.3866320202642</v>
      </c>
      <c r="J114" s="17"/>
    </row>
    <row r="115">
      <c r="A115" s="36" t="s">
        <v>172</v>
      </c>
      <c r="B115" s="9" t="s">
        <v>32</v>
      </c>
      <c r="C115" s="9" t="s">
        <v>32</v>
      </c>
      <c r="D115" s="9" t="s">
        <v>32</v>
      </c>
      <c r="E115" s="9" t="s">
        <v>32</v>
      </c>
      <c r="F115" s="9" t="s">
        <v>32</v>
      </c>
      <c r="G115" s="9">
        <f>IFERROR(G114/B114-1,"n/a")</f>
        <v>-0.05367451975353399</v>
      </c>
      <c r="H115" s="9">
        <f>IFERROR(H114/C114-1,"n/a")</f>
        <v>0.05981564118432736</v>
      </c>
      <c r="I115" s="29">
        <f>IFERROR(I114/D114-1,"n/a")</f>
        <v>-0.12477591707448654</v>
      </c>
      <c r="J115" s="17"/>
    </row>
    <row r="116">
      <c r="A116" s="36" t="s">
        <v>196</v>
      </c>
      <c r="B116" s="31" t="s">
        <v>32</v>
      </c>
      <c r="C116" s="31">
        <f>C114-B114</f>
        <v>-37.86500000000024</v>
      </c>
      <c r="D116" s="31">
        <f>D114-C114</f>
        <v>7.6370000000003415</v>
      </c>
      <c r="E116" s="31">
        <f>E114-D114</f>
        <v>-95.79700000000037</v>
      </c>
      <c r="F116" s="31" t="s">
        <v>32</v>
      </c>
      <c r="G116" s="31">
        <f>G114-E114</f>
        <v>107.51400000000024</v>
      </c>
      <c r="H116" s="31">
        <f>H114-G114</f>
        <v>-0.9899999999998954</v>
      </c>
      <c r="I116" s="40">
        <f>I114-H114</f>
        <v>-49.98736797973595</v>
      </c>
      <c r="J116" s="17"/>
    </row>
    <row r="117">
      <c r="A117" s="42" t="s">
        <v>432</v>
      </c>
      <c r="B117" s="8"/>
      <c r="C117" s="8"/>
      <c r="D117" s="8"/>
      <c r="E117" s="8"/>
      <c r="F117" s="8"/>
      <c r="G117" s="8"/>
      <c r="H117" s="8"/>
      <c r="I117" s="21"/>
      <c r="J117" s="17"/>
    </row>
    <row r="118" ht="27.75">
      <c r="A118" s="35" t="s">
        <v>406</v>
      </c>
      <c r="B118" s="95">
        <v>6060</v>
      </c>
      <c r="C118" s="93">
        <f>B123</f>
        <v>5980</v>
      </c>
      <c r="D118" s="93">
        <f>C123</f>
        <v>5882</v>
      </c>
      <c r="E118" s="93">
        <f>D123</f>
        <v>5768</v>
      </c>
      <c r="F118" s="93">
        <f>B118</f>
        <v>6060</v>
      </c>
      <c r="G118" s="93">
        <f>E123</f>
        <v>5679</v>
      </c>
      <c r="H118" s="93">
        <f>G123</f>
        <v>5449</v>
      </c>
      <c r="I118" s="98">
        <f>H123</f>
        <v>5411</v>
      </c>
      <c r="J118" s="142" t="s">
        <v>407</v>
      </c>
    </row>
    <row r="119" ht="40.5">
      <c r="A119" s="35" t="s">
        <v>408</v>
      </c>
      <c r="B119" s="93" t="s">
        <v>178</v>
      </c>
      <c r="C119" s="93" t="s">
        <v>178</v>
      </c>
      <c r="D119" s="93" t="s">
        <v>178</v>
      </c>
      <c r="E119" s="93" t="s">
        <v>178</v>
      </c>
      <c r="F119" s="93" t="s">
        <v>178</v>
      </c>
      <c r="G119" s="93" t="s">
        <v>178</v>
      </c>
      <c r="H119" s="93" t="s">
        <v>178</v>
      </c>
      <c r="I119" s="98" t="s">
        <v>178</v>
      </c>
      <c r="J119" s="142" t="s">
        <v>409</v>
      </c>
    </row>
    <row r="120">
      <c r="A120" s="35" t="s">
        <v>410</v>
      </c>
      <c r="B120" s="93" t="s">
        <v>178</v>
      </c>
      <c r="C120" s="93" t="s">
        <v>178</v>
      </c>
      <c r="D120" s="93" t="s">
        <v>178</v>
      </c>
      <c r="E120" s="93" t="s">
        <v>178</v>
      </c>
      <c r="F120" s="93" t="s">
        <v>178</v>
      </c>
      <c r="G120" s="93" t="s">
        <v>178</v>
      </c>
      <c r="H120" s="93" t="s">
        <v>178</v>
      </c>
      <c r="I120" s="98" t="s">
        <v>178</v>
      </c>
      <c r="J120" s="17" t="s">
        <v>179</v>
      </c>
    </row>
    <row r="121">
      <c r="A121" s="35" t="s">
        <v>411</v>
      </c>
      <c r="B121" s="93">
        <f>B123-B118</f>
        <v>-80</v>
      </c>
      <c r="C121" s="93">
        <f>C123-C118</f>
        <v>-98</v>
      </c>
      <c r="D121" s="93">
        <f>D123-D118</f>
        <v>-114</v>
      </c>
      <c r="E121" s="93">
        <f>E123-E118</f>
        <v>-89</v>
      </c>
      <c r="F121" s="93">
        <f>F123-F118</f>
        <v>-381</v>
      </c>
      <c r="G121" s="93">
        <f>G123-G118</f>
        <v>-230</v>
      </c>
      <c r="H121" s="93">
        <f>H123-H118</f>
        <v>-38</v>
      </c>
      <c r="I121" s="98">
        <f>I123-I118</f>
        <v>-32.46600000000035</v>
      </c>
      <c r="J121" s="17" t="s">
        <v>412</v>
      </c>
    </row>
    <row r="122">
      <c r="A122" s="36" t="s">
        <v>413</v>
      </c>
      <c r="B122" s="31" t="s">
        <v>32</v>
      </c>
      <c r="C122" s="31" t="s">
        <v>32</v>
      </c>
      <c r="D122" s="31" t="s">
        <v>32</v>
      </c>
      <c r="E122" s="31" t="s">
        <v>32</v>
      </c>
      <c r="F122" s="31" t="s">
        <v>32</v>
      </c>
      <c r="G122" s="31">
        <f>G121-B121</f>
        <v>-150</v>
      </c>
      <c r="H122" s="31">
        <f>H121-C121</f>
        <v>60</v>
      </c>
      <c r="I122" s="40">
        <f>I121-D121</f>
        <v>81.53399999999965</v>
      </c>
      <c r="J122" s="17"/>
    </row>
    <row r="123">
      <c r="A123" s="88" t="s">
        <v>414</v>
      </c>
      <c r="B123" s="96">
        <v>5980</v>
      </c>
      <c r="C123" s="96">
        <v>5882</v>
      </c>
      <c r="D123" s="96">
        <v>5768</v>
      </c>
      <c r="E123" s="96">
        <v>5679</v>
      </c>
      <c r="F123" s="97">
        <f>E123</f>
        <v>5679</v>
      </c>
      <c r="G123" s="96">
        <v>5449</v>
      </c>
      <c r="H123" s="96">
        <v>5411</v>
      </c>
      <c r="I123" s="100">
        <f>I118*(1+I125)</f>
        <v>5378.534</v>
      </c>
      <c r="J123" s="17" t="s">
        <v>415</v>
      </c>
    </row>
    <row r="124">
      <c r="A124" s="36" t="s">
        <v>172</v>
      </c>
      <c r="B124" s="9" t="s">
        <v>32</v>
      </c>
      <c r="C124" s="9" t="s">
        <v>32</v>
      </c>
      <c r="D124" s="9" t="s">
        <v>32</v>
      </c>
      <c r="E124" s="9" t="s">
        <v>32</v>
      </c>
      <c r="F124" s="9" t="s">
        <v>32</v>
      </c>
      <c r="G124" s="9">
        <f>IFERROR(G123/B123-1,"n/a")</f>
        <v>-0.08879598662207355</v>
      </c>
      <c r="H124" s="9">
        <f>IFERROR(H123/C123-1,"n/a")</f>
        <v>-0.08007480448826931</v>
      </c>
      <c r="I124" s="29">
        <f>IFERROR(I123/D123-1,"n/a")</f>
        <v>-0.06752184466019429</v>
      </c>
      <c r="J124" s="17"/>
    </row>
    <row r="125" ht="40.5">
      <c r="A125" s="36" t="s">
        <v>416</v>
      </c>
      <c r="B125" s="9">
        <f>B123/B118-1</f>
        <v>-0.01320132013201325</v>
      </c>
      <c r="C125" s="9">
        <f>C123/C118-1</f>
        <v>-0.01638795986622077</v>
      </c>
      <c r="D125" s="9">
        <f>D123/D118-1</f>
        <v>-0.019381162869772206</v>
      </c>
      <c r="E125" s="9">
        <f>E123/E118-1</f>
        <v>-0.015429958391123488</v>
      </c>
      <c r="F125" s="9">
        <f>F123/F118-1</f>
        <v>-0.06287128712871282</v>
      </c>
      <c r="G125" s="9">
        <f>G123/G118-1</f>
        <v>-0.04050008804366967</v>
      </c>
      <c r="H125" s="9">
        <f>H123/H118-1</f>
        <v>-0.0069737566525968075</v>
      </c>
      <c r="I125" s="87">
        <v>-0.006</v>
      </c>
      <c r="J125" s="142" t="s">
        <v>433</v>
      </c>
    </row>
    <row r="126">
      <c r="A126" s="36" t="s">
        <v>215</v>
      </c>
      <c r="B126" s="61" t="s">
        <v>32</v>
      </c>
      <c r="C126" s="61">
        <f>(C125-B125)*10000</f>
        <v>-31.866397342075192</v>
      </c>
      <c r="D126" s="61">
        <f>(D125-C125)*10000</f>
        <v>-29.932030035514366</v>
      </c>
      <c r="E126" s="61">
        <f>(E125-D125)*10000</f>
        <v>39.51204478648718</v>
      </c>
      <c r="F126" s="61" t="s">
        <v>32</v>
      </c>
      <c r="G126" s="61">
        <f>(G125-E125)*10000</f>
        <v>-250.7012965254618</v>
      </c>
      <c r="H126" s="61">
        <f>(H125-G125)*10000</f>
        <v>335.2633139107286</v>
      </c>
      <c r="I126" s="79">
        <f>(I125-H125)*10000</f>
        <v>9.737566525968074</v>
      </c>
      <c r="J126" s="17"/>
    </row>
    <row r="127">
      <c r="A127" s="35" t="s">
        <v>418</v>
      </c>
      <c r="B127" s="93">
        <f>AVERAGE(B118,B123)</f>
        <v>6020</v>
      </c>
      <c r="C127" s="93">
        <f>AVERAGE(C118,C123)</f>
        <v>5931</v>
      </c>
      <c r="D127" s="93">
        <f>AVERAGE(D118,D123)</f>
        <v>5825</v>
      </c>
      <c r="E127" s="93">
        <f>AVERAGE(E118,E123)</f>
        <v>5723.5</v>
      </c>
      <c r="F127" s="93">
        <f>AVERAGE(B127,C127,D127,E127)</f>
        <v>5874.875</v>
      </c>
      <c r="G127" s="93">
        <f>AVERAGE(G118,G123)</f>
        <v>5564</v>
      </c>
      <c r="H127" s="93">
        <f>AVERAGE(H118,H123)</f>
        <v>5430</v>
      </c>
      <c r="I127" s="98">
        <f>AVERAGE(I118,I123)</f>
        <v>5394.767</v>
      </c>
      <c r="J127" s="17"/>
    </row>
    <row r="128">
      <c r="A128" s="36" t="s">
        <v>172</v>
      </c>
      <c r="B128" s="9" t="s">
        <v>32</v>
      </c>
      <c r="C128" s="9" t="s">
        <v>32</v>
      </c>
      <c r="D128" s="9" t="s">
        <v>32</v>
      </c>
      <c r="E128" s="9" t="s">
        <v>32</v>
      </c>
      <c r="F128" s="9" t="s">
        <v>32</v>
      </c>
      <c r="G128" s="9">
        <f>IFERROR(G127/B127-1,"n/a")</f>
        <v>-0.0757475083056478</v>
      </c>
      <c r="H128" s="9">
        <f>IFERROR(H127/C127-1,"n/a")</f>
        <v>-0.08447142134547292</v>
      </c>
      <c r="I128" s="29">
        <f>IFERROR(I127/D127-1,"n/a")</f>
        <v>-0.07385974248927041</v>
      </c>
      <c r="J128" s="17"/>
    </row>
    <row r="129">
      <c r="A129" s="36" t="s">
        <v>419</v>
      </c>
      <c r="B129" s="94" t="s">
        <v>32</v>
      </c>
      <c r="C129" s="94">
        <f>C127-B127</f>
        <v>-89</v>
      </c>
      <c r="D129" s="94">
        <f>D127-C127</f>
        <v>-106</v>
      </c>
      <c r="E129" s="94">
        <f>E127-D127</f>
        <v>-101.5</v>
      </c>
      <c r="F129" s="94" t="s">
        <v>32</v>
      </c>
      <c r="G129" s="94">
        <f>G127-E127</f>
        <v>-159.5</v>
      </c>
      <c r="H129" s="94">
        <f>H127-G127</f>
        <v>-134</v>
      </c>
      <c r="I129" s="99">
        <f>I127-H127</f>
        <v>-35.233000000000175</v>
      </c>
      <c r="J129" s="17"/>
    </row>
    <row r="130">
      <c r="A130" s="80" t="s">
        <v>420</v>
      </c>
      <c r="B130" s="95">
        <v>6235</v>
      </c>
      <c r="C130" s="95">
        <v>6167</v>
      </c>
      <c r="D130" s="95">
        <v>6106</v>
      </c>
      <c r="E130" s="95">
        <v>6060</v>
      </c>
      <c r="F130" s="93">
        <f>E130</f>
        <v>6060</v>
      </c>
      <c r="G130" s="93">
        <f>B123</f>
        <v>5980</v>
      </c>
      <c r="H130" s="93">
        <f>C123</f>
        <v>5882</v>
      </c>
      <c r="I130" s="98">
        <f>D123</f>
        <v>5768</v>
      </c>
      <c r="J130" s="17" t="s">
        <v>421</v>
      </c>
    </row>
    <row r="131">
      <c r="A131" s="42" t="s">
        <v>434</v>
      </c>
      <c r="B131" s="8"/>
      <c r="C131" s="8"/>
      <c r="D131" s="8"/>
      <c r="E131" s="8"/>
      <c r="F131" s="8"/>
      <c r="G131" s="8"/>
      <c r="H131" s="8"/>
      <c r="I131" s="21"/>
      <c r="J131" s="17"/>
    </row>
    <row r="132" ht="53.25">
      <c r="A132" s="35" t="s">
        <v>423</v>
      </c>
      <c r="B132" s="93">
        <f>B135*4000/B127</f>
        <v>1447.8405315614618</v>
      </c>
      <c r="C132" s="93">
        <f>C135*4000/C127</f>
        <v>1526.8925982127803</v>
      </c>
      <c r="D132" s="93">
        <f>D135*4000/D127</f>
        <v>1580.7725321888413</v>
      </c>
      <c r="E132" s="93">
        <f>E135*4000/E127</f>
        <v>1622.783261990041</v>
      </c>
      <c r="F132" s="93">
        <f>F135*1000/F127</f>
        <v>1543.3519862124726</v>
      </c>
      <c r="G132" s="93">
        <f>G135*4000/G127</f>
        <v>1583.0337886412653</v>
      </c>
      <c r="H132" s="93">
        <f>H135*4000/H127</f>
        <v>1656.7219152854511</v>
      </c>
      <c r="I132" s="98">
        <f>D132*(1+I133)</f>
        <v>1686.6842918454936</v>
      </c>
      <c r="J132" s="142" t="s">
        <v>424</v>
      </c>
    </row>
    <row r="133" ht="40.5">
      <c r="A133" s="36" t="s">
        <v>425</v>
      </c>
      <c r="B133" s="9" t="s">
        <v>32</v>
      </c>
      <c r="C133" s="9">
        <f>C132/(C142*4000/AVERAGE(B130,C130))-1</f>
        <v>0.1424060088703487</v>
      </c>
      <c r="D133" s="9">
        <f>D132/(D142*4000/AVERAGE(C130,D130))-1</f>
        <v>0.13269624518645773</v>
      </c>
      <c r="E133" s="9">
        <f>E132/(E142*4000/AVERAGE(D130,E130))-1</f>
        <v>0.12225904759952466</v>
      </c>
      <c r="F133" s="9" t="s">
        <v>32</v>
      </c>
      <c r="G133" s="9">
        <f>G132/B132-1</f>
        <v>0.0933757925218468</v>
      </c>
      <c r="H133" s="9">
        <f>H132/C132-1</f>
        <v>0.08502845401479808</v>
      </c>
      <c r="I133" s="87">
        <v>0.067</v>
      </c>
      <c r="J133" s="142" t="s">
        <v>435</v>
      </c>
    </row>
    <row r="134">
      <c r="A134" s="36" t="s">
        <v>196</v>
      </c>
      <c r="B134" s="94" t="s">
        <v>32</v>
      </c>
      <c r="C134" s="94">
        <f>C132-B132</f>
        <v>79.05206665131846</v>
      </c>
      <c r="D134" s="94">
        <f>D132-C132</f>
        <v>53.87993397606101</v>
      </c>
      <c r="E134" s="94">
        <f>E132-D132</f>
        <v>42.01072980119966</v>
      </c>
      <c r="F134" s="94" t="s">
        <v>32</v>
      </c>
      <c r="G134" s="94">
        <f>G132-E132</f>
        <v>-39.74947334877561</v>
      </c>
      <c r="H134" s="94">
        <f>H132-G132</f>
        <v>73.68812664418579</v>
      </c>
      <c r="I134" s="99">
        <f>I132-H132</f>
        <v>29.962376560042458</v>
      </c>
      <c r="J134" s="17"/>
    </row>
    <row r="135" ht="27.75">
      <c r="A135" s="22" t="s">
        <v>436</v>
      </c>
      <c r="B135" s="64">
        <v>2179</v>
      </c>
      <c r="C135" s="64">
        <v>2264</v>
      </c>
      <c r="D135" s="64">
        <v>2302</v>
      </c>
      <c r="E135" s="64">
        <v>2322</v>
      </c>
      <c r="F135" s="30">
        <f>SUM(B135:E135)</f>
        <v>9067</v>
      </c>
      <c r="G135" s="64">
        <v>2202</v>
      </c>
      <c r="H135" s="64">
        <v>2249</v>
      </c>
      <c r="I135" s="44">
        <f>I132*I127/4000</f>
        <v>2274.8171892666096</v>
      </c>
      <c r="J135" s="142" t="s">
        <v>428</v>
      </c>
    </row>
    <row r="136">
      <c r="A136" s="36" t="s">
        <v>187</v>
      </c>
      <c r="B136" s="9">
        <f>IFERROR(B135/B142-1,"n/a")</f>
        <v>0.07339901477832522</v>
      </c>
      <c r="C136" s="9">
        <f>IFERROR(C135/C142-1,"n/a")</f>
        <v>0.0926640926640927</v>
      </c>
      <c r="D136" s="9">
        <f>IFERROR(D135/D142-1,"n/a")</f>
        <v>0.07519850537132178</v>
      </c>
      <c r="E136" s="9">
        <f>IFERROR(E135/E142-1,"n/a")</f>
        <v>0.05593451568894947</v>
      </c>
      <c r="F136" s="9">
        <f>IFERROR(F135/F142-1,"n/a")</f>
        <v>0.07403458895996207</v>
      </c>
      <c r="G136" s="9">
        <f>IFERROR(G135/G142-1,"n/a")</f>
        <v>0.010555300596603923</v>
      </c>
      <c r="H136" s="9">
        <f>IFERROR(H135/H142-1,"n/a")</f>
        <v>-0.006625441696113121</v>
      </c>
      <c r="I136" s="29">
        <f>IFERROR(I135/I142-1,"n/a")</f>
        <v>-0.011808345236051454</v>
      </c>
      <c r="J136" s="17"/>
    </row>
    <row r="137">
      <c r="A137" s="36" t="s">
        <v>196</v>
      </c>
      <c r="B137" s="31" t="s">
        <v>32</v>
      </c>
      <c r="C137" s="31">
        <f>C135-B135</f>
        <v>85</v>
      </c>
      <c r="D137" s="31">
        <f>D135-C135</f>
        <v>38</v>
      </c>
      <c r="E137" s="31">
        <f>E135-D135</f>
        <v>20</v>
      </c>
      <c r="F137" s="31" t="s">
        <v>32</v>
      </c>
      <c r="G137" s="31">
        <f>G135-E135</f>
        <v>-120</v>
      </c>
      <c r="H137" s="31">
        <f>H135-G135</f>
        <v>47</v>
      </c>
      <c r="I137" s="40">
        <f>I135-H135</f>
        <v>25.817189266609603</v>
      </c>
      <c r="J137" s="17"/>
    </row>
    <row r="138">
      <c r="A138" s="36" t="s">
        <v>173</v>
      </c>
      <c r="B138" s="9" t="s">
        <v>32</v>
      </c>
      <c r="C138" s="9">
        <f>IFERROR(C135/B135-1,"n/a")</f>
        <v>0.03900871959614505</v>
      </c>
      <c r="D138" s="9">
        <f>IFERROR(D135/C135-1,"n/a")</f>
        <v>0.016784452296819685</v>
      </c>
      <c r="E138" s="9">
        <f>IFERROR(E135/D135-1,"n/a")</f>
        <v>0.008688097306689846</v>
      </c>
      <c r="F138" s="9" t="s">
        <v>32</v>
      </c>
      <c r="G138" s="9">
        <f>IFERROR(G135/E135-1,"n/a")</f>
        <v>-0.05167958656330751</v>
      </c>
      <c r="H138" s="9">
        <f>IFERROR(H135/G135-1,"n/a")</f>
        <v>0.021344232515894568</v>
      </c>
      <c r="I138" s="29">
        <f>IFERROR(I135/H135-1,"n/a")</f>
        <v>0.011479408299959859</v>
      </c>
      <c r="J138" s="17"/>
    </row>
    <row r="139" ht="27.75">
      <c r="A139" s="36" t="s">
        <v>429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9">
        <f>-B57/(G83+G142)</f>
        <v>-0.03882352941176471</v>
      </c>
      <c r="H139" s="9">
        <f>-C57/(H83+H142)</f>
        <v>-0.03949483352468427</v>
      </c>
      <c r="I139" s="29">
        <f>-D57/(I83+I142)</f>
        <v>-0.03824265877532438</v>
      </c>
      <c r="J139" s="142" t="s">
        <v>430</v>
      </c>
    </row>
    <row r="140">
      <c r="A140" s="36" t="s">
        <v>177</v>
      </c>
      <c r="B140" s="9" t="s">
        <v>178</v>
      </c>
      <c r="C140" s="9" t="s">
        <v>178</v>
      </c>
      <c r="D140" s="9" t="s">
        <v>178</v>
      </c>
      <c r="E140" s="9" t="s">
        <v>178</v>
      </c>
      <c r="F140" s="9" t="s">
        <v>178</v>
      </c>
      <c r="G140" s="9" t="s">
        <v>178</v>
      </c>
      <c r="H140" s="9" t="s">
        <v>178</v>
      </c>
      <c r="I140" s="29" t="s">
        <v>178</v>
      </c>
      <c r="J140" s="17" t="s">
        <v>179</v>
      </c>
    </row>
    <row r="141" ht="27.75">
      <c r="A141" s="36" t="s">
        <v>175</v>
      </c>
      <c r="B141" s="9">
        <f>IFERROR((B135/B142)/(1+B139)-1,"n/a")</f>
        <v>0.07339901477832522</v>
      </c>
      <c r="C141" s="9">
        <f>IFERROR((C135/C142)/(1+C139)-1,"n/a")</f>
        <v>0.0926640926640927</v>
      </c>
      <c r="D141" s="9">
        <f>IFERROR((D135/D142)/(1+D139)-1,"n/a")</f>
        <v>0.07519850537132178</v>
      </c>
      <c r="E141" s="9">
        <f>IFERROR((E135/E142)/(1+E139)-1,"n/a")</f>
        <v>0.05593451568894947</v>
      </c>
      <c r="F141" s="9">
        <f>IFERROR((F135/F142)/(1+F139)-1,"n/a")</f>
        <v>0.07403458895996207</v>
      </c>
      <c r="G141" s="9">
        <f>IFERROR((G135/G142)/(1+G139)-1,"n/a")</f>
        <v>0.05137332375411674</v>
      </c>
      <c r="H141" s="9">
        <f>IFERROR((H135/H142)/(1+H139)-1,"n/a")</f>
        <v>0.03422094224561967</v>
      </c>
      <c r="I141" s="29">
        <f>IFERROR((I135/I142)/(1+I139)-1,"n/a")</f>
        <v>0.027485429438586007</v>
      </c>
      <c r="J141" s="142" t="s">
        <v>315</v>
      </c>
    </row>
    <row r="142">
      <c r="A142" s="35" t="s">
        <v>317</v>
      </c>
      <c r="B142" s="6">
        <v>2030</v>
      </c>
      <c r="C142" s="6">
        <v>2072</v>
      </c>
      <c r="D142" s="6">
        <v>2141</v>
      </c>
      <c r="E142" s="6">
        <v>2199</v>
      </c>
      <c r="F142" s="14">
        <f>SUM(B142:E142)</f>
        <v>8442</v>
      </c>
      <c r="G142" s="14">
        <f>B135</f>
        <v>2179</v>
      </c>
      <c r="H142" s="14">
        <f>C135</f>
        <v>2264</v>
      </c>
      <c r="I142" s="45">
        <f>D135</f>
        <v>2302</v>
      </c>
      <c r="J142" s="17" t="s">
        <v>210</v>
      </c>
    </row>
    <row r="143">
      <c r="A143" s="42" t="s">
        <v>437</v>
      </c>
      <c r="B143" s="8"/>
      <c r="C143" s="8"/>
      <c r="D143" s="8"/>
      <c r="E143" s="8"/>
      <c r="F143" s="8"/>
      <c r="G143" s="8"/>
      <c r="H143" s="8"/>
      <c r="I143" s="21"/>
      <c r="J143" s="17"/>
    </row>
    <row r="144" ht="40.5">
      <c r="A144" s="65" t="s">
        <v>324</v>
      </c>
      <c r="B144" s="2">
        <v>0.263</v>
      </c>
      <c r="C144" s="2">
        <v>0.265</v>
      </c>
      <c r="D144" s="2">
        <v>0.269</v>
      </c>
      <c r="E144" s="2">
        <v>0.267</v>
      </c>
      <c r="F144" s="9">
        <f>SUMPRODUCT(B135:E135,B144:E144)/F135</f>
        <v>0.26604709385684355</v>
      </c>
      <c r="G144" s="2">
        <v>0.256</v>
      </c>
      <c r="H144" s="2">
        <v>0.26</v>
      </c>
      <c r="I144" s="87">
        <v>0.263</v>
      </c>
      <c r="J144" s="142" t="s">
        <v>325</v>
      </c>
    </row>
    <row r="145">
      <c r="A145" s="36" t="s">
        <v>214</v>
      </c>
      <c r="B145" s="61" t="s">
        <v>32</v>
      </c>
      <c r="C145" s="61" t="s">
        <v>32</v>
      </c>
      <c r="D145" s="61" t="s">
        <v>32</v>
      </c>
      <c r="E145" s="61" t="s">
        <v>32</v>
      </c>
      <c r="F145" s="61" t="s">
        <v>32</v>
      </c>
      <c r="G145" s="61">
        <f>(G144-B144)*10000</f>
        <v>-70.00000000000006</v>
      </c>
      <c r="H145" s="61">
        <f>(H144-C144)*10000</f>
        <v>-50.00000000000004</v>
      </c>
      <c r="I145" s="79">
        <f>(I144-D144)*10000</f>
        <v>-60.00000000000006</v>
      </c>
      <c r="J145" s="17"/>
    </row>
    <row r="146">
      <c r="A146" s="36" t="s">
        <v>215</v>
      </c>
      <c r="B146" s="61" t="s">
        <v>32</v>
      </c>
      <c r="C146" s="61">
        <f>(C144-B144)*10000</f>
        <v>20.000000000000018</v>
      </c>
      <c r="D146" s="61">
        <f>(D144-C144)*10000</f>
        <v>40.000000000000036</v>
      </c>
      <c r="E146" s="61">
        <f>(E144-D144)*10000</f>
        <v>-20.000000000000018</v>
      </c>
      <c r="F146" s="61" t="s">
        <v>32</v>
      </c>
      <c r="G146" s="61">
        <f>(G144-E144)*10000</f>
        <v>-110.0000000000001</v>
      </c>
      <c r="H146" s="61">
        <f>(H144-G144)*10000</f>
        <v>40.000000000000036</v>
      </c>
      <c r="I146" s="79">
        <f>(I144-H144)*10000</f>
        <v>30.00000000000003</v>
      </c>
      <c r="J146" s="17"/>
    </row>
    <row r="147" ht="40.5">
      <c r="A147" s="65" t="s">
        <v>326</v>
      </c>
      <c r="B147" s="2">
        <v>0.726</v>
      </c>
      <c r="C147" s="2">
        <v>0.703</v>
      </c>
      <c r="D147" s="2">
        <v>0.68</v>
      </c>
      <c r="E147" s="2">
        <v>0.599</v>
      </c>
      <c r="F147" s="9">
        <f>SUMPRODUCT(B135:E135,B147:E147)/F135</f>
        <v>0.6760542627109297</v>
      </c>
      <c r="G147" s="2">
        <v>0.697</v>
      </c>
      <c r="H147" s="2">
        <v>0.701</v>
      </c>
      <c r="I147" s="29">
        <f>I150+I144</f>
        <v>0.6779999999999999</v>
      </c>
      <c r="J147" s="142" t="s">
        <v>327</v>
      </c>
    </row>
    <row r="148">
      <c r="A148" s="36" t="s">
        <v>214</v>
      </c>
      <c r="B148" s="61" t="s">
        <v>32</v>
      </c>
      <c r="C148" s="61" t="s">
        <v>32</v>
      </c>
      <c r="D148" s="61" t="s">
        <v>32</v>
      </c>
      <c r="E148" s="61" t="s">
        <v>32</v>
      </c>
      <c r="F148" s="61" t="s">
        <v>32</v>
      </c>
      <c r="G148" s="61">
        <f>(G147-B147)*10000</f>
        <v>-290.0000000000003</v>
      </c>
      <c r="H148" s="61">
        <f>(H147-C147)*10000</f>
        <v>-20.000000000000018</v>
      </c>
      <c r="I148" s="79">
        <f>(I147-D147)*10000</f>
        <v>-20.00000000000113</v>
      </c>
      <c r="J148" s="17"/>
    </row>
    <row r="149">
      <c r="A149" s="36" t="s">
        <v>215</v>
      </c>
      <c r="B149" s="61" t="s">
        <v>32</v>
      </c>
      <c r="C149" s="61">
        <f>(C147-B147)*10000</f>
        <v>-230.0000000000002</v>
      </c>
      <c r="D149" s="61">
        <f>(D147-C147)*10000</f>
        <v>-229.9999999999991</v>
      </c>
      <c r="E149" s="61">
        <f>(E147-D147)*10000</f>
        <v>-810.0000000000007</v>
      </c>
      <c r="F149" s="61" t="s">
        <v>32</v>
      </c>
      <c r="G149" s="61">
        <f>(G147-E147)*10000</f>
        <v>979.9999999999998</v>
      </c>
      <c r="H149" s="61">
        <f>(H147-G147)*10000</f>
        <v>40.000000000000036</v>
      </c>
      <c r="I149" s="79">
        <f>(I147-H147)*10000</f>
        <v>-230.0000000000002</v>
      </c>
      <c r="J149" s="17"/>
    </row>
    <row r="150" ht="27.75">
      <c r="A150" s="65" t="s">
        <v>328</v>
      </c>
      <c r="B150" s="9">
        <f>B147-B144</f>
        <v>0.46299999999999997</v>
      </c>
      <c r="C150" s="9">
        <f>C147-C144</f>
        <v>0.43799999999999994</v>
      </c>
      <c r="D150" s="9">
        <f>D147-D144</f>
        <v>0.41100000000000003</v>
      </c>
      <c r="E150" s="9">
        <f>E147-E144</f>
        <v>0.33199999999999996</v>
      </c>
      <c r="F150" s="9">
        <f>F147-F144</f>
        <v>0.41000716885408617</v>
      </c>
      <c r="G150" s="9">
        <f>G147-G144</f>
        <v>0.44099999999999995</v>
      </c>
      <c r="H150" s="9">
        <f>H147-H144</f>
        <v>0.44099999999999995</v>
      </c>
      <c r="I150" s="87">
        <v>0.415</v>
      </c>
      <c r="J150" s="142" t="s">
        <v>329</v>
      </c>
    </row>
    <row r="151">
      <c r="A151" s="36" t="s">
        <v>214</v>
      </c>
      <c r="B151" s="61" t="s">
        <v>32</v>
      </c>
      <c r="C151" s="61" t="s">
        <v>32</v>
      </c>
      <c r="D151" s="61" t="s">
        <v>32</v>
      </c>
      <c r="E151" s="61" t="s">
        <v>32</v>
      </c>
      <c r="F151" s="61" t="s">
        <v>32</v>
      </c>
      <c r="G151" s="61">
        <f>(G150-B150)*10000</f>
        <v>-220.0000000000002</v>
      </c>
      <c r="H151" s="61">
        <f>(H150-C150)*10000</f>
        <v>30.00000000000003</v>
      </c>
      <c r="I151" s="79">
        <f>(I150-D150)*10000</f>
        <v>39.99999999999948</v>
      </c>
      <c r="J151" s="17"/>
    </row>
    <row r="152">
      <c r="A152" s="36" t="s">
        <v>215</v>
      </c>
      <c r="B152" s="61" t="s">
        <v>32</v>
      </c>
      <c r="C152" s="61">
        <f>(C150-B150)*10000</f>
        <v>-250.00000000000023</v>
      </c>
      <c r="D152" s="61">
        <f>(D150-C150)*10000</f>
        <v>-269.99999999999915</v>
      </c>
      <c r="E152" s="61">
        <f>(E150-D150)*10000</f>
        <v>-790.0000000000007</v>
      </c>
      <c r="F152" s="61" t="s">
        <v>32</v>
      </c>
      <c r="G152" s="61">
        <f>(G150-E150)*10000</f>
        <v>1089.9999999999998</v>
      </c>
      <c r="H152" s="61">
        <f>(H150-G150)*10000</f>
        <v>0</v>
      </c>
      <c r="I152" s="79">
        <f>(I150-H150)*10000</f>
        <v>-259.99999999999966</v>
      </c>
      <c r="J152" s="17"/>
    </row>
    <row r="153">
      <c r="A153" s="35" t="s">
        <v>330</v>
      </c>
      <c r="B153" s="6">
        <v>1699</v>
      </c>
      <c r="C153" s="6">
        <v>527</v>
      </c>
      <c r="D153" s="6">
        <v>244</v>
      </c>
      <c r="E153" s="6">
        <v>33</v>
      </c>
      <c r="F153" s="14">
        <f>SUM(B153:E153)</f>
        <v>2503</v>
      </c>
      <c r="G153" s="6">
        <v>359</v>
      </c>
      <c r="H153" s="6">
        <v>247</v>
      </c>
      <c r="I153" s="62">
        <v>480</v>
      </c>
      <c r="J153" s="17" t="s">
        <v>334</v>
      </c>
    </row>
    <row r="154">
      <c r="A154" s="36" t="s">
        <v>172</v>
      </c>
      <c r="B154" s="9" t="s">
        <v>32</v>
      </c>
      <c r="C154" s="9" t="s">
        <v>32</v>
      </c>
      <c r="D154" s="9" t="s">
        <v>32</v>
      </c>
      <c r="E154" s="9" t="s">
        <v>32</v>
      </c>
      <c r="F154" s="9" t="s">
        <v>32</v>
      </c>
      <c r="G154" s="9">
        <f>IFERROR(G153/B153-1,"n/a")</f>
        <v>-0.7886992348440259</v>
      </c>
      <c r="H154" s="9">
        <f>IFERROR(H153/C153-1,"n/a")</f>
        <v>-0.5313092979127134</v>
      </c>
      <c r="I154" s="29">
        <f>IFERROR(I153/D153-1,"n/a")</f>
        <v>0.9672131147540983</v>
      </c>
      <c r="J154" s="17"/>
    </row>
    <row r="155">
      <c r="A155" s="36" t="s">
        <v>196</v>
      </c>
      <c r="B155" s="31" t="s">
        <v>32</v>
      </c>
      <c r="C155" s="31">
        <f>C153-B153</f>
        <v>-1172</v>
      </c>
      <c r="D155" s="31">
        <f>D153-C153</f>
        <v>-283</v>
      </c>
      <c r="E155" s="31">
        <f>E153-D153</f>
        <v>-211</v>
      </c>
      <c r="F155" s="31" t="s">
        <v>32</v>
      </c>
      <c r="G155" s="31">
        <f>G153-E153</f>
        <v>326</v>
      </c>
      <c r="H155" s="31">
        <f>H153-G153</f>
        <v>-112</v>
      </c>
      <c r="I155" s="40">
        <f>I153-H153</f>
        <v>233</v>
      </c>
      <c r="J155" s="17"/>
    </row>
    <row r="156">
      <c r="A156" s="65" t="s">
        <v>332</v>
      </c>
      <c r="B156" s="9">
        <f>IFERROR(B153/B135,"n/a")</f>
        <v>0.7797154658100046</v>
      </c>
      <c r="C156" s="9">
        <f>IFERROR(C153/C135,"n/a")</f>
        <v>0.232773851590106</v>
      </c>
      <c r="D156" s="9">
        <f>IFERROR(D153/D135,"n/a")</f>
        <v>0.10599478714161599</v>
      </c>
      <c r="E156" s="9">
        <f>IFERROR(E153/E135,"n/a")</f>
        <v>0.014211886304909561</v>
      </c>
      <c r="F156" s="9">
        <f>IFERROR(F153/F135,"n/a")</f>
        <v>0.2760560273519356</v>
      </c>
      <c r="G156" s="9">
        <f>IFERROR(G153/G135,"n/a")</f>
        <v>0.16303360581289736</v>
      </c>
      <c r="H156" s="9">
        <f>IFERROR(H153/H135,"n/a")</f>
        <v>0.10982658959537572</v>
      </c>
      <c r="I156" s="29">
        <f>IFERROR(I153/I135,"n/a")</f>
        <v>0.2110059666617649</v>
      </c>
      <c r="J156" s="17"/>
    </row>
    <row r="157">
      <c r="A157" s="36" t="s">
        <v>214</v>
      </c>
      <c r="B157" s="61" t="s">
        <v>32</v>
      </c>
      <c r="C157" s="61" t="s">
        <v>32</v>
      </c>
      <c r="D157" s="61" t="s">
        <v>32</v>
      </c>
      <c r="E157" s="61" t="s">
        <v>32</v>
      </c>
      <c r="F157" s="61" t="s">
        <v>32</v>
      </c>
      <c r="G157" s="61">
        <f>(G156-B156)*10000</f>
        <v>-6166.818599971072</v>
      </c>
      <c r="H157" s="61">
        <f>(H156-C156)*10000</f>
        <v>-1229.4726199473027</v>
      </c>
      <c r="I157" s="79">
        <f>(I156-D156)*10000</f>
        <v>1050.1117952014893</v>
      </c>
      <c r="J157" s="17"/>
    </row>
    <row r="158">
      <c r="A158" s="36" t="s">
        <v>215</v>
      </c>
      <c r="B158" s="61" t="s">
        <v>32</v>
      </c>
      <c r="C158" s="61">
        <f>(C156-B156)*10000</f>
        <v>-5469.416142198987</v>
      </c>
      <c r="D158" s="61">
        <f>(D156-C156)*10000</f>
        <v>-1267.7906444849002</v>
      </c>
      <c r="E158" s="61">
        <f>(E156-D156)*10000</f>
        <v>-917.8290083670643</v>
      </c>
      <c r="F158" s="61" t="s">
        <v>32</v>
      </c>
      <c r="G158" s="61">
        <f>(G156-E156)*10000</f>
        <v>1488.2171950798781</v>
      </c>
      <c r="H158" s="61">
        <f>(H156-G156)*10000</f>
        <v>-532.0701621752164</v>
      </c>
      <c r="I158" s="79">
        <f>(I156-H156)*10000</f>
        <v>1011.7937706638919</v>
      </c>
      <c r="J158" s="17"/>
    </row>
    <row r="159">
      <c r="A159" s="35" t="s">
        <v>333</v>
      </c>
      <c r="B159" s="6">
        <v>112</v>
      </c>
      <c r="C159" s="6">
        <v>51</v>
      </c>
      <c r="D159" s="6">
        <v>15</v>
      </c>
      <c r="E159" s="6">
        <v>25</v>
      </c>
      <c r="F159" s="14">
        <f>SUM(B159:E159)</f>
        <v>203</v>
      </c>
      <c r="G159" s="6">
        <v>66</v>
      </c>
      <c r="H159" s="6">
        <v>99</v>
      </c>
      <c r="I159" s="62">
        <v>40</v>
      </c>
      <c r="J159" s="17" t="s">
        <v>334</v>
      </c>
    </row>
    <row r="160">
      <c r="A160" s="36" t="s">
        <v>321</v>
      </c>
      <c r="B160" s="31" t="s">
        <v>32</v>
      </c>
      <c r="C160" s="31" t="s">
        <v>32</v>
      </c>
      <c r="D160" s="31" t="s">
        <v>32</v>
      </c>
      <c r="E160" s="31" t="s">
        <v>32</v>
      </c>
      <c r="F160" s="31" t="s">
        <v>32</v>
      </c>
      <c r="G160" s="31">
        <f>G159-B159</f>
        <v>-46</v>
      </c>
      <c r="H160" s="31">
        <f>H159-C159</f>
        <v>48</v>
      </c>
      <c r="I160" s="40">
        <f>I159-D159</f>
        <v>25</v>
      </c>
      <c r="J160" s="17"/>
    </row>
    <row r="161">
      <c r="A161" s="36" t="s">
        <v>196</v>
      </c>
      <c r="B161" s="31" t="s">
        <v>32</v>
      </c>
      <c r="C161" s="31">
        <f>C159-B159</f>
        <v>-61</v>
      </c>
      <c r="D161" s="31">
        <f>D159-C159</f>
        <v>-36</v>
      </c>
      <c r="E161" s="31">
        <f>E159-D159</f>
        <v>10</v>
      </c>
      <c r="F161" s="31" t="s">
        <v>32</v>
      </c>
      <c r="G161" s="31">
        <f>G159-E159</f>
        <v>41</v>
      </c>
      <c r="H161" s="31">
        <f>H159-G159</f>
        <v>33</v>
      </c>
      <c r="I161" s="40">
        <f>I159-H159</f>
        <v>-59</v>
      </c>
      <c r="J161" s="17"/>
    </row>
    <row r="162">
      <c r="A162" s="65" t="s">
        <v>335</v>
      </c>
      <c r="B162" s="9">
        <f>IFERROR(-B159/B135,"n/a")</f>
        <v>-0.05139972464433226</v>
      </c>
      <c r="C162" s="9">
        <f>IFERROR(-C159/C135,"n/a")</f>
        <v>-0.022526501766784453</v>
      </c>
      <c r="D162" s="9">
        <f>IFERROR(-D159/D135,"n/a")</f>
        <v>-0.006516072980017376</v>
      </c>
      <c r="E162" s="9">
        <f>IFERROR(-E159/E135,"n/a")</f>
        <v>-0.010766580534022395</v>
      </c>
      <c r="F162" s="9">
        <f>IFERROR(-F159/F135,"n/a")</f>
        <v>-0.022388882761663176</v>
      </c>
      <c r="G162" s="9">
        <f>IFERROR(-G159/G135,"n/a")</f>
        <v>-0.02997275204359673</v>
      </c>
      <c r="H162" s="9">
        <f>IFERROR(-H159/H135,"n/a")</f>
        <v>-0.044019564250778125</v>
      </c>
      <c r="I162" s="29">
        <f>IFERROR(-I159/I135,"n/a")</f>
        <v>-0.017583830555147076</v>
      </c>
      <c r="J162" s="17"/>
    </row>
    <row r="163">
      <c r="A163" s="36" t="s">
        <v>214</v>
      </c>
      <c r="B163" s="61" t="s">
        <v>32</v>
      </c>
      <c r="C163" s="61" t="s">
        <v>32</v>
      </c>
      <c r="D163" s="61" t="s">
        <v>32</v>
      </c>
      <c r="E163" s="61" t="s">
        <v>32</v>
      </c>
      <c r="F163" s="61" t="s">
        <v>32</v>
      </c>
      <c r="G163" s="61">
        <f>(G162-B162)*10000</f>
        <v>214.26972600735533</v>
      </c>
      <c r="H163" s="61">
        <f>(H162-C162)*10000</f>
        <v>-214.9306248399367</v>
      </c>
      <c r="I163" s="79">
        <f>(I162-D162)*10000</f>
        <v>-110.677575751297</v>
      </c>
      <c r="J163" s="17"/>
    </row>
    <row r="164">
      <c r="A164" s="36" t="s">
        <v>215</v>
      </c>
      <c r="B164" s="61" t="s">
        <v>32</v>
      </c>
      <c r="C164" s="61">
        <f>(C162-B162)*10000</f>
        <v>288.7322287754781</v>
      </c>
      <c r="D164" s="61">
        <f>(D162-C162)*10000</f>
        <v>160.10428786767076</v>
      </c>
      <c r="E164" s="61">
        <f>(E162-D162)*10000</f>
        <v>-42.50507554005019</v>
      </c>
      <c r="F164" s="61" t="s">
        <v>32</v>
      </c>
      <c r="G164" s="61">
        <f>(G162-E162)*10000</f>
        <v>-192.06171509574335</v>
      </c>
      <c r="H164" s="61">
        <f>(H162-G162)*10000</f>
        <v>-140.46812207181395</v>
      </c>
      <c r="I164" s="79">
        <f>(I162-H162)*10000</f>
        <v>264.35733695631046</v>
      </c>
      <c r="J164" s="17"/>
    </row>
    <row r="165">
      <c r="A165" s="91" t="s">
        <v>336</v>
      </c>
      <c r="B165" s="86">
        <f>B147+B156+B162</f>
        <v>1.4543157411656724</v>
      </c>
      <c r="C165" s="86">
        <f>C147+C156+C162</f>
        <v>0.9132473498233215</v>
      </c>
      <c r="D165" s="86">
        <f>D147+D156+D162</f>
        <v>0.7794787141615988</v>
      </c>
      <c r="E165" s="86">
        <f>E147+E156+E162</f>
        <v>0.6024453057708872</v>
      </c>
      <c r="F165" s="86">
        <f>F147+F156+F162</f>
        <v>0.9297214073012021</v>
      </c>
      <c r="G165" s="86">
        <f>G147+G156+G162</f>
        <v>0.8300608537693006</v>
      </c>
      <c r="H165" s="86">
        <f>H147+H156+H162</f>
        <v>0.7668070253445975</v>
      </c>
      <c r="I165" s="89">
        <f>I147+I156+I162</f>
        <v>0.8714221361066178</v>
      </c>
      <c r="J165" s="17"/>
    </row>
    <row r="166">
      <c r="A166" s="36" t="s">
        <v>214</v>
      </c>
      <c r="B166" s="61" t="s">
        <v>32</v>
      </c>
      <c r="C166" s="61" t="s">
        <v>32</v>
      </c>
      <c r="D166" s="61" t="s">
        <v>32</v>
      </c>
      <c r="E166" s="61" t="s">
        <v>32</v>
      </c>
      <c r="F166" s="61" t="s">
        <v>32</v>
      </c>
      <c r="G166" s="61">
        <f>(G165-B165)*10000</f>
        <v>-6242.548873963718</v>
      </c>
      <c r="H166" s="61">
        <f>(H165-C165)*10000</f>
        <v>-1464.4032447872391</v>
      </c>
      <c r="I166" s="79">
        <f>(I165-D165)*10000</f>
        <v>919.4342194501903</v>
      </c>
      <c r="J166" s="17"/>
    </row>
    <row r="167">
      <c r="A167" s="36" t="s">
        <v>215</v>
      </c>
      <c r="B167" s="61" t="s">
        <v>32</v>
      </c>
      <c r="C167" s="61">
        <f>(C165-B165)*10000</f>
        <v>-5410.68391342351</v>
      </c>
      <c r="D167" s="61">
        <f>(D165-C165)*10000</f>
        <v>-1337.686356617227</v>
      </c>
      <c r="E167" s="61">
        <f>(E165-D165)*10000</f>
        <v>-1770.3340839071159</v>
      </c>
      <c r="F167" s="61" t="s">
        <v>32</v>
      </c>
      <c r="G167" s="61">
        <f>(G165-E165)*10000</f>
        <v>2276.155479984134</v>
      </c>
      <c r="H167" s="61">
        <f>(H165-G165)*10000</f>
        <v>-632.5382842470307</v>
      </c>
      <c r="I167" s="79">
        <f>(I165-H165)*10000</f>
        <v>1046.1511076202023</v>
      </c>
      <c r="J167" s="17"/>
    </row>
    <row r="168">
      <c r="A168" s="36" t="s">
        <v>337</v>
      </c>
      <c r="B168" s="2">
        <v>1.455</v>
      </c>
      <c r="C168" s="2">
        <v>0.913</v>
      </c>
      <c r="D168" s="2">
        <v>0.78</v>
      </c>
      <c r="E168" s="2">
        <v>0.603</v>
      </c>
      <c r="F168" s="9"/>
      <c r="G168" s="2">
        <v>0.83</v>
      </c>
      <c r="H168" s="2">
        <v>0.767</v>
      </c>
      <c r="I168" s="29"/>
      <c r="J168" s="17" t="s">
        <v>338</v>
      </c>
    </row>
    <row r="169">
      <c r="A169" s="65" t="s">
        <v>339</v>
      </c>
      <c r="B169" s="9">
        <f>B165-B144</f>
        <v>1.1913157411656723</v>
      </c>
      <c r="C169" s="9">
        <f>C165-C144</f>
        <v>0.6482473498233214</v>
      </c>
      <c r="D169" s="9">
        <f>D165-D144</f>
        <v>0.5104787141615987</v>
      </c>
      <c r="E169" s="9">
        <f>E165-E144</f>
        <v>0.33544530577088716</v>
      </c>
      <c r="F169" s="9">
        <f>F165-F144</f>
        <v>0.6636743134443586</v>
      </c>
      <c r="G169" s="9">
        <f>G165-G144</f>
        <v>0.5740608537693006</v>
      </c>
      <c r="H169" s="9">
        <f>H165-H144</f>
        <v>0.5068070253445975</v>
      </c>
      <c r="I169" s="29">
        <f>I165-I144</f>
        <v>0.6084221361066178</v>
      </c>
      <c r="J169" s="17"/>
    </row>
    <row r="170">
      <c r="A170" s="35" t="s">
        <v>340</v>
      </c>
      <c r="B170" s="14">
        <f>B135*(1-B147)</f>
        <v>597.046</v>
      </c>
      <c r="C170" s="14">
        <f>C135*(1-C147)</f>
        <v>672.4080000000001</v>
      </c>
      <c r="D170" s="14">
        <f>D135*(1-D147)</f>
        <v>736.6399999999999</v>
      </c>
      <c r="E170" s="14">
        <f>E135*(1-E147)</f>
        <v>931.1220000000001</v>
      </c>
      <c r="F170" s="14">
        <f>F135*(1-F147)</f>
        <v>2937.2160000000003</v>
      </c>
      <c r="G170" s="14">
        <f>G135*(1-G147)</f>
        <v>667.2060000000001</v>
      </c>
      <c r="H170" s="14">
        <f>H135*(1-H147)</f>
        <v>672.4510000000001</v>
      </c>
      <c r="I170" s="45">
        <f>I135*(1-I147)</f>
        <v>732.4911349438485</v>
      </c>
      <c r="J170" s="17"/>
    </row>
    <row r="171">
      <c r="A171" s="36" t="s">
        <v>172</v>
      </c>
      <c r="B171" s="9" t="s">
        <v>32</v>
      </c>
      <c r="C171" s="9" t="s">
        <v>32</v>
      </c>
      <c r="D171" s="9" t="s">
        <v>32</v>
      </c>
      <c r="E171" s="9" t="s">
        <v>32</v>
      </c>
      <c r="F171" s="9" t="s">
        <v>32</v>
      </c>
      <c r="G171" s="9">
        <f>IFERROR(G170/B170-1,"n/a")</f>
        <v>0.11751188350646369</v>
      </c>
      <c r="H171" s="9">
        <f>IFERROR(H170/C170-1,"n/a")</f>
        <v>0.0000639492688963017</v>
      </c>
      <c r="I171" s="29">
        <f>IFERROR(I170/D170-1,"n/a")</f>
        <v>-0.005632147393776377</v>
      </c>
      <c r="J171" s="17"/>
    </row>
    <row r="172">
      <c r="A172" s="36" t="s">
        <v>196</v>
      </c>
      <c r="B172" s="31" t="s">
        <v>32</v>
      </c>
      <c r="C172" s="31">
        <f>C170-B170</f>
        <v>75.36200000000008</v>
      </c>
      <c r="D172" s="31">
        <f>D170-C170</f>
        <v>64.23199999999974</v>
      </c>
      <c r="E172" s="31">
        <f>E170-D170</f>
        <v>194.4820000000002</v>
      </c>
      <c r="F172" s="31" t="s">
        <v>32</v>
      </c>
      <c r="G172" s="31">
        <f>G170-E170</f>
        <v>-263.91599999999994</v>
      </c>
      <c r="H172" s="31">
        <f>H170-G170</f>
        <v>5.2450000000000045</v>
      </c>
      <c r="I172" s="40">
        <f>I170-H170</f>
        <v>60.04013494384833</v>
      </c>
      <c r="J172" s="17"/>
    </row>
    <row r="173">
      <c r="A173" s="88" t="s">
        <v>341</v>
      </c>
      <c r="B173" s="30">
        <f>B135*(1-B165)</f>
        <v>-989.9540000000002</v>
      </c>
      <c r="C173" s="30">
        <f>C135*(1-C165)</f>
        <v>196.40800000000024</v>
      </c>
      <c r="D173" s="30">
        <f>D135*(1-D165)</f>
        <v>507.6399999999997</v>
      </c>
      <c r="E173" s="30">
        <f>E135*(1-E165)</f>
        <v>923.122</v>
      </c>
      <c r="F173" s="30">
        <f>F135*(1-F165)</f>
        <v>637.2160000000003</v>
      </c>
      <c r="G173" s="30">
        <f>G135*(1-G165)</f>
        <v>374.2060000000001</v>
      </c>
      <c r="H173" s="30">
        <f>H135*(1-H165)</f>
        <v>524.4510000000001</v>
      </c>
      <c r="I173" s="44">
        <f>I135*(1-I165)</f>
        <v>292.4911349438484</v>
      </c>
      <c r="J173" s="17"/>
    </row>
    <row r="174">
      <c r="A174" s="36" t="s">
        <v>172</v>
      </c>
      <c r="B174" s="9" t="s">
        <v>32</v>
      </c>
      <c r="C174" s="9" t="s">
        <v>32</v>
      </c>
      <c r="D174" s="9" t="s">
        <v>32</v>
      </c>
      <c r="E174" s="9" t="s">
        <v>32</v>
      </c>
      <c r="F174" s="9" t="s">
        <v>32</v>
      </c>
      <c r="G174" s="9">
        <f>IFERROR(G173/B173-1,"n/a")</f>
        <v>-1.378003422381242</v>
      </c>
      <c r="H174" s="9">
        <f>IFERROR(H173/C173-1,"n/a")</f>
        <v>1.6702120076575264</v>
      </c>
      <c r="I174" s="29">
        <f>IFERROR(I173/D173-1,"n/a")</f>
        <v>-0.4238217340165302</v>
      </c>
      <c r="J174" s="17"/>
    </row>
    <row r="175">
      <c r="A175" s="36" t="s">
        <v>196</v>
      </c>
      <c r="B175" s="31" t="s">
        <v>32</v>
      </c>
      <c r="C175" s="31">
        <f>C173-B173</f>
        <v>1186.3620000000005</v>
      </c>
      <c r="D175" s="31">
        <f>D173-C173</f>
        <v>311.23199999999946</v>
      </c>
      <c r="E175" s="31">
        <f>E173-D173</f>
        <v>415.48200000000026</v>
      </c>
      <c r="F175" s="31" t="s">
        <v>32</v>
      </c>
      <c r="G175" s="31">
        <f>G173-E173</f>
        <v>-548.9159999999999</v>
      </c>
      <c r="H175" s="31">
        <f>H173-G173</f>
        <v>150.24500000000006</v>
      </c>
      <c r="I175" s="40">
        <f>I173-H173</f>
        <v>-231.95986505615173</v>
      </c>
      <c r="J175" s="17"/>
    </row>
    <row r="176">
      <c r="A176" s="42" t="s">
        <v>438</v>
      </c>
      <c r="B176" s="8"/>
      <c r="C176" s="8"/>
      <c r="D176" s="8"/>
      <c r="E176" s="8"/>
      <c r="F176" s="8"/>
      <c r="G176" s="8"/>
      <c r="H176" s="8"/>
      <c r="I176" s="21"/>
      <c r="J176" s="17"/>
    </row>
    <row r="177">
      <c r="A177" s="22" t="s">
        <v>309</v>
      </c>
      <c r="B177" s="30">
        <f>B76+B135</f>
        <v>4250</v>
      </c>
      <c r="C177" s="30">
        <f>C76+C135</f>
        <v>4355</v>
      </c>
      <c r="D177" s="30">
        <f>D76+D135</f>
        <v>4393</v>
      </c>
      <c r="E177" s="30">
        <f>E76+E135</f>
        <v>4397</v>
      </c>
      <c r="F177" s="30">
        <f>F76+F135</f>
        <v>17395</v>
      </c>
      <c r="G177" s="30">
        <f>G76+G135</f>
        <v>4094</v>
      </c>
      <c r="H177" s="30">
        <f>H76+H135</f>
        <v>4146</v>
      </c>
      <c r="I177" s="44">
        <f>I76+I135</f>
        <v>4167.6253154104215</v>
      </c>
      <c r="J177" s="17" t="s">
        <v>439</v>
      </c>
    </row>
    <row r="178">
      <c r="A178" s="36" t="s">
        <v>172</v>
      </c>
      <c r="B178" s="9">
        <f>IFERROR(B177/B183-1,"n/a")</f>
        <v>0.05985037406483795</v>
      </c>
      <c r="C178" s="9">
        <f>IFERROR(C177/C183-1,"n/a")</f>
        <v>0.06271351878965348</v>
      </c>
      <c r="D178" s="9">
        <f>IFERROR(D177/D183-1,"n/a")</f>
        <v>0.04074863776356308</v>
      </c>
      <c r="E178" s="9">
        <f>IFERROR(E177/E183-1,"n/a")</f>
        <v>0.020422371779995396</v>
      </c>
      <c r="F178" s="9">
        <f>IFERROR(F177/F183-1,"n/a")</f>
        <v>0.04549825700204346</v>
      </c>
      <c r="G178" s="9">
        <f>IFERROR(G177/G183-1,"n/a")</f>
        <v>-0.036705882352941144</v>
      </c>
      <c r="H178" s="9">
        <f>IFERROR(H177/H183-1,"n/a")</f>
        <v>-0.04799081515499426</v>
      </c>
      <c r="I178" s="29">
        <f>IFERROR(I177/I183-1,"n/a")</f>
        <v>-0.0513031378533072</v>
      </c>
      <c r="J178" s="17"/>
    </row>
    <row r="179">
      <c r="A179" s="36" t="s">
        <v>196</v>
      </c>
      <c r="B179" s="31" t="s">
        <v>32</v>
      </c>
      <c r="C179" s="31">
        <f>C177-B177</f>
        <v>105</v>
      </c>
      <c r="D179" s="31">
        <f>D177-C177</f>
        <v>38</v>
      </c>
      <c r="E179" s="31">
        <f>E177-D177</f>
        <v>4</v>
      </c>
      <c r="F179" s="31" t="s">
        <v>32</v>
      </c>
      <c r="G179" s="31">
        <f>G177-E177</f>
        <v>-303</v>
      </c>
      <c r="H179" s="31">
        <f>H177-G177</f>
        <v>52</v>
      </c>
      <c r="I179" s="40">
        <f>I177-H177</f>
        <v>21.625315410421535</v>
      </c>
      <c r="J179" s="17"/>
    </row>
    <row r="180">
      <c r="A180" s="36" t="s">
        <v>188</v>
      </c>
      <c r="B180" s="2">
        <v>0</v>
      </c>
      <c r="C180" s="2">
        <v>0</v>
      </c>
      <c r="D180" s="2">
        <v>0</v>
      </c>
      <c r="E180" s="2">
        <v>0</v>
      </c>
      <c r="F180" s="2">
        <v>0</v>
      </c>
      <c r="G180" s="9">
        <f>-B57/G183</f>
        <v>-0.03882352941176471</v>
      </c>
      <c r="H180" s="9">
        <f>-C57/H183</f>
        <v>-0.03949483352468427</v>
      </c>
      <c r="I180" s="29">
        <f>-D57/I183</f>
        <v>-0.03824265877532438</v>
      </c>
      <c r="J180" s="17" t="s">
        <v>313</v>
      </c>
    </row>
    <row r="181">
      <c r="A181" s="36" t="s">
        <v>177</v>
      </c>
      <c r="B181" s="9" t="s">
        <v>178</v>
      </c>
      <c r="C181" s="9" t="s">
        <v>178</v>
      </c>
      <c r="D181" s="9" t="s">
        <v>178</v>
      </c>
      <c r="E181" s="9" t="s">
        <v>178</v>
      </c>
      <c r="F181" s="9" t="s">
        <v>178</v>
      </c>
      <c r="G181" s="9" t="s">
        <v>178</v>
      </c>
      <c r="H181" s="9" t="s">
        <v>178</v>
      </c>
      <c r="I181" s="29" t="s">
        <v>178</v>
      </c>
      <c r="J181" s="17" t="s">
        <v>179</v>
      </c>
    </row>
    <row r="182">
      <c r="A182" s="36" t="s">
        <v>175</v>
      </c>
      <c r="B182" s="9">
        <f>IFERROR((B177/B183)/(1+B180)-1,"n/a")</f>
        <v>0.05985037406483795</v>
      </c>
      <c r="C182" s="9">
        <f>IFERROR((C177/C183)/(1+C180)-1,"n/a")</f>
        <v>0.06271351878965348</v>
      </c>
      <c r="D182" s="9">
        <f>IFERROR((D177/D183)/(1+D180)-1,"n/a")</f>
        <v>0.04074863776356308</v>
      </c>
      <c r="E182" s="9">
        <f>IFERROR((E177/E183)/(1+E180)-1,"n/a")</f>
        <v>0.020422371779995396</v>
      </c>
      <c r="F182" s="9">
        <f>IFERROR((F177/F183)/(1+F180)-1,"n/a")</f>
        <v>0.04549825700204346</v>
      </c>
      <c r="G182" s="9">
        <f>IFERROR((G177/G183)/(1+G180)-1,"n/a")</f>
        <v>0.0022031823745409795</v>
      </c>
      <c r="H182" s="9">
        <f>IFERROR((H177/H183)/(1+H180)-1,"n/a")</f>
        <v>-0.008845326320822355</v>
      </c>
      <c r="I182" s="29">
        <f>IFERROR((I177/I183)/(1+I180)-1,"n/a")</f>
        <v>-0.013579807003450517</v>
      </c>
      <c r="J182" s="17"/>
    </row>
    <row r="183">
      <c r="A183" s="35" t="s">
        <v>186</v>
      </c>
      <c r="B183" s="14">
        <f>B83+B142</f>
        <v>4010</v>
      </c>
      <c r="C183" s="14">
        <f>C83+C142</f>
        <v>4098</v>
      </c>
      <c r="D183" s="14">
        <f>D83+D142</f>
        <v>4221</v>
      </c>
      <c r="E183" s="14">
        <f>E83+E142</f>
        <v>4309</v>
      </c>
      <c r="F183" s="14">
        <f>F83+F142</f>
        <v>16638</v>
      </c>
      <c r="G183" s="14">
        <f>G83+G142</f>
        <v>4250</v>
      </c>
      <c r="H183" s="14">
        <f>H83+H142</f>
        <v>4355</v>
      </c>
      <c r="I183" s="45">
        <f>I83+I142</f>
        <v>4393</v>
      </c>
      <c r="J183" s="17"/>
    </row>
    <row r="184">
      <c r="A184" s="65" t="s">
        <v>324</v>
      </c>
      <c r="B184" s="9">
        <f>(B76*B85+B135*B144)/B177</f>
        <v>0.24253364705882355</v>
      </c>
      <c r="C184" s="9">
        <f>(C76*C85+C135*C144)/C177</f>
        <v>0.2443540757749713</v>
      </c>
      <c r="D184" s="9">
        <f>(D76*D85+D135*D144)/D177</f>
        <v>0.2494846346460278</v>
      </c>
      <c r="E184" s="9">
        <f>(E76*E85+E135*E144)/E177</f>
        <v>0.24623584261996817</v>
      </c>
      <c r="F184" s="9">
        <f>(F76*F85+F135*F144)/F177</f>
        <v>0.24568065536073588</v>
      </c>
      <c r="G184" s="9">
        <f>(G76*G85+G135*G144)/G177</f>
        <v>0.24074938935026866</v>
      </c>
      <c r="H184" s="9">
        <f>(H76*H85+H135*H144)/H177</f>
        <v>0.24581596719729862</v>
      </c>
      <c r="I184" s="29">
        <f>(I76*I85+I135*I144)/I177</f>
        <v>0.2471040690078183</v>
      </c>
      <c r="J184" s="17" t="s">
        <v>440</v>
      </c>
    </row>
    <row r="185">
      <c r="A185" s="36" t="s">
        <v>214</v>
      </c>
      <c r="B185" s="61" t="s">
        <v>32</v>
      </c>
      <c r="C185" s="61" t="s">
        <v>32</v>
      </c>
      <c r="D185" s="61" t="s">
        <v>32</v>
      </c>
      <c r="E185" s="61" t="s">
        <v>32</v>
      </c>
      <c r="F185" s="61" t="s">
        <v>32</v>
      </c>
      <c r="G185" s="61">
        <f>(G184-B184)*10000</f>
        <v>-17.84257708554893</v>
      </c>
      <c r="H185" s="61">
        <f>(H184-C184)*10000</f>
        <v>14.61891422327305</v>
      </c>
      <c r="I185" s="79">
        <f>(I184-D184)*10000</f>
        <v>-23.805656382094863</v>
      </c>
      <c r="J185" s="17"/>
    </row>
    <row r="186">
      <c r="A186" s="36" t="s">
        <v>215</v>
      </c>
      <c r="B186" s="61" t="s">
        <v>32</v>
      </c>
      <c r="C186" s="61">
        <f>(C184-B184)*10000</f>
        <v>18.20428716147765</v>
      </c>
      <c r="D186" s="61">
        <f>(D184-C184)*10000</f>
        <v>51.30558871056484</v>
      </c>
      <c r="E186" s="61">
        <f>(E184-D184)*10000</f>
        <v>-32.48792026059627</v>
      </c>
      <c r="F186" s="61" t="s">
        <v>32</v>
      </c>
      <c r="G186" s="61">
        <f>(G184-E184)*10000</f>
        <v>-54.86453269699515</v>
      </c>
      <c r="H186" s="61">
        <f>(H184-G184)*10000</f>
        <v>50.66577847029963</v>
      </c>
      <c r="I186" s="79">
        <f>(I184-H184)*10000</f>
        <v>12.88101810519693</v>
      </c>
      <c r="J186" s="17"/>
    </row>
    <row r="187">
      <c r="A187" s="65" t="s">
        <v>326</v>
      </c>
      <c r="B187" s="9">
        <f>(B76*B88+B135*B147)/B177</f>
        <v>0.7986068235294117</v>
      </c>
      <c r="C187" s="9">
        <f>(C76*C88+C135*C147)/C177</f>
        <v>0.7927857634902411</v>
      </c>
      <c r="D187" s="9">
        <f>(D76*D88+D135*D147)/D177</f>
        <v>0.776624857728204</v>
      </c>
      <c r="E187" s="9">
        <f>(E76*E88+E135*E147)/E177</f>
        <v>0.7514277916761429</v>
      </c>
      <c r="F187" s="9">
        <f>(F76*F88+F135*F147)/F177</f>
        <v>0.7796724346076459</v>
      </c>
      <c r="G187" s="9">
        <f>(G76*G88+G135*G147)/G177</f>
        <v>0.7829579872984855</v>
      </c>
      <c r="H187" s="9">
        <f>(H76*H88+H135*H147)/H177</f>
        <v>0.772835262904004</v>
      </c>
      <c r="I187" s="29">
        <f>(I76*I88+I135*I147)/I177</f>
        <v>0.7665630440992978</v>
      </c>
      <c r="J187" s="17"/>
    </row>
    <row r="188">
      <c r="A188" s="36" t="s">
        <v>214</v>
      </c>
      <c r="B188" s="61" t="s">
        <v>32</v>
      </c>
      <c r="C188" s="61" t="s">
        <v>32</v>
      </c>
      <c r="D188" s="61" t="s">
        <v>32</v>
      </c>
      <c r="E188" s="61" t="s">
        <v>32</v>
      </c>
      <c r="F188" s="61" t="s">
        <v>32</v>
      </c>
      <c r="G188" s="61">
        <f>(G187-B187)*10000</f>
        <v>-156.48836230926167</v>
      </c>
      <c r="H188" s="61">
        <f>(H187-C187)*10000</f>
        <v>-199.50500586237152</v>
      </c>
      <c r="I188" s="79">
        <f>(I187-D187)*10000</f>
        <v>-100.61813628906235</v>
      </c>
      <c r="J188" s="17"/>
    </row>
    <row r="189">
      <c r="A189" s="36" t="s">
        <v>215</v>
      </c>
      <c r="B189" s="61" t="s">
        <v>32</v>
      </c>
      <c r="C189" s="61">
        <f>(C187-B187)*10000</f>
        <v>-58.210600391706</v>
      </c>
      <c r="D189" s="61">
        <f>(D187-C187)*10000</f>
        <v>-161.60905762037103</v>
      </c>
      <c r="E189" s="61">
        <f>(E187-D187)*10000</f>
        <v>-251.9706605206107</v>
      </c>
      <c r="F189" s="61" t="s">
        <v>32</v>
      </c>
      <c r="G189" s="61">
        <f>(G187-E187)*10000</f>
        <v>315.30195622342603</v>
      </c>
      <c r="H189" s="61">
        <f>(H187-G187)*10000</f>
        <v>-101.22724394481585</v>
      </c>
      <c r="I189" s="79">
        <f>(I187-H187)*10000</f>
        <v>-62.72218804706186</v>
      </c>
      <c r="J189" s="17"/>
    </row>
    <row r="190">
      <c r="A190" s="36" t="s">
        <v>441</v>
      </c>
      <c r="B190" s="2">
        <v>0.799</v>
      </c>
      <c r="C190" s="2">
        <v>0.793</v>
      </c>
      <c r="D190" s="2">
        <v>0.777</v>
      </c>
      <c r="E190" s="2">
        <v>0.751</v>
      </c>
      <c r="F190" s="9"/>
      <c r="G190" s="2">
        <v>0.783</v>
      </c>
      <c r="H190" s="2">
        <v>0.773</v>
      </c>
      <c r="I190" s="29"/>
      <c r="J190" s="17" t="s">
        <v>442</v>
      </c>
    </row>
    <row r="191">
      <c r="A191" s="35" t="s">
        <v>443</v>
      </c>
      <c r="B191" s="14">
        <f>B94+B153</f>
        <v>1738</v>
      </c>
      <c r="C191" s="14">
        <f>C94+C153</f>
        <v>554</v>
      </c>
      <c r="D191" s="14">
        <f>D94+D153</f>
        <v>263</v>
      </c>
      <c r="E191" s="14">
        <f>E94+E153</f>
        <v>37</v>
      </c>
      <c r="F191" s="14">
        <f>F94+F153</f>
        <v>2592</v>
      </c>
      <c r="G191" s="14">
        <f>G94+G153</f>
        <v>374</v>
      </c>
      <c r="H191" s="14">
        <f>H94+H153</f>
        <v>276</v>
      </c>
      <c r="I191" s="45">
        <f>I94+I153</f>
        <v>525</v>
      </c>
      <c r="J191" s="17"/>
    </row>
    <row r="192">
      <c r="A192" s="36" t="s">
        <v>172</v>
      </c>
      <c r="B192" s="9" t="s">
        <v>32</v>
      </c>
      <c r="C192" s="9" t="s">
        <v>32</v>
      </c>
      <c r="D192" s="9" t="s">
        <v>32</v>
      </c>
      <c r="E192" s="9" t="s">
        <v>32</v>
      </c>
      <c r="F192" s="9" t="s">
        <v>32</v>
      </c>
      <c r="G192" s="9">
        <f>IFERROR(G191/B191-1,"n/a")</f>
        <v>-0.7848101265822784</v>
      </c>
      <c r="H192" s="9">
        <f>IFERROR(H191/C191-1,"n/a")</f>
        <v>-0.5018050541516246</v>
      </c>
      <c r="I192" s="29">
        <f>IFERROR(I191/D191-1,"n/a")</f>
        <v>0.9961977186311788</v>
      </c>
      <c r="J192" s="17"/>
    </row>
    <row r="193">
      <c r="A193" s="36" t="s">
        <v>196</v>
      </c>
      <c r="B193" s="31" t="s">
        <v>32</v>
      </c>
      <c r="C193" s="31">
        <f>C191-B191</f>
        <v>-1184</v>
      </c>
      <c r="D193" s="31">
        <f>D191-C191</f>
        <v>-291</v>
      </c>
      <c r="E193" s="31">
        <f>E191-D191</f>
        <v>-226</v>
      </c>
      <c r="F193" s="31" t="s">
        <v>32</v>
      </c>
      <c r="G193" s="31">
        <f>G191-E191</f>
        <v>337</v>
      </c>
      <c r="H193" s="31">
        <f>H191-G191</f>
        <v>-98</v>
      </c>
      <c r="I193" s="40">
        <f>I191-H191</f>
        <v>249</v>
      </c>
      <c r="J193" s="17"/>
    </row>
    <row r="194">
      <c r="A194" s="35" t="s">
        <v>333</v>
      </c>
      <c r="B194" s="14">
        <f>B100+B159</f>
        <v>237</v>
      </c>
      <c r="C194" s="14">
        <f>C100+C159</f>
        <v>155</v>
      </c>
      <c r="D194" s="14">
        <f>D100+D159</f>
        <v>104</v>
      </c>
      <c r="E194" s="14">
        <f>E100+E159</f>
        <v>86</v>
      </c>
      <c r="F194" s="14">
        <f>F100+F159</f>
        <v>582</v>
      </c>
      <c r="G194" s="14">
        <f>G100+G159</f>
        <v>186</v>
      </c>
      <c r="H194" s="14">
        <f>H100+H159</f>
        <v>184</v>
      </c>
      <c r="I194" s="45">
        <f>I100+I159</f>
        <v>120</v>
      </c>
      <c r="J194" s="17"/>
    </row>
    <row r="195">
      <c r="A195" s="36" t="s">
        <v>321</v>
      </c>
      <c r="B195" s="31" t="s">
        <v>32</v>
      </c>
      <c r="C195" s="31" t="s">
        <v>32</v>
      </c>
      <c r="D195" s="31" t="s">
        <v>32</v>
      </c>
      <c r="E195" s="31" t="s">
        <v>32</v>
      </c>
      <c r="F195" s="31" t="s">
        <v>32</v>
      </c>
      <c r="G195" s="31">
        <f>G194-B194</f>
        <v>-51</v>
      </c>
      <c r="H195" s="31">
        <f>H194-C194</f>
        <v>29</v>
      </c>
      <c r="I195" s="40">
        <f>I194-D194</f>
        <v>16</v>
      </c>
      <c r="J195" s="17"/>
    </row>
    <row r="196">
      <c r="A196" s="36" t="s">
        <v>196</v>
      </c>
      <c r="B196" s="31" t="s">
        <v>32</v>
      </c>
      <c r="C196" s="31">
        <f>C194-B194</f>
        <v>-82</v>
      </c>
      <c r="D196" s="31">
        <f>D194-C194</f>
        <v>-51</v>
      </c>
      <c r="E196" s="31">
        <f>E194-D194</f>
        <v>-18</v>
      </c>
      <c r="F196" s="31" t="s">
        <v>32</v>
      </c>
      <c r="G196" s="31">
        <f>G194-E194</f>
        <v>100</v>
      </c>
      <c r="H196" s="31">
        <f>H194-G194</f>
        <v>-2</v>
      </c>
      <c r="I196" s="40">
        <f>I194-H194</f>
        <v>-64</v>
      </c>
      <c r="J196" s="17"/>
    </row>
    <row r="197">
      <c r="A197" s="91" t="s">
        <v>336</v>
      </c>
      <c r="B197" s="86">
        <f>B187+B191/B177-B194/B177</f>
        <v>1.1517832941176471</v>
      </c>
      <c r="C197" s="86">
        <f>C187+C191/C177-C194/C177</f>
        <v>0.8844045924225029</v>
      </c>
      <c r="D197" s="86">
        <f>D187+D191/D177-D194/D177</f>
        <v>0.8128188026405645</v>
      </c>
      <c r="E197" s="86">
        <f>E187+E191/E177-E194/E177</f>
        <v>0.740283829884012</v>
      </c>
      <c r="F197" s="86">
        <f>F187+F191/F177-F194/F177</f>
        <v>0.8952228801379707</v>
      </c>
      <c r="G197" s="86">
        <f>G187+G191/G177-G194/G177</f>
        <v>0.8288788470933073</v>
      </c>
      <c r="H197" s="86">
        <f>H187+H191/H177-H194/H177</f>
        <v>0.7950253256150508</v>
      </c>
      <c r="I197" s="89">
        <f>I187+I191/I177-I194/I177</f>
        <v>0.8637406858854851</v>
      </c>
      <c r="J197" s="17"/>
    </row>
    <row r="198">
      <c r="A198" s="36" t="s">
        <v>214</v>
      </c>
      <c r="B198" s="61" t="s">
        <v>32</v>
      </c>
      <c r="C198" s="61" t="s">
        <v>32</v>
      </c>
      <c r="D198" s="61" t="s">
        <v>32</v>
      </c>
      <c r="E198" s="61" t="s">
        <v>32</v>
      </c>
      <c r="F198" s="61" t="s">
        <v>32</v>
      </c>
      <c r="G198" s="61">
        <f>(G197-B197)*10000</f>
        <v>-3229.0444702433983</v>
      </c>
      <c r="H198" s="61">
        <f>(H197-C197)*10000</f>
        <v>-893.7926680745212</v>
      </c>
      <c r="I198" s="79">
        <f>(I197-D197)*10000</f>
        <v>509.2188324492064</v>
      </c>
      <c r="J198" s="17"/>
    </row>
    <row r="199">
      <c r="A199" s="36" t="s">
        <v>215</v>
      </c>
      <c r="B199" s="61" t="s">
        <v>32</v>
      </c>
      <c r="C199" s="61">
        <f>(C197-B197)*10000</f>
        <v>-2673.787016951442</v>
      </c>
      <c r="D199" s="61">
        <f>(D197-C197)*10000</f>
        <v>-715.8578978193841</v>
      </c>
      <c r="E199" s="61">
        <f>(E197-D197)*10000</f>
        <v>-725.3497275655252</v>
      </c>
      <c r="F199" s="61" t="s">
        <v>32</v>
      </c>
      <c r="G199" s="61">
        <f>(G197-E197)*10000</f>
        <v>885.950172092953</v>
      </c>
      <c r="H199" s="61">
        <f>(H197-G197)*10000</f>
        <v>-338.5352147825649</v>
      </c>
      <c r="I199" s="79">
        <f>(I197-H197)*10000</f>
        <v>687.1536027043435</v>
      </c>
      <c r="J199" s="17"/>
    </row>
    <row r="200">
      <c r="A200" s="36" t="s">
        <v>337</v>
      </c>
      <c r="B200" s="2">
        <v>1.152</v>
      </c>
      <c r="C200" s="2">
        <v>0.884</v>
      </c>
      <c r="D200" s="2">
        <v>0.813</v>
      </c>
      <c r="E200" s="2">
        <v>0.74</v>
      </c>
      <c r="F200" s="9"/>
      <c r="G200" s="2">
        <v>0.829</v>
      </c>
      <c r="H200" s="2">
        <v>0.795</v>
      </c>
      <c r="I200" s="29"/>
      <c r="J200" s="17" t="s">
        <v>442</v>
      </c>
    </row>
    <row r="201">
      <c r="A201" s="65" t="s">
        <v>339</v>
      </c>
      <c r="B201" s="9">
        <f>B197-B184</f>
        <v>0.9092496470588236</v>
      </c>
      <c r="C201" s="9">
        <f>C197-C184</f>
        <v>0.6400505166475317</v>
      </c>
      <c r="D201" s="9">
        <f>D197-D184</f>
        <v>0.5633341679945367</v>
      </c>
      <c r="E201" s="9">
        <f>E197-E184</f>
        <v>0.4940479872640438</v>
      </c>
      <c r="F201" s="9">
        <f>F197-F184</f>
        <v>0.6495422247772348</v>
      </c>
      <c r="G201" s="9">
        <f>G197-G184</f>
        <v>0.5881294577430386</v>
      </c>
      <c r="H201" s="9">
        <f>H197-H184</f>
        <v>0.5492093584177522</v>
      </c>
      <c r="I201" s="29">
        <f>I197-I184</f>
        <v>0.6166366168776668</v>
      </c>
      <c r="J201" s="17"/>
    </row>
    <row r="202">
      <c r="A202" s="36" t="s">
        <v>214</v>
      </c>
      <c r="B202" s="61" t="s">
        <v>32</v>
      </c>
      <c r="C202" s="61" t="s">
        <v>32</v>
      </c>
      <c r="D202" s="61" t="s">
        <v>32</v>
      </c>
      <c r="E202" s="61" t="s">
        <v>32</v>
      </c>
      <c r="F202" s="61" t="s">
        <v>32</v>
      </c>
      <c r="G202" s="61">
        <f>(G201-B201)*10000</f>
        <v>-3211.20189315785</v>
      </c>
      <c r="H202" s="61">
        <f>(H201-C201)*10000</f>
        <v>-908.4115822977946</v>
      </c>
      <c r="I202" s="79">
        <f>(I201-D201)*10000</f>
        <v>533.0244888313007</v>
      </c>
      <c r="J202" s="17"/>
    </row>
    <row r="203">
      <c r="A203" s="36" t="s">
        <v>215</v>
      </c>
      <c r="B203" s="61" t="s">
        <v>32</v>
      </c>
      <c r="C203" s="61">
        <f>(C201-B201)*10000</f>
        <v>-2691.9913041129194</v>
      </c>
      <c r="D203" s="61">
        <f>(D201-C201)*10000</f>
        <v>-767.1634865299493</v>
      </c>
      <c r="E203" s="61">
        <f>(E201-D201)*10000</f>
        <v>-692.8618073049292</v>
      </c>
      <c r="F203" s="61" t="s">
        <v>32</v>
      </c>
      <c r="G203" s="61">
        <f>(G201-E201)*10000</f>
        <v>940.8147047899479</v>
      </c>
      <c r="H203" s="61">
        <f>(H201-G201)*10000</f>
        <v>-389.20099325286395</v>
      </c>
      <c r="I203" s="79">
        <f>(I201-H201)*10000</f>
        <v>674.272584599146</v>
      </c>
      <c r="J203" s="17"/>
    </row>
    <row r="204">
      <c r="A204" s="88" t="s">
        <v>341</v>
      </c>
      <c r="B204" s="30">
        <f>B177*(1-B197)</f>
        <v>-645.0790000000003</v>
      </c>
      <c r="C204" s="30">
        <f>C177*(1-C197)</f>
        <v>503.41799999999984</v>
      </c>
      <c r="D204" s="30">
        <f>D177*(1-D197)</f>
        <v>822.2870000000001</v>
      </c>
      <c r="E204" s="30">
        <f>E177*(1-E197)</f>
        <v>1141.9719999999993</v>
      </c>
      <c r="F204" s="30">
        <f>F177*(1-F197)</f>
        <v>1822.598</v>
      </c>
      <c r="G204" s="30">
        <f>G177*(1-G197)</f>
        <v>700.57</v>
      </c>
      <c r="H204" s="30">
        <f>H177*(1-H197)</f>
        <v>849.8249999999994</v>
      </c>
      <c r="I204" s="44">
        <f>I177*(1-I197)</f>
        <v>567.8777669641127</v>
      </c>
      <c r="J204" s="17"/>
    </row>
    <row r="205">
      <c r="A205" s="36" t="s">
        <v>172</v>
      </c>
      <c r="B205" s="9" t="s">
        <v>32</v>
      </c>
      <c r="C205" s="9" t="s">
        <v>32</v>
      </c>
      <c r="D205" s="9" t="s">
        <v>32</v>
      </c>
      <c r="E205" s="9" t="s">
        <v>32</v>
      </c>
      <c r="F205" s="9" t="s">
        <v>32</v>
      </c>
      <c r="G205" s="9">
        <f>IFERROR(G204/B204-1,"n/a")</f>
        <v>-2.08602202210892</v>
      </c>
      <c r="H205" s="9">
        <f>IFERROR(H204/C204-1,"n/a")</f>
        <v>0.6881100794965609</v>
      </c>
      <c r="I205" s="29">
        <f>IFERROR(I204/D204-1,"n/a")</f>
        <v>-0.30939225968048556</v>
      </c>
      <c r="J205" s="17"/>
    </row>
    <row r="206">
      <c r="A206" s="36" t="s">
        <v>196</v>
      </c>
      <c r="B206" s="31" t="s">
        <v>32</v>
      </c>
      <c r="C206" s="31">
        <f>C204-B204</f>
        <v>1148.497</v>
      </c>
      <c r="D206" s="31">
        <f>D204-C204</f>
        <v>318.8690000000003</v>
      </c>
      <c r="E206" s="31">
        <f>E204-D204</f>
        <v>319.68499999999915</v>
      </c>
      <c r="F206" s="31" t="s">
        <v>32</v>
      </c>
      <c r="G206" s="31">
        <f>G204-E204</f>
        <v>-441.40199999999925</v>
      </c>
      <c r="H206" s="31">
        <f>H204-G204</f>
        <v>149.2549999999993</v>
      </c>
      <c r="I206" s="40">
        <f>I204-H204</f>
        <v>-281.9472330358867</v>
      </c>
      <c r="J206" s="17"/>
    </row>
    <row r="207">
      <c r="A207" s="42" t="s">
        <v>342</v>
      </c>
      <c r="B207" s="8"/>
      <c r="C207" s="8"/>
      <c r="D207" s="8"/>
      <c r="E207" s="8"/>
      <c r="F207" s="8"/>
      <c r="G207" s="8"/>
      <c r="H207" s="8"/>
      <c r="I207" s="21"/>
      <c r="J207" s="17"/>
    </row>
    <row r="208">
      <c r="A208" s="35" t="s">
        <v>343</v>
      </c>
      <c r="B208" s="14">
        <f>B177</f>
        <v>4250</v>
      </c>
      <c r="C208" s="14">
        <f>C177</f>
        <v>4355</v>
      </c>
      <c r="D208" s="14">
        <f>D177</f>
        <v>4393</v>
      </c>
      <c r="E208" s="14">
        <f>E177</f>
        <v>4397</v>
      </c>
      <c r="F208" s="14">
        <f>F177</f>
        <v>17395</v>
      </c>
      <c r="G208" s="14">
        <f>G177</f>
        <v>4094</v>
      </c>
      <c r="H208" s="14">
        <f>H177</f>
        <v>4146</v>
      </c>
      <c r="I208" s="45">
        <f>I177</f>
        <v>4167.6253154104215</v>
      </c>
      <c r="J208" s="17"/>
    </row>
    <row r="209" ht="27.75">
      <c r="A209" s="35" t="s">
        <v>344</v>
      </c>
      <c r="B209" s="6">
        <v>172</v>
      </c>
      <c r="C209" s="6">
        <v>173</v>
      </c>
      <c r="D209" s="6">
        <v>190</v>
      </c>
      <c r="E209" s="6">
        <v>197</v>
      </c>
      <c r="F209" s="14">
        <f>SUM(B209:E209)</f>
        <v>732</v>
      </c>
      <c r="G209" s="6">
        <v>187</v>
      </c>
      <c r="H209" s="6">
        <v>195</v>
      </c>
      <c r="I209" s="34">
        <f>'Revenue summary'!I56*I212</f>
        <v>198.64222478679443</v>
      </c>
      <c r="J209" s="142" t="s">
        <v>345</v>
      </c>
    </row>
    <row r="210">
      <c r="A210" s="36" t="s">
        <v>172</v>
      </c>
      <c r="B210" s="9" t="s">
        <v>32</v>
      </c>
      <c r="C210" s="9" t="s">
        <v>32</v>
      </c>
      <c r="D210" s="9" t="s">
        <v>32</v>
      </c>
      <c r="E210" s="9" t="s">
        <v>32</v>
      </c>
      <c r="F210" s="9" t="s">
        <v>32</v>
      </c>
      <c r="G210" s="9">
        <f>IFERROR(G209/B209-1,"n/a")</f>
        <v>0.08720930232558133</v>
      </c>
      <c r="H210" s="9">
        <f>IFERROR(H209/C209-1,"n/a")</f>
        <v>0.12716763005780352</v>
      </c>
      <c r="I210" s="29">
        <f>IFERROR(I209/D209-1,"n/a")</f>
        <v>0.04548539361470749</v>
      </c>
      <c r="J210" s="17"/>
    </row>
    <row r="211">
      <c r="A211" s="36" t="s">
        <v>196</v>
      </c>
      <c r="B211" s="31" t="s">
        <v>32</v>
      </c>
      <c r="C211" s="31">
        <f>C209-B209</f>
        <v>1</v>
      </c>
      <c r="D211" s="31">
        <f>D209-C209</f>
        <v>17</v>
      </c>
      <c r="E211" s="31">
        <f>E209-D209</f>
        <v>7</v>
      </c>
      <c r="F211" s="31" t="s">
        <v>32</v>
      </c>
      <c r="G211" s="31">
        <f>G209-E209</f>
        <v>-10</v>
      </c>
      <c r="H211" s="31">
        <f>H209-G209</f>
        <v>8</v>
      </c>
      <c r="I211" s="40">
        <f>I209-H209</f>
        <v>3.6422247867944293</v>
      </c>
      <c r="J211" s="17"/>
    </row>
    <row r="212">
      <c r="A212" s="36" t="s">
        <v>346</v>
      </c>
      <c r="B212" s="28">
        <f>B209/'Revenue summary'!B56</f>
        <v>0.18494623655913978</v>
      </c>
      <c r="C212" s="28">
        <f>C209/'Revenue summary'!C56</f>
        <v>0.18365180467091294</v>
      </c>
      <c r="D212" s="28">
        <f>D209/'Revenue summary'!D56</f>
        <v>0.18393030009680542</v>
      </c>
      <c r="E212" s="28">
        <f>E209/'Revenue summary'!E56</f>
        <v>0.1869070208728653</v>
      </c>
      <c r="F212" s="28">
        <f>F209/'Revenue summary'!F56</f>
        <v>0.18489517554938115</v>
      </c>
      <c r="G212" s="28">
        <f>G209/'Revenue summary'!G56</f>
        <v>0.18551587301587302</v>
      </c>
      <c r="H212" s="28">
        <f>H209/'Revenue summary'!H56</f>
        <v>0.1822429906542056</v>
      </c>
      <c r="I212" s="29">
        <f>H212</f>
        <v>0.1822429906542056</v>
      </c>
      <c r="J212" s="17" t="s">
        <v>347</v>
      </c>
    </row>
    <row r="213">
      <c r="A213" s="36" t="s">
        <v>214</v>
      </c>
      <c r="B213" s="61" t="s">
        <v>32</v>
      </c>
      <c r="C213" s="61" t="s">
        <v>32</v>
      </c>
      <c r="D213" s="61" t="s">
        <v>32</v>
      </c>
      <c r="E213" s="61" t="s">
        <v>32</v>
      </c>
      <c r="F213" s="61" t="s">
        <v>32</v>
      </c>
      <c r="G213" s="61">
        <f>(G212-B212)*10000</f>
        <v>5.696364567332468</v>
      </c>
      <c r="H213" s="61">
        <f>(H212-C212)*10000</f>
        <v>-14.088140167073382</v>
      </c>
      <c r="I213" s="79">
        <f>(I212-D212)*10000</f>
        <v>-16.873094425998158</v>
      </c>
      <c r="J213" s="17"/>
    </row>
    <row r="214">
      <c r="A214" s="36" t="s">
        <v>215</v>
      </c>
      <c r="B214" s="61" t="s">
        <v>32</v>
      </c>
      <c r="C214" s="61">
        <f>(C212-B212)*10000</f>
        <v>-12.94431888226838</v>
      </c>
      <c r="D214" s="61">
        <f>(D212-C212)*10000</f>
        <v>2.7849542589247767</v>
      </c>
      <c r="E214" s="61">
        <f>(E212-D212)*10000</f>
        <v>29.767207760598712</v>
      </c>
      <c r="F214" s="61" t="s">
        <v>32</v>
      </c>
      <c r="G214" s="61">
        <f>(G212-E212)*10000</f>
        <v>-13.911478569922641</v>
      </c>
      <c r="H214" s="61">
        <f>(H212-G212)*10000</f>
        <v>-32.72882361667423</v>
      </c>
      <c r="I214" s="79">
        <f>(I212-H212)*10000</f>
        <v>0</v>
      </c>
      <c r="J214" s="17"/>
    </row>
    <row r="215">
      <c r="A215" s="35" t="s">
        <v>236</v>
      </c>
      <c r="B215" s="6">
        <v>11</v>
      </c>
      <c r="C215" s="6">
        <v>13</v>
      </c>
      <c r="D215" s="6">
        <v>13</v>
      </c>
      <c r="E215" s="6">
        <v>13</v>
      </c>
      <c r="F215" s="14">
        <f>SUM(B215:E215)</f>
        <v>50</v>
      </c>
      <c r="G215" s="6">
        <v>10</v>
      </c>
      <c r="H215" s="6">
        <v>9</v>
      </c>
      <c r="I215" s="62">
        <v>9</v>
      </c>
      <c r="J215" s="17" t="s">
        <v>348</v>
      </c>
    </row>
    <row r="216">
      <c r="A216" s="36" t="s">
        <v>172</v>
      </c>
      <c r="B216" s="9" t="s">
        <v>32</v>
      </c>
      <c r="C216" s="9" t="s">
        <v>32</v>
      </c>
      <c r="D216" s="9" t="s">
        <v>32</v>
      </c>
      <c r="E216" s="9" t="s">
        <v>32</v>
      </c>
      <c r="F216" s="9" t="s">
        <v>32</v>
      </c>
      <c r="G216" s="9">
        <f>IFERROR(G215/B215-1,"n/a")</f>
        <v>-0.09090909090909094</v>
      </c>
      <c r="H216" s="9">
        <f>IFERROR(H215/C215-1,"n/a")</f>
        <v>-0.3076923076923077</v>
      </c>
      <c r="I216" s="29">
        <f>IFERROR(I215/D215-1,"n/a")</f>
        <v>-0.3076923076923077</v>
      </c>
      <c r="J216" s="17"/>
    </row>
    <row r="217">
      <c r="A217" s="36" t="s">
        <v>196</v>
      </c>
      <c r="B217" s="31" t="s">
        <v>32</v>
      </c>
      <c r="C217" s="31">
        <f>C215-B215</f>
        <v>2</v>
      </c>
      <c r="D217" s="31">
        <f>D215-C215</f>
        <v>0</v>
      </c>
      <c r="E217" s="31">
        <f>E215-D215</f>
        <v>0</v>
      </c>
      <c r="F217" s="31" t="s">
        <v>32</v>
      </c>
      <c r="G217" s="31">
        <f>G215-E215</f>
        <v>-3</v>
      </c>
      <c r="H217" s="31">
        <f>H215-G215</f>
        <v>-1</v>
      </c>
      <c r="I217" s="40">
        <f>I215-H215</f>
        <v>0</v>
      </c>
      <c r="J217" s="17"/>
    </row>
    <row r="218">
      <c r="A218" s="35" t="s">
        <v>239</v>
      </c>
      <c r="B218" s="6">
        <v>24</v>
      </c>
      <c r="C218" s="6">
        <v>23</v>
      </c>
      <c r="D218" s="6">
        <v>29</v>
      </c>
      <c r="E218" s="6">
        <v>26</v>
      </c>
      <c r="F218" s="14">
        <f>SUM(B218:E218)</f>
        <v>102</v>
      </c>
      <c r="G218" s="6">
        <v>32</v>
      </c>
      <c r="H218" s="6">
        <v>25</v>
      </c>
      <c r="I218" s="62">
        <v>25</v>
      </c>
      <c r="J218" s="17" t="s">
        <v>348</v>
      </c>
    </row>
    <row r="219">
      <c r="A219" s="36" t="s">
        <v>172</v>
      </c>
      <c r="B219" s="9" t="s">
        <v>32</v>
      </c>
      <c r="C219" s="9" t="s">
        <v>32</v>
      </c>
      <c r="D219" s="9" t="s">
        <v>32</v>
      </c>
      <c r="E219" s="9" t="s">
        <v>32</v>
      </c>
      <c r="F219" s="9" t="s">
        <v>32</v>
      </c>
      <c r="G219" s="9">
        <f>IFERROR(G218/B218-1,"n/a")</f>
        <v>0.33333333333333326</v>
      </c>
      <c r="H219" s="9">
        <f>IFERROR(H218/C218-1,"n/a")</f>
        <v>0.08695652173913038</v>
      </c>
      <c r="I219" s="29">
        <f>IFERROR(I218/D218-1,"n/a")</f>
        <v>-0.13793103448275867</v>
      </c>
      <c r="J219" s="17"/>
    </row>
    <row r="220">
      <c r="A220" s="36" t="s">
        <v>196</v>
      </c>
      <c r="B220" s="31" t="s">
        <v>32</v>
      </c>
      <c r="C220" s="31">
        <f>C218-B218</f>
        <v>-1</v>
      </c>
      <c r="D220" s="31">
        <f>D218-C218</f>
        <v>6</v>
      </c>
      <c r="E220" s="31">
        <f>E218-D218</f>
        <v>-3</v>
      </c>
      <c r="F220" s="31" t="s">
        <v>32</v>
      </c>
      <c r="G220" s="31">
        <f>G218-E218</f>
        <v>6</v>
      </c>
      <c r="H220" s="31">
        <f>H218-G218</f>
        <v>-7</v>
      </c>
      <c r="I220" s="40">
        <f>I218-H218</f>
        <v>0</v>
      </c>
      <c r="J220" s="17"/>
    </row>
    <row r="221">
      <c r="A221" s="22" t="s">
        <v>349</v>
      </c>
      <c r="B221" s="30">
        <f>B208+B209+B215+B218</f>
        <v>4457</v>
      </c>
      <c r="C221" s="30">
        <f>C208+C209+C215+C218</f>
        <v>4564</v>
      </c>
      <c r="D221" s="30">
        <f>D208+D209+D215+D218</f>
        <v>4625</v>
      </c>
      <c r="E221" s="30">
        <f>E208+E209+E215+E218</f>
        <v>4633</v>
      </c>
      <c r="F221" s="30">
        <f>F208+F209+F215+F218</f>
        <v>18279</v>
      </c>
      <c r="G221" s="30">
        <f>G208+G209+G215+G218</f>
        <v>4323</v>
      </c>
      <c r="H221" s="30">
        <f>H208+H209+H215+H218</f>
        <v>4375</v>
      </c>
      <c r="I221" s="44">
        <f>I208+I209+I215+I218</f>
        <v>4400.267540197216</v>
      </c>
      <c r="J221" s="17"/>
    </row>
    <row r="222">
      <c r="A222" s="36" t="s">
        <v>187</v>
      </c>
      <c r="B222" s="9">
        <f>IFERROR(B221/B227-1,"n/a")</f>
        <v>0.06346933905989016</v>
      </c>
      <c r="C222" s="9">
        <f>IFERROR(C221/C227-1,"n/a")</f>
        <v>0.06411750990906961</v>
      </c>
      <c r="D222" s="9">
        <f>IFERROR(D221/D227-1,"n/a")</f>
        <v>0.04685377999094609</v>
      </c>
      <c r="E222" s="9">
        <f>IFERROR(E221/E227-1,"n/a")</f>
        <v>0.02499999999999991</v>
      </c>
      <c r="F222" s="9">
        <f>IFERROR(F221/F227-1,"n/a")</f>
        <v>0.04943162245952459</v>
      </c>
      <c r="G222" s="9">
        <f>IFERROR(G221/G227-1,"n/a")</f>
        <v>-0.030065066188018852</v>
      </c>
      <c r="H222" s="9">
        <f>IFERROR(H221/H227-1,"n/a")</f>
        <v>-0.04141104294478526</v>
      </c>
      <c r="I222" s="29">
        <f>IFERROR(I221/I227-1,"n/a")</f>
        <v>-0.04859080211952094</v>
      </c>
      <c r="J222" s="17"/>
    </row>
    <row r="223" ht="40.5">
      <c r="A223" s="36" t="s">
        <v>188</v>
      </c>
      <c r="B223" s="2">
        <v>0</v>
      </c>
      <c r="C223" s="2">
        <v>0</v>
      </c>
      <c r="D223" s="2">
        <v>0</v>
      </c>
      <c r="E223" s="2">
        <v>0</v>
      </c>
      <c r="F223" s="2">
        <v>0</v>
      </c>
      <c r="G223" s="9">
        <f>IFERROR(-B57/G227,"n/a")</f>
        <v>-0.037020417321067985</v>
      </c>
      <c r="H223" s="9">
        <f>IFERROR(-C57/H227,"n/a")</f>
        <v>-0.03768624014022787</v>
      </c>
      <c r="I223" s="29">
        <f>IFERROR(-D57/I227,"n/a")</f>
        <v>-0.03632432432432432</v>
      </c>
      <c r="J223" s="142" t="s">
        <v>350</v>
      </c>
    </row>
    <row r="224">
      <c r="A224" s="36" t="s">
        <v>177</v>
      </c>
      <c r="B224" s="9" t="s">
        <v>178</v>
      </c>
      <c r="C224" s="9" t="s">
        <v>178</v>
      </c>
      <c r="D224" s="9" t="s">
        <v>178</v>
      </c>
      <c r="E224" s="9" t="s">
        <v>178</v>
      </c>
      <c r="F224" s="9" t="s">
        <v>178</v>
      </c>
      <c r="G224" s="9" t="s">
        <v>178</v>
      </c>
      <c r="H224" s="9" t="s">
        <v>178</v>
      </c>
      <c r="I224" s="29" t="s">
        <v>178</v>
      </c>
      <c r="J224" s="17" t="s">
        <v>244</v>
      </c>
    </row>
    <row r="225">
      <c r="A225" s="36" t="s">
        <v>175</v>
      </c>
      <c r="B225" s="9">
        <f>IFERROR((1+B222)/(1+B223)-1,"n/a")</f>
        <v>0.06346933905989016</v>
      </c>
      <c r="C225" s="9">
        <f>IFERROR((1+C222)/(1+C223)-1,"n/a")</f>
        <v>0.06411750990906961</v>
      </c>
      <c r="D225" s="9">
        <f>IFERROR((1+D222)/(1+D223)-1,"n/a")</f>
        <v>0.04685377999094609</v>
      </c>
      <c r="E225" s="9">
        <f>IFERROR((1+E222)/(1+E223)-1,"n/a")</f>
        <v>0.02499999999999991</v>
      </c>
      <c r="F225" s="9">
        <f>IFERROR((1+F222)/(1+F223)-1,"n/a")</f>
        <v>0.04943162245952459</v>
      </c>
      <c r="G225" s="9">
        <f>IFERROR((1+G222)/(1+G223)-1,"n/a")</f>
        <v>0.007222739981360693</v>
      </c>
      <c r="H225" s="9">
        <f>IFERROR((1+H222)/(1+H223)-1,"n/a")</f>
        <v>-0.0038706739526411793</v>
      </c>
      <c r="I225" s="29">
        <f>IFERROR((1+I222)/(1+I223)-1,"n/a")</f>
        <v>-0.012728844469998779</v>
      </c>
      <c r="J225" s="17"/>
    </row>
    <row r="226">
      <c r="A226" s="36" t="s">
        <v>196</v>
      </c>
      <c r="B226" s="31" t="s">
        <v>32</v>
      </c>
      <c r="C226" s="31">
        <f>C221-B221</f>
        <v>107</v>
      </c>
      <c r="D226" s="31">
        <f>D221-C221</f>
        <v>61</v>
      </c>
      <c r="E226" s="31">
        <f>E221-D221</f>
        <v>8</v>
      </c>
      <c r="F226" s="31" t="s">
        <v>32</v>
      </c>
      <c r="G226" s="31">
        <f>G221-E221</f>
        <v>-310</v>
      </c>
      <c r="H226" s="31">
        <f>H221-G221</f>
        <v>52</v>
      </c>
      <c r="I226" s="40">
        <f>I221-H221</f>
        <v>25.267540197215567</v>
      </c>
      <c r="J226" s="17"/>
    </row>
    <row r="227">
      <c r="A227" s="35" t="s">
        <v>245</v>
      </c>
      <c r="B227" s="6">
        <v>4191</v>
      </c>
      <c r="C227" s="6">
        <v>4289</v>
      </c>
      <c r="D227" s="6">
        <v>4418</v>
      </c>
      <c r="E227" s="6">
        <v>4520</v>
      </c>
      <c r="F227" s="14">
        <f>SUM(B227:E227)</f>
        <v>17418</v>
      </c>
      <c r="G227" s="14">
        <f>B221</f>
        <v>4457</v>
      </c>
      <c r="H227" s="14">
        <f>C221</f>
        <v>4564</v>
      </c>
      <c r="I227" s="45">
        <f>D221</f>
        <v>4625</v>
      </c>
      <c r="J227" s="17" t="s">
        <v>210</v>
      </c>
    </row>
    <row r="228" ht="27.75">
      <c r="A228" s="35" t="s">
        <v>351</v>
      </c>
      <c r="B228" s="6">
        <v>3867</v>
      </c>
      <c r="C228" s="6">
        <v>2787</v>
      </c>
      <c r="D228" s="6">
        <v>2476</v>
      </c>
      <c r="E228" s="6">
        <v>2173</v>
      </c>
      <c r="F228" s="14">
        <f>SUM(B228:E228)</f>
        <v>11303</v>
      </c>
      <c r="G228" s="6">
        <v>2410</v>
      </c>
      <c r="H228" s="6">
        <v>2276</v>
      </c>
      <c r="I228" s="45">
        <f>I177*I201+I254</f>
        <v>2569.9103749084015</v>
      </c>
      <c r="J228" s="142" t="s">
        <v>444</v>
      </c>
    </row>
    <row r="229">
      <c r="A229" s="36" t="s">
        <v>172</v>
      </c>
      <c r="B229" s="9" t="s">
        <v>32</v>
      </c>
      <c r="C229" s="9" t="s">
        <v>32</v>
      </c>
      <c r="D229" s="9" t="s">
        <v>32</v>
      </c>
      <c r="E229" s="9" t="s">
        <v>32</v>
      </c>
      <c r="F229" s="9" t="s">
        <v>32</v>
      </c>
      <c r="G229" s="9">
        <f>IFERROR(G228/B228-1,"n/a")</f>
        <v>-0.37677786397724333</v>
      </c>
      <c r="H229" s="9">
        <f>IFERROR(H228/C228-1,"n/a")</f>
        <v>-0.18335127377107996</v>
      </c>
      <c r="I229" s="29">
        <f>IFERROR(I228/D228-1,"n/a")</f>
        <v>0.037928261271567676</v>
      </c>
      <c r="J229" s="17"/>
    </row>
    <row r="230">
      <c r="A230" s="36" t="s">
        <v>196</v>
      </c>
      <c r="B230" s="31" t="s">
        <v>32</v>
      </c>
      <c r="C230" s="31">
        <f>C228-B228</f>
        <v>-1080</v>
      </c>
      <c r="D230" s="31">
        <f>D228-C228</f>
        <v>-311</v>
      </c>
      <c r="E230" s="31">
        <f>E228-D228</f>
        <v>-303</v>
      </c>
      <c r="F230" s="31" t="s">
        <v>32</v>
      </c>
      <c r="G230" s="31">
        <f>G228-E228</f>
        <v>237</v>
      </c>
      <c r="H230" s="31">
        <f>H228-G228</f>
        <v>-134</v>
      </c>
      <c r="I230" s="40">
        <f>I228-H228</f>
        <v>293.91037490840154</v>
      </c>
      <c r="J230" s="17"/>
    </row>
    <row r="231">
      <c r="A231" s="35" t="s">
        <v>353</v>
      </c>
      <c r="B231" s="6">
        <v>674</v>
      </c>
      <c r="C231" s="6">
        <v>663</v>
      </c>
      <c r="D231" s="6">
        <v>679</v>
      </c>
      <c r="E231" s="6">
        <v>676</v>
      </c>
      <c r="F231" s="14">
        <f>SUM(B231:E231)</f>
        <v>2692</v>
      </c>
      <c r="G231" s="6">
        <v>634</v>
      </c>
      <c r="H231" s="6">
        <v>637</v>
      </c>
      <c r="I231" s="45">
        <f>I177*I266</f>
        <v>642.6562660906255</v>
      </c>
      <c r="J231" s="17" t="s">
        <v>354</v>
      </c>
    </row>
    <row r="232">
      <c r="A232" s="36" t="s">
        <v>172</v>
      </c>
      <c r="B232" s="9" t="s">
        <v>32</v>
      </c>
      <c r="C232" s="9" t="s">
        <v>32</v>
      </c>
      <c r="D232" s="9" t="s">
        <v>32</v>
      </c>
      <c r="E232" s="9" t="s">
        <v>32</v>
      </c>
      <c r="F232" s="9" t="s">
        <v>32</v>
      </c>
      <c r="G232" s="9">
        <f>IFERROR(G231/B231-1,"n/a")</f>
        <v>-0.05934718100890213</v>
      </c>
      <c r="H232" s="9">
        <f>IFERROR(H231/C231-1,"n/a")</f>
        <v>-0.039215686274509776</v>
      </c>
      <c r="I232" s="29">
        <f>IFERROR(I231/D231-1,"n/a")</f>
        <v>-0.05352538130982987</v>
      </c>
      <c r="J232" s="17"/>
    </row>
    <row r="233">
      <c r="A233" s="36" t="s">
        <v>196</v>
      </c>
      <c r="B233" s="31" t="s">
        <v>32</v>
      </c>
      <c r="C233" s="31">
        <f>C231-B231</f>
        <v>-11</v>
      </c>
      <c r="D233" s="31">
        <f>D231-C231</f>
        <v>16</v>
      </c>
      <c r="E233" s="31">
        <f>E231-D231</f>
        <v>-3</v>
      </c>
      <c r="F233" s="31" t="s">
        <v>32</v>
      </c>
      <c r="G233" s="31">
        <f>G231-E231</f>
        <v>-42</v>
      </c>
      <c r="H233" s="31">
        <f>H231-G231</f>
        <v>3</v>
      </c>
      <c r="I233" s="40">
        <f>I231-H231</f>
        <v>5.656266090625536</v>
      </c>
      <c r="J233" s="17"/>
    </row>
    <row r="234" ht="27.75">
      <c r="A234" s="35" t="s">
        <v>355</v>
      </c>
      <c r="B234" s="6">
        <v>396</v>
      </c>
      <c r="C234" s="6">
        <v>444</v>
      </c>
      <c r="D234" s="6">
        <v>458</v>
      </c>
      <c r="E234" s="6">
        <v>448</v>
      </c>
      <c r="F234" s="14">
        <f>SUM(B234:E234)</f>
        <v>1746</v>
      </c>
      <c r="G234" s="6">
        <v>397</v>
      </c>
      <c r="H234" s="6">
        <v>422</v>
      </c>
      <c r="I234" s="45">
        <f>I177*I184+I263+I257+I260-I231</f>
        <v>426.1809074472818</v>
      </c>
      <c r="J234" s="142" t="s">
        <v>356</v>
      </c>
    </row>
    <row r="235">
      <c r="A235" s="36" t="s">
        <v>172</v>
      </c>
      <c r="B235" s="9" t="s">
        <v>32</v>
      </c>
      <c r="C235" s="9" t="s">
        <v>32</v>
      </c>
      <c r="D235" s="9" t="s">
        <v>32</v>
      </c>
      <c r="E235" s="9" t="s">
        <v>32</v>
      </c>
      <c r="F235" s="9" t="s">
        <v>32</v>
      </c>
      <c r="G235" s="9">
        <f>IFERROR(G234/B234-1,"n/a")</f>
        <v>0.002525252525252597</v>
      </c>
      <c r="H235" s="9">
        <f>IFERROR(H234/C234-1,"n/a")</f>
        <v>-0.0495495495495496</v>
      </c>
      <c r="I235" s="29">
        <f>IFERROR(I234/D234-1,"n/a")</f>
        <v>-0.06947400120680824</v>
      </c>
      <c r="J235" s="17"/>
    </row>
    <row r="236">
      <c r="A236" s="36" t="s">
        <v>196</v>
      </c>
      <c r="B236" s="31" t="s">
        <v>32</v>
      </c>
      <c r="C236" s="31">
        <f>C234-B234</f>
        <v>48</v>
      </c>
      <c r="D236" s="31">
        <f>D234-C234</f>
        <v>14</v>
      </c>
      <c r="E236" s="31">
        <f>E234-D234</f>
        <v>-10</v>
      </c>
      <c r="F236" s="31" t="s">
        <v>32</v>
      </c>
      <c r="G236" s="31">
        <f>G234-E234</f>
        <v>-51</v>
      </c>
      <c r="H236" s="31">
        <f>H234-G234</f>
        <v>25</v>
      </c>
      <c r="I236" s="40">
        <f>I234-H234</f>
        <v>4.180907447281811</v>
      </c>
      <c r="J236" s="17"/>
    </row>
    <row r="237">
      <c r="A237" s="22" t="s">
        <v>357</v>
      </c>
      <c r="B237" s="30">
        <f>B228+B231+B234</f>
        <v>4937</v>
      </c>
      <c r="C237" s="30">
        <f>C228+C231+C234</f>
        <v>3894</v>
      </c>
      <c r="D237" s="30">
        <f>D228+D231+D234</f>
        <v>3613</v>
      </c>
      <c r="E237" s="30">
        <f>E228+E231+E234</f>
        <v>3297</v>
      </c>
      <c r="F237" s="30">
        <f>F228+F231+F234</f>
        <v>15741</v>
      </c>
      <c r="G237" s="30">
        <f>G228+G231+G234</f>
        <v>3441</v>
      </c>
      <c r="H237" s="30">
        <f>H228+H231+H234</f>
        <v>3335</v>
      </c>
      <c r="I237" s="44">
        <f>I228+I231+I234</f>
        <v>3638.747548446309</v>
      </c>
      <c r="J237" s="17"/>
    </row>
    <row r="238">
      <c r="A238" s="22" t="s">
        <v>358</v>
      </c>
      <c r="B238" s="30">
        <f>B221-B237</f>
        <v>-480</v>
      </c>
      <c r="C238" s="30">
        <f>C221-C237</f>
        <v>670</v>
      </c>
      <c r="D238" s="30">
        <f>D221-D237</f>
        <v>1012</v>
      </c>
      <c r="E238" s="30">
        <f>E221-E237</f>
        <v>1336</v>
      </c>
      <c r="F238" s="30">
        <f>F221-F237</f>
        <v>2538</v>
      </c>
      <c r="G238" s="30">
        <f>G221-G237</f>
        <v>882</v>
      </c>
      <c r="H238" s="30">
        <f>H221-H237</f>
        <v>1040</v>
      </c>
      <c r="I238" s="44">
        <f>I221-I237</f>
        <v>761.5199917509067</v>
      </c>
      <c r="J238" s="17"/>
    </row>
    <row r="239">
      <c r="A239" s="36" t="s">
        <v>172</v>
      </c>
      <c r="B239" s="9" t="s">
        <v>32</v>
      </c>
      <c r="C239" s="9" t="s">
        <v>32</v>
      </c>
      <c r="D239" s="9" t="s">
        <v>32</v>
      </c>
      <c r="E239" s="9" t="s">
        <v>32</v>
      </c>
      <c r="F239" s="9" t="s">
        <v>32</v>
      </c>
      <c r="G239" s="9">
        <f>IFERROR(G238/B238-1,"n/a")</f>
        <v>-2.8375</v>
      </c>
      <c r="H239" s="9">
        <f>IFERROR(H238/C238-1,"n/a")</f>
        <v>0.5522388059701493</v>
      </c>
      <c r="I239" s="29">
        <f>IFERROR(I238/D238-1,"n/a")</f>
        <v>-0.24750988957420283</v>
      </c>
      <c r="J239" s="17"/>
    </row>
    <row r="240">
      <c r="A240" s="36" t="s">
        <v>196</v>
      </c>
      <c r="B240" s="31" t="s">
        <v>32</v>
      </c>
      <c r="C240" s="31">
        <f>C238-B238</f>
        <v>1150</v>
      </c>
      <c r="D240" s="31">
        <f>D238-C238</f>
        <v>342</v>
      </c>
      <c r="E240" s="31">
        <f>E238-D238</f>
        <v>324</v>
      </c>
      <c r="F240" s="31" t="s">
        <v>32</v>
      </c>
      <c r="G240" s="31">
        <f>G238-E238</f>
        <v>-454</v>
      </c>
      <c r="H240" s="31">
        <f>H238-G238</f>
        <v>158</v>
      </c>
      <c r="I240" s="40">
        <f>I238-H238</f>
        <v>-278.4800082490933</v>
      </c>
      <c r="J240" s="17"/>
    </row>
    <row r="241">
      <c r="A241" s="65" t="s">
        <v>359</v>
      </c>
      <c r="B241" s="9">
        <f>IFERROR(B238/B221,"n/a")</f>
        <v>-0.1076957594794705</v>
      </c>
      <c r="C241" s="9">
        <f>IFERROR(C238/C221,"n/a")</f>
        <v>0.14680105170902716</v>
      </c>
      <c r="D241" s="9">
        <f>IFERROR(D238/D221,"n/a")</f>
        <v>0.2188108108108108</v>
      </c>
      <c r="E241" s="9">
        <f>IFERROR(E238/E221,"n/a")</f>
        <v>0.288366069501403</v>
      </c>
      <c r="F241" s="9">
        <f>IFERROR(F238/F221,"n/a")</f>
        <v>0.13884785819793205</v>
      </c>
      <c r="G241" s="9">
        <f>IFERROR(G238/G221,"n/a")</f>
        <v>0.20402498265093685</v>
      </c>
      <c r="H241" s="9">
        <f>IFERROR(H238/H221,"n/a")</f>
        <v>0.2377142857142857</v>
      </c>
      <c r="I241" s="29">
        <f>IFERROR(I238/I221,"n/a")</f>
        <v>0.1730622024216228</v>
      </c>
      <c r="J241" s="17"/>
    </row>
    <row r="242">
      <c r="A242" s="36" t="s">
        <v>214</v>
      </c>
      <c r="B242" s="61" t="s">
        <v>32</v>
      </c>
      <c r="C242" s="61" t="s">
        <v>32</v>
      </c>
      <c r="D242" s="61" t="s">
        <v>32</v>
      </c>
      <c r="E242" s="61" t="s">
        <v>32</v>
      </c>
      <c r="F242" s="61" t="s">
        <v>32</v>
      </c>
      <c r="G242" s="61">
        <f>(G241-B241)*10000</f>
        <v>3117.2074213040733</v>
      </c>
      <c r="H242" s="61">
        <f>(H241-C241)*10000</f>
        <v>909.1323400525855</v>
      </c>
      <c r="I242" s="79">
        <f>(I241-D241)*10000</f>
        <v>-457.4860838918801</v>
      </c>
      <c r="J242" s="17"/>
    </row>
    <row r="243">
      <c r="A243" s="36" t="s">
        <v>215</v>
      </c>
      <c r="B243" s="61" t="s">
        <v>32</v>
      </c>
      <c r="C243" s="61">
        <f>(C241-B241)*10000</f>
        <v>2544.9681118849767</v>
      </c>
      <c r="D243" s="61">
        <f>(D241-C241)*10000</f>
        <v>720.0975910178364</v>
      </c>
      <c r="E243" s="61">
        <f>(E241-D241)*10000</f>
        <v>695.5525869059218</v>
      </c>
      <c r="F243" s="61" t="s">
        <v>32</v>
      </c>
      <c r="G243" s="61">
        <f>(G241-E241)*10000</f>
        <v>-843.4108685046613</v>
      </c>
      <c r="H243" s="61">
        <f>(H241-G241)*10000</f>
        <v>336.8930306334886</v>
      </c>
      <c r="I243" s="79">
        <f>(I241-H241)*10000</f>
        <v>-646.5208329266292</v>
      </c>
      <c r="J243" s="17"/>
    </row>
    <row r="244" ht="27.75">
      <c r="A244" s="35" t="s">
        <v>360</v>
      </c>
      <c r="B244" s="6">
        <v>-106</v>
      </c>
      <c r="C244" s="6">
        <v>136</v>
      </c>
      <c r="D244" s="6">
        <v>205</v>
      </c>
      <c r="E244" s="6">
        <v>250</v>
      </c>
      <c r="F244" s="14">
        <f>SUM(B244:E244)</f>
        <v>485</v>
      </c>
      <c r="G244" s="6">
        <v>178</v>
      </c>
      <c r="H244" s="6">
        <v>213</v>
      </c>
      <c r="I244" s="34">
        <f>I209*'Income Statement'!I92+(I238-I209)*'Income Statement'!I93</f>
        <v>152.7680781753658</v>
      </c>
      <c r="J244" s="142" t="s">
        <v>361</v>
      </c>
    </row>
    <row r="245">
      <c r="A245" s="36" t="s">
        <v>172</v>
      </c>
      <c r="B245" s="9" t="s">
        <v>32</v>
      </c>
      <c r="C245" s="9" t="s">
        <v>32</v>
      </c>
      <c r="D245" s="9" t="s">
        <v>32</v>
      </c>
      <c r="E245" s="9" t="s">
        <v>32</v>
      </c>
      <c r="F245" s="9" t="s">
        <v>32</v>
      </c>
      <c r="G245" s="9">
        <f>IFERROR(G244/B244-1,"n/a")</f>
        <v>-2.6792452830188678</v>
      </c>
      <c r="H245" s="9">
        <f>IFERROR(H244/C244-1,"n/a")</f>
        <v>0.5661764705882353</v>
      </c>
      <c r="I245" s="29">
        <f>IFERROR(I244/D244-1,"n/a")</f>
        <v>-0.25478986255919134</v>
      </c>
      <c r="J245" s="17"/>
    </row>
    <row r="246">
      <c r="A246" s="36" t="s">
        <v>196</v>
      </c>
      <c r="B246" s="31" t="s">
        <v>32</v>
      </c>
      <c r="C246" s="31">
        <f>C244-B244</f>
        <v>242</v>
      </c>
      <c r="D246" s="31">
        <f>D244-C244</f>
        <v>69</v>
      </c>
      <c r="E246" s="31">
        <f>E244-D244</f>
        <v>45</v>
      </c>
      <c r="F246" s="31" t="s">
        <v>32</v>
      </c>
      <c r="G246" s="31">
        <f>G244-E244</f>
        <v>-72</v>
      </c>
      <c r="H246" s="31">
        <f>H244-G244</f>
        <v>35</v>
      </c>
      <c r="I246" s="40">
        <f>I244-H244</f>
        <v>-60.23192182463421</v>
      </c>
      <c r="J246" s="17"/>
    </row>
    <row r="247">
      <c r="A247" s="22" t="s">
        <v>362</v>
      </c>
      <c r="B247" s="30">
        <f>B238-B244</f>
        <v>-374</v>
      </c>
      <c r="C247" s="30">
        <f>C238-C244</f>
        <v>534</v>
      </c>
      <c r="D247" s="30">
        <f>D238-D244</f>
        <v>807</v>
      </c>
      <c r="E247" s="30">
        <f>E238-E244</f>
        <v>1086</v>
      </c>
      <c r="F247" s="30">
        <f>F238-F244</f>
        <v>2053</v>
      </c>
      <c r="G247" s="30">
        <f>G238-G244</f>
        <v>704</v>
      </c>
      <c r="H247" s="30">
        <f>H238-H244</f>
        <v>827</v>
      </c>
      <c r="I247" s="44">
        <f>I238-I244</f>
        <v>608.7519135755409</v>
      </c>
      <c r="J247" s="17"/>
    </row>
    <row r="248">
      <c r="A248" s="36" t="s">
        <v>172</v>
      </c>
      <c r="B248" s="9">
        <f>IFERROR(B247/B250-1,"n/a")</f>
        <v>-2.7</v>
      </c>
      <c r="C248" s="9">
        <f>IFERROR(C247/C250-1,"n/a")</f>
        <v>-4.490196078431373</v>
      </c>
      <c r="D248" s="9">
        <f>IFERROR(D247/D250-1,"n/a")</f>
        <v>1.1015625</v>
      </c>
      <c r="E248" s="9">
        <f>IFERROR(E247/E250-1,"n/a")</f>
        <v>0.3609022556390977</v>
      </c>
      <c r="F248" s="9">
        <f>IFERROR(F247/F250-1,"n/a")</f>
        <v>0.6437149719775821</v>
      </c>
      <c r="G248" s="9">
        <f>IFERROR(G247/G250-1,"n/a")</f>
        <v>-2.8823529411764706</v>
      </c>
      <c r="H248" s="9">
        <f>IFERROR(H247/H250-1,"n/a")</f>
        <v>0.5486891385767789</v>
      </c>
      <c r="I248" s="29">
        <f>IFERROR(I247/I250-1,"n/a")</f>
        <v>-0.24566057797330743</v>
      </c>
      <c r="J248" s="17"/>
    </row>
    <row r="249">
      <c r="A249" s="36" t="s">
        <v>196</v>
      </c>
      <c r="B249" s="31" t="s">
        <v>32</v>
      </c>
      <c r="C249" s="31">
        <f>C247-B247</f>
        <v>908</v>
      </c>
      <c r="D249" s="31">
        <f>D247-C247</f>
        <v>273</v>
      </c>
      <c r="E249" s="31">
        <f>E247-D247</f>
        <v>279</v>
      </c>
      <c r="F249" s="31" t="s">
        <v>32</v>
      </c>
      <c r="G249" s="31">
        <f>G247-E247</f>
        <v>-382</v>
      </c>
      <c r="H249" s="31">
        <f>H247-G247</f>
        <v>123</v>
      </c>
      <c r="I249" s="40">
        <f>I247-H247</f>
        <v>-218.24808642445907</v>
      </c>
      <c r="J249" s="17"/>
    </row>
    <row r="250">
      <c r="A250" s="35" t="s">
        <v>363</v>
      </c>
      <c r="B250" s="6">
        <v>220</v>
      </c>
      <c r="C250" s="6">
        <v>-153</v>
      </c>
      <c r="D250" s="6">
        <v>384</v>
      </c>
      <c r="E250" s="6">
        <v>798</v>
      </c>
      <c r="F250" s="14">
        <f>SUM(B250:E250)</f>
        <v>1249</v>
      </c>
      <c r="G250" s="14">
        <f>B247</f>
        <v>-374</v>
      </c>
      <c r="H250" s="14">
        <f>C247</f>
        <v>534</v>
      </c>
      <c r="I250" s="45">
        <f>D247</f>
        <v>807</v>
      </c>
      <c r="J250" s="17" t="s">
        <v>210</v>
      </c>
    </row>
    <row r="251">
      <c r="A251" s="35" t="s">
        <v>364</v>
      </c>
      <c r="B251" s="6">
        <v>-374</v>
      </c>
      <c r="C251" s="6">
        <v>534</v>
      </c>
      <c r="D251" s="6">
        <v>807</v>
      </c>
      <c r="E251" s="6">
        <v>1086</v>
      </c>
      <c r="F251" s="14">
        <f>SUM(B251:E251)</f>
        <v>2053</v>
      </c>
      <c r="G251" s="6">
        <v>704</v>
      </c>
      <c r="H251" s="6">
        <v>827</v>
      </c>
      <c r="I251" s="45"/>
      <c r="J251" s="17" t="s">
        <v>365</v>
      </c>
    </row>
    <row r="252">
      <c r="A252" s="36" t="s">
        <v>366</v>
      </c>
      <c r="B252" s="31">
        <f>B247-B251</f>
        <v>0</v>
      </c>
      <c r="C252" s="31">
        <f>C247-C251</f>
        <v>0</v>
      </c>
      <c r="D252" s="31">
        <f>D247-D251</f>
        <v>0</v>
      </c>
      <c r="E252" s="31">
        <f>E247-E251</f>
        <v>0</v>
      </c>
      <c r="F252" s="31">
        <f>F247-F251</f>
        <v>0</v>
      </c>
      <c r="G252" s="31">
        <f>G247-G251</f>
        <v>0</v>
      </c>
      <c r="H252" s="31">
        <f>H247-H251</f>
        <v>0</v>
      </c>
      <c r="I252" s="40"/>
      <c r="J252" s="17"/>
    </row>
    <row r="253">
      <c r="A253" s="42" t="s">
        <v>367</v>
      </c>
      <c r="B253" s="8"/>
      <c r="C253" s="8"/>
      <c r="D253" s="8"/>
      <c r="E253" s="8"/>
      <c r="F253" s="8"/>
      <c r="G253" s="8"/>
      <c r="H253" s="8"/>
      <c r="I253" s="21"/>
      <c r="J253" s="17"/>
    </row>
    <row r="254">
      <c r="A254" s="35" t="s">
        <v>368</v>
      </c>
      <c r="B254" s="6">
        <v>0</v>
      </c>
      <c r="C254" s="6">
        <v>0</v>
      </c>
      <c r="D254" s="6">
        <v>0</v>
      </c>
      <c r="E254" s="6">
        <v>0</v>
      </c>
      <c r="F254" s="14">
        <f>SUM(B254:E254)</f>
        <v>0</v>
      </c>
      <c r="G254" s="6">
        <v>0</v>
      </c>
      <c r="H254" s="6">
        <v>0</v>
      </c>
      <c r="I254" s="62">
        <v>0</v>
      </c>
      <c r="J254" s="17" t="s">
        <v>369</v>
      </c>
    </row>
    <row r="255">
      <c r="A255" s="36" t="s">
        <v>172</v>
      </c>
      <c r="B255" s="9" t="s">
        <v>32</v>
      </c>
      <c r="C255" s="9" t="s">
        <v>32</v>
      </c>
      <c r="D255" s="9" t="s">
        <v>32</v>
      </c>
      <c r="E255" s="9" t="s">
        <v>32</v>
      </c>
      <c r="F255" s="9" t="s">
        <v>32</v>
      </c>
      <c r="G255" s="9" t="str">
        <f>IFERROR(G254/B254-1,"n/a")</f>
        <v>n/a</v>
      </c>
      <c r="H255" s="9" t="str">
        <f>IFERROR(H254/C254-1,"n/a")</f>
        <v>n/a</v>
      </c>
      <c r="I255" s="29" t="str">
        <f>IFERROR(I254/D254-1,"n/a")</f>
        <v>n/a</v>
      </c>
      <c r="J255" s="17"/>
    </row>
    <row r="256">
      <c r="A256" s="36" t="s">
        <v>196</v>
      </c>
      <c r="B256" s="31" t="s">
        <v>32</v>
      </c>
      <c r="C256" s="31">
        <f>C254-B254</f>
        <v>0</v>
      </c>
      <c r="D256" s="31">
        <f>D254-C254</f>
        <v>0</v>
      </c>
      <c r="E256" s="31">
        <f>E254-D254</f>
        <v>0</v>
      </c>
      <c r="F256" s="31" t="s">
        <v>32</v>
      </c>
      <c r="G256" s="31">
        <f>G254-E254</f>
        <v>0</v>
      </c>
      <c r="H256" s="31">
        <f>H254-G254</f>
        <v>0</v>
      </c>
      <c r="I256" s="40">
        <f>I254-H254</f>
        <v>0</v>
      </c>
      <c r="J256" s="17"/>
    </row>
    <row r="257">
      <c r="A257" s="35" t="s">
        <v>370</v>
      </c>
      <c r="B257" s="6">
        <v>11</v>
      </c>
      <c r="C257" s="6">
        <v>13</v>
      </c>
      <c r="D257" s="6">
        <v>13</v>
      </c>
      <c r="E257" s="6">
        <v>13</v>
      </c>
      <c r="F257" s="14">
        <f>SUM(B257:E257)</f>
        <v>50</v>
      </c>
      <c r="G257" s="6">
        <v>10</v>
      </c>
      <c r="H257" s="6">
        <v>9</v>
      </c>
      <c r="I257" s="45">
        <f>I215</f>
        <v>9</v>
      </c>
      <c r="J257" s="17" t="s">
        <v>371</v>
      </c>
    </row>
    <row r="258">
      <c r="A258" s="36" t="s">
        <v>172</v>
      </c>
      <c r="B258" s="9" t="s">
        <v>32</v>
      </c>
      <c r="C258" s="9" t="s">
        <v>32</v>
      </c>
      <c r="D258" s="9" t="s">
        <v>32</v>
      </c>
      <c r="E258" s="9" t="s">
        <v>32</v>
      </c>
      <c r="F258" s="9" t="s">
        <v>32</v>
      </c>
      <c r="G258" s="9">
        <f>IFERROR(G257/B257-1,"n/a")</f>
        <v>-0.09090909090909094</v>
      </c>
      <c r="H258" s="9">
        <f>IFERROR(H257/C257-1,"n/a")</f>
        <v>-0.3076923076923077</v>
      </c>
      <c r="I258" s="29">
        <f>IFERROR(I257/D257-1,"n/a")</f>
        <v>-0.3076923076923077</v>
      </c>
      <c r="J258" s="17"/>
    </row>
    <row r="259">
      <c r="A259" s="36" t="s">
        <v>196</v>
      </c>
      <c r="B259" s="31" t="s">
        <v>32</v>
      </c>
      <c r="C259" s="31">
        <f>C257-B257</f>
        <v>2</v>
      </c>
      <c r="D259" s="31">
        <f>D257-C257</f>
        <v>0</v>
      </c>
      <c r="E259" s="31">
        <f>E257-D257</f>
        <v>0</v>
      </c>
      <c r="F259" s="31" t="s">
        <v>32</v>
      </c>
      <c r="G259" s="31">
        <f>G257-E257</f>
        <v>-3</v>
      </c>
      <c r="H259" s="31">
        <f>H257-G257</f>
        <v>-1</v>
      </c>
      <c r="I259" s="40">
        <f>I257-H257</f>
        <v>0</v>
      </c>
      <c r="J259" s="17"/>
    </row>
    <row r="260">
      <c r="A260" s="35" t="s">
        <v>372</v>
      </c>
      <c r="B260" s="6">
        <v>24</v>
      </c>
      <c r="C260" s="6">
        <v>24</v>
      </c>
      <c r="D260" s="6">
        <v>23</v>
      </c>
      <c r="E260" s="6">
        <v>24</v>
      </c>
      <c r="F260" s="14">
        <f>SUM(B260:E260)</f>
        <v>95</v>
      </c>
      <c r="G260" s="6">
        <v>21</v>
      </c>
      <c r="H260" s="6">
        <v>18</v>
      </c>
      <c r="I260" s="62">
        <v>18</v>
      </c>
      <c r="J260" s="17" t="s">
        <v>369</v>
      </c>
    </row>
    <row r="261">
      <c r="A261" s="36" t="s">
        <v>172</v>
      </c>
      <c r="B261" s="9" t="s">
        <v>32</v>
      </c>
      <c r="C261" s="9" t="s">
        <v>32</v>
      </c>
      <c r="D261" s="9" t="s">
        <v>32</v>
      </c>
      <c r="E261" s="9" t="s">
        <v>32</v>
      </c>
      <c r="F261" s="9" t="s">
        <v>32</v>
      </c>
      <c r="G261" s="9">
        <f>IFERROR(G260/B260-1,"n/a")</f>
        <v>-0.125</v>
      </c>
      <c r="H261" s="9">
        <f>IFERROR(H260/C260-1,"n/a")</f>
        <v>-0.25</v>
      </c>
      <c r="I261" s="29">
        <f>IFERROR(I260/D260-1,"n/a")</f>
        <v>-0.21739130434782605</v>
      </c>
      <c r="J261" s="17"/>
    </row>
    <row r="262">
      <c r="A262" s="36" t="s">
        <v>196</v>
      </c>
      <c r="B262" s="31" t="s">
        <v>32</v>
      </c>
      <c r="C262" s="31">
        <f>C260-B260</f>
        <v>0</v>
      </c>
      <c r="D262" s="31">
        <f>D260-C260</f>
        <v>-1</v>
      </c>
      <c r="E262" s="31">
        <f>E260-D260</f>
        <v>1</v>
      </c>
      <c r="F262" s="31" t="s">
        <v>32</v>
      </c>
      <c r="G262" s="31">
        <f>G260-E260</f>
        <v>-3</v>
      </c>
      <c r="H262" s="31">
        <f>H260-G260</f>
        <v>-3</v>
      </c>
      <c r="I262" s="40">
        <f>I260-H260</f>
        <v>0</v>
      </c>
      <c r="J262" s="17"/>
    </row>
    <row r="263">
      <c r="A263" s="35" t="s">
        <v>373</v>
      </c>
      <c r="B263" s="6">
        <v>6</v>
      </c>
      <c r="C263" s="6">
        <v>6</v>
      </c>
      <c r="D263" s="6">
        <v>5</v>
      </c>
      <c r="E263" s="6">
        <v>6</v>
      </c>
      <c r="F263" s="14">
        <f>SUM(B263:E263)</f>
        <v>23</v>
      </c>
      <c r="G263" s="6">
        <v>14</v>
      </c>
      <c r="H263" s="6">
        <v>12</v>
      </c>
      <c r="I263" s="62">
        <v>12</v>
      </c>
      <c r="J263" s="17" t="s">
        <v>374</v>
      </c>
    </row>
    <row r="264">
      <c r="A264" s="36" t="s">
        <v>172</v>
      </c>
      <c r="B264" s="9" t="s">
        <v>32</v>
      </c>
      <c r="C264" s="9" t="s">
        <v>32</v>
      </c>
      <c r="D264" s="9" t="s">
        <v>32</v>
      </c>
      <c r="E264" s="9" t="s">
        <v>32</v>
      </c>
      <c r="F264" s="9" t="s">
        <v>32</v>
      </c>
      <c r="G264" s="9">
        <f>IFERROR(G263/B263-1,"n/a")</f>
        <v>1.3333333333333335</v>
      </c>
      <c r="H264" s="9">
        <f>IFERROR(H263/C263-1,"n/a")</f>
        <v>1</v>
      </c>
      <c r="I264" s="29">
        <f>IFERROR(I263/D263-1,"n/a")</f>
        <v>1.4</v>
      </c>
      <c r="J264" s="17"/>
    </row>
    <row r="265">
      <c r="A265" s="36" t="s">
        <v>196</v>
      </c>
      <c r="B265" s="31" t="s">
        <v>32</v>
      </c>
      <c r="C265" s="31">
        <f>C263-B263</f>
        <v>0</v>
      </c>
      <c r="D265" s="31">
        <f>D263-C263</f>
        <v>-1</v>
      </c>
      <c r="E265" s="31">
        <f>E263-D263</f>
        <v>1</v>
      </c>
      <c r="F265" s="31" t="s">
        <v>32</v>
      </c>
      <c r="G265" s="31">
        <f>G263-E263</f>
        <v>8</v>
      </c>
      <c r="H265" s="31">
        <f>H263-G263</f>
        <v>-2</v>
      </c>
      <c r="I265" s="40">
        <f>I263-H263</f>
        <v>0</v>
      </c>
      <c r="J265" s="17"/>
    </row>
    <row r="266">
      <c r="A266" s="65" t="s">
        <v>375</v>
      </c>
      <c r="B266" s="9">
        <f>B231/B177</f>
        <v>0.15858823529411764</v>
      </c>
      <c r="C266" s="9">
        <f>C231/C177</f>
        <v>0.15223880597014924</v>
      </c>
      <c r="D266" s="9">
        <f>D231/D177</f>
        <v>0.15456407921693605</v>
      </c>
      <c r="E266" s="9">
        <f>E231/E177</f>
        <v>0.15374118717307256</v>
      </c>
      <c r="F266" s="9">
        <f>F231/F177</f>
        <v>0.15475711411325094</v>
      </c>
      <c r="G266" s="9">
        <f>G231/G177</f>
        <v>0.15486077186126038</v>
      </c>
      <c r="H266" s="9">
        <f>H231/H177</f>
        <v>0.15364206464061747</v>
      </c>
      <c r="I266" s="29">
        <f>AVERAGE(D266,E266,G266,H266)</f>
        <v>0.15420202572297162</v>
      </c>
      <c r="J266" s="17" t="s">
        <v>376</v>
      </c>
    </row>
    <row r="267">
      <c r="A267" s="36" t="s">
        <v>214</v>
      </c>
      <c r="B267" s="61" t="s">
        <v>32</v>
      </c>
      <c r="C267" s="61" t="s">
        <v>32</v>
      </c>
      <c r="D267" s="61" t="s">
        <v>32</v>
      </c>
      <c r="E267" s="61" t="s">
        <v>32</v>
      </c>
      <c r="F267" s="61" t="s">
        <v>32</v>
      </c>
      <c r="G267" s="61">
        <f>(G266-B266)*10000</f>
        <v>-37.274634328572645</v>
      </c>
      <c r="H267" s="61">
        <f>(H266-C266)*10000</f>
        <v>14.03258670468227</v>
      </c>
      <c r="I267" s="79">
        <f>(I266-D266)*10000</f>
        <v>-3.62053493964426</v>
      </c>
      <c r="J267" s="17"/>
    </row>
    <row r="268">
      <c r="A268" s="36" t="s">
        <v>215</v>
      </c>
      <c r="B268" s="61" t="s">
        <v>32</v>
      </c>
      <c r="C268" s="61">
        <f>(C266-B266)*10000</f>
        <v>-63.49429323968398</v>
      </c>
      <c r="D268" s="61">
        <f>(D266-C266)*10000</f>
        <v>23.25273246786802</v>
      </c>
      <c r="E268" s="61">
        <f>(E266-D266)*10000</f>
        <v>-8.22892043863488</v>
      </c>
      <c r="F268" s="61" t="s">
        <v>32</v>
      </c>
      <c r="G268" s="61">
        <f>(G266-E266)*10000</f>
        <v>11.195846881878191</v>
      </c>
      <c r="H268" s="61">
        <f>(H266-G266)*10000</f>
        <v>-12.187072206429061</v>
      </c>
      <c r="I268" s="79">
        <f>(I266-H266)*10000</f>
        <v>5.599610823541489</v>
      </c>
      <c r="J268" s="17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J143"/>
  <sheetViews>
    <sheetView showGridLines="0" workbookViewId="0"/>
  </sheetViews>
  <sheetFormatPr defaultColWidth="8.42578125" defaultRowHeight="15"/>
  <cols>
    <col min="1" max="1" width="37" customWidth="1"/>
    <col min="2" max="9" width="12" customWidth="1"/>
    <col min="10" max="10" width="45" customWidth="1"/>
  </cols>
  <sheetData>
    <row r="1">
      <c r="A1" s="26" t="s">
        <v>0</v>
      </c>
      <c r="B1" s="1"/>
      <c r="C1" s="1"/>
      <c r="D1" s="1"/>
      <c r="E1" s="1"/>
      <c r="F1" s="1"/>
      <c r="G1" s="1"/>
      <c r="H1" s="1"/>
      <c r="I1" s="1"/>
      <c r="J1" s="1"/>
    </row>
    <row r="2">
      <c r="A2" s="22" t="s">
        <v>445</v>
      </c>
      <c r="B2" s="1"/>
      <c r="C2" s="1"/>
      <c r="D2" s="1"/>
      <c r="E2" s="1"/>
      <c r="F2" s="1"/>
      <c r="G2" s="1"/>
      <c r="H2" s="1"/>
      <c r="I2" s="1"/>
      <c r="J2" s="1"/>
    </row>
    <row r="3">
      <c r="A3" s="11" t="s">
        <v>2</v>
      </c>
      <c r="B3" s="1"/>
      <c r="C3" s="1"/>
      <c r="D3" s="1"/>
      <c r="E3" s="1"/>
      <c r="F3" s="1"/>
      <c r="G3" s="1"/>
      <c r="H3" s="1"/>
      <c r="I3" s="1"/>
      <c r="J3" s="1"/>
    </row>
    <row r="4">
      <c r="A4" s="12" t="s">
        <v>158</v>
      </c>
      <c r="B4" s="13" t="s">
        <v>159</v>
      </c>
      <c r="C4" s="13" t="s">
        <v>160</v>
      </c>
      <c r="D4" s="13" t="s">
        <v>161</v>
      </c>
      <c r="E4" s="13" t="s">
        <v>162</v>
      </c>
      <c r="F4" s="13" t="s">
        <v>163</v>
      </c>
      <c r="G4" s="13" t="s">
        <v>164</v>
      </c>
      <c r="H4" s="13" t="s">
        <v>165</v>
      </c>
      <c r="I4" s="39" t="s">
        <v>166</v>
      </c>
      <c r="J4" s="10" t="s">
        <v>4</v>
      </c>
    </row>
    <row r="5">
      <c r="A5" s="4" t="s">
        <v>167</v>
      </c>
      <c r="B5" s="7">
        <f>DATE(2025,3,31)</f>
        <v>45747</v>
      </c>
      <c r="C5" s="7">
        <f>DATE(2025,6,30)</f>
        <v>45838</v>
      </c>
      <c r="D5" s="7">
        <f>DATE(2025,9,30)</f>
        <v>45930</v>
      </c>
      <c r="E5" s="7">
        <f>DATE(2025,12,31)</f>
        <v>46022</v>
      </c>
      <c r="F5" s="7">
        <f>DATE(2025,12,31)</f>
        <v>46022</v>
      </c>
      <c r="G5" s="7">
        <f>DATE(2026,3,31)</f>
        <v>46112</v>
      </c>
      <c r="H5" s="7">
        <f>DATE(2026,6,30)</f>
        <v>46203</v>
      </c>
      <c r="I5" s="38">
        <f>DATE(2026,9,30)</f>
        <v>46295</v>
      </c>
      <c r="J5" s="24"/>
    </row>
    <row r="6">
      <c r="A6" s="41" t="s">
        <v>168</v>
      </c>
      <c r="B6" s="20">
        <f>B5-DATE(2024,12,31)</f>
        <v>90</v>
      </c>
      <c r="C6" s="20">
        <f>C5-B5</f>
        <v>91</v>
      </c>
      <c r="D6" s="20">
        <f>D5-C5</f>
        <v>92</v>
      </c>
      <c r="E6" s="20">
        <f>E5-D5</f>
        <v>92</v>
      </c>
      <c r="F6" s="20">
        <f>F5-DATE(2024,12,31)</f>
        <v>365</v>
      </c>
      <c r="G6" s="20">
        <f>G5-E5</f>
        <v>90</v>
      </c>
      <c r="H6" s="20">
        <f>H5-G5</f>
        <v>91</v>
      </c>
      <c r="I6" s="15">
        <f>I5-H5</f>
        <v>92</v>
      </c>
      <c r="J6" s="18"/>
    </row>
    <row r="7">
      <c r="A7" s="1"/>
      <c r="B7" s="1"/>
      <c r="C7" s="1"/>
      <c r="D7" s="1"/>
      <c r="E7" s="1"/>
      <c r="F7" s="1"/>
      <c r="G7" s="1"/>
      <c r="H7" s="1"/>
      <c r="I7" s="33"/>
      <c r="J7" s="17"/>
    </row>
    <row r="8">
      <c r="A8" s="42" t="s">
        <v>446</v>
      </c>
      <c r="B8" s="8"/>
      <c r="C8" s="8"/>
      <c r="D8" s="8"/>
      <c r="E8" s="8"/>
      <c r="F8" s="8"/>
      <c r="G8" s="8"/>
      <c r="H8" s="8"/>
      <c r="I8" s="21"/>
      <c r="J8" s="17"/>
    </row>
    <row r="9">
      <c r="A9" s="35" t="s">
        <v>343</v>
      </c>
      <c r="B9" s="16">
        <f>'Revenue summary'!B30</f>
        <v>10710</v>
      </c>
      <c r="C9" s="16">
        <f>'Revenue summary'!C30</f>
        <v>10921</v>
      </c>
      <c r="D9" s="16">
        <f>'Revenue summary'!D30</f>
        <v>11135</v>
      </c>
      <c r="E9" s="16">
        <f>'Revenue summary'!E30</f>
        <v>11148</v>
      </c>
      <c r="F9" s="16">
        <f>'Revenue summary'!F30</f>
        <v>43914</v>
      </c>
      <c r="G9" s="16">
        <f>'Revenue summary'!G30</f>
        <v>10605</v>
      </c>
      <c r="H9" s="16">
        <f>'Revenue summary'!H30</f>
        <v>10753</v>
      </c>
      <c r="I9" s="34">
        <f>'Revenue summary'!I30</f>
        <v>10967.043698208377</v>
      </c>
      <c r="J9" s="17"/>
    </row>
    <row r="10">
      <c r="A10" s="35" t="s">
        <v>344</v>
      </c>
      <c r="B10" s="16">
        <f>'Revenue summary'!B56</f>
        <v>930</v>
      </c>
      <c r="C10" s="16">
        <f>'Revenue summary'!C56</f>
        <v>942</v>
      </c>
      <c r="D10" s="16">
        <f>'Revenue summary'!D56</f>
        <v>1033</v>
      </c>
      <c r="E10" s="16">
        <f>'Revenue summary'!E56</f>
        <v>1054</v>
      </c>
      <c r="F10" s="16">
        <f>'Revenue summary'!F56</f>
        <v>3959</v>
      </c>
      <c r="G10" s="16">
        <f>'Revenue summary'!G56</f>
        <v>1008</v>
      </c>
      <c r="H10" s="16">
        <f>'Revenue summary'!H56</f>
        <v>1070</v>
      </c>
      <c r="I10" s="34">
        <f>'Revenue summary'!I56</f>
        <v>1089.985541137795</v>
      </c>
      <c r="J10" s="17"/>
    </row>
    <row r="11">
      <c r="A11" s="35" t="s">
        <v>236</v>
      </c>
      <c r="B11" s="16">
        <f>'Revenue summary'!B92</f>
        <v>119</v>
      </c>
      <c r="C11" s="16">
        <f>'Revenue summary'!C92</f>
        <v>124</v>
      </c>
      <c r="D11" s="16">
        <f>'Revenue summary'!D92</f>
        <v>127</v>
      </c>
      <c r="E11" s="16">
        <f>'Revenue summary'!E92</f>
        <v>125</v>
      </c>
      <c r="F11" s="16">
        <f>'Revenue summary'!F92</f>
        <v>495</v>
      </c>
      <c r="G11" s="16">
        <f>'Revenue summary'!G92</f>
        <v>121</v>
      </c>
      <c r="H11" s="16">
        <f>'Revenue summary'!H92</f>
        <v>126</v>
      </c>
      <c r="I11" s="34">
        <f>'Revenue summary'!I92</f>
        <v>126</v>
      </c>
      <c r="J11" s="17"/>
    </row>
    <row r="12">
      <c r="A12" s="35" t="s">
        <v>241</v>
      </c>
      <c r="B12" s="16">
        <f>'Revenue summary'!B108</f>
        <v>-61</v>
      </c>
      <c r="C12" s="16">
        <f>'Revenue summary'!C108</f>
        <v>6</v>
      </c>
      <c r="D12" s="16">
        <f>'Revenue summary'!D108</f>
        <v>27</v>
      </c>
      <c r="E12" s="16">
        <f>'Revenue summary'!E108</f>
        <v>-20</v>
      </c>
      <c r="F12" s="16">
        <f>'Revenue summary'!F108</f>
        <v>-48</v>
      </c>
      <c r="G12" s="16">
        <f>'Revenue summary'!G108</f>
        <v>49</v>
      </c>
      <c r="H12" s="16">
        <f>'Revenue summary'!H108</f>
        <v>60</v>
      </c>
      <c r="I12" s="34">
        <f>'Revenue summary'!I108</f>
        <v>0</v>
      </c>
      <c r="J12" s="17"/>
    </row>
    <row r="13">
      <c r="A13" s="35" t="s">
        <v>239</v>
      </c>
      <c r="B13" s="16">
        <f>'Revenue summary'!B100</f>
        <v>112</v>
      </c>
      <c r="C13" s="16">
        <f>'Revenue summary'!C100</f>
        <v>123</v>
      </c>
      <c r="D13" s="16">
        <f>'Revenue summary'!D100</f>
        <v>148</v>
      </c>
      <c r="E13" s="16">
        <f>'Revenue summary'!E100</f>
        <v>125</v>
      </c>
      <c r="F13" s="16">
        <f>'Revenue summary'!F100</f>
        <v>508</v>
      </c>
      <c r="G13" s="16">
        <f>'Revenue summary'!G100</f>
        <v>141</v>
      </c>
      <c r="H13" s="16">
        <f>'Revenue summary'!H100</f>
        <v>144</v>
      </c>
      <c r="I13" s="34">
        <f>'Revenue summary'!I100</f>
        <v>141</v>
      </c>
      <c r="J13" s="17"/>
    </row>
    <row r="14">
      <c r="A14" s="22" t="s">
        <v>349</v>
      </c>
      <c r="B14" s="30">
        <f>B9+B10+B11+B12+B13</f>
        <v>11810</v>
      </c>
      <c r="C14" s="30">
        <f>C9+C10+C11+C12+C13</f>
        <v>12116</v>
      </c>
      <c r="D14" s="30">
        <f>D9+D10+D11+D12+D13</f>
        <v>12470</v>
      </c>
      <c r="E14" s="30">
        <f>E9+E10+E11+E12+E13</f>
        <v>12432</v>
      </c>
      <c r="F14" s="30">
        <f>F9+F10+F11+F12+F13</f>
        <v>48828</v>
      </c>
      <c r="G14" s="30">
        <f>G9+G10+G11+G12+G13</f>
        <v>11924</v>
      </c>
      <c r="H14" s="30">
        <f>H9+H10+H11+H12+H13</f>
        <v>12153</v>
      </c>
      <c r="I14" s="44">
        <f>I9+I10+I11+I12+I13</f>
        <v>12324.029239346173</v>
      </c>
      <c r="J14" s="17"/>
    </row>
    <row r="15">
      <c r="A15" s="36" t="s">
        <v>172</v>
      </c>
      <c r="B15" s="28">
        <f>IFERROR(B14/'Revenue summary'!B116-1,"n/a")</f>
        <v>0.05183469896686854</v>
      </c>
      <c r="C15" s="28">
        <f>IFERROR(C14/'Revenue summary'!C116-1,"n/a")</f>
        <v>0.07382788265532225</v>
      </c>
      <c r="D15" s="28">
        <f>IFERROR(D14/'Revenue summary'!D116-1,"n/a")</f>
        <v>0.04754704301075274</v>
      </c>
      <c r="E15" s="28">
        <f>IFERROR(E14/'Revenue summary'!E116-1,"n/a")</f>
        <v>0.03530979347101937</v>
      </c>
      <c r="F15" s="28">
        <f>IFERROR(F14/'Revenue summary'!F116-1,"n/a")</f>
        <v>0.0518062167460096</v>
      </c>
      <c r="G15" s="28">
        <f>IFERROR(G14/'Revenue summary'!G116-1,"n/a")</f>
        <v>0.009652836579170154</v>
      </c>
      <c r="H15" s="28">
        <f>IFERROR(H14/'Revenue summary'!H116-1,"n/a")</f>
        <v>0.00305381313965003</v>
      </c>
      <c r="I15" s="85">
        <f>IFERROR(I14/'Revenue summary'!I116-1,"n/a")</f>
        <v>-0.011705754663498547</v>
      </c>
      <c r="J15" s="17"/>
    </row>
    <row r="16">
      <c r="A16" s="36" t="s">
        <v>173</v>
      </c>
      <c r="B16" s="9" t="s">
        <v>32</v>
      </c>
      <c r="C16" s="9">
        <f>IFERROR(C14/B14-1,"n/a")</f>
        <v>0.02591024555461474</v>
      </c>
      <c r="D16" s="9">
        <f>IFERROR(D14/C14-1,"n/a")</f>
        <v>0.02921756355232752</v>
      </c>
      <c r="E16" s="9">
        <f>IFERROR(E14/D14-1,"n/a")</f>
        <v>-0.0030473135525260764</v>
      </c>
      <c r="F16" s="9" t="s">
        <v>32</v>
      </c>
      <c r="G16" s="9">
        <f>IFERROR(G14/E14-1,"n/a")</f>
        <v>-0.04086229086229087</v>
      </c>
      <c r="H16" s="9">
        <f>IFERROR(H14/G14-1,"n/a")</f>
        <v>0.019204964776920574</v>
      </c>
      <c r="I16" s="29">
        <f>IFERROR(I14/H14-1,"n/a")</f>
        <v>0.014073005788379334</v>
      </c>
      <c r="J16" s="17"/>
    </row>
    <row r="17">
      <c r="A17" s="42" t="s">
        <v>447</v>
      </c>
      <c r="B17" s="8"/>
      <c r="C17" s="8"/>
      <c r="D17" s="8"/>
      <c r="E17" s="8"/>
      <c r="F17" s="8"/>
      <c r="G17" s="8"/>
      <c r="H17" s="8"/>
      <c r="I17" s="21"/>
      <c r="J17" s="17"/>
    </row>
    <row r="18">
      <c r="A18" s="35" t="s">
        <v>351</v>
      </c>
      <c r="B18" s="16">
        <f>'Segment - Business Insurance'!B174+'Segment - Bond &amp; Specialty'!B127+'Segment - Personal Insurance'!B228</f>
        <v>8006</v>
      </c>
      <c r="C18" s="16">
        <f>'Segment - Business Insurance'!C174+'Segment - Bond &amp; Specialty'!C127+'Segment - Personal Insurance'!C228</f>
        <v>6789</v>
      </c>
      <c r="D18" s="16">
        <f>'Segment - Business Insurance'!D174+'Segment - Bond &amp; Specialty'!D127+'Segment - Personal Insurance'!D228</f>
        <v>6594</v>
      </c>
      <c r="E18" s="16">
        <f>'Segment - Business Insurance'!E174+'Segment - Bond &amp; Specialty'!E127+'Segment - Personal Insurance'!E228</f>
        <v>5832</v>
      </c>
      <c r="F18" s="16">
        <f>'Segment - Business Insurance'!F174+'Segment - Bond &amp; Specialty'!F127+'Segment - Personal Insurance'!F228</f>
        <v>27221</v>
      </c>
      <c r="G18" s="16">
        <f>'Segment - Business Insurance'!G174+'Segment - Bond &amp; Specialty'!G127+'Segment - Personal Insurance'!G228</f>
        <v>6382</v>
      </c>
      <c r="H18" s="16">
        <f>'Segment - Business Insurance'!H174+'Segment - Bond &amp; Specialty'!H127+'Segment - Personal Insurance'!H228</f>
        <v>5922</v>
      </c>
      <c r="I18" s="34">
        <f>'Segment - Business Insurance'!I174+'Segment - Bond &amp; Specialty'!I127+'Segment - Personal Insurance'!I228</f>
        <v>6850.896576105939</v>
      </c>
      <c r="J18" s="17"/>
    </row>
    <row r="19">
      <c r="A19" s="36" t="s">
        <v>172</v>
      </c>
      <c r="B19" s="9" t="s">
        <v>32</v>
      </c>
      <c r="C19" s="9" t="s">
        <v>32</v>
      </c>
      <c r="D19" s="9" t="s">
        <v>32</v>
      </c>
      <c r="E19" s="9" t="s">
        <v>32</v>
      </c>
      <c r="F19" s="9" t="s">
        <v>32</v>
      </c>
      <c r="G19" s="9">
        <f>IFERROR(G18/B18-1,"n/a")</f>
        <v>-0.20284786410192357</v>
      </c>
      <c r="H19" s="9">
        <f>IFERROR(H18/C18-1,"n/a")</f>
        <v>-0.12770658418029168</v>
      </c>
      <c r="I19" s="29">
        <f>IFERROR(I18/D18-1,"n/a")</f>
        <v>0.038959141053372504</v>
      </c>
      <c r="J19" s="17"/>
    </row>
    <row r="20">
      <c r="A20" s="36" t="s">
        <v>196</v>
      </c>
      <c r="B20" s="31" t="s">
        <v>32</v>
      </c>
      <c r="C20" s="31">
        <f>C18-B18</f>
        <v>-1217</v>
      </c>
      <c r="D20" s="31">
        <f>D18-C18</f>
        <v>-195</v>
      </c>
      <c r="E20" s="31">
        <f>E18-D18</f>
        <v>-762</v>
      </c>
      <c r="F20" s="31" t="s">
        <v>32</v>
      </c>
      <c r="G20" s="31">
        <f>G18-E18</f>
        <v>550</v>
      </c>
      <c r="H20" s="31">
        <f>H18-G18</f>
        <v>-460</v>
      </c>
      <c r="I20" s="40">
        <f>I18-H18</f>
        <v>928.896576105939</v>
      </c>
      <c r="J20" s="17"/>
    </row>
    <row r="21">
      <c r="A21" s="35" t="s">
        <v>353</v>
      </c>
      <c r="B21" s="16">
        <f>'Segment - Business Insurance'!B177+'Segment - Bond &amp; Specialty'!B130+'Segment - Personal Insurance'!B231</f>
        <v>1778</v>
      </c>
      <c r="C21" s="16">
        <f>'Segment - Business Insurance'!C177+'Segment - Bond &amp; Specialty'!C130+'Segment - Personal Insurance'!C231</f>
        <v>1802</v>
      </c>
      <c r="D21" s="16">
        <f>'Segment - Business Insurance'!D177+'Segment - Bond &amp; Specialty'!D130+'Segment - Personal Insurance'!D231</f>
        <v>1849</v>
      </c>
      <c r="E21" s="16">
        <f>'Segment - Business Insurance'!E177+'Segment - Bond &amp; Specialty'!E130+'Segment - Personal Insurance'!E231</f>
        <v>1837</v>
      </c>
      <c r="F21" s="16">
        <f>'Segment - Business Insurance'!F177+'Segment - Bond &amp; Specialty'!F130+'Segment - Personal Insurance'!F231</f>
        <v>7266</v>
      </c>
      <c r="G21" s="16">
        <f>'Segment - Business Insurance'!G177+'Segment - Bond &amp; Specialty'!G130+'Segment - Personal Insurance'!G231</f>
        <v>1766</v>
      </c>
      <c r="H21" s="16">
        <f>'Segment - Business Insurance'!H177+'Segment - Bond &amp; Specialty'!H130+'Segment - Personal Insurance'!H231</f>
        <v>1786</v>
      </c>
      <c r="I21" s="34">
        <f>'Segment - Business Insurance'!I177+'Segment - Bond &amp; Specialty'!I130+'Segment - Personal Insurance'!I231</f>
        <v>1821.8799940132749</v>
      </c>
      <c r="J21" s="17"/>
    </row>
    <row r="22">
      <c r="A22" s="36" t="s">
        <v>172</v>
      </c>
      <c r="B22" s="9" t="s">
        <v>32</v>
      </c>
      <c r="C22" s="9" t="s">
        <v>32</v>
      </c>
      <c r="D22" s="9" t="s">
        <v>32</v>
      </c>
      <c r="E22" s="9" t="s">
        <v>32</v>
      </c>
      <c r="F22" s="9" t="s">
        <v>32</v>
      </c>
      <c r="G22" s="9">
        <f>IFERROR(G21/B21-1,"n/a")</f>
        <v>-0.006749156355455588</v>
      </c>
      <c r="H22" s="9">
        <f>IFERROR(H21/C21-1,"n/a")</f>
        <v>-0.008879023307436174</v>
      </c>
      <c r="I22" s="29">
        <f>IFERROR(I21/D21-1,"n/a")</f>
        <v>-0.014667391014994702</v>
      </c>
      <c r="J22" s="17"/>
    </row>
    <row r="23">
      <c r="A23" s="36" t="s">
        <v>196</v>
      </c>
      <c r="B23" s="31" t="s">
        <v>32</v>
      </c>
      <c r="C23" s="31">
        <f>C21-B21</f>
        <v>24</v>
      </c>
      <c r="D23" s="31">
        <f>D21-C21</f>
        <v>47</v>
      </c>
      <c r="E23" s="31">
        <f>E21-D21</f>
        <v>-12</v>
      </c>
      <c r="F23" s="31" t="s">
        <v>32</v>
      </c>
      <c r="G23" s="31">
        <f>G21-E21</f>
        <v>-71</v>
      </c>
      <c r="H23" s="31">
        <f>H21-G21</f>
        <v>20</v>
      </c>
      <c r="I23" s="40">
        <f>I21-H21</f>
        <v>35.87999401327488</v>
      </c>
      <c r="J23" s="17"/>
    </row>
    <row r="24">
      <c r="A24" s="80" t="s">
        <v>448</v>
      </c>
      <c r="B24" s="6">
        <v>11</v>
      </c>
      <c r="C24" s="6">
        <v>12</v>
      </c>
      <c r="D24" s="6">
        <v>13</v>
      </c>
      <c r="E24" s="6">
        <v>13</v>
      </c>
      <c r="F24" s="14">
        <f>SUM(B24:E24)</f>
        <v>49</v>
      </c>
      <c r="G24" s="6">
        <v>13</v>
      </c>
      <c r="H24" s="6">
        <v>13</v>
      </c>
      <c r="I24" s="62">
        <v>13</v>
      </c>
      <c r="J24" s="17" t="s">
        <v>449</v>
      </c>
    </row>
    <row r="25">
      <c r="A25" s="36" t="s">
        <v>172</v>
      </c>
      <c r="B25" s="9" t="s">
        <v>32</v>
      </c>
      <c r="C25" s="9" t="s">
        <v>32</v>
      </c>
      <c r="D25" s="9" t="s">
        <v>32</v>
      </c>
      <c r="E25" s="9" t="s">
        <v>32</v>
      </c>
      <c r="F25" s="9" t="s">
        <v>32</v>
      </c>
      <c r="G25" s="9">
        <f>IFERROR(G24/B24-1,"n/a")</f>
        <v>0.18181818181818188</v>
      </c>
      <c r="H25" s="9">
        <f>IFERROR(H24/C24-1,"n/a")</f>
        <v>0.08333333333333326</v>
      </c>
      <c r="I25" s="29">
        <f>IFERROR(I24/D24-1,"n/a")</f>
        <v>0</v>
      </c>
      <c r="J25" s="17"/>
    </row>
    <row r="26">
      <c r="A26" s="36" t="s">
        <v>196</v>
      </c>
      <c r="B26" s="31" t="s">
        <v>32</v>
      </c>
      <c r="C26" s="31">
        <f>C24-B24</f>
        <v>1</v>
      </c>
      <c r="D26" s="31">
        <f>D24-C24</f>
        <v>1</v>
      </c>
      <c r="E26" s="31">
        <f>E24-D24</f>
        <v>0</v>
      </c>
      <c r="F26" s="31" t="s">
        <v>32</v>
      </c>
      <c r="G26" s="31">
        <f>G24-E24</f>
        <v>0</v>
      </c>
      <c r="H26" s="31">
        <f>H24-G24</f>
        <v>0</v>
      </c>
      <c r="I26" s="40">
        <f>I24-H24</f>
        <v>0</v>
      </c>
      <c r="J26" s="17"/>
    </row>
    <row r="27">
      <c r="A27" s="35" t="s">
        <v>355</v>
      </c>
      <c r="B27" s="16">
        <f>'Segment - Business Insurance'!B180+'Segment - Bond &amp; Specialty'!B133+'Segment - Personal Insurance'!B234+B24</f>
        <v>1459</v>
      </c>
      <c r="C27" s="16">
        <f>'Segment - Business Insurance'!C180+'Segment - Bond &amp; Specialty'!C133+'Segment - Personal Insurance'!C234+C24</f>
        <v>1545</v>
      </c>
      <c r="D27" s="16">
        <f>'Segment - Business Insurance'!D180+'Segment - Bond &amp; Specialty'!D133+'Segment - Personal Insurance'!D234+D24</f>
        <v>1572</v>
      </c>
      <c r="E27" s="16">
        <f>'Segment - Business Insurance'!E180+'Segment - Bond &amp; Specialty'!E133+'Segment - Personal Insurance'!E234+E24</f>
        <v>1544</v>
      </c>
      <c r="F27" s="16">
        <f>'Segment - Business Insurance'!F180+'Segment - Bond &amp; Specialty'!F133+'Segment - Personal Insurance'!F234+F24</f>
        <v>6120</v>
      </c>
      <c r="G27" s="16">
        <f>'Segment - Business Insurance'!G180+'Segment - Bond &amp; Specialty'!G133+'Segment - Personal Insurance'!G234+G24</f>
        <v>1541</v>
      </c>
      <c r="H27" s="16">
        <f>'Segment - Business Insurance'!H180+'Segment - Bond &amp; Specialty'!H133+'Segment - Personal Insurance'!H234+H24</f>
        <v>1565</v>
      </c>
      <c r="I27" s="34">
        <f>'Segment - Business Insurance'!I180+'Segment - Bond &amp; Specialty'!I133+'Segment - Personal Insurance'!I234+I24</f>
        <v>1570.854401555789</v>
      </c>
      <c r="J27" s="17"/>
    </row>
    <row r="28">
      <c r="A28" s="36" t="s">
        <v>172</v>
      </c>
      <c r="B28" s="9" t="s">
        <v>32</v>
      </c>
      <c r="C28" s="9" t="s">
        <v>32</v>
      </c>
      <c r="D28" s="9" t="s">
        <v>32</v>
      </c>
      <c r="E28" s="9" t="s">
        <v>32</v>
      </c>
      <c r="F28" s="9" t="s">
        <v>32</v>
      </c>
      <c r="G28" s="9">
        <f>IFERROR(G27/B27-1,"n/a")</f>
        <v>0.056202878684030066</v>
      </c>
      <c r="H28" s="9">
        <f>IFERROR(H27/C27-1,"n/a")</f>
        <v>0.012944983818770295</v>
      </c>
      <c r="I28" s="29">
        <f>IFERROR(I27/D27-1,"n/a")</f>
        <v>-0.0007287521909739025</v>
      </c>
      <c r="J28" s="17"/>
    </row>
    <row r="29">
      <c r="A29" s="36" t="s">
        <v>196</v>
      </c>
      <c r="B29" s="31" t="s">
        <v>32</v>
      </c>
      <c r="C29" s="31">
        <f>C27-B27</f>
        <v>86</v>
      </c>
      <c r="D29" s="31">
        <f>D27-C27</f>
        <v>27</v>
      </c>
      <c r="E29" s="31">
        <f>E27-D27</f>
        <v>-28</v>
      </c>
      <c r="F29" s="31" t="s">
        <v>32</v>
      </c>
      <c r="G29" s="31">
        <f>G27-E27</f>
        <v>-3</v>
      </c>
      <c r="H29" s="31">
        <f>H27-G27</f>
        <v>24</v>
      </c>
      <c r="I29" s="40">
        <f>I27-H27</f>
        <v>5.854401555789082</v>
      </c>
      <c r="J29" s="17"/>
    </row>
    <row r="30" ht="27.75">
      <c r="A30" s="35" t="s">
        <v>450</v>
      </c>
      <c r="B30" s="6">
        <v>99</v>
      </c>
      <c r="C30" s="6">
        <v>99</v>
      </c>
      <c r="D30" s="6">
        <v>111</v>
      </c>
      <c r="E30" s="6">
        <v>116</v>
      </c>
      <c r="F30" s="14">
        <f>SUM(B30:E30)</f>
        <v>425</v>
      </c>
      <c r="G30" s="6">
        <v>116</v>
      </c>
      <c r="H30" s="6">
        <v>113</v>
      </c>
      <c r="I30" s="62">
        <v>113</v>
      </c>
      <c r="J30" s="142" t="s">
        <v>451</v>
      </c>
    </row>
    <row r="31">
      <c r="A31" s="36" t="s">
        <v>172</v>
      </c>
      <c r="B31" s="9" t="s">
        <v>32</v>
      </c>
      <c r="C31" s="9" t="s">
        <v>32</v>
      </c>
      <c r="D31" s="9" t="s">
        <v>32</v>
      </c>
      <c r="E31" s="9" t="s">
        <v>32</v>
      </c>
      <c r="F31" s="9" t="s">
        <v>32</v>
      </c>
      <c r="G31" s="9">
        <f>IFERROR(G30/B30-1,"n/a")</f>
        <v>0.1717171717171717</v>
      </c>
      <c r="H31" s="9">
        <f>IFERROR(H30/C30-1,"n/a")</f>
        <v>0.14141414141414144</v>
      </c>
      <c r="I31" s="29">
        <f>IFERROR(I30/D30-1,"n/a")</f>
        <v>0.018018018018018056</v>
      </c>
      <c r="J31" s="17"/>
    </row>
    <row r="32">
      <c r="A32" s="36" t="s">
        <v>196</v>
      </c>
      <c r="B32" s="31" t="s">
        <v>32</v>
      </c>
      <c r="C32" s="31">
        <f>C30-B30</f>
        <v>0</v>
      </c>
      <c r="D32" s="31">
        <f>D30-C30</f>
        <v>12</v>
      </c>
      <c r="E32" s="31">
        <f>E30-D30</f>
        <v>5</v>
      </c>
      <c r="F32" s="31" t="s">
        <v>32</v>
      </c>
      <c r="G32" s="31">
        <f>G30-E30</f>
        <v>0</v>
      </c>
      <c r="H32" s="31">
        <f>H30-G30</f>
        <v>-3</v>
      </c>
      <c r="I32" s="40">
        <f>I30-H30</f>
        <v>0</v>
      </c>
      <c r="J32" s="17"/>
    </row>
    <row r="33">
      <c r="A33" s="22" t="s">
        <v>357</v>
      </c>
      <c r="B33" s="30">
        <f>B18+B21+B27+B30</f>
        <v>11342</v>
      </c>
      <c r="C33" s="30">
        <f>C18+C21+C27+C30</f>
        <v>10235</v>
      </c>
      <c r="D33" s="30">
        <f>D18+D21+D27+D30</f>
        <v>10126</v>
      </c>
      <c r="E33" s="30">
        <f>E18+E21+E27+E30</f>
        <v>9329</v>
      </c>
      <c r="F33" s="30">
        <f>F18+F21+F27+F30</f>
        <v>41032</v>
      </c>
      <c r="G33" s="30">
        <f>G18+G21+G27+G30</f>
        <v>9805</v>
      </c>
      <c r="H33" s="30">
        <f>H18+H21+H27+H30</f>
        <v>9386</v>
      </c>
      <c r="I33" s="44">
        <f>I18+I21+I27+I30</f>
        <v>10356.630971675004</v>
      </c>
      <c r="J33" s="17"/>
    </row>
    <row r="34">
      <c r="A34" s="22" t="s">
        <v>452</v>
      </c>
      <c r="B34" s="30">
        <f>B14-B33</f>
        <v>468</v>
      </c>
      <c r="C34" s="30">
        <f>C14-C33</f>
        <v>1881</v>
      </c>
      <c r="D34" s="30">
        <f>D14-D33</f>
        <v>2344</v>
      </c>
      <c r="E34" s="30">
        <f>E14-E33</f>
        <v>3103</v>
      </c>
      <c r="F34" s="30">
        <f>F14-F33</f>
        <v>7796</v>
      </c>
      <c r="G34" s="30">
        <f>G14-G33</f>
        <v>2119</v>
      </c>
      <c r="H34" s="30">
        <f>H14-H33</f>
        <v>2767</v>
      </c>
      <c r="I34" s="44">
        <f>I14-I33</f>
        <v>1967.3982676711694</v>
      </c>
      <c r="J34" s="17"/>
    </row>
    <row r="35">
      <c r="A35" s="36" t="s">
        <v>172</v>
      </c>
      <c r="B35" s="9" t="s">
        <v>32</v>
      </c>
      <c r="C35" s="9" t="s">
        <v>32</v>
      </c>
      <c r="D35" s="9" t="s">
        <v>32</v>
      </c>
      <c r="E35" s="9" t="s">
        <v>32</v>
      </c>
      <c r="F35" s="9" t="s">
        <v>32</v>
      </c>
      <c r="G35" s="9">
        <f>IFERROR(G34/B34-1,"n/a")</f>
        <v>3.5277777777777777</v>
      </c>
      <c r="H35" s="9">
        <f>IFERROR(H34/C34-1,"n/a")</f>
        <v>0.47102604997341846</v>
      </c>
      <c r="I35" s="29">
        <f>IFERROR(I34/D34-1,"n/a")</f>
        <v>-0.1606662680583748</v>
      </c>
      <c r="J35" s="17"/>
    </row>
    <row r="36">
      <c r="A36" s="36" t="s">
        <v>196</v>
      </c>
      <c r="B36" s="31" t="s">
        <v>32</v>
      </c>
      <c r="C36" s="31">
        <f>C34-B34</f>
        <v>1413</v>
      </c>
      <c r="D36" s="31">
        <f>D34-C34</f>
        <v>463</v>
      </c>
      <c r="E36" s="31">
        <f>E34-D34</f>
        <v>759</v>
      </c>
      <c r="F36" s="31" t="s">
        <v>32</v>
      </c>
      <c r="G36" s="31">
        <f>G34-E34</f>
        <v>-984</v>
      </c>
      <c r="H36" s="31">
        <f>H34-G34</f>
        <v>648</v>
      </c>
      <c r="I36" s="40">
        <f>I34-H34</f>
        <v>-799.6017323288306</v>
      </c>
      <c r="J36" s="17"/>
    </row>
    <row r="37">
      <c r="A37" s="35" t="s">
        <v>453</v>
      </c>
      <c r="B37" s="6">
        <v>468</v>
      </c>
      <c r="C37" s="6">
        <v>1881</v>
      </c>
      <c r="D37" s="6">
        <v>2344</v>
      </c>
      <c r="E37" s="6">
        <v>3103</v>
      </c>
      <c r="F37" s="14">
        <f>SUM(B37:E37)</f>
        <v>7796</v>
      </c>
      <c r="G37" s="6">
        <v>2119</v>
      </c>
      <c r="H37" s="6">
        <v>2767</v>
      </c>
      <c r="I37" s="45"/>
      <c r="J37" s="17" t="s">
        <v>247</v>
      </c>
    </row>
    <row r="38">
      <c r="A38" s="36" t="s">
        <v>248</v>
      </c>
      <c r="B38" s="31">
        <f>B34-B37</f>
        <v>0</v>
      </c>
      <c r="C38" s="31">
        <f>C34-C37</f>
        <v>0</v>
      </c>
      <c r="D38" s="31">
        <f>D34-D37</f>
        <v>0</v>
      </c>
      <c r="E38" s="31">
        <f>E34-E37</f>
        <v>0</v>
      </c>
      <c r="F38" s="31">
        <f>F34-F37</f>
        <v>0</v>
      </c>
      <c r="G38" s="31">
        <f>G34-G37</f>
        <v>0</v>
      </c>
      <c r="H38" s="31">
        <f>H34-H37</f>
        <v>0</v>
      </c>
      <c r="I38" s="40"/>
      <c r="J38" s="17"/>
    </row>
    <row r="39">
      <c r="A39" s="42" t="s">
        <v>454</v>
      </c>
      <c r="B39" s="8"/>
      <c r="C39" s="8"/>
      <c r="D39" s="8"/>
      <c r="E39" s="8"/>
      <c r="F39" s="8"/>
      <c r="G39" s="8"/>
      <c r="H39" s="8"/>
      <c r="I39" s="21"/>
      <c r="J39" s="17"/>
    </row>
    <row r="40">
      <c r="A40" s="35" t="s">
        <v>455</v>
      </c>
      <c r="B40" s="16">
        <f>'Segment - Business Insurance'!B190+'Segment - Bond &amp; Specialty'!B143+'Segment - Personal Insurance'!B244</f>
        <v>110</v>
      </c>
      <c r="C40" s="16">
        <f>'Segment - Business Insurance'!C190+'Segment - Bond &amp; Specialty'!C143+'Segment - Personal Insurance'!C244</f>
        <v>395</v>
      </c>
      <c r="D40" s="16">
        <f>'Segment - Business Insurance'!D190+'Segment - Bond &amp; Specialty'!D143+'Segment - Personal Insurance'!D244</f>
        <v>477</v>
      </c>
      <c r="E40" s="16">
        <f>'Segment - Business Insurance'!E190+'Segment - Bond &amp; Specialty'!E143+'Segment - Personal Insurance'!E244</f>
        <v>638</v>
      </c>
      <c r="F40" s="16">
        <f>'Segment - Business Insurance'!F190+'Segment - Bond &amp; Specialty'!F143+'Segment - Personal Insurance'!F244</f>
        <v>1620</v>
      </c>
      <c r="G40" s="16">
        <f>'Segment - Business Insurance'!G190+'Segment - Bond &amp; Specialty'!G143+'Segment - Personal Insurance'!G244</f>
        <v>402</v>
      </c>
      <c r="H40" s="16">
        <f>'Segment - Business Insurance'!H190+'Segment - Bond &amp; Specialty'!H143+'Segment - Personal Insurance'!H244</f>
        <v>574</v>
      </c>
      <c r="I40" s="34">
        <f>'Segment - Business Insurance'!I190+'Segment - Bond &amp; Specialty'!I143+'Segment - Personal Insurance'!I244</f>
        <v>400.374156729985</v>
      </c>
      <c r="J40" s="17"/>
    </row>
    <row r="41">
      <c r="A41" s="35" t="s">
        <v>456</v>
      </c>
      <c r="B41" s="6">
        <v>-24</v>
      </c>
      <c r="C41" s="6">
        <v>-24</v>
      </c>
      <c r="D41" s="6">
        <v>-27</v>
      </c>
      <c r="E41" s="6">
        <v>-26</v>
      </c>
      <c r="F41" s="14">
        <f>SUM(B41:E41)</f>
        <v>-101</v>
      </c>
      <c r="G41" s="6">
        <v>-28</v>
      </c>
      <c r="H41" s="6">
        <v>-27</v>
      </c>
      <c r="I41" s="45">
        <f>-(I30+I24)*I93</f>
        <v>-26.459999999999997</v>
      </c>
      <c r="J41" s="17" t="s">
        <v>457</v>
      </c>
    </row>
    <row r="42">
      <c r="A42" s="35" t="s">
        <v>458</v>
      </c>
      <c r="B42" s="6">
        <v>-13</v>
      </c>
      <c r="C42" s="6">
        <v>1</v>
      </c>
      <c r="D42" s="6">
        <v>6</v>
      </c>
      <c r="E42" s="6">
        <v>-5</v>
      </c>
      <c r="F42" s="14">
        <f>SUM(B42:E42)</f>
        <v>-11</v>
      </c>
      <c r="G42" s="6">
        <v>34</v>
      </c>
      <c r="H42" s="6">
        <v>12</v>
      </c>
      <c r="I42" s="45">
        <f>I12*I93</f>
        <v>0</v>
      </c>
      <c r="J42" s="17" t="s">
        <v>459</v>
      </c>
    </row>
    <row r="43">
      <c r="A43" s="22" t="s">
        <v>460</v>
      </c>
      <c r="B43" s="30">
        <f>B40+B41+B42</f>
        <v>73</v>
      </c>
      <c r="C43" s="30">
        <f>C40+C41+C42</f>
        <v>372</v>
      </c>
      <c r="D43" s="30">
        <f>D40+D41+D42</f>
        <v>456</v>
      </c>
      <c r="E43" s="30">
        <f>E40+E41+E42</f>
        <v>607</v>
      </c>
      <c r="F43" s="30">
        <f>F40+F41+F42</f>
        <v>1508</v>
      </c>
      <c r="G43" s="30">
        <f>G40+G41+G42</f>
        <v>408</v>
      </c>
      <c r="H43" s="30">
        <f>H40+H41+H42</f>
        <v>559</v>
      </c>
      <c r="I43" s="44">
        <f>I40+I41+I42</f>
        <v>373.914156729985</v>
      </c>
      <c r="J43" s="17"/>
    </row>
    <row r="44">
      <c r="A44" s="65" t="s">
        <v>461</v>
      </c>
      <c r="B44" s="9">
        <f>B43/B34</f>
        <v>0.15598290598290598</v>
      </c>
      <c r="C44" s="9">
        <f>C43/C34</f>
        <v>0.19776714513556617</v>
      </c>
      <c r="D44" s="9">
        <f>D43/D34</f>
        <v>0.1945392491467577</v>
      </c>
      <c r="E44" s="9">
        <f>E43/E34</f>
        <v>0.1956171446986787</v>
      </c>
      <c r="F44" s="9">
        <f>F43/F34</f>
        <v>0.19343252950230888</v>
      </c>
      <c r="G44" s="9">
        <f>G43/G34</f>
        <v>0.19254365266635207</v>
      </c>
      <c r="H44" s="9">
        <f>H43/H34</f>
        <v>0.2020238525478858</v>
      </c>
      <c r="I44" s="29">
        <f>I43/I34</f>
        <v>0.19005514179525593</v>
      </c>
      <c r="J44" s="17"/>
    </row>
    <row r="45">
      <c r="A45" s="36" t="s">
        <v>214</v>
      </c>
      <c r="B45" s="61" t="s">
        <v>32</v>
      </c>
      <c r="C45" s="61" t="s">
        <v>32</v>
      </c>
      <c r="D45" s="61" t="s">
        <v>32</v>
      </c>
      <c r="E45" s="61" t="s">
        <v>32</v>
      </c>
      <c r="F45" s="61" t="s">
        <v>32</v>
      </c>
      <c r="G45" s="61">
        <f>(G44-B44)*10000</f>
        <v>365.6074668344608</v>
      </c>
      <c r="H45" s="61">
        <f>(H44-C44)*10000</f>
        <v>42.567074123196214</v>
      </c>
      <c r="I45" s="79">
        <f>(I44-D44)*10000</f>
        <v>-44.84107351501759</v>
      </c>
      <c r="J45" s="17"/>
    </row>
    <row r="46">
      <c r="A46" s="36" t="s">
        <v>215</v>
      </c>
      <c r="B46" s="61" t="s">
        <v>32</v>
      </c>
      <c r="C46" s="61">
        <f>(C44-B44)*10000</f>
        <v>417.8423915266019</v>
      </c>
      <c r="D46" s="61">
        <f>(D44-C44)*10000</f>
        <v>-32.27895988808488</v>
      </c>
      <c r="E46" s="61">
        <f>(E44-D44)*10000</f>
        <v>10.778955519210044</v>
      </c>
      <c r="F46" s="61" t="s">
        <v>32</v>
      </c>
      <c r="G46" s="61">
        <f>(G44-E44)*10000</f>
        <v>-30.734920323266245</v>
      </c>
      <c r="H46" s="61">
        <f>(H44-G44)*10000</f>
        <v>94.8019988153373</v>
      </c>
      <c r="I46" s="79">
        <f>(I44-H44)*10000</f>
        <v>-119.68710752629869</v>
      </c>
      <c r="J46" s="17"/>
    </row>
    <row r="47">
      <c r="A47" s="22" t="s">
        <v>462</v>
      </c>
      <c r="B47" s="30">
        <f>B34-B43</f>
        <v>395</v>
      </c>
      <c r="C47" s="30">
        <f>C34-C43</f>
        <v>1509</v>
      </c>
      <c r="D47" s="30">
        <f>D34-D43</f>
        <v>1888</v>
      </c>
      <c r="E47" s="30">
        <f>E34-E43</f>
        <v>2496</v>
      </c>
      <c r="F47" s="30">
        <f>F34-F43</f>
        <v>6288</v>
      </c>
      <c r="G47" s="30">
        <f>G34-G43</f>
        <v>1711</v>
      </c>
      <c r="H47" s="30">
        <f>H34-H43</f>
        <v>2208</v>
      </c>
      <c r="I47" s="44">
        <f>I34-I43</f>
        <v>1593.4841109411843</v>
      </c>
      <c r="J47" s="17"/>
    </row>
    <row r="48">
      <c r="A48" s="36" t="s">
        <v>172</v>
      </c>
      <c r="B48" s="9">
        <f>IFERROR(B47/B50-1,"n/a")</f>
        <v>-0.6482635796972396</v>
      </c>
      <c r="C48" s="9">
        <f>IFERROR(C47/C50-1,"n/a")</f>
        <v>1.8258426966292136</v>
      </c>
      <c r="D48" s="9">
        <f>IFERROR(D47/D50-1,"n/a")</f>
        <v>0.4984126984126984</v>
      </c>
      <c r="E48" s="9">
        <f>IFERROR(E47/E50-1,"n/a")</f>
        <v>0.19884726224783855</v>
      </c>
      <c r="F48" s="9">
        <f>IFERROR(F47/F50-1,"n/a")</f>
        <v>0.2578515703140629</v>
      </c>
      <c r="G48" s="9">
        <f>IFERROR(G47/G50-1,"n/a")</f>
        <v>3.331645569620253</v>
      </c>
      <c r="H48" s="9">
        <f>IFERROR(H47/H50-1,"n/a")</f>
        <v>0.463220675944334</v>
      </c>
      <c r="I48" s="29">
        <f>IFERROR(I47/I50-1,"n/a")</f>
        <v>-0.15599358530657614</v>
      </c>
      <c r="J48" s="17"/>
    </row>
    <row r="49">
      <c r="A49" s="36" t="s">
        <v>173</v>
      </c>
      <c r="B49" s="9" t="s">
        <v>32</v>
      </c>
      <c r="C49" s="9">
        <f>IFERROR(C47/B47-1,"n/a")</f>
        <v>2.820253164556962</v>
      </c>
      <c r="D49" s="9">
        <f>IFERROR(D47/C47-1,"n/a")</f>
        <v>0.25115970841616964</v>
      </c>
      <c r="E49" s="9">
        <f>IFERROR(E47/D47-1,"n/a")</f>
        <v>0.3220338983050848</v>
      </c>
      <c r="F49" s="9" t="s">
        <v>32</v>
      </c>
      <c r="G49" s="9">
        <f>IFERROR(G47/E47-1,"n/a")</f>
        <v>-0.3145032051282052</v>
      </c>
      <c r="H49" s="9">
        <f>IFERROR(H47/G47-1,"n/a")</f>
        <v>0.29047340736411464</v>
      </c>
      <c r="I49" s="29">
        <f>IFERROR(I47/H47-1,"n/a")</f>
        <v>-0.2783133555519999</v>
      </c>
      <c r="J49" s="17"/>
    </row>
    <row r="50">
      <c r="A50" s="35" t="s">
        <v>463</v>
      </c>
      <c r="B50" s="6">
        <v>1123</v>
      </c>
      <c r="C50" s="6">
        <v>534</v>
      </c>
      <c r="D50" s="6">
        <v>1260</v>
      </c>
      <c r="E50" s="6">
        <v>2082</v>
      </c>
      <c r="F50" s="14">
        <f>SUM(B50:E50)</f>
        <v>4999</v>
      </c>
      <c r="G50" s="14">
        <f>B47</f>
        <v>395</v>
      </c>
      <c r="H50" s="14">
        <f>C47</f>
        <v>1509</v>
      </c>
      <c r="I50" s="45">
        <f>D47</f>
        <v>1888</v>
      </c>
      <c r="J50" s="17" t="s">
        <v>210</v>
      </c>
    </row>
    <row r="51">
      <c r="A51" s="35" t="s">
        <v>464</v>
      </c>
      <c r="B51" s="6">
        <v>395</v>
      </c>
      <c r="C51" s="6">
        <v>1509</v>
      </c>
      <c r="D51" s="6">
        <v>1888</v>
      </c>
      <c r="E51" s="6">
        <v>2496</v>
      </c>
      <c r="F51" s="14">
        <f>SUM(B51:E51)</f>
        <v>6288</v>
      </c>
      <c r="G51" s="6">
        <v>1711</v>
      </c>
      <c r="H51" s="6">
        <v>2208</v>
      </c>
      <c r="I51" s="45"/>
      <c r="J51" s="17" t="s">
        <v>465</v>
      </c>
    </row>
    <row r="52">
      <c r="A52" s="36" t="s">
        <v>248</v>
      </c>
      <c r="B52" s="31">
        <f>B47-B51</f>
        <v>0</v>
      </c>
      <c r="C52" s="31">
        <f>C47-C51</f>
        <v>0</v>
      </c>
      <c r="D52" s="31">
        <f>D47-D51</f>
        <v>0</v>
      </c>
      <c r="E52" s="31">
        <f>E47-E51</f>
        <v>0</v>
      </c>
      <c r="F52" s="31">
        <f>F47-F51</f>
        <v>0</v>
      </c>
      <c r="G52" s="31">
        <f>G47-G51</f>
        <v>0</v>
      </c>
      <c r="H52" s="31">
        <f>H47-H51</f>
        <v>0</v>
      </c>
      <c r="I52" s="40"/>
      <c r="J52" s="17"/>
    </row>
    <row r="53">
      <c r="A53" s="42" t="s">
        <v>466</v>
      </c>
      <c r="B53" s="8"/>
      <c r="C53" s="8"/>
      <c r="D53" s="8"/>
      <c r="E53" s="8"/>
      <c r="F53" s="8"/>
      <c r="G53" s="8"/>
      <c r="H53" s="8"/>
      <c r="I53" s="21"/>
      <c r="J53" s="17"/>
    </row>
    <row r="54">
      <c r="A54" s="65" t="s">
        <v>467</v>
      </c>
      <c r="B54" s="9">
        <f>B34/B14</f>
        <v>0.03962743437764606</v>
      </c>
      <c r="C54" s="9">
        <f>C34/C14</f>
        <v>0.15524925718058766</v>
      </c>
      <c r="D54" s="9">
        <f>D34/D14</f>
        <v>0.1879711307137129</v>
      </c>
      <c r="E54" s="9">
        <f>E34/E14</f>
        <v>0.2495978120978121</v>
      </c>
      <c r="F54" s="9">
        <f>F34/F14</f>
        <v>0.15966248873597116</v>
      </c>
      <c r="G54" s="9">
        <f>G34/G14</f>
        <v>0.17770882254277087</v>
      </c>
      <c r="H54" s="9">
        <f>H34/H14</f>
        <v>0.2276804081296799</v>
      </c>
      <c r="I54" s="29">
        <f>I34/I14</f>
        <v>0.15963920804325726</v>
      </c>
      <c r="J54" s="17"/>
    </row>
    <row r="55">
      <c r="A55" s="36" t="s">
        <v>214</v>
      </c>
      <c r="B55" s="61" t="s">
        <v>32</v>
      </c>
      <c r="C55" s="61" t="s">
        <v>32</v>
      </c>
      <c r="D55" s="61" t="s">
        <v>32</v>
      </c>
      <c r="E55" s="61" t="s">
        <v>32</v>
      </c>
      <c r="F55" s="61" t="s">
        <v>32</v>
      </c>
      <c r="G55" s="61">
        <f>(G54-B54)*10000</f>
        <v>1380.813881651248</v>
      </c>
      <c r="H55" s="61">
        <f>(H54-C54)*10000</f>
        <v>724.3115094909225</v>
      </c>
      <c r="I55" s="79">
        <f>(I54-D54)*10000</f>
        <v>-283.31922670455646</v>
      </c>
      <c r="J55" s="17"/>
    </row>
    <row r="56">
      <c r="A56" s="36" t="s">
        <v>215</v>
      </c>
      <c r="B56" s="61" t="s">
        <v>32</v>
      </c>
      <c r="C56" s="61">
        <f>(C54-B54)*10000</f>
        <v>1156.218228029416</v>
      </c>
      <c r="D56" s="61">
        <f>(D54-C54)*10000</f>
        <v>327.2187353312525</v>
      </c>
      <c r="E56" s="61">
        <f>(E54-D54)*10000</f>
        <v>616.2668138409919</v>
      </c>
      <c r="F56" s="61" t="s">
        <v>32</v>
      </c>
      <c r="G56" s="61">
        <f>(G54-E54)*10000</f>
        <v>-718.8898955504122</v>
      </c>
      <c r="H56" s="61">
        <f>(H54-G54)*10000</f>
        <v>499.7158558690903</v>
      </c>
      <c r="I56" s="79">
        <f>(I54-H54)*10000</f>
        <v>-680.4120008642265</v>
      </c>
      <c r="J56" s="17"/>
    </row>
    <row r="57">
      <c r="A57" s="65" t="s">
        <v>468</v>
      </c>
      <c r="B57" s="9">
        <f>B47/B14</f>
        <v>0.03344623200677392</v>
      </c>
      <c r="C57" s="9">
        <f>C47/C14</f>
        <v>0.12454605480356554</v>
      </c>
      <c r="D57" s="9">
        <f>D47/D14</f>
        <v>0.15140336808340016</v>
      </c>
      <c r="E57" s="9">
        <f>E47/E14</f>
        <v>0.20077220077220076</v>
      </c>
      <c r="F57" s="9">
        <f>F47/F14</f>
        <v>0.12877856967313836</v>
      </c>
      <c r="G57" s="9">
        <f>G47/G14</f>
        <v>0.14349211673934922</v>
      </c>
      <c r="H57" s="9">
        <f>H47/H14</f>
        <v>0.181683534929647</v>
      </c>
      <c r="I57" s="29">
        <f>I47/I14</f>
        <v>0.12929895572251365</v>
      </c>
      <c r="J57" s="17"/>
    </row>
    <row r="58">
      <c r="A58" s="36" t="s">
        <v>214</v>
      </c>
      <c r="B58" s="61" t="s">
        <v>32</v>
      </c>
      <c r="C58" s="61" t="s">
        <v>32</v>
      </c>
      <c r="D58" s="61" t="s">
        <v>32</v>
      </c>
      <c r="E58" s="61" t="s">
        <v>32</v>
      </c>
      <c r="F58" s="61" t="s">
        <v>32</v>
      </c>
      <c r="G58" s="61">
        <f>(G57-B57)*10000</f>
        <v>1100.458847325753</v>
      </c>
      <c r="H58" s="61">
        <f>(H57-C57)*10000</f>
        <v>571.3748012608147</v>
      </c>
      <c r="I58" s="79">
        <f>(I57-D57)*10000</f>
        <v>-221.04412360886505</v>
      </c>
      <c r="J58" s="17"/>
    </row>
    <row r="59">
      <c r="A59" s="36" t="s">
        <v>215</v>
      </c>
      <c r="B59" s="61" t="s">
        <v>32</v>
      </c>
      <c r="C59" s="61">
        <f>(C57-B57)*10000</f>
        <v>910.9982279679161</v>
      </c>
      <c r="D59" s="61">
        <f>(D57-C57)*10000</f>
        <v>268.5731327983462</v>
      </c>
      <c r="E59" s="61">
        <f>(E57-D57)*10000</f>
        <v>493.68832688800603</v>
      </c>
      <c r="F59" s="61" t="s">
        <v>32</v>
      </c>
      <c r="G59" s="61">
        <f>(G57-E57)*10000</f>
        <v>-572.8008403285154</v>
      </c>
      <c r="H59" s="61">
        <f>(H57-G57)*10000</f>
        <v>381.9141819029778</v>
      </c>
      <c r="I59" s="79">
        <f>(I57-H57)*10000</f>
        <v>-523.8457920713336</v>
      </c>
      <c r="J59" s="17"/>
    </row>
    <row r="60">
      <c r="A60" s="65" t="s">
        <v>326</v>
      </c>
      <c r="B60" s="28">
        <f>('Segment - Business Insurance'!B104*'Segment - Business Insurance'!B124+'Segment - Bond &amp; Specialty'!B63*'Segment - Bond &amp; Specialty'!B77+'Segment - Personal Insurance'!B177*'Segment - Personal Insurance'!B187)/B9</f>
        <v>0.8480713352007471</v>
      </c>
      <c r="C60" s="28">
        <f>('Segment - Business Insurance'!C104*'Segment - Business Insurance'!C124+'Segment - Bond &amp; Specialty'!C63*'Segment - Bond &amp; Specialty'!C77+'Segment - Personal Insurance'!C177*'Segment - Personal Insurance'!C187)/C9</f>
        <v>0.8465575496749381</v>
      </c>
      <c r="D60" s="28">
        <f>('Segment - Business Insurance'!D104*'Segment - Business Insurance'!D124+'Segment - Bond &amp; Specialty'!D63*'Segment - Bond &amp; Specialty'!D77+'Segment - Personal Insurance'!D177*'Segment - Personal Insurance'!D187)/D9</f>
        <v>0.8386932195779075</v>
      </c>
      <c r="E60" s="28">
        <f>('Segment - Business Insurance'!E104*'Segment - Business Insurance'!E124+'Segment - Bond &amp; Specialty'!E63*'Segment - Bond &amp; Specialty'!E77+'Segment - Personal Insurance'!E177*'Segment - Personal Insurance'!E187)/E9</f>
        <v>0.822009418729817</v>
      </c>
      <c r="F60" s="28">
        <f>('Segment - Business Insurance'!F104*'Segment - Business Insurance'!F124+'Segment - Bond &amp; Specialty'!F63*'Segment - Bond &amp; Specialty'!F77+'Segment - Personal Insurance'!F177*'Segment - Personal Insurance'!F187)/F9</f>
        <v>0.838700847110261</v>
      </c>
      <c r="G60" s="28">
        <f>('Segment - Business Insurance'!G104*'Segment - Business Insurance'!G124+'Segment - Bond &amp; Specialty'!G63*'Segment - Bond &amp; Specialty'!G77+'Segment - Personal Insurance'!G177*'Segment - Personal Insurance'!G187)/G9</f>
        <v>0.8527247524752476</v>
      </c>
      <c r="H60" s="28">
        <f>('Segment - Business Insurance'!H104*'Segment - Business Insurance'!H124+'Segment - Bond &amp; Specialty'!H63*'Segment - Bond &amp; Specialty'!H77+'Segment - Personal Insurance'!H177*'Segment - Personal Insurance'!H187)/H9</f>
        <v>0.8412845717474193</v>
      </c>
      <c r="I60" s="85">
        <f>('Segment - Business Insurance'!I104*'Segment - Business Insurance'!I124+'Segment - Bond &amp; Specialty'!I63*'Segment - Bond &amp; Specialty'!I77+'Segment - Personal Insurance'!I177*'Segment - Personal Insurance'!I187)/I9</f>
        <v>0.8379314630775349</v>
      </c>
      <c r="J60" s="17"/>
    </row>
    <row r="61">
      <c r="A61" s="36" t="s">
        <v>214</v>
      </c>
      <c r="B61" s="61" t="s">
        <v>32</v>
      </c>
      <c r="C61" s="61" t="s">
        <v>32</v>
      </c>
      <c r="D61" s="61" t="s">
        <v>32</v>
      </c>
      <c r="E61" s="61" t="s">
        <v>32</v>
      </c>
      <c r="F61" s="61" t="s">
        <v>32</v>
      </c>
      <c r="G61" s="61">
        <f>(G60-B60)*10000</f>
        <v>46.534172745005264</v>
      </c>
      <c r="H61" s="61">
        <f>(H60-C60)*10000</f>
        <v>-52.72977927518796</v>
      </c>
      <c r="I61" s="79">
        <f>(I60-D60)*10000</f>
        <v>-7.6175650037269005</v>
      </c>
      <c r="J61" s="17"/>
    </row>
    <row r="62">
      <c r="A62" s="36" t="s">
        <v>215</v>
      </c>
      <c r="B62" s="61" t="s">
        <v>32</v>
      </c>
      <c r="C62" s="61">
        <f>(C60-B60)*10000</f>
        <v>-15.137855258089417</v>
      </c>
      <c r="D62" s="61">
        <f>(D60-C60)*10000</f>
        <v>-78.6433009703058</v>
      </c>
      <c r="E62" s="61">
        <f>(E60-D60)*10000</f>
        <v>-166.83800848090513</v>
      </c>
      <c r="F62" s="61" t="s">
        <v>32</v>
      </c>
      <c r="G62" s="61">
        <f>(G60-E60)*10000</f>
        <v>307.15333745430564</v>
      </c>
      <c r="H62" s="61">
        <f>(H60-G60)*10000</f>
        <v>-114.40180727828265</v>
      </c>
      <c r="I62" s="79">
        <f>(I60-H60)*10000</f>
        <v>-33.531086698844746</v>
      </c>
      <c r="J62" s="17"/>
    </row>
    <row r="63">
      <c r="A63" s="65" t="s">
        <v>324</v>
      </c>
      <c r="B63" s="28">
        <f>('Segment - Business Insurance'!B104*'Segment - Business Insurance'!B121+'Segment - Bond &amp; Specialty'!B63*'Segment - Bond &amp; Specialty'!B74+'Segment - Personal Insurance'!B177*'Segment - Personal Insurance'!B184)/B9</f>
        <v>0.28277432306255834</v>
      </c>
      <c r="C63" s="28">
        <f>('Segment - Business Insurance'!C104*'Segment - Business Insurance'!C121+'Segment - Bond &amp; Specialty'!C63*'Segment - Bond &amp; Specialty'!C74+'Segment - Personal Insurance'!C177*'Segment - Personal Insurance'!C184)/C9</f>
        <v>0.28646415163446576</v>
      </c>
      <c r="D63" s="28">
        <f>('Segment - Business Insurance'!D104*'Segment - Business Insurance'!D121+'Segment - Bond &amp; Specialty'!D63*'Segment - Bond &amp; Specialty'!D74+'Segment - Personal Insurance'!D177*'Segment - Personal Insurance'!D184)/D9</f>
        <v>0.28616434665469237</v>
      </c>
      <c r="E63" s="28">
        <f>('Segment - Business Insurance'!E104*'Segment - Business Insurance'!E121+'Segment - Bond &amp; Specialty'!E63*'Segment - Bond &amp; Specialty'!E74+'Segment - Personal Insurance'!E177*'Segment - Personal Insurance'!E184)/E9</f>
        <v>0.2841532113383567</v>
      </c>
      <c r="F63" s="28">
        <f>('Segment - Business Insurance'!F104*'Segment - Business Insurance'!F121+'Segment - Bond &amp; Specialty'!F63*'Segment - Bond &amp; Specialty'!F74+'Segment - Personal Insurance'!F177*'Segment - Personal Insurance'!F184)/F9</f>
        <v>0.28490158036161595</v>
      </c>
      <c r="G63" s="28">
        <f>('Segment - Business Insurance'!G104*'Segment - Business Insurance'!G121+'Segment - Bond &amp; Specialty'!G63*'Segment - Bond &amp; Specialty'!G74+'Segment - Personal Insurance'!G177*'Segment - Personal Insurance'!G184)/G9</f>
        <v>0.2896036775106082</v>
      </c>
      <c r="H63" s="28">
        <f>('Segment - Business Insurance'!H104*'Segment - Business Insurance'!H121+'Segment - Bond &amp; Specialty'!H63*'Segment - Bond &amp; Specialty'!H74+'Segment - Personal Insurance'!H177*'Segment - Personal Insurance'!H184)/H9</f>
        <v>0.29028122384450855</v>
      </c>
      <c r="I63" s="85">
        <f>('Segment - Business Insurance'!I104*'Segment - Business Insurance'!I121+'Segment - Bond &amp; Specialty'!I63*'Segment - Bond &amp; Specialty'!I74+'Segment - Personal Insurance'!I177*'Segment - Personal Insurance'!I184)/I9</f>
        <v>0.28820295446487687</v>
      </c>
      <c r="J63" s="17"/>
    </row>
    <row r="64">
      <c r="A64" s="36" t="s">
        <v>214</v>
      </c>
      <c r="B64" s="61" t="s">
        <v>32</v>
      </c>
      <c r="C64" s="61" t="s">
        <v>32</v>
      </c>
      <c r="D64" s="61" t="s">
        <v>32</v>
      </c>
      <c r="E64" s="61" t="s">
        <v>32</v>
      </c>
      <c r="F64" s="61" t="s">
        <v>32</v>
      </c>
      <c r="G64" s="61">
        <f>(G63-B63)*10000</f>
        <v>68.29354448049885</v>
      </c>
      <c r="H64" s="61">
        <f>(H63-C63)*10000</f>
        <v>38.17072210042794</v>
      </c>
      <c r="I64" s="79">
        <f>(I63-D63)*10000</f>
        <v>20.38607810184501</v>
      </c>
      <c r="J64" s="17"/>
    </row>
    <row r="65">
      <c r="A65" s="36" t="s">
        <v>215</v>
      </c>
      <c r="B65" s="61" t="s">
        <v>32</v>
      </c>
      <c r="C65" s="61">
        <f>(C63-B63)*10000</f>
        <v>36.89828571907417</v>
      </c>
      <c r="D65" s="61">
        <f>(D63-C63)*10000</f>
        <v>-2.9980497977338816</v>
      </c>
      <c r="E65" s="61">
        <f>(E63-D63)*10000</f>
        <v>-20.11135316335677</v>
      </c>
      <c r="F65" s="61" t="s">
        <v>32</v>
      </c>
      <c r="G65" s="61">
        <f>(G63-E63)*10000</f>
        <v>54.50466172251534</v>
      </c>
      <c r="H65" s="61">
        <f>(H63-G63)*10000</f>
        <v>6.7754633390032515</v>
      </c>
      <c r="I65" s="79">
        <f>(I63-H63)*10000</f>
        <v>-20.78269379631681</v>
      </c>
      <c r="J65" s="17"/>
    </row>
    <row r="66">
      <c r="A66" s="35" t="s">
        <v>469</v>
      </c>
      <c r="B66" s="16">
        <f>'Segment - Business Insurance'!B130+'Segment - Bond &amp; Specialty'!B83+'Segment - Personal Insurance'!B191</f>
        <v>2266</v>
      </c>
      <c r="C66" s="16">
        <f>'Segment - Business Insurance'!C130+'Segment - Bond &amp; Specialty'!C83+'Segment - Personal Insurance'!C191</f>
        <v>927</v>
      </c>
      <c r="D66" s="16">
        <f>'Segment - Business Insurance'!D130+'Segment - Bond &amp; Specialty'!D83+'Segment - Personal Insurance'!D191</f>
        <v>402</v>
      </c>
      <c r="E66" s="16">
        <f>'Segment - Business Insurance'!E130+'Segment - Bond &amp; Specialty'!E83+'Segment - Personal Insurance'!E191</f>
        <v>95</v>
      </c>
      <c r="F66" s="16">
        <f>'Segment - Business Insurance'!F130+'Segment - Bond &amp; Specialty'!F83+'Segment - Personal Insurance'!F191</f>
        <v>3690</v>
      </c>
      <c r="G66" s="16">
        <f>'Segment - Business Insurance'!G130+'Segment - Bond &amp; Specialty'!G83+'Segment - Personal Insurance'!G191</f>
        <v>761</v>
      </c>
      <c r="H66" s="16">
        <f>'Segment - Business Insurance'!H130+'Segment - Bond &amp; Specialty'!H83+'Segment - Personal Insurance'!H191</f>
        <v>518</v>
      </c>
      <c r="I66" s="34">
        <f>'Segment - Business Insurance'!I130+'Segment - Bond &amp; Specialty'!I83+'Segment - Personal Insurance'!I191</f>
        <v>880</v>
      </c>
      <c r="J66" s="17"/>
    </row>
    <row r="67">
      <c r="A67" s="36" t="s">
        <v>172</v>
      </c>
      <c r="B67" s="9" t="s">
        <v>32</v>
      </c>
      <c r="C67" s="9" t="s">
        <v>32</v>
      </c>
      <c r="D67" s="9" t="s">
        <v>32</v>
      </c>
      <c r="E67" s="9" t="s">
        <v>32</v>
      </c>
      <c r="F67" s="9" t="s">
        <v>32</v>
      </c>
      <c r="G67" s="9">
        <f>IFERROR(G66/B66-1,"n/a")</f>
        <v>-0.6641659311562225</v>
      </c>
      <c r="H67" s="9">
        <f>IFERROR(H66/C66-1,"n/a")</f>
        <v>-0.4412081984897519</v>
      </c>
      <c r="I67" s="29">
        <f>IFERROR(I66/D66-1,"n/a")</f>
        <v>1.189054726368159</v>
      </c>
      <c r="J67" s="17"/>
    </row>
    <row r="68">
      <c r="A68" s="36" t="s">
        <v>196</v>
      </c>
      <c r="B68" s="31" t="s">
        <v>32</v>
      </c>
      <c r="C68" s="31">
        <f>C66-B66</f>
        <v>-1339</v>
      </c>
      <c r="D68" s="31">
        <f>D66-C66</f>
        <v>-525</v>
      </c>
      <c r="E68" s="31">
        <f>E66-D66</f>
        <v>-307</v>
      </c>
      <c r="F68" s="31" t="s">
        <v>32</v>
      </c>
      <c r="G68" s="31">
        <f>G66-E66</f>
        <v>666</v>
      </c>
      <c r="H68" s="31">
        <f>H66-G66</f>
        <v>-243</v>
      </c>
      <c r="I68" s="40">
        <f>I66-H66</f>
        <v>362</v>
      </c>
      <c r="J68" s="17"/>
    </row>
    <row r="69">
      <c r="A69" s="65" t="s">
        <v>332</v>
      </c>
      <c r="B69" s="9">
        <f>B66/B9</f>
        <v>0.211577964519141</v>
      </c>
      <c r="C69" s="9">
        <f>C66/C9</f>
        <v>0.08488233678234594</v>
      </c>
      <c r="D69" s="9">
        <f>D66/D9</f>
        <v>0.03610237988325101</v>
      </c>
      <c r="E69" s="9">
        <f>E66/E9</f>
        <v>0.008521707929673484</v>
      </c>
      <c r="F69" s="9">
        <f>F66/F9</f>
        <v>0.08402787266019948</v>
      </c>
      <c r="G69" s="9">
        <f>G66/G9</f>
        <v>0.07175860443187176</v>
      </c>
      <c r="H69" s="9">
        <f>H66/H9</f>
        <v>0.04817260299451316</v>
      </c>
      <c r="I69" s="29">
        <f>I66/I9</f>
        <v>0.0802404024471755</v>
      </c>
      <c r="J69" s="17"/>
    </row>
    <row r="70">
      <c r="A70" s="36" t="s">
        <v>214</v>
      </c>
      <c r="B70" s="61" t="s">
        <v>32</v>
      </c>
      <c r="C70" s="61" t="s">
        <v>32</v>
      </c>
      <c r="D70" s="61" t="s">
        <v>32</v>
      </c>
      <c r="E70" s="61" t="s">
        <v>32</v>
      </c>
      <c r="F70" s="61" t="s">
        <v>32</v>
      </c>
      <c r="G70" s="61">
        <f>(G69-B69)*10000</f>
        <v>-1398.1936008726923</v>
      </c>
      <c r="H70" s="61">
        <f>(H69-C69)*10000</f>
        <v>-367.0973378783278</v>
      </c>
      <c r="I70" s="79">
        <f>(I69-D69)*10000</f>
        <v>441.3802256392448</v>
      </c>
      <c r="J70" s="17"/>
    </row>
    <row r="71">
      <c r="A71" s="36" t="s">
        <v>215</v>
      </c>
      <c r="B71" s="61" t="s">
        <v>32</v>
      </c>
      <c r="C71" s="61">
        <f>(C69-B69)*10000</f>
        <v>-1266.9562773679504</v>
      </c>
      <c r="D71" s="61">
        <f>(D69-C69)*10000</f>
        <v>-487.7995689909493</v>
      </c>
      <c r="E71" s="61">
        <f>(E69-D69)*10000</f>
        <v>-275.80671953577524</v>
      </c>
      <c r="F71" s="61" t="s">
        <v>32</v>
      </c>
      <c r="G71" s="61">
        <f>(G69-E69)*10000</f>
        <v>632.3689650219828</v>
      </c>
      <c r="H71" s="61">
        <f>(H69-G69)*10000</f>
        <v>-235.86001437358604</v>
      </c>
      <c r="I71" s="79">
        <f>(I69-H69)*10000</f>
        <v>320.6779945266233</v>
      </c>
      <c r="J71" s="17"/>
    </row>
    <row r="72">
      <c r="A72" s="35" t="s">
        <v>470</v>
      </c>
      <c r="B72" s="16">
        <f>'Segment - Business Insurance'!B136+'Segment - Bond &amp; Specialty'!B89+'Segment - Personal Insurance'!B194</f>
        <v>378</v>
      </c>
      <c r="C72" s="16">
        <f>'Segment - Business Insurance'!C136+'Segment - Bond &amp; Specialty'!C89+'Segment - Personal Insurance'!C194</f>
        <v>315</v>
      </c>
      <c r="D72" s="16">
        <f>'Segment - Business Insurance'!D136+'Segment - Bond &amp; Specialty'!D89+'Segment - Personal Insurance'!D194</f>
        <v>22</v>
      </c>
      <c r="E72" s="16">
        <f>'Segment - Business Insurance'!E136+'Segment - Bond &amp; Specialty'!E89+'Segment - Personal Insurance'!E194</f>
        <v>321</v>
      </c>
      <c r="F72" s="16">
        <f>'Segment - Business Insurance'!F136+'Segment - Bond &amp; Specialty'!F89+'Segment - Personal Insurance'!F194</f>
        <v>1036</v>
      </c>
      <c r="G72" s="16">
        <f>'Segment - Business Insurance'!G136+'Segment - Bond &amp; Specialty'!G89+'Segment - Personal Insurance'!G194</f>
        <v>413</v>
      </c>
      <c r="H72" s="16">
        <f>'Segment - Business Insurance'!H136+'Segment - Bond &amp; Specialty'!H89+'Segment - Personal Insurance'!H194</f>
        <v>578</v>
      </c>
      <c r="I72" s="34">
        <f>'Segment - Business Insurance'!I136+'Segment - Bond &amp; Specialty'!I89+'Segment - Personal Insurance'!I194</f>
        <v>107</v>
      </c>
      <c r="J72" s="17"/>
    </row>
    <row r="73">
      <c r="A73" s="36" t="s">
        <v>321</v>
      </c>
      <c r="B73" s="31" t="s">
        <v>32</v>
      </c>
      <c r="C73" s="31" t="s">
        <v>32</v>
      </c>
      <c r="D73" s="31" t="s">
        <v>32</v>
      </c>
      <c r="E73" s="31" t="s">
        <v>32</v>
      </c>
      <c r="F73" s="31" t="s">
        <v>32</v>
      </c>
      <c r="G73" s="31">
        <f>G72-B72</f>
        <v>35</v>
      </c>
      <c r="H73" s="31">
        <f>H72-C72</f>
        <v>263</v>
      </c>
      <c r="I73" s="40">
        <f>I72-D72</f>
        <v>85</v>
      </c>
      <c r="J73" s="17"/>
    </row>
    <row r="74">
      <c r="A74" s="36" t="s">
        <v>196</v>
      </c>
      <c r="B74" s="31" t="s">
        <v>32</v>
      </c>
      <c r="C74" s="31">
        <f>C72-B72</f>
        <v>-63</v>
      </c>
      <c r="D74" s="31">
        <f>D72-C72</f>
        <v>-293</v>
      </c>
      <c r="E74" s="31">
        <f>E72-D72</f>
        <v>299</v>
      </c>
      <c r="F74" s="31" t="s">
        <v>32</v>
      </c>
      <c r="G74" s="31">
        <f>G72-E72</f>
        <v>92</v>
      </c>
      <c r="H74" s="31">
        <f>H72-G72</f>
        <v>165</v>
      </c>
      <c r="I74" s="40">
        <f>I72-H72</f>
        <v>-471</v>
      </c>
      <c r="J74" s="17"/>
    </row>
    <row r="75">
      <c r="A75" s="65" t="s">
        <v>335</v>
      </c>
      <c r="B75" s="9">
        <f>-B72/B9</f>
        <v>-0.03529411764705882</v>
      </c>
      <c r="C75" s="9">
        <f>-C72/C9</f>
        <v>-0.028843512498855417</v>
      </c>
      <c r="D75" s="9">
        <f>-D72/D9</f>
        <v>-0.001975752132914234</v>
      </c>
      <c r="E75" s="9">
        <f>-E72/E9</f>
        <v>-0.028794402583423036</v>
      </c>
      <c r="F75" s="9">
        <f>-F72/F9</f>
        <v>-0.02359156533224029</v>
      </c>
      <c r="G75" s="9">
        <f>-G72/G9</f>
        <v>-0.038943894389438946</v>
      </c>
      <c r="H75" s="9">
        <f>-H72/H9</f>
        <v>-0.0537524411792058</v>
      </c>
      <c r="I75" s="29">
        <f>-I72/I9</f>
        <v>-0.009756503479372474</v>
      </c>
      <c r="J75" s="17"/>
    </row>
    <row r="76">
      <c r="A76" s="36" t="s">
        <v>214</v>
      </c>
      <c r="B76" s="61" t="s">
        <v>32</v>
      </c>
      <c r="C76" s="61" t="s">
        <v>32</v>
      </c>
      <c r="D76" s="61" t="s">
        <v>32</v>
      </c>
      <c r="E76" s="61" t="s">
        <v>32</v>
      </c>
      <c r="F76" s="61" t="s">
        <v>32</v>
      </c>
      <c r="G76" s="61">
        <f>(G75-B75)*10000</f>
        <v>-36.49776742380123</v>
      </c>
      <c r="H76" s="61">
        <f>(H75-C75)*10000</f>
        <v>-249.08928680350385</v>
      </c>
      <c r="I76" s="79">
        <f>(I75-D75)*10000</f>
        <v>-77.8075134645824</v>
      </c>
      <c r="J76" s="17"/>
    </row>
    <row r="77">
      <c r="A77" s="36" t="s">
        <v>215</v>
      </c>
      <c r="B77" s="61" t="s">
        <v>32</v>
      </c>
      <c r="C77" s="61">
        <f>(C75-B75)*10000</f>
        <v>64.50605148203407</v>
      </c>
      <c r="D77" s="61">
        <f>(D75-C75)*10000</f>
        <v>268.67760365941183</v>
      </c>
      <c r="E77" s="61">
        <f>(E75-D75)*10000</f>
        <v>-268.186504505088</v>
      </c>
      <c r="F77" s="61" t="s">
        <v>32</v>
      </c>
      <c r="G77" s="61">
        <f>(G75-E75)*10000</f>
        <v>-101.49491806015911</v>
      </c>
      <c r="H77" s="61">
        <f>(H75-G75)*10000</f>
        <v>-148.08546789766854</v>
      </c>
      <c r="I77" s="79">
        <f>(I75-H75)*10000</f>
        <v>439.9593769983333</v>
      </c>
      <c r="J77" s="17"/>
    </row>
    <row r="78">
      <c r="A78" s="91" t="s">
        <v>336</v>
      </c>
      <c r="B78" s="86">
        <f>B60+B69+B75</f>
        <v>1.0243551820728292</v>
      </c>
      <c r="C78" s="86">
        <f>C60+C69+C75</f>
        <v>0.9025963739584286</v>
      </c>
      <c r="D78" s="86">
        <f>D60+D69+D75</f>
        <v>0.8728198473282444</v>
      </c>
      <c r="E78" s="86">
        <f>E60+E69+E75</f>
        <v>0.8017367240760674</v>
      </c>
      <c r="F78" s="86">
        <f>F60+F69+F75</f>
        <v>0.8991371544382203</v>
      </c>
      <c r="G78" s="86">
        <f>G60+G69+G75</f>
        <v>0.8855394625176805</v>
      </c>
      <c r="H78" s="86">
        <f>H60+H69+H75</f>
        <v>0.8357047335627268</v>
      </c>
      <c r="I78" s="89">
        <f>I60+I69+I75</f>
        <v>0.9084153620453378</v>
      </c>
      <c r="J78" s="17"/>
    </row>
    <row r="79">
      <c r="A79" s="36" t="s">
        <v>214</v>
      </c>
      <c r="B79" s="61" t="s">
        <v>32</v>
      </c>
      <c r="C79" s="61" t="s">
        <v>32</v>
      </c>
      <c r="D79" s="61" t="s">
        <v>32</v>
      </c>
      <c r="E79" s="61" t="s">
        <v>32</v>
      </c>
      <c r="F79" s="61" t="s">
        <v>32</v>
      </c>
      <c r="G79" s="61">
        <f>(G78-B78)*10000</f>
        <v>-1388.1571955514871</v>
      </c>
      <c r="H79" s="61">
        <f>(H78-C78)*10000</f>
        <v>-668.9164039570184</v>
      </c>
      <c r="I79" s="79">
        <f>(I78-D78)*10000</f>
        <v>355.95514717093437</v>
      </c>
      <c r="J79" s="17"/>
    </row>
    <row r="80">
      <c r="A80" s="36" t="s">
        <v>215</v>
      </c>
      <c r="B80" s="61" t="s">
        <v>32</v>
      </c>
      <c r="C80" s="61">
        <f>(C78-B78)*10000</f>
        <v>-1217.5880811440054</v>
      </c>
      <c r="D80" s="61">
        <f>(D78-C78)*10000</f>
        <v>-297.76526630184264</v>
      </c>
      <c r="E80" s="61">
        <f>(E78-D78)*10000</f>
        <v>-710.8312325217692</v>
      </c>
      <c r="F80" s="61" t="s">
        <v>32</v>
      </c>
      <c r="G80" s="61">
        <f>(G78-E78)*10000</f>
        <v>838.0273844161301</v>
      </c>
      <c r="H80" s="61">
        <f>(H78-G78)*10000</f>
        <v>-498.34728954953664</v>
      </c>
      <c r="I80" s="79">
        <f>(I78-H78)*10000</f>
        <v>727.10628482611</v>
      </c>
      <c r="J80" s="17"/>
    </row>
    <row r="81" ht="27.75">
      <c r="A81" s="88" t="s">
        <v>471</v>
      </c>
      <c r="B81" s="30">
        <f>B9*(1-B78)</f>
        <v>-260.84400000000034</v>
      </c>
      <c r="C81" s="30">
        <f>C9*(1-C78)</f>
        <v>1063.745000000001</v>
      </c>
      <c r="D81" s="30">
        <f>D9*(1-D78)</f>
        <v>1416.1509999999992</v>
      </c>
      <c r="E81" s="30">
        <f>E9*(1-E78)</f>
        <v>2210.239</v>
      </c>
      <c r="F81" s="30">
        <f>F9*(1-F78)</f>
        <v>4429.290999999995</v>
      </c>
      <c r="G81" s="30">
        <f>G9*(1-G78)</f>
        <v>1213.8539999999987</v>
      </c>
      <c r="H81" s="30">
        <f>H9*(1-H78)</f>
        <v>1766.6669999999988</v>
      </c>
      <c r="I81" s="44">
        <f>I9*(1-I78)</f>
        <v>1004.412726533374</v>
      </c>
      <c r="J81" s="142" t="s">
        <v>472</v>
      </c>
    </row>
    <row r="82">
      <c r="A82" s="36" t="s">
        <v>172</v>
      </c>
      <c r="B82" s="9" t="s">
        <v>32</v>
      </c>
      <c r="C82" s="9" t="s">
        <v>32</v>
      </c>
      <c r="D82" s="9" t="s">
        <v>32</v>
      </c>
      <c r="E82" s="9" t="s">
        <v>32</v>
      </c>
      <c r="F82" s="9" t="s">
        <v>32</v>
      </c>
      <c r="G82" s="9">
        <f>IFERROR(G81/B81-1,"n/a")</f>
        <v>-5.653563049178809</v>
      </c>
      <c r="H82" s="9">
        <f>IFERROR(H81/C81-1,"n/a")</f>
        <v>0.6607993457078503</v>
      </c>
      <c r="I82" s="29">
        <f>IFERROR(I81/D81-1,"n/a")</f>
        <v>-0.2907446123094397</v>
      </c>
      <c r="J82" s="17"/>
    </row>
    <row r="83">
      <c r="A83" s="36" t="s">
        <v>196</v>
      </c>
      <c r="B83" s="31" t="s">
        <v>32</v>
      </c>
      <c r="C83" s="31">
        <f>C81-B81</f>
        <v>1324.5890000000013</v>
      </c>
      <c r="D83" s="31">
        <f>D81-C81</f>
        <v>352.40599999999813</v>
      </c>
      <c r="E83" s="31">
        <f>E81-D81</f>
        <v>794.0880000000009</v>
      </c>
      <c r="F83" s="31" t="s">
        <v>32</v>
      </c>
      <c r="G83" s="31">
        <f>G81-E81</f>
        <v>-996.3850000000014</v>
      </c>
      <c r="H83" s="31">
        <f>H81-G81</f>
        <v>552.8130000000001</v>
      </c>
      <c r="I83" s="40">
        <f>I81-H81</f>
        <v>-762.2542734666248</v>
      </c>
      <c r="J83" s="17"/>
    </row>
    <row r="84">
      <c r="A84" s="35" t="s">
        <v>340</v>
      </c>
      <c r="B84" s="14">
        <f>B9*(1-B60)</f>
        <v>1627.1559999999988</v>
      </c>
      <c r="C84" s="14">
        <f>C9*(1-C60)</f>
        <v>1675.7450000000008</v>
      </c>
      <c r="D84" s="14">
        <f>D9*(1-D60)</f>
        <v>1796.1509999999994</v>
      </c>
      <c r="E84" s="14">
        <f>E9*(1-E60)</f>
        <v>1984.2389999999998</v>
      </c>
      <c r="F84" s="14">
        <f>F9*(1-F60)</f>
        <v>7083.2909999999965</v>
      </c>
      <c r="G84" s="14">
        <f>G9*(1-G60)</f>
        <v>1561.8539999999994</v>
      </c>
      <c r="H84" s="14">
        <f>H9*(1-H60)</f>
        <v>1706.667</v>
      </c>
      <c r="I84" s="45">
        <f>I9*(1-I60)</f>
        <v>1777.4127265333732</v>
      </c>
      <c r="J84" s="17" t="s">
        <v>473</v>
      </c>
    </row>
    <row r="85">
      <c r="A85" s="36" t="s">
        <v>172</v>
      </c>
      <c r="B85" s="9" t="s">
        <v>32</v>
      </c>
      <c r="C85" s="9" t="s">
        <v>32</v>
      </c>
      <c r="D85" s="9" t="s">
        <v>32</v>
      </c>
      <c r="E85" s="9" t="s">
        <v>32</v>
      </c>
      <c r="F85" s="9" t="s">
        <v>32</v>
      </c>
      <c r="G85" s="9">
        <f>IFERROR(G84/B84-1,"n/a")</f>
        <v>-0.04013259945573722</v>
      </c>
      <c r="H85" s="9">
        <f>IFERROR(H84/C84-1,"n/a")</f>
        <v>0.018452688207334145</v>
      </c>
      <c r="I85" s="29">
        <f>IFERROR(I84/D84-1,"n/a")</f>
        <v>-0.010432460002876232</v>
      </c>
      <c r="J85" s="17"/>
    </row>
    <row r="86">
      <c r="A86" s="36" t="s">
        <v>196</v>
      </c>
      <c r="B86" s="31" t="s">
        <v>32</v>
      </c>
      <c r="C86" s="31">
        <f>C84-B84</f>
        <v>48.58900000000199</v>
      </c>
      <c r="D86" s="31">
        <f>D84-C84</f>
        <v>120.40599999999858</v>
      </c>
      <c r="E86" s="31">
        <f>E84-D84</f>
        <v>188.08800000000042</v>
      </c>
      <c r="F86" s="31" t="s">
        <v>32</v>
      </c>
      <c r="G86" s="31">
        <f>G84-E84</f>
        <v>-422.38500000000045</v>
      </c>
      <c r="H86" s="31">
        <f>H84-G84</f>
        <v>144.81300000000056</v>
      </c>
      <c r="I86" s="40">
        <f>I84-H84</f>
        <v>70.74572653337327</v>
      </c>
      <c r="J86" s="17"/>
    </row>
    <row r="87">
      <c r="A87" s="36" t="s">
        <v>337</v>
      </c>
      <c r="B87" s="2">
        <v>1.025</v>
      </c>
      <c r="C87" s="2">
        <v>0.903</v>
      </c>
      <c r="D87" s="2">
        <v>0.873</v>
      </c>
      <c r="E87" s="2">
        <v>0.802</v>
      </c>
      <c r="F87" s="9"/>
      <c r="G87" s="2">
        <v>0.886</v>
      </c>
      <c r="H87" s="2">
        <v>0.836</v>
      </c>
      <c r="I87" s="29"/>
      <c r="J87" s="17" t="s">
        <v>474</v>
      </c>
    </row>
    <row r="88">
      <c r="A88" s="36" t="s">
        <v>441</v>
      </c>
      <c r="B88" s="2">
        <v>0.848</v>
      </c>
      <c r="C88" s="2">
        <v>0.847</v>
      </c>
      <c r="D88" s="2">
        <v>0.839</v>
      </c>
      <c r="E88" s="2">
        <v>0.822</v>
      </c>
      <c r="F88" s="9"/>
      <c r="G88" s="2">
        <v>0.853</v>
      </c>
      <c r="H88" s="2">
        <v>0.841</v>
      </c>
      <c r="I88" s="29"/>
      <c r="J88" s="17" t="s">
        <v>475</v>
      </c>
    </row>
    <row r="89">
      <c r="A89" s="80" t="s">
        <v>476</v>
      </c>
      <c r="B89" s="6">
        <v>2266</v>
      </c>
      <c r="C89" s="6">
        <v>927</v>
      </c>
      <c r="D89" s="6">
        <v>402</v>
      </c>
      <c r="E89" s="6">
        <v>95</v>
      </c>
      <c r="F89" s="14">
        <f>SUM(B89:E89)</f>
        <v>3690</v>
      </c>
      <c r="G89" s="6">
        <v>761</v>
      </c>
      <c r="H89" s="6">
        <v>518</v>
      </c>
      <c r="I89" s="45"/>
      <c r="J89" s="17" t="s">
        <v>247</v>
      </c>
    </row>
    <row r="90">
      <c r="A90" s="36" t="s">
        <v>477</v>
      </c>
      <c r="B90" s="31">
        <f>B66-B89</f>
        <v>0</v>
      </c>
      <c r="C90" s="31">
        <f>C66-C89</f>
        <v>0</v>
      </c>
      <c r="D90" s="31">
        <f>D66-D89</f>
        <v>0</v>
      </c>
      <c r="E90" s="31">
        <f>E66-E89</f>
        <v>0</v>
      </c>
      <c r="F90" s="31">
        <f>F66-F89</f>
        <v>0</v>
      </c>
      <c r="G90" s="31">
        <f>G66-G89</f>
        <v>0</v>
      </c>
      <c r="H90" s="31">
        <f>H66-H89</f>
        <v>0</v>
      </c>
      <c r="I90" s="40"/>
      <c r="J90" s="17"/>
    </row>
    <row r="91">
      <c r="A91" s="42" t="s">
        <v>478</v>
      </c>
      <c r="B91" s="8"/>
      <c r="C91" s="8"/>
      <c r="D91" s="8"/>
      <c r="E91" s="8"/>
      <c r="F91" s="8"/>
      <c r="G91" s="8"/>
      <c r="H91" s="8"/>
      <c r="I91" s="21"/>
      <c r="J91" s="17"/>
    </row>
    <row r="92" ht="27.75">
      <c r="A92" s="65" t="s">
        <v>212</v>
      </c>
      <c r="B92" s="28">
        <f>'Revenue summary'!B65</f>
        <v>0.179</v>
      </c>
      <c r="C92" s="28">
        <f>'Revenue summary'!C65</f>
        <v>0.179</v>
      </c>
      <c r="D92" s="28">
        <f>'Revenue summary'!D65</f>
        <v>0.178</v>
      </c>
      <c r="E92" s="28">
        <f>'Revenue summary'!E65</f>
        <v>0.177</v>
      </c>
      <c r="F92" s="28">
        <f>'Revenue summary'!F65</f>
        <v>0.17820661783278605</v>
      </c>
      <c r="G92" s="28">
        <f>'Revenue summary'!G65</f>
        <v>0.174</v>
      </c>
      <c r="H92" s="28">
        <f>'Revenue summary'!H65</f>
        <v>0.174</v>
      </c>
      <c r="I92" s="87">
        <v>0.174</v>
      </c>
      <c r="J92" s="142" t="s">
        <v>479</v>
      </c>
    </row>
    <row r="93" ht="27.75">
      <c r="A93" s="65" t="s">
        <v>480</v>
      </c>
      <c r="B93" s="9">
        <f>(B40+B41-B10*B92)/(B34-B12-B10)</f>
        <v>0.2006733167082294</v>
      </c>
      <c r="C93" s="9">
        <f>(C40+C41-C10*C92)/(C34-C12-C10)</f>
        <v>0.21691532690246518</v>
      </c>
      <c r="D93" s="9">
        <f>(D40+D41-D10*D92)/(D34-D12-D10)</f>
        <v>0.2072632398753894</v>
      </c>
      <c r="E93" s="9">
        <f>(E40+E41-E10*E92)/(E34-E12-E10)</f>
        <v>0.20562687288545192</v>
      </c>
      <c r="F93" s="9">
        <f>(F40+F41-F10*F92)/(F34-F12-F10)</f>
        <v>0.20938996138996138</v>
      </c>
      <c r="G93" s="9">
        <f>(G40+G41-G10*G92)/(G34-G12-G10)</f>
        <v>0.18701318267419964</v>
      </c>
      <c r="H93" s="9">
        <f>(H40+H41-H10*H92)/(H34-H12-H10)</f>
        <v>0.22041539401343924</v>
      </c>
      <c r="I93" s="87">
        <v>0.21</v>
      </c>
      <c r="J93" s="142" t="s">
        <v>481</v>
      </c>
    </row>
    <row r="94">
      <c r="A94" s="36" t="s">
        <v>214</v>
      </c>
      <c r="B94" s="61" t="s">
        <v>32</v>
      </c>
      <c r="C94" s="61" t="s">
        <v>32</v>
      </c>
      <c r="D94" s="61" t="s">
        <v>32</v>
      </c>
      <c r="E94" s="61" t="s">
        <v>32</v>
      </c>
      <c r="F94" s="61" t="s">
        <v>32</v>
      </c>
      <c r="G94" s="61">
        <f>(G93-B93)*10000</f>
        <v>-136.6013403402977</v>
      </c>
      <c r="H94" s="61">
        <f>(H93-C93)*10000</f>
        <v>35.00067110974059</v>
      </c>
      <c r="I94" s="79">
        <f>(I93-D93)*10000</f>
        <v>27.367601246106044</v>
      </c>
      <c r="J94" s="17"/>
    </row>
    <row r="95">
      <c r="A95" s="36" t="s">
        <v>215</v>
      </c>
      <c r="B95" s="61" t="s">
        <v>32</v>
      </c>
      <c r="C95" s="61">
        <f>(C93-B93)*10000</f>
        <v>162.4201019423577</v>
      </c>
      <c r="D95" s="61">
        <f>(D93-C93)*10000</f>
        <v>-96.5208702707579</v>
      </c>
      <c r="E95" s="61">
        <f>(E93-D93)*10000</f>
        <v>-16.363669899374656</v>
      </c>
      <c r="F95" s="61" t="s">
        <v>32</v>
      </c>
      <c r="G95" s="61">
        <f>(G93-E93)*10000</f>
        <v>-186.13690211252282</v>
      </c>
      <c r="H95" s="61">
        <f>(H93-G93)*10000</f>
        <v>334.02211339239597</v>
      </c>
      <c r="I95" s="79">
        <f>(I93-H93)*10000</f>
        <v>-104.15394013439244</v>
      </c>
      <c r="J95" s="17"/>
    </row>
    <row r="96">
      <c r="A96" s="42" t="s">
        <v>482</v>
      </c>
      <c r="B96" s="8"/>
      <c r="C96" s="8"/>
      <c r="D96" s="8"/>
      <c r="E96" s="8"/>
      <c r="F96" s="8"/>
      <c r="G96" s="8"/>
      <c r="H96" s="8"/>
      <c r="I96" s="21"/>
      <c r="J96" s="17"/>
    </row>
    <row r="97">
      <c r="A97" s="35" t="s">
        <v>462</v>
      </c>
      <c r="B97" s="14">
        <f>B47</f>
        <v>395</v>
      </c>
      <c r="C97" s="14">
        <f>C47</f>
        <v>1509</v>
      </c>
      <c r="D97" s="14">
        <f>D47</f>
        <v>1888</v>
      </c>
      <c r="E97" s="14">
        <f>E47</f>
        <v>2496</v>
      </c>
      <c r="F97" s="14">
        <f>F47</f>
        <v>6288</v>
      </c>
      <c r="G97" s="14">
        <f>G47</f>
        <v>1711</v>
      </c>
      <c r="H97" s="14">
        <f>H47</f>
        <v>2208</v>
      </c>
      <c r="I97" s="45">
        <f>I47</f>
        <v>1593.4841109411843</v>
      </c>
      <c r="J97" s="17"/>
    </row>
    <row r="98">
      <c r="A98" s="35" t="s">
        <v>483</v>
      </c>
      <c r="B98" s="14">
        <f>-(B12-B42)</f>
        <v>48</v>
      </c>
      <c r="C98" s="14">
        <f>-(C12-C42)</f>
        <v>-5</v>
      </c>
      <c r="D98" s="14">
        <f>-(D12-D42)</f>
        <v>-21</v>
      </c>
      <c r="E98" s="14">
        <f>-(E12-E42)</f>
        <v>15</v>
      </c>
      <c r="F98" s="14">
        <f>-(F12-F42)</f>
        <v>37</v>
      </c>
      <c r="G98" s="14">
        <f>-(G12-G42)</f>
        <v>-15</v>
      </c>
      <c r="H98" s="14">
        <f>-(H12-H42)</f>
        <v>-48</v>
      </c>
      <c r="I98" s="45">
        <f>-(I12-I42)</f>
        <v>0</v>
      </c>
      <c r="J98" s="17" t="s">
        <v>484</v>
      </c>
    </row>
    <row r="99" ht="27.75">
      <c r="A99" s="35" t="s">
        <v>485</v>
      </c>
      <c r="B99" s="6">
        <v>0</v>
      </c>
      <c r="C99" s="6">
        <v>0</v>
      </c>
      <c r="D99" s="6">
        <v>0</v>
      </c>
      <c r="E99" s="6">
        <v>0</v>
      </c>
      <c r="F99" s="14">
        <f>SUM(B99:E99)</f>
        <v>0</v>
      </c>
      <c r="G99" s="6">
        <v>0</v>
      </c>
      <c r="H99" s="6">
        <v>0</v>
      </c>
      <c r="I99" s="62">
        <v>0</v>
      </c>
      <c r="J99" s="142" t="s">
        <v>486</v>
      </c>
    </row>
    <row r="100">
      <c r="A100" s="22" t="s">
        <v>487</v>
      </c>
      <c r="B100" s="30">
        <f>B97+B98+B99</f>
        <v>443</v>
      </c>
      <c r="C100" s="30">
        <f>C97+C98+C99</f>
        <v>1504</v>
      </c>
      <c r="D100" s="30">
        <f>D97+D98+D99</f>
        <v>1867</v>
      </c>
      <c r="E100" s="30">
        <f>E97+E98+E99</f>
        <v>2511</v>
      </c>
      <c r="F100" s="30">
        <f>F97+F98+F99</f>
        <v>6325</v>
      </c>
      <c r="G100" s="30">
        <f>G97+G98+G99</f>
        <v>1696</v>
      </c>
      <c r="H100" s="30">
        <f>H97+H98+H99</f>
        <v>2160</v>
      </c>
      <c r="I100" s="44">
        <f>I97+I98+I99</f>
        <v>1593.4841109411843</v>
      </c>
      <c r="J100" s="17"/>
    </row>
    <row r="101">
      <c r="A101" s="36" t="s">
        <v>172</v>
      </c>
      <c r="B101" s="9">
        <f>IFERROR(B100/B103-1,"n/a")</f>
        <v>-0.5958029197080292</v>
      </c>
      <c r="C101" s="9">
        <f>IFERROR(C100/C103-1,"n/a")</f>
        <v>1.5709401709401711</v>
      </c>
      <c r="D101" s="9">
        <f>IFERROR(D100/D103-1,"n/a")</f>
        <v>0.5328407224958949</v>
      </c>
      <c r="E101" s="9">
        <f>IFERROR(E100/E103-1,"n/a")</f>
        <v>0.1810912511759173</v>
      </c>
      <c r="F101" s="9">
        <f>IFERROR(F100/F103-1,"n/a")</f>
        <v>0.2587064676616915</v>
      </c>
      <c r="G101" s="9">
        <f>IFERROR(G100/G103-1,"n/a")</f>
        <v>2.8284424379232505</v>
      </c>
      <c r="H101" s="9">
        <f>IFERROR(H100/H103-1,"n/a")</f>
        <v>0.43617021276595747</v>
      </c>
      <c r="I101" s="29">
        <f>IFERROR(I100/I103-1,"n/a")</f>
        <v>-0.1465002083871535</v>
      </c>
      <c r="J101" s="17"/>
    </row>
    <row r="102">
      <c r="A102" s="36" t="s">
        <v>173</v>
      </c>
      <c r="B102" s="9" t="s">
        <v>32</v>
      </c>
      <c r="C102" s="9">
        <f>IFERROR(C100/B100-1,"n/a")</f>
        <v>2.395033860045147</v>
      </c>
      <c r="D102" s="9">
        <f>IFERROR(D100/C100-1,"n/a")</f>
        <v>0.2413563829787233</v>
      </c>
      <c r="E102" s="9">
        <f>IFERROR(E100/D100-1,"n/a")</f>
        <v>0.34493840385645425</v>
      </c>
      <c r="F102" s="9" t="s">
        <v>32</v>
      </c>
      <c r="G102" s="9">
        <f>IFERROR(G100/E100-1,"n/a")</f>
        <v>-0.3245718837116687</v>
      </c>
      <c r="H102" s="9">
        <f>IFERROR(H100/G100-1,"n/a")</f>
        <v>0.2735849056603774</v>
      </c>
      <c r="I102" s="29">
        <f>IFERROR(I100/H100-1,"n/a")</f>
        <v>-0.2622758745642665</v>
      </c>
      <c r="J102" s="17"/>
    </row>
    <row r="103">
      <c r="A103" s="35" t="s">
        <v>488</v>
      </c>
      <c r="B103" s="6">
        <v>1096</v>
      </c>
      <c r="C103" s="6">
        <v>585</v>
      </c>
      <c r="D103" s="6">
        <v>1218</v>
      </c>
      <c r="E103" s="6">
        <v>2126</v>
      </c>
      <c r="F103" s="14">
        <f>SUM(B103:E103)</f>
        <v>5025</v>
      </c>
      <c r="G103" s="14">
        <f>B100</f>
        <v>443</v>
      </c>
      <c r="H103" s="14">
        <f>C100</f>
        <v>1504</v>
      </c>
      <c r="I103" s="45">
        <f>D100</f>
        <v>1867</v>
      </c>
      <c r="J103" s="17" t="s">
        <v>210</v>
      </c>
    </row>
    <row r="104">
      <c r="A104" s="35" t="s">
        <v>489</v>
      </c>
      <c r="B104" s="6">
        <v>443</v>
      </c>
      <c r="C104" s="6">
        <v>1504</v>
      </c>
      <c r="D104" s="6">
        <v>1867</v>
      </c>
      <c r="E104" s="6">
        <v>2511</v>
      </c>
      <c r="F104" s="14">
        <f>SUM(B104:E104)</f>
        <v>6325</v>
      </c>
      <c r="G104" s="6">
        <v>1696</v>
      </c>
      <c r="H104" s="6">
        <v>2160</v>
      </c>
      <c r="I104" s="45"/>
      <c r="J104" s="17" t="s">
        <v>490</v>
      </c>
    </row>
    <row r="105">
      <c r="A105" s="36" t="s">
        <v>248</v>
      </c>
      <c r="B105" s="31">
        <f>B100-B104</f>
        <v>0</v>
      </c>
      <c r="C105" s="31">
        <f>C100-C104</f>
        <v>0</v>
      </c>
      <c r="D105" s="31">
        <f>D100-D104</f>
        <v>0</v>
      </c>
      <c r="E105" s="31">
        <f>E100-E104</f>
        <v>0</v>
      </c>
      <c r="F105" s="31">
        <f>F100-F104</f>
        <v>0</v>
      </c>
      <c r="G105" s="31">
        <f>G100-G104</f>
        <v>0</v>
      </c>
      <c r="H105" s="31">
        <f>H100-H104</f>
        <v>0</v>
      </c>
      <c r="I105" s="40"/>
      <c r="J105" s="17"/>
    </row>
    <row r="106">
      <c r="A106" s="42" t="s">
        <v>491</v>
      </c>
      <c r="B106" s="8"/>
      <c r="C106" s="8"/>
      <c r="D106" s="8"/>
      <c r="E106" s="8"/>
      <c r="F106" s="8"/>
      <c r="G106" s="8"/>
      <c r="H106" s="8"/>
      <c r="I106" s="21"/>
      <c r="J106" s="17"/>
    </row>
    <row r="107">
      <c r="A107" s="35" t="s">
        <v>170</v>
      </c>
      <c r="B107" s="16">
        <f>'Segment - Business Insurance'!B193</f>
        <v>683</v>
      </c>
      <c r="C107" s="16">
        <f>'Segment - Business Insurance'!C193</f>
        <v>813</v>
      </c>
      <c r="D107" s="16">
        <f>'Segment - Business Insurance'!D193</f>
        <v>907</v>
      </c>
      <c r="E107" s="16">
        <f>'Segment - Business Insurance'!E193</f>
        <v>1292</v>
      </c>
      <c r="F107" s="16">
        <f>'Segment - Business Insurance'!F193</f>
        <v>3695</v>
      </c>
      <c r="G107" s="16">
        <f>'Segment - Business Insurance'!G193</f>
        <v>839</v>
      </c>
      <c r="H107" s="16">
        <f>'Segment - Business Insurance'!H193</f>
        <v>1198</v>
      </c>
      <c r="I107" s="34">
        <f>'Segment - Business Insurance'!I193</f>
        <v>842.8706382063943</v>
      </c>
      <c r="J107" s="17"/>
    </row>
    <row r="108">
      <c r="A108" s="35" t="s">
        <v>180</v>
      </c>
      <c r="B108" s="16">
        <f>'Segment - Bond &amp; Specialty'!B146</f>
        <v>220</v>
      </c>
      <c r="C108" s="16">
        <f>'Segment - Bond &amp; Specialty'!C146</f>
        <v>244</v>
      </c>
      <c r="D108" s="16">
        <f>'Segment - Bond &amp; Specialty'!D146</f>
        <v>250</v>
      </c>
      <c r="E108" s="16">
        <f>'Segment - Bond &amp; Specialty'!E146</f>
        <v>236</v>
      </c>
      <c r="F108" s="16">
        <f>'Segment - Bond &amp; Specialty'!F146</f>
        <v>950</v>
      </c>
      <c r="G108" s="16">
        <f>'Segment - Bond &amp; Specialty'!G146</f>
        <v>254</v>
      </c>
      <c r="H108" s="16">
        <f>'Segment - Bond &amp; Specialty'!H146</f>
        <v>234</v>
      </c>
      <c r="I108" s="34">
        <f>'Segment - Bond &amp; Specialty'!I146</f>
        <v>241.40155915924942</v>
      </c>
      <c r="J108" s="17"/>
    </row>
    <row r="109">
      <c r="A109" s="35" t="s">
        <v>182</v>
      </c>
      <c r="B109" s="16">
        <f>'Segment - Personal Insurance'!B247</f>
        <v>-374</v>
      </c>
      <c r="C109" s="16">
        <f>'Segment - Personal Insurance'!C247</f>
        <v>534</v>
      </c>
      <c r="D109" s="16">
        <f>'Segment - Personal Insurance'!D247</f>
        <v>807</v>
      </c>
      <c r="E109" s="16">
        <f>'Segment - Personal Insurance'!E247</f>
        <v>1086</v>
      </c>
      <c r="F109" s="16">
        <f>'Segment - Personal Insurance'!F247</f>
        <v>2053</v>
      </c>
      <c r="G109" s="16">
        <f>'Segment - Personal Insurance'!G247</f>
        <v>704</v>
      </c>
      <c r="H109" s="16">
        <f>'Segment - Personal Insurance'!H247</f>
        <v>827</v>
      </c>
      <c r="I109" s="34">
        <f>'Segment - Personal Insurance'!I247</f>
        <v>608.7519135755409</v>
      </c>
      <c r="J109" s="17"/>
    </row>
    <row r="110">
      <c r="A110" s="35" t="s">
        <v>492</v>
      </c>
      <c r="B110" s="14">
        <f>-(B30+B24)-B41</f>
        <v>-86</v>
      </c>
      <c r="C110" s="14">
        <f>-(C30+C24)-C41</f>
        <v>-87</v>
      </c>
      <c r="D110" s="14">
        <f>-(D30+D24)-D41</f>
        <v>-97</v>
      </c>
      <c r="E110" s="14">
        <f>-(E30+E24)-E41</f>
        <v>-103</v>
      </c>
      <c r="F110" s="14">
        <f>-(F30+F24)-F41</f>
        <v>-373</v>
      </c>
      <c r="G110" s="14">
        <f>-(G30+G24)-G41</f>
        <v>-101</v>
      </c>
      <c r="H110" s="14">
        <f>-(H30+H24)-H41</f>
        <v>-99</v>
      </c>
      <c r="I110" s="45">
        <f>-(I30+I24)-I41</f>
        <v>-99.54</v>
      </c>
      <c r="J110" s="17"/>
    </row>
    <row r="111">
      <c r="A111" s="22" t="s">
        <v>493</v>
      </c>
      <c r="B111" s="30">
        <f>B107+B108+B109+B110</f>
        <v>443</v>
      </c>
      <c r="C111" s="30">
        <f>C107+C108+C109+C110</f>
        <v>1504</v>
      </c>
      <c r="D111" s="30">
        <f>D107+D108+D109+D110</f>
        <v>1867</v>
      </c>
      <c r="E111" s="30">
        <f>E107+E108+E109+E110</f>
        <v>2511</v>
      </c>
      <c r="F111" s="30">
        <f>F107+F108+F109+F110</f>
        <v>6325</v>
      </c>
      <c r="G111" s="30">
        <f>G107+G108+G109+G110</f>
        <v>1696</v>
      </c>
      <c r="H111" s="30">
        <f>H107+H108+H109+H110</f>
        <v>2160</v>
      </c>
      <c r="I111" s="44">
        <f>I107+I108+I109+I110</f>
        <v>1593.4841109411846</v>
      </c>
      <c r="J111" s="17"/>
    </row>
    <row r="112">
      <c r="A112" s="36" t="s">
        <v>494</v>
      </c>
      <c r="B112" s="31">
        <f>B111-B100</f>
        <v>0</v>
      </c>
      <c r="C112" s="31">
        <f>C111-C100</f>
        <v>0</v>
      </c>
      <c r="D112" s="31">
        <f>D111-D100</f>
        <v>0</v>
      </c>
      <c r="E112" s="31">
        <f>E111-E100</f>
        <v>0</v>
      </c>
      <c r="F112" s="31">
        <f>F111-F100</f>
        <v>0</v>
      </c>
      <c r="G112" s="31">
        <f>G111-G100</f>
        <v>0</v>
      </c>
      <c r="H112" s="31">
        <f>H111-H100</f>
        <v>0</v>
      </c>
      <c r="I112" s="40">
        <f>I111-I100</f>
        <v>0</v>
      </c>
      <c r="J112" s="17"/>
    </row>
    <row r="113">
      <c r="A113" s="42" t="s">
        <v>495</v>
      </c>
      <c r="B113" s="8"/>
      <c r="C113" s="8"/>
      <c r="D113" s="8"/>
      <c r="E113" s="8"/>
      <c r="F113" s="8"/>
      <c r="G113" s="8"/>
      <c r="H113" s="8"/>
      <c r="I113" s="21"/>
      <c r="J113" s="17"/>
    </row>
    <row r="114">
      <c r="A114" s="65" t="s">
        <v>496</v>
      </c>
      <c r="B114" s="9">
        <f>-B121/B100</f>
        <v>0.006772009029345372</v>
      </c>
      <c r="C114" s="9">
        <f>-C121/C100</f>
        <v>0.007313829787234043</v>
      </c>
      <c r="D114" s="9">
        <f>-D121/D100</f>
        <v>0.007498660953401178</v>
      </c>
      <c r="E114" s="9">
        <f>-E121/E100</f>
        <v>0.007168458781362007</v>
      </c>
      <c r="F114" s="9">
        <f>-F121/F100</f>
        <v>0.007272727272727273</v>
      </c>
      <c r="G114" s="9">
        <f>-G121/G100</f>
        <v>0.007075471698113208</v>
      </c>
      <c r="H114" s="9">
        <f>-H121/H100</f>
        <v>0.006944444444444444</v>
      </c>
      <c r="I114" s="29">
        <f>AVERAGE(D114,E114,G114,H114)</f>
        <v>0.007171758969330209</v>
      </c>
      <c r="J114" s="17" t="s">
        <v>497</v>
      </c>
    </row>
    <row r="115">
      <c r="A115" s="36" t="s">
        <v>214</v>
      </c>
      <c r="B115" s="61" t="s">
        <v>32</v>
      </c>
      <c r="C115" s="61" t="s">
        <v>32</v>
      </c>
      <c r="D115" s="61" t="s">
        <v>32</v>
      </c>
      <c r="E115" s="61" t="s">
        <v>32</v>
      </c>
      <c r="F115" s="61" t="s">
        <v>32</v>
      </c>
      <c r="G115" s="61">
        <f>(G114-B114)*10000</f>
        <v>3.0346266876783536</v>
      </c>
      <c r="H115" s="61">
        <f>(H114-C114)*10000</f>
        <v>-3.6938534278959865</v>
      </c>
      <c r="I115" s="79">
        <f>(I114-D114)*10000</f>
        <v>-3.269019840709689</v>
      </c>
      <c r="J115" s="17"/>
    </row>
    <row r="116">
      <c r="A116" s="36" t="s">
        <v>215</v>
      </c>
      <c r="B116" s="61" t="s">
        <v>32</v>
      </c>
      <c r="C116" s="61">
        <f>(C114-B114)*10000</f>
        <v>5.418207578886704</v>
      </c>
      <c r="D116" s="61">
        <f>(D114-C114)*10000</f>
        <v>1.8483116616713549</v>
      </c>
      <c r="E116" s="61">
        <f>(E114-D114)*10000</f>
        <v>-3.30202172039171</v>
      </c>
      <c r="F116" s="61" t="s">
        <v>32</v>
      </c>
      <c r="G116" s="61">
        <f>(G114-E114)*10000</f>
        <v>-0.9298708324879945</v>
      </c>
      <c r="H116" s="61">
        <f>(H114-G114)*10000</f>
        <v>-1.3102725366876364</v>
      </c>
      <c r="I116" s="79">
        <f>(I114-H114)*10000</f>
        <v>2.2731452488576522</v>
      </c>
      <c r="J116" s="17"/>
    </row>
    <row r="117">
      <c r="A117" s="35" t="s">
        <v>498</v>
      </c>
      <c r="B117" s="6">
        <v>-3</v>
      </c>
      <c r="C117" s="6">
        <v>-11</v>
      </c>
      <c r="D117" s="6">
        <v>-13</v>
      </c>
      <c r="E117" s="6">
        <v>-19</v>
      </c>
      <c r="F117" s="14">
        <f>SUM(B117:E117)</f>
        <v>-46</v>
      </c>
      <c r="G117" s="6">
        <v>-12</v>
      </c>
      <c r="H117" s="6">
        <v>-15</v>
      </c>
      <c r="I117" s="45">
        <f>-I47*I114</f>
        <v>-11.428083965127612</v>
      </c>
      <c r="J117" s="17" t="s">
        <v>499</v>
      </c>
    </row>
    <row r="118">
      <c r="A118" s="36" t="s">
        <v>172</v>
      </c>
      <c r="B118" s="9" t="s">
        <v>32</v>
      </c>
      <c r="C118" s="9" t="s">
        <v>32</v>
      </c>
      <c r="D118" s="9" t="s">
        <v>32</v>
      </c>
      <c r="E118" s="9" t="s">
        <v>32</v>
      </c>
      <c r="F118" s="9" t="s">
        <v>32</v>
      </c>
      <c r="G118" s="9">
        <f>IFERROR(G117/B117-1,"n/a")</f>
        <v>3</v>
      </c>
      <c r="H118" s="9">
        <f>IFERROR(H117/C117-1,"n/a")</f>
        <v>0.36363636363636354</v>
      </c>
      <c r="I118" s="29">
        <f>IFERROR(I117/D117-1,"n/a")</f>
        <v>-0.12091661806710674</v>
      </c>
      <c r="J118" s="17"/>
    </row>
    <row r="119">
      <c r="A119" s="36" t="s">
        <v>196</v>
      </c>
      <c r="B119" s="31" t="s">
        <v>32</v>
      </c>
      <c r="C119" s="31">
        <f>C117-B117</f>
        <v>-8</v>
      </c>
      <c r="D119" s="31">
        <f>D117-C117</f>
        <v>-2</v>
      </c>
      <c r="E119" s="31">
        <f>E117-D117</f>
        <v>-6</v>
      </c>
      <c r="F119" s="31" t="s">
        <v>32</v>
      </c>
      <c r="G119" s="31">
        <f>G117-E117</f>
        <v>7</v>
      </c>
      <c r="H119" s="31">
        <f>H117-G117</f>
        <v>-3</v>
      </c>
      <c r="I119" s="40">
        <f>I117-H117</f>
        <v>3.5719160348723875</v>
      </c>
      <c r="J119" s="17"/>
    </row>
    <row r="120">
      <c r="A120" s="88" t="s">
        <v>500</v>
      </c>
      <c r="B120" s="30">
        <f>B47+B117</f>
        <v>392</v>
      </c>
      <c r="C120" s="30">
        <f>C47+C117</f>
        <v>1498</v>
      </c>
      <c r="D120" s="30">
        <f>D47+D117</f>
        <v>1875</v>
      </c>
      <c r="E120" s="30">
        <f>E47+E117</f>
        <v>2477</v>
      </c>
      <c r="F120" s="30">
        <f>F47+F117</f>
        <v>6242</v>
      </c>
      <c r="G120" s="30">
        <f>G47+G117</f>
        <v>1699</v>
      </c>
      <c r="H120" s="30">
        <f>H47+H117</f>
        <v>2193</v>
      </c>
      <c r="I120" s="44">
        <f>I47+I117</f>
        <v>1582.0560269760567</v>
      </c>
      <c r="J120" s="17"/>
    </row>
    <row r="121">
      <c r="A121" s="35" t="s">
        <v>501</v>
      </c>
      <c r="B121" s="6">
        <v>-3</v>
      </c>
      <c r="C121" s="6">
        <v>-11</v>
      </c>
      <c r="D121" s="6">
        <v>-14</v>
      </c>
      <c r="E121" s="6">
        <v>-18</v>
      </c>
      <c r="F121" s="14">
        <f>SUM(B121:E121)</f>
        <v>-46</v>
      </c>
      <c r="G121" s="6">
        <v>-12</v>
      </c>
      <c r="H121" s="6">
        <v>-15</v>
      </c>
      <c r="I121" s="45">
        <f>-I100*I114</f>
        <v>-11.428083965127612</v>
      </c>
      <c r="J121" s="17" t="s">
        <v>499</v>
      </c>
    </row>
    <row r="122">
      <c r="A122" s="36" t="s">
        <v>172</v>
      </c>
      <c r="B122" s="9" t="s">
        <v>32</v>
      </c>
      <c r="C122" s="9" t="s">
        <v>32</v>
      </c>
      <c r="D122" s="9" t="s">
        <v>32</v>
      </c>
      <c r="E122" s="9" t="s">
        <v>32</v>
      </c>
      <c r="F122" s="9" t="s">
        <v>32</v>
      </c>
      <c r="G122" s="9">
        <f>IFERROR(G121/B121-1,"n/a")</f>
        <v>3</v>
      </c>
      <c r="H122" s="9">
        <f>IFERROR(H121/C121-1,"n/a")</f>
        <v>0.36363636363636354</v>
      </c>
      <c r="I122" s="29">
        <f>IFERROR(I121/D121-1,"n/a")</f>
        <v>-0.1837082882051705</v>
      </c>
      <c r="J122" s="17"/>
    </row>
    <row r="123">
      <c r="A123" s="36" t="s">
        <v>196</v>
      </c>
      <c r="B123" s="31" t="s">
        <v>32</v>
      </c>
      <c r="C123" s="31">
        <f>C121-B121</f>
        <v>-8</v>
      </c>
      <c r="D123" s="31">
        <f>D121-C121</f>
        <v>-3</v>
      </c>
      <c r="E123" s="31">
        <f>E121-D121</f>
        <v>-4</v>
      </c>
      <c r="F123" s="31" t="s">
        <v>32</v>
      </c>
      <c r="G123" s="31">
        <f>G121-E121</f>
        <v>6</v>
      </c>
      <c r="H123" s="31">
        <f>H121-G121</f>
        <v>-3</v>
      </c>
      <c r="I123" s="40">
        <f>I121-H121</f>
        <v>3.5719160348723875</v>
      </c>
      <c r="J123" s="17"/>
    </row>
    <row r="124">
      <c r="A124" s="88" t="s">
        <v>502</v>
      </c>
      <c r="B124" s="30">
        <f>B100+B121</f>
        <v>440</v>
      </c>
      <c r="C124" s="30">
        <f>C100+C121</f>
        <v>1493</v>
      </c>
      <c r="D124" s="30">
        <f>D100+D121</f>
        <v>1853</v>
      </c>
      <c r="E124" s="30">
        <f>E100+E121</f>
        <v>2493</v>
      </c>
      <c r="F124" s="30">
        <f>F100+F121</f>
        <v>6279</v>
      </c>
      <c r="G124" s="30">
        <f>G100+G121</f>
        <v>1684</v>
      </c>
      <c r="H124" s="30">
        <f>H100+H121</f>
        <v>2145</v>
      </c>
      <c r="I124" s="44">
        <f>I100+I121</f>
        <v>1582.0560269760567</v>
      </c>
      <c r="J124" s="17"/>
    </row>
    <row r="125" ht="27.75">
      <c r="A125" s="35" t="s">
        <v>503</v>
      </c>
      <c r="B125" s="16">
        <f>'Share Count'!B32</f>
        <v>226.9</v>
      </c>
      <c r="C125" s="16">
        <f>'Share Count'!C32</f>
        <v>225.9</v>
      </c>
      <c r="D125" s="16">
        <f>'Share Count'!D32</f>
        <v>224.1</v>
      </c>
      <c r="E125" s="16">
        <f>'Share Count'!E32</f>
        <v>220.3</v>
      </c>
      <c r="F125" s="16">
        <f>'Share Count'!F32</f>
        <v>224.28136986301374</v>
      </c>
      <c r="G125" s="16">
        <f>'Share Count'!G32</f>
        <v>215.2</v>
      </c>
      <c r="H125" s="16">
        <f>'Share Count'!H32</f>
        <v>210.5</v>
      </c>
      <c r="I125" s="34">
        <f>'Share Count'!I32</f>
        <v>207.44565217391306</v>
      </c>
      <c r="J125" s="142" t="s">
        <v>504</v>
      </c>
    </row>
    <row r="126" ht="27.75">
      <c r="A126" s="35" t="s">
        <v>505</v>
      </c>
      <c r="B126" s="16">
        <f>'Share Count'!B38</f>
        <v>230.4</v>
      </c>
      <c r="C126" s="16">
        <f>'Share Count'!C38</f>
        <v>229.3</v>
      </c>
      <c r="D126" s="16">
        <f>'Share Count'!D38</f>
        <v>227.5</v>
      </c>
      <c r="E126" s="16">
        <f>'Share Count'!E38</f>
        <v>224</v>
      </c>
      <c r="F126" s="16">
        <f>'Share Count'!F38</f>
        <v>227.78164383561648</v>
      </c>
      <c r="G126" s="16">
        <f>'Share Count'!G38</f>
        <v>218.39999999999998</v>
      </c>
      <c r="H126" s="16">
        <f>'Share Count'!H38</f>
        <v>213.6</v>
      </c>
      <c r="I126" s="34">
        <f>'Share Count'!I38</f>
        <v>210.54565217391306</v>
      </c>
      <c r="J126" s="142" t="s">
        <v>506</v>
      </c>
    </row>
    <row r="127">
      <c r="A127" s="35" t="s">
        <v>507</v>
      </c>
      <c r="B127" s="56">
        <f>B120/B125</f>
        <v>1.7276333186425739</v>
      </c>
      <c r="C127" s="56">
        <f>C120/C125</f>
        <v>6.631252766710934</v>
      </c>
      <c r="D127" s="56">
        <f>D120/D125</f>
        <v>8.366800535475235</v>
      </c>
      <c r="E127" s="56">
        <f>E120/E125</f>
        <v>11.243758511121198</v>
      </c>
      <c r="F127" s="56">
        <f>F120/F125</f>
        <v>27.83111233809781</v>
      </c>
      <c r="G127" s="56">
        <f>G120/G125</f>
        <v>7.894981412639406</v>
      </c>
      <c r="H127" s="56">
        <f>H120/H125</f>
        <v>10.418052256532066</v>
      </c>
      <c r="I127" s="71">
        <f>I120/I125</f>
        <v>7.626363871197129</v>
      </c>
      <c r="J127" s="17"/>
    </row>
    <row r="128">
      <c r="A128" s="22" t="s">
        <v>508</v>
      </c>
      <c r="B128" s="92">
        <f>B120/B126</f>
        <v>1.7013888888888888</v>
      </c>
      <c r="C128" s="92">
        <f>C120/C126</f>
        <v>6.532926297426951</v>
      </c>
      <c r="D128" s="92">
        <f>D120/D126</f>
        <v>8.241758241758241</v>
      </c>
      <c r="E128" s="92">
        <f>E120/E126</f>
        <v>11.058035714285714</v>
      </c>
      <c r="F128" s="92">
        <f>F120/F126</f>
        <v>27.40343732221317</v>
      </c>
      <c r="G128" s="92">
        <f>G120/G126</f>
        <v>7.77930402930403</v>
      </c>
      <c r="H128" s="92">
        <f>H120/H126</f>
        <v>10.26685393258427</v>
      </c>
      <c r="I128" s="90">
        <f>I120/I126</f>
        <v>7.514075976592767</v>
      </c>
      <c r="J128" s="17"/>
    </row>
    <row r="129">
      <c r="A129" s="36" t="s">
        <v>172</v>
      </c>
      <c r="B129" s="9" t="s">
        <v>32</v>
      </c>
      <c r="C129" s="9" t="s">
        <v>32</v>
      </c>
      <c r="D129" s="9" t="s">
        <v>32</v>
      </c>
      <c r="E129" s="9" t="s">
        <v>32</v>
      </c>
      <c r="F129" s="9" t="s">
        <v>32</v>
      </c>
      <c r="G129" s="9">
        <f>IFERROR(G128/B128-1,"n/a")</f>
        <v>3.5723256335501237</v>
      </c>
      <c r="H129" s="9">
        <f>IFERROR(H128/C128-1,"n/a")</f>
        <v>0.5715551446872986</v>
      </c>
      <c r="I129" s="29">
        <f>IFERROR(I128/D128-1,"n/a")</f>
        <v>-0.0882921148400776</v>
      </c>
      <c r="J129" s="17"/>
    </row>
    <row r="130">
      <c r="A130" s="35" t="s">
        <v>509</v>
      </c>
      <c r="B130" s="56">
        <f>B133-B128-B131</f>
        <v>0.20833333333333326</v>
      </c>
      <c r="C130" s="56">
        <f>C133-C128-C131</f>
        <v>-0.021805494984736384</v>
      </c>
      <c r="D130" s="56">
        <f>D133-D128-D131</f>
        <v>-0.09670329670329636</v>
      </c>
      <c r="E130" s="56">
        <f>E133-E128-E131</f>
        <v>0.07142857142857295</v>
      </c>
      <c r="F130" s="56">
        <f>F133-F128-F131</f>
        <v>0.16243626736973837</v>
      </c>
      <c r="G130" s="56">
        <f>G133-G128-G131</f>
        <v>-0.06868131868131844</v>
      </c>
      <c r="H130" s="56">
        <f>H133-H128-H131</f>
        <v>-0.22471910112359694</v>
      </c>
      <c r="I130" s="71">
        <f>I133-I128-I131</f>
        <v>0</v>
      </c>
      <c r="J130" s="17" t="s">
        <v>510</v>
      </c>
    </row>
    <row r="131">
      <c r="A131" s="35" t="s">
        <v>511</v>
      </c>
      <c r="B131" s="56">
        <f>B99/B126</f>
        <v>0</v>
      </c>
      <c r="C131" s="56">
        <f>C99/C126</f>
        <v>0</v>
      </c>
      <c r="D131" s="56">
        <f>D99/D126</f>
        <v>0</v>
      </c>
      <c r="E131" s="56">
        <f>E99/E126</f>
        <v>0</v>
      </c>
      <c r="F131" s="56">
        <f>F99/F126</f>
        <v>0</v>
      </c>
      <c r="G131" s="56">
        <f>G99/G126</f>
        <v>0</v>
      </c>
      <c r="H131" s="56">
        <f>H99/H126</f>
        <v>0</v>
      </c>
      <c r="I131" s="71">
        <f>I99/I126</f>
        <v>0</v>
      </c>
      <c r="J131" s="17"/>
    </row>
    <row r="132">
      <c r="A132" s="35" t="s">
        <v>512</v>
      </c>
      <c r="B132" s="56">
        <f>B124/B125</f>
        <v>1.9391802556192155</v>
      </c>
      <c r="C132" s="56">
        <f>C124/C125</f>
        <v>6.609119079238601</v>
      </c>
      <c r="D132" s="56">
        <f>D124/D125</f>
        <v>8.268630075858992</v>
      </c>
      <c r="E132" s="56">
        <f>E124/E125</f>
        <v>11.316386745347254</v>
      </c>
      <c r="F132" s="56">
        <f>F124/F125</f>
        <v>27.99608368646526</v>
      </c>
      <c r="G132" s="56">
        <f>G124/G125</f>
        <v>7.825278810408922</v>
      </c>
      <c r="H132" s="56">
        <f>H124/H125</f>
        <v>10.190023752969122</v>
      </c>
      <c r="I132" s="71">
        <f>I124/I125</f>
        <v>7.626363871197129</v>
      </c>
      <c r="J132" s="17"/>
    </row>
    <row r="133" ht="66">
      <c r="A133" s="22" t="s">
        <v>513</v>
      </c>
      <c r="B133" s="92">
        <f>B124/B126</f>
        <v>1.909722222222222</v>
      </c>
      <c r="C133" s="92">
        <f>C124/C126</f>
        <v>6.511120802442215</v>
      </c>
      <c r="D133" s="92">
        <f>D124/D126</f>
        <v>8.145054945054945</v>
      </c>
      <c r="E133" s="92">
        <f>E124/E126</f>
        <v>11.129464285714286</v>
      </c>
      <c r="F133" s="92">
        <f>F124/F126</f>
        <v>27.565873589582907</v>
      </c>
      <c r="G133" s="92">
        <f>G124/G126</f>
        <v>7.710622710622712</v>
      </c>
      <c r="H133" s="92">
        <f>H124/H126</f>
        <v>10.042134831460674</v>
      </c>
      <c r="I133" s="90">
        <f>I124/I126</f>
        <v>7.514075976592767</v>
      </c>
      <c r="J133" s="153" t="s">
        <v>514</v>
      </c>
    </row>
    <row r="134">
      <c r="A134" s="36" t="s">
        <v>172</v>
      </c>
      <c r="B134" s="9" t="s">
        <v>32</v>
      </c>
      <c r="C134" s="9" t="s">
        <v>32</v>
      </c>
      <c r="D134" s="9" t="s">
        <v>32</v>
      </c>
      <c r="E134" s="9" t="s">
        <v>32</v>
      </c>
      <c r="F134" s="9" t="s">
        <v>32</v>
      </c>
      <c r="G134" s="9">
        <f>IFERROR(G133/B133-1,"n/a")</f>
        <v>3.037562437562438</v>
      </c>
      <c r="H134" s="9">
        <f>IFERROR(H133/C133-1,"n/a")</f>
        <v>0.5423051017106046</v>
      </c>
      <c r="I134" s="29">
        <f>IFERROR(I133/D133-1,"n/a")</f>
        <v>-0.07746773627908554</v>
      </c>
      <c r="J134" s="17"/>
    </row>
    <row r="135">
      <c r="A135" s="36" t="s">
        <v>196</v>
      </c>
      <c r="B135" s="57" t="s">
        <v>32</v>
      </c>
      <c r="C135" s="57">
        <f>C133-B133</f>
        <v>4.601398580219993</v>
      </c>
      <c r="D135" s="57">
        <f>D133-C133</f>
        <v>1.6339341426127296</v>
      </c>
      <c r="E135" s="57">
        <f>E133-D133</f>
        <v>2.984409340659342</v>
      </c>
      <c r="F135" s="57" t="s">
        <v>32</v>
      </c>
      <c r="G135" s="57">
        <f>G133-E133</f>
        <v>-3.418841575091575</v>
      </c>
      <c r="H135" s="57">
        <f>H133-G133</f>
        <v>2.331512120837962</v>
      </c>
      <c r="I135" s="66">
        <f>I133-H133</f>
        <v>-2.528058854867907</v>
      </c>
      <c r="J135" s="17"/>
    </row>
    <row r="136">
      <c r="A136" s="35" t="s">
        <v>515</v>
      </c>
      <c r="B136" s="58">
        <v>1.91</v>
      </c>
      <c r="C136" s="58">
        <v>6.51</v>
      </c>
      <c r="D136" s="58">
        <v>8.14</v>
      </c>
      <c r="E136" s="58">
        <v>11.13</v>
      </c>
      <c r="F136" s="56"/>
      <c r="G136" s="58">
        <v>7.71</v>
      </c>
      <c r="H136" s="58">
        <v>10.04</v>
      </c>
      <c r="I136" s="71"/>
      <c r="J136" s="17" t="s">
        <v>499</v>
      </c>
    </row>
    <row r="137">
      <c r="A137" s="35" t="s">
        <v>516</v>
      </c>
      <c r="B137" s="58">
        <v>1.7</v>
      </c>
      <c r="C137" s="58">
        <v>6.53</v>
      </c>
      <c r="D137" s="58">
        <v>8.24</v>
      </c>
      <c r="E137" s="58">
        <v>11.06</v>
      </c>
      <c r="F137" s="56"/>
      <c r="G137" s="58">
        <v>7.78</v>
      </c>
      <c r="H137" s="58">
        <v>10.26</v>
      </c>
      <c r="I137" s="71"/>
      <c r="J137" s="17" t="s">
        <v>499</v>
      </c>
    </row>
    <row r="138">
      <c r="A138" s="35" t="s">
        <v>517</v>
      </c>
      <c r="B138" s="55">
        <f>Inputs!B12</f>
        <v>1.91</v>
      </c>
      <c r="C138" s="55">
        <f>Inputs!C12</f>
        <v>6.51</v>
      </c>
      <c r="D138" s="55">
        <f>Inputs!D12</f>
        <v>8.14</v>
      </c>
      <c r="E138" s="55">
        <f>Inputs!E12</f>
        <v>11.13</v>
      </c>
      <c r="F138" s="56"/>
      <c r="G138" s="55">
        <f>Inputs!G12</f>
        <v>7.71</v>
      </c>
      <c r="H138" s="55">
        <f>Inputs!H12</f>
        <v>10.04</v>
      </c>
      <c r="I138" s="71"/>
      <c r="J138" s="17" t="s">
        <v>518</v>
      </c>
    </row>
    <row r="139">
      <c r="A139" s="80" t="s">
        <v>519</v>
      </c>
      <c r="B139" s="37" t="b">
        <f>ABS(B133-B136)&lt;=0.02</f>
        <v>1</v>
      </c>
      <c r="C139" s="37" t="b">
        <f>ABS(C133-C136)&lt;=0.02</f>
        <v>1</v>
      </c>
      <c r="D139" s="37" t="b">
        <f>ABS(D133-D136)&lt;=0.02</f>
        <v>1</v>
      </c>
      <c r="E139" s="37" t="b">
        <f>ABS(E133-E136)&lt;=0.02</f>
        <v>1</v>
      </c>
      <c r="F139" s="37"/>
      <c r="G139" s="37" t="b">
        <f>ABS(G133-G136)&lt;=0.02</f>
        <v>1</v>
      </c>
      <c r="H139" s="37" t="b">
        <f>ABS(H133-H136)&lt;=0.02</f>
        <v>1</v>
      </c>
      <c r="I139" s="46"/>
      <c r="J139" s="17"/>
    </row>
    <row r="140">
      <c r="A140" s="80" t="s">
        <v>520</v>
      </c>
      <c r="B140" s="37" t="b">
        <f>ABS(B133-B124/B126)&lt;0.0001</f>
        <v>1</v>
      </c>
      <c r="C140" s="37" t="b">
        <f>ABS(C133-C124/C126)&lt;0.0001</f>
        <v>1</v>
      </c>
      <c r="D140" s="37" t="b">
        <f>ABS(D133-D124/D126)&lt;0.0001</f>
        <v>1</v>
      </c>
      <c r="E140" s="37" t="b">
        <f>ABS(E133-E124/E126)&lt;0.0001</f>
        <v>1</v>
      </c>
      <c r="F140" s="37" t="b">
        <f>ABS(F133-F124/F126)&lt;0.0001</f>
        <v>1</v>
      </c>
      <c r="G140" s="37" t="b">
        <f>ABS(G133-G124/G126)&lt;0.0001</f>
        <v>1</v>
      </c>
      <c r="H140" s="37" t="b">
        <f>ABS(H133-H124/H126)&lt;0.0001</f>
        <v>1</v>
      </c>
      <c r="I140" s="46" t="b">
        <f>ABS(I133-I124/I126)&lt;0.0001</f>
        <v>1</v>
      </c>
      <c r="J140" s="17"/>
    </row>
    <row r="141">
      <c r="A141" s="35" t="s">
        <v>521</v>
      </c>
      <c r="B141" s="55">
        <f>Inputs!B11</f>
        <v>0.77</v>
      </c>
      <c r="C141" s="55">
        <f>Inputs!C11</f>
        <v>3.61</v>
      </c>
      <c r="D141" s="55">
        <f>Inputs!D11</f>
        <v>6.38</v>
      </c>
      <c r="E141" s="55">
        <f>Inputs!E11</f>
        <v>8.8</v>
      </c>
      <c r="F141" s="56"/>
      <c r="G141" s="55">
        <f>Inputs!G11</f>
        <v>7.08</v>
      </c>
      <c r="H141" s="55">
        <f>Inputs!H11</f>
        <v>5.39</v>
      </c>
      <c r="I141" s="60">
        <f>Inputs!I11</f>
        <v>7.36</v>
      </c>
      <c r="J141" s="17" t="s">
        <v>522</v>
      </c>
    </row>
    <row r="142">
      <c r="A142" s="80" t="s">
        <v>523</v>
      </c>
      <c r="B142" s="56">
        <f>B133-B141</f>
        <v>1.139722222222222</v>
      </c>
      <c r="C142" s="56">
        <f>C133-C141</f>
        <v>2.901120802442215</v>
      </c>
      <c r="D142" s="56">
        <f>D133-D141</f>
        <v>1.7650549450549446</v>
      </c>
      <c r="E142" s="56">
        <f>E133-E141</f>
        <v>2.3294642857142858</v>
      </c>
      <c r="F142" s="56"/>
      <c r="G142" s="56">
        <f>G133-G141</f>
        <v>0.6306227106227116</v>
      </c>
      <c r="H142" s="56">
        <f>H133-H141</f>
        <v>4.652134831460674</v>
      </c>
      <c r="I142" s="71">
        <f>I133-I141</f>
        <v>0.1540759765927664</v>
      </c>
      <c r="J142" s="17"/>
    </row>
    <row r="143">
      <c r="A143" s="35" t="s">
        <v>524</v>
      </c>
      <c r="B143" s="55">
        <f>Inputs!B13</f>
        <v>0.73</v>
      </c>
      <c r="C143" s="55">
        <f>Inputs!C13</f>
        <v>3.7</v>
      </c>
      <c r="D143" s="55">
        <f>Inputs!D13</f>
        <v>6.42</v>
      </c>
      <c r="E143" s="55">
        <f>Inputs!E13</f>
        <v>8.92</v>
      </c>
      <c r="F143" s="56"/>
      <c r="G143" s="55">
        <f>Inputs!G13</f>
        <v>7.15</v>
      </c>
      <c r="H143" s="55">
        <f>Inputs!H13</f>
        <v>5.4</v>
      </c>
      <c r="I143" s="60">
        <f>Inputs!I13</f>
        <v>7.18</v>
      </c>
      <c r="J143" s="17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J55"/>
  <sheetViews>
    <sheetView showGridLines="0" workbookViewId="0"/>
  </sheetViews>
  <sheetFormatPr defaultColWidth="8.42578125" defaultRowHeight="15"/>
  <cols>
    <col min="1" max="1" width="37" customWidth="1"/>
    <col min="2" max="9" width="12" customWidth="1"/>
    <col min="10" max="10" width="45" customWidth="1"/>
  </cols>
  <sheetData>
    <row r="1">
      <c r="A1" s="26" t="s">
        <v>0</v>
      </c>
      <c r="B1" s="1"/>
      <c r="C1" s="1"/>
      <c r="D1" s="1"/>
      <c r="E1" s="1"/>
      <c r="F1" s="1"/>
      <c r="G1" s="1"/>
      <c r="H1" s="1"/>
      <c r="I1" s="1"/>
      <c r="J1" s="1"/>
    </row>
    <row r="2">
      <c r="A2" s="22" t="s">
        <v>525</v>
      </c>
      <c r="B2" s="1"/>
      <c r="C2" s="1"/>
      <c r="D2" s="1"/>
      <c r="E2" s="1"/>
      <c r="F2" s="1"/>
      <c r="G2" s="1"/>
      <c r="H2" s="1"/>
      <c r="I2" s="1"/>
      <c r="J2" s="1"/>
    </row>
    <row r="3">
      <c r="A3" s="11" t="s">
        <v>2</v>
      </c>
      <c r="B3" s="1"/>
      <c r="C3" s="1"/>
      <c r="D3" s="1"/>
      <c r="E3" s="1"/>
      <c r="F3" s="1"/>
      <c r="G3" s="1"/>
      <c r="H3" s="1"/>
      <c r="I3" s="1"/>
      <c r="J3" s="1"/>
    </row>
    <row r="4">
      <c r="A4" s="12" t="s">
        <v>158</v>
      </c>
      <c r="B4" s="13" t="s">
        <v>159</v>
      </c>
      <c r="C4" s="13" t="s">
        <v>160</v>
      </c>
      <c r="D4" s="13" t="s">
        <v>161</v>
      </c>
      <c r="E4" s="13" t="s">
        <v>162</v>
      </c>
      <c r="F4" s="13" t="s">
        <v>163</v>
      </c>
      <c r="G4" s="13" t="s">
        <v>164</v>
      </c>
      <c r="H4" s="13" t="s">
        <v>165</v>
      </c>
      <c r="I4" s="39" t="s">
        <v>166</v>
      </c>
      <c r="J4" s="10" t="s">
        <v>4</v>
      </c>
    </row>
    <row r="5">
      <c r="A5" s="4" t="s">
        <v>167</v>
      </c>
      <c r="B5" s="7">
        <f>DATE(2025,3,31)</f>
        <v>45747</v>
      </c>
      <c r="C5" s="7">
        <f>DATE(2025,6,30)</f>
        <v>45838</v>
      </c>
      <c r="D5" s="7">
        <f>DATE(2025,9,30)</f>
        <v>45930</v>
      </c>
      <c r="E5" s="7">
        <f>DATE(2025,12,31)</f>
        <v>46022</v>
      </c>
      <c r="F5" s="7">
        <f>DATE(2025,12,31)</f>
        <v>46022</v>
      </c>
      <c r="G5" s="7">
        <f>DATE(2026,3,31)</f>
        <v>46112</v>
      </c>
      <c r="H5" s="7">
        <f>DATE(2026,6,30)</f>
        <v>46203</v>
      </c>
      <c r="I5" s="38">
        <f>DATE(2026,9,30)</f>
        <v>46295</v>
      </c>
      <c r="J5" s="24"/>
    </row>
    <row r="6">
      <c r="A6" s="41" t="s">
        <v>168</v>
      </c>
      <c r="B6" s="20">
        <f>B5-DATE(2024,12,31)</f>
        <v>90</v>
      </c>
      <c r="C6" s="20">
        <f>C5-B5</f>
        <v>91</v>
      </c>
      <c r="D6" s="20">
        <f>D5-C5</f>
        <v>92</v>
      </c>
      <c r="E6" s="20">
        <f>E5-D5</f>
        <v>92</v>
      </c>
      <c r="F6" s="20">
        <f>F5-DATE(2024,12,31)</f>
        <v>365</v>
      </c>
      <c r="G6" s="20">
        <f>G5-E5</f>
        <v>90</v>
      </c>
      <c r="H6" s="20">
        <f>H5-G5</f>
        <v>91</v>
      </c>
      <c r="I6" s="15">
        <f>I5-H5</f>
        <v>92</v>
      </c>
      <c r="J6" s="18"/>
    </row>
    <row r="7">
      <c r="A7" s="1"/>
      <c r="B7" s="1"/>
      <c r="C7" s="1"/>
      <c r="D7" s="1"/>
      <c r="E7" s="1"/>
      <c r="F7" s="1"/>
      <c r="G7" s="1"/>
      <c r="H7" s="1"/>
      <c r="I7" s="33"/>
      <c r="J7" s="17"/>
    </row>
    <row r="8">
      <c r="A8" s="42" t="s">
        <v>526</v>
      </c>
      <c r="B8" s="8"/>
      <c r="C8" s="8"/>
      <c r="D8" s="8"/>
      <c r="E8" s="8"/>
      <c r="F8" s="8"/>
      <c r="G8" s="8"/>
      <c r="H8" s="8"/>
      <c r="I8" s="21"/>
      <c r="J8" s="17"/>
    </row>
    <row r="9" ht="27.75">
      <c r="A9" s="35" t="s">
        <v>527</v>
      </c>
      <c r="B9" s="6">
        <v>85421</v>
      </c>
      <c r="C9" s="6">
        <v>87569</v>
      </c>
      <c r="D9" s="6">
        <v>91113</v>
      </c>
      <c r="E9" s="6">
        <v>89833</v>
      </c>
      <c r="F9" s="14">
        <f>E9</f>
        <v>89833</v>
      </c>
      <c r="G9" s="6">
        <v>90736</v>
      </c>
      <c r="H9" s="6">
        <v>92922</v>
      </c>
      <c r="I9" s="34">
        <f>H9-'Cash Flow Statement'!I41</f>
        <v>94996.61410495445</v>
      </c>
      <c r="J9" s="153" t="s">
        <v>528</v>
      </c>
    </row>
    <row r="10">
      <c r="A10" s="35" t="s">
        <v>529</v>
      </c>
      <c r="B10" s="6">
        <v>623</v>
      </c>
      <c r="C10" s="6">
        <v>651</v>
      </c>
      <c r="D10" s="6">
        <v>692</v>
      </c>
      <c r="E10" s="6">
        <v>618</v>
      </c>
      <c r="F10" s="14">
        <f>E10</f>
        <v>618</v>
      </c>
      <c r="G10" s="6">
        <v>591</v>
      </c>
      <c r="H10" s="6">
        <v>652</v>
      </c>
      <c r="I10" s="45">
        <f>H10</f>
        <v>652</v>
      </c>
      <c r="J10" s="17" t="s">
        <v>530</v>
      </c>
    </row>
    <row r="11">
      <c r="A11" s="35" t="s">
        <v>531</v>
      </c>
      <c r="B11" s="6">
        <v>897</v>
      </c>
      <c r="C11" s="6">
        <v>891</v>
      </c>
      <c r="D11" s="6">
        <v>888</v>
      </c>
      <c r="E11" s="6">
        <v>900</v>
      </c>
      <c r="F11" s="14">
        <f>E11</f>
        <v>900</v>
      </c>
      <c r="G11" s="6">
        <v>899</v>
      </c>
      <c r="H11" s="6">
        <v>884</v>
      </c>
      <c r="I11" s="45">
        <f>H11</f>
        <v>884</v>
      </c>
      <c r="J11" s="17" t="s">
        <v>530</v>
      </c>
    </row>
    <row r="12">
      <c r="A12" s="35" t="s">
        <v>532</v>
      </c>
      <c r="B12" s="6">
        <v>4529</v>
      </c>
      <c r="C12" s="6">
        <v>4748</v>
      </c>
      <c r="D12" s="6">
        <v>6798</v>
      </c>
      <c r="E12" s="6">
        <v>5716</v>
      </c>
      <c r="F12" s="14">
        <f>E12</f>
        <v>5716</v>
      </c>
      <c r="G12" s="6">
        <v>6660</v>
      </c>
      <c r="H12" s="6">
        <v>4579</v>
      </c>
      <c r="I12" s="45">
        <f>H12</f>
        <v>4579</v>
      </c>
      <c r="J12" s="17" t="s">
        <v>530</v>
      </c>
    </row>
    <row r="13" ht="27.75">
      <c r="A13" s="35" t="s">
        <v>533</v>
      </c>
      <c r="B13" s="6">
        <v>4226</v>
      </c>
      <c r="C13" s="6">
        <v>4206</v>
      </c>
      <c r="D13" s="6">
        <v>4193</v>
      </c>
      <c r="E13" s="6">
        <v>4115</v>
      </c>
      <c r="F13" s="14">
        <f>E13</f>
        <v>4115</v>
      </c>
      <c r="G13" s="6">
        <v>4092</v>
      </c>
      <c r="H13" s="6">
        <v>4142</v>
      </c>
      <c r="I13" s="34">
        <f>H13-'Cash Flow Statement'!I10-'Cash Flow Statement'!I14</f>
        <v>4142</v>
      </c>
      <c r="J13" s="153" t="s">
        <v>534</v>
      </c>
    </row>
    <row r="14">
      <c r="A14" s="22" t="s">
        <v>535</v>
      </c>
      <c r="B14" s="30">
        <f>B9+B10+B11+B12+B13</f>
        <v>95696</v>
      </c>
      <c r="C14" s="30">
        <f>C9+C10+C11+C12+C13</f>
        <v>98065</v>
      </c>
      <c r="D14" s="30">
        <f>D9+D10+D11+D12+D13</f>
        <v>103684</v>
      </c>
      <c r="E14" s="30">
        <f>E9+E10+E11+E12+E13</f>
        <v>101182</v>
      </c>
      <c r="F14" s="30">
        <f>F9+F10+F11+F12+F13</f>
        <v>101182</v>
      </c>
      <c r="G14" s="30">
        <f>G9+G10+G11+G12+G13</f>
        <v>102978</v>
      </c>
      <c r="H14" s="30">
        <f>H9+H10+H11+H12+H13</f>
        <v>103179</v>
      </c>
      <c r="I14" s="44">
        <f>I9+I10+I11+I12+I13</f>
        <v>105253.61410495445</v>
      </c>
      <c r="J14" s="17"/>
    </row>
    <row r="15">
      <c r="A15" s="35" t="s">
        <v>536</v>
      </c>
      <c r="B15" s="6">
        <v>724</v>
      </c>
      <c r="C15" s="6">
        <v>659</v>
      </c>
      <c r="D15" s="6">
        <v>729</v>
      </c>
      <c r="E15" s="6">
        <v>842</v>
      </c>
      <c r="F15" s="14">
        <f>E15</f>
        <v>842</v>
      </c>
      <c r="G15" s="6">
        <v>615</v>
      </c>
      <c r="H15" s="6">
        <v>621</v>
      </c>
      <c r="I15" s="34">
        <f>'Cash Flow Statement'!I59</f>
        <v>621</v>
      </c>
      <c r="J15" s="17" t="s">
        <v>537</v>
      </c>
    </row>
    <row r="16">
      <c r="A16" s="35" t="s">
        <v>538</v>
      </c>
      <c r="B16" s="6">
        <v>703</v>
      </c>
      <c r="C16" s="6">
        <v>785</v>
      </c>
      <c r="D16" s="6">
        <v>776</v>
      </c>
      <c r="E16" s="6">
        <v>877</v>
      </c>
      <c r="F16" s="14">
        <f>E16</f>
        <v>877</v>
      </c>
      <c r="G16" s="6">
        <v>801</v>
      </c>
      <c r="H16" s="6">
        <v>911</v>
      </c>
      <c r="I16" s="45">
        <f>H16</f>
        <v>911</v>
      </c>
      <c r="J16" s="17" t="s">
        <v>530</v>
      </c>
    </row>
    <row r="17">
      <c r="A17" s="35" t="s">
        <v>539</v>
      </c>
      <c r="B17" s="6">
        <v>11575</v>
      </c>
      <c r="C17" s="6">
        <v>12042</v>
      </c>
      <c r="D17" s="6">
        <v>11621</v>
      </c>
      <c r="E17" s="6">
        <v>10992</v>
      </c>
      <c r="F17" s="14">
        <f>E17</f>
        <v>10992</v>
      </c>
      <c r="G17" s="6">
        <v>11423</v>
      </c>
      <c r="H17" s="6">
        <v>12382</v>
      </c>
      <c r="I17" s="34">
        <f>H17-'Cash Flow Statement'!I15</f>
        <v>12032</v>
      </c>
      <c r="J17" s="17" t="s">
        <v>530</v>
      </c>
    </row>
    <row r="18">
      <c r="A18" s="35" t="s">
        <v>540</v>
      </c>
      <c r="B18" s="6">
        <v>8105</v>
      </c>
      <c r="C18" s="6">
        <v>8059</v>
      </c>
      <c r="D18" s="6">
        <v>8298</v>
      </c>
      <c r="E18" s="6">
        <v>7886</v>
      </c>
      <c r="F18" s="14">
        <f>E18</f>
        <v>7886</v>
      </c>
      <c r="G18" s="6">
        <v>7988</v>
      </c>
      <c r="H18" s="6">
        <v>8009</v>
      </c>
      <c r="I18" s="34">
        <f>H18-'Cash Flow Statement'!I16</f>
        <v>8009</v>
      </c>
      <c r="J18" s="17" t="s">
        <v>530</v>
      </c>
    </row>
    <row r="19">
      <c r="A19" s="35" t="s">
        <v>541</v>
      </c>
      <c r="B19" s="6">
        <v>1804</v>
      </c>
      <c r="C19" s="6">
        <v>1692</v>
      </c>
      <c r="D19" s="6">
        <v>1680</v>
      </c>
      <c r="E19" s="6">
        <v>1283</v>
      </c>
      <c r="F19" s="14">
        <f>E19</f>
        <v>1283</v>
      </c>
      <c r="G19" s="6">
        <v>1877</v>
      </c>
      <c r="H19" s="6">
        <v>1674</v>
      </c>
      <c r="I19" s="45">
        <f>H19</f>
        <v>1674</v>
      </c>
      <c r="J19" s="17" t="s">
        <v>530</v>
      </c>
    </row>
    <row r="20">
      <c r="A20" s="35" t="s">
        <v>542</v>
      </c>
      <c r="B20" s="6">
        <v>3540</v>
      </c>
      <c r="C20" s="6">
        <v>3667</v>
      </c>
      <c r="D20" s="6">
        <v>3691</v>
      </c>
      <c r="E20" s="6">
        <v>3518</v>
      </c>
      <c r="F20" s="14">
        <f>E20</f>
        <v>3518</v>
      </c>
      <c r="G20" s="6">
        <v>3587</v>
      </c>
      <c r="H20" s="6">
        <v>3713</v>
      </c>
      <c r="I20" s="34">
        <f>H20-'Cash Flow Statement'!I13-'Cash Flow Statement'!I17</f>
        <v>3721.120005986725</v>
      </c>
      <c r="J20" s="17" t="s">
        <v>543</v>
      </c>
    </row>
    <row r="21">
      <c r="A21" s="35" t="s">
        <v>544</v>
      </c>
      <c r="B21" s="6">
        <v>1639</v>
      </c>
      <c r="C21" s="6">
        <v>1630</v>
      </c>
      <c r="D21" s="6">
        <v>1035</v>
      </c>
      <c r="E21" s="6">
        <v>887</v>
      </c>
      <c r="F21" s="14">
        <f>E21</f>
        <v>887</v>
      </c>
      <c r="G21" s="6">
        <v>1101</v>
      </c>
      <c r="H21" s="6">
        <v>1041</v>
      </c>
      <c r="I21" s="34">
        <f>H21-'Cash Flow Statement'!I12</f>
        <v>1041</v>
      </c>
      <c r="J21" s="17" t="s">
        <v>530</v>
      </c>
    </row>
    <row r="22">
      <c r="A22" s="35" t="s">
        <v>545</v>
      </c>
      <c r="B22" s="6">
        <v>3193</v>
      </c>
      <c r="C22" s="6">
        <v>3095</v>
      </c>
      <c r="D22" s="6">
        <v>3098</v>
      </c>
      <c r="E22" s="6">
        <v>3010</v>
      </c>
      <c r="F22" s="14">
        <f>E22</f>
        <v>3010</v>
      </c>
      <c r="G22" s="6">
        <v>3051</v>
      </c>
      <c r="H22" s="6">
        <v>3076</v>
      </c>
      <c r="I22" s="45">
        <f>H22</f>
        <v>3076</v>
      </c>
      <c r="J22" s="17" t="s">
        <v>530</v>
      </c>
    </row>
    <row r="23">
      <c r="A23" s="35" t="s">
        <v>546</v>
      </c>
      <c r="B23" s="6">
        <v>4245</v>
      </c>
      <c r="C23" s="6">
        <v>4283</v>
      </c>
      <c r="D23" s="6">
        <v>4271</v>
      </c>
      <c r="E23" s="6">
        <v>4066</v>
      </c>
      <c r="F23" s="14">
        <f>E23</f>
        <v>4066</v>
      </c>
      <c r="G23" s="6">
        <v>4060</v>
      </c>
      <c r="H23" s="6">
        <v>4060</v>
      </c>
      <c r="I23" s="45">
        <f>H23</f>
        <v>4060</v>
      </c>
      <c r="J23" s="17" t="s">
        <v>530</v>
      </c>
    </row>
    <row r="24">
      <c r="A24" s="35" t="s">
        <v>547</v>
      </c>
      <c r="B24" s="6">
        <v>356</v>
      </c>
      <c r="C24" s="6">
        <v>348</v>
      </c>
      <c r="D24" s="6">
        <v>342</v>
      </c>
      <c r="E24" s="6">
        <v>336</v>
      </c>
      <c r="F24" s="14">
        <f>E24</f>
        <v>336</v>
      </c>
      <c r="G24" s="6">
        <v>331</v>
      </c>
      <c r="H24" s="6">
        <v>325</v>
      </c>
      <c r="I24" s="45">
        <f>H24</f>
        <v>325</v>
      </c>
      <c r="J24" s="17" t="s">
        <v>530</v>
      </c>
    </row>
    <row r="25" ht="66">
      <c r="A25" s="35" t="s">
        <v>548</v>
      </c>
      <c r="B25" s="6">
        <v>4397</v>
      </c>
      <c r="C25" s="6">
        <v>4548</v>
      </c>
      <c r="D25" s="6">
        <v>4453</v>
      </c>
      <c r="E25" s="6">
        <v>4279</v>
      </c>
      <c r="F25" s="14">
        <f>E25</f>
        <v>4279</v>
      </c>
      <c r="G25" s="6">
        <v>4497</v>
      </c>
      <c r="H25" s="6">
        <v>4589</v>
      </c>
      <c r="I25" s="34">
        <f>H25-'Cash Flow Statement'!I11</f>
        <v>4419</v>
      </c>
      <c r="J25" s="154" t="s">
        <v>549</v>
      </c>
    </row>
    <row r="26">
      <c r="A26" s="35" t="s">
        <v>550</v>
      </c>
      <c r="B26" s="6">
        <v>0</v>
      </c>
      <c r="C26" s="6">
        <v>0</v>
      </c>
      <c r="D26" s="6">
        <v>0</v>
      </c>
      <c r="E26" s="6">
        <v>4550</v>
      </c>
      <c r="F26" s="14">
        <f>E26</f>
        <v>4550</v>
      </c>
      <c r="G26" s="6">
        <v>0</v>
      </c>
      <c r="H26" s="6">
        <v>0</v>
      </c>
      <c r="I26" s="62">
        <v>0</v>
      </c>
      <c r="J26" s="17" t="s">
        <v>551</v>
      </c>
    </row>
    <row r="27">
      <c r="A27" s="22" t="s">
        <v>552</v>
      </c>
      <c r="B27" s="30">
        <f>B14+B15+B16+B17+B18+B19+B20+B21+B22+B23+B24+B25+B26</f>
        <v>135977</v>
      </c>
      <c r="C27" s="30">
        <f>C14+C15+C16+C17+C18+C19+C20+C21+C22+C23+C24+C25+C26</f>
        <v>138873</v>
      </c>
      <c r="D27" s="30">
        <f>D14+D15+D16+D17+D18+D19+D20+D21+D22+D23+D24+D25+D26</f>
        <v>143678</v>
      </c>
      <c r="E27" s="30">
        <f>E14+E15+E16+E17+E18+E19+E20+E21+E22+E23+E24+E25+E26</f>
        <v>143708</v>
      </c>
      <c r="F27" s="30">
        <f>F14+F15+F16+F17+F18+F19+F20+F21+F22+F23+F24+F25+F26</f>
        <v>143708</v>
      </c>
      <c r="G27" s="30">
        <f>G14+G15+G16+G17+G18+G19+G20+G21+G22+G23+G24+G25+G26</f>
        <v>142309</v>
      </c>
      <c r="H27" s="30">
        <f>H14+H15+H16+H17+H18+H19+H20+H21+H22+H23+H24+H25+H26</f>
        <v>143580</v>
      </c>
      <c r="I27" s="44">
        <f>I14+I15+I16+I17+I18+I19+I20+I21+I22+I23+I24+I25+I26</f>
        <v>145142.73411094118</v>
      </c>
      <c r="J27" s="17"/>
    </row>
    <row r="28">
      <c r="A28" s="42" t="s">
        <v>553</v>
      </c>
      <c r="B28" s="8"/>
      <c r="C28" s="8"/>
      <c r="D28" s="8"/>
      <c r="E28" s="8"/>
      <c r="F28" s="8"/>
      <c r="G28" s="8"/>
      <c r="H28" s="8"/>
      <c r="I28" s="21"/>
      <c r="J28" s="17"/>
    </row>
    <row r="29">
      <c r="A29" s="35" t="s">
        <v>554</v>
      </c>
      <c r="B29" s="6">
        <v>65976</v>
      </c>
      <c r="C29" s="6">
        <v>66941</v>
      </c>
      <c r="D29" s="6">
        <v>67705</v>
      </c>
      <c r="E29" s="6">
        <v>65737</v>
      </c>
      <c r="F29" s="14">
        <f>E29</f>
        <v>65737</v>
      </c>
      <c r="G29" s="6">
        <v>66912</v>
      </c>
      <c r="H29" s="6">
        <v>67226</v>
      </c>
      <c r="I29" s="34">
        <f>H29+'Cash Flow Statement'!I18</f>
        <v>68026</v>
      </c>
      <c r="J29" s="17" t="s">
        <v>530</v>
      </c>
    </row>
    <row r="30">
      <c r="A30" s="35" t="s">
        <v>555</v>
      </c>
      <c r="B30" s="6">
        <v>22724</v>
      </c>
      <c r="C30" s="6">
        <v>23288</v>
      </c>
      <c r="D30" s="6">
        <v>23596</v>
      </c>
      <c r="E30" s="6">
        <v>22431</v>
      </c>
      <c r="F30" s="14">
        <f>E30</f>
        <v>22431</v>
      </c>
      <c r="G30" s="6">
        <v>22772</v>
      </c>
      <c r="H30" s="6">
        <v>23327</v>
      </c>
      <c r="I30" s="34">
        <f>H30+'Cash Flow Statement'!I19</f>
        <v>23627</v>
      </c>
      <c r="J30" s="17" t="s">
        <v>530</v>
      </c>
    </row>
    <row r="31">
      <c r="A31" s="35" t="s">
        <v>556</v>
      </c>
      <c r="B31" s="6">
        <v>3210</v>
      </c>
      <c r="C31" s="6">
        <v>3112</v>
      </c>
      <c r="D31" s="6">
        <v>3115</v>
      </c>
      <c r="E31" s="6">
        <v>3026</v>
      </c>
      <c r="F31" s="14">
        <f>E31</f>
        <v>3026</v>
      </c>
      <c r="G31" s="6">
        <v>3065</v>
      </c>
      <c r="H31" s="6">
        <v>3089</v>
      </c>
      <c r="I31" s="45">
        <f>H31</f>
        <v>3089</v>
      </c>
      <c r="J31" s="17" t="s">
        <v>530</v>
      </c>
    </row>
    <row r="32">
      <c r="A32" s="35" t="s">
        <v>557</v>
      </c>
      <c r="B32" s="6">
        <v>1092</v>
      </c>
      <c r="C32" s="6">
        <v>987</v>
      </c>
      <c r="D32" s="6">
        <v>946</v>
      </c>
      <c r="E32" s="6">
        <v>529</v>
      </c>
      <c r="F32" s="14">
        <f>E32</f>
        <v>529</v>
      </c>
      <c r="G32" s="6">
        <v>1123</v>
      </c>
      <c r="H32" s="6">
        <v>1016</v>
      </c>
      <c r="I32" s="45">
        <f>H32</f>
        <v>1016</v>
      </c>
      <c r="J32" s="17" t="s">
        <v>530</v>
      </c>
    </row>
    <row r="33">
      <c r="A33" s="35" t="s">
        <v>558</v>
      </c>
      <c r="B33" s="6">
        <v>8033</v>
      </c>
      <c r="C33" s="6">
        <v>8034</v>
      </c>
      <c r="D33" s="6">
        <v>9267</v>
      </c>
      <c r="E33" s="6">
        <v>9267</v>
      </c>
      <c r="F33" s="14">
        <f>E33</f>
        <v>9267</v>
      </c>
      <c r="G33" s="6">
        <v>9268</v>
      </c>
      <c r="H33" s="6">
        <v>9068</v>
      </c>
      <c r="I33" s="34">
        <f>H33+'Cash Flow Statement'!I48+'Cash Flow Statement'!I49</f>
        <v>9068</v>
      </c>
      <c r="J33" s="17" t="s">
        <v>530</v>
      </c>
    </row>
    <row r="34">
      <c r="A34" s="35" t="s">
        <v>559</v>
      </c>
      <c r="B34" s="6">
        <v>6751</v>
      </c>
      <c r="C34" s="6">
        <v>6993</v>
      </c>
      <c r="D34" s="6">
        <v>7440</v>
      </c>
      <c r="E34" s="6">
        <v>7282</v>
      </c>
      <c r="F34" s="14">
        <f>E34</f>
        <v>7282</v>
      </c>
      <c r="G34" s="6">
        <v>7183</v>
      </c>
      <c r="H34" s="6">
        <v>6733</v>
      </c>
      <c r="I34" s="34">
        <f>H34+'Cash Flow Statement'!I20</f>
        <v>6733</v>
      </c>
      <c r="J34" s="17" t="s">
        <v>530</v>
      </c>
    </row>
    <row r="35">
      <c r="A35" s="35" t="s">
        <v>560</v>
      </c>
      <c r="B35" s="6">
        <v>0</v>
      </c>
      <c r="C35" s="6">
        <v>0</v>
      </c>
      <c r="D35" s="6">
        <v>0</v>
      </c>
      <c r="E35" s="6">
        <v>2542</v>
      </c>
      <c r="F35" s="14">
        <f>E35</f>
        <v>2542</v>
      </c>
      <c r="G35" s="6">
        <v>0</v>
      </c>
      <c r="H35" s="6">
        <v>0</v>
      </c>
      <c r="I35" s="62">
        <v>0</v>
      </c>
      <c r="J35" s="17" t="s">
        <v>530</v>
      </c>
    </row>
    <row r="36">
      <c r="A36" s="22" t="s">
        <v>561</v>
      </c>
      <c r="B36" s="30">
        <f>B29+B30+B31+B32+B33+B34+B35</f>
        <v>107786</v>
      </c>
      <c r="C36" s="30">
        <f>C29+C30+C31+C32+C33+C34+C35</f>
        <v>109355</v>
      </c>
      <c r="D36" s="30">
        <f>D29+D30+D31+D32+D33+D34+D35</f>
        <v>112069</v>
      </c>
      <c r="E36" s="30">
        <f>E29+E30+E31+E32+E33+E34+E35</f>
        <v>110814</v>
      </c>
      <c r="F36" s="30">
        <f>F29+F30+F31+F32+F33+F34+F35</f>
        <v>110814</v>
      </c>
      <c r="G36" s="30">
        <f>G29+G30+G31+G32+G33+G34+G35</f>
        <v>110323</v>
      </c>
      <c r="H36" s="30">
        <f>H29+H30+H31+H32+H33+H34+H35</f>
        <v>110459</v>
      </c>
      <c r="I36" s="44">
        <f>I29+I30+I31+I32+I33+I34+I35</f>
        <v>111559</v>
      </c>
      <c r="J36" s="17"/>
    </row>
    <row r="37">
      <c r="A37" s="42" t="s">
        <v>562</v>
      </c>
      <c r="B37" s="8"/>
      <c r="C37" s="8"/>
      <c r="D37" s="8"/>
      <c r="E37" s="8"/>
      <c r="F37" s="8"/>
      <c r="G37" s="8"/>
      <c r="H37" s="8"/>
      <c r="I37" s="21"/>
      <c r="J37" s="17"/>
    </row>
    <row r="38">
      <c r="A38" s="35" t="s">
        <v>563</v>
      </c>
      <c r="B38" s="6">
        <v>25584</v>
      </c>
      <c r="C38" s="6">
        <v>25728</v>
      </c>
      <c r="D38" s="6">
        <v>25817</v>
      </c>
      <c r="E38" s="6">
        <v>25910</v>
      </c>
      <c r="F38" s="14">
        <f>E38</f>
        <v>25910</v>
      </c>
      <c r="G38" s="6">
        <v>26092</v>
      </c>
      <c r="H38" s="6">
        <v>26186</v>
      </c>
      <c r="I38" s="34">
        <f>H38+'Cash Flow Statement'!I50</f>
        <v>26221</v>
      </c>
      <c r="J38" s="17" t="s">
        <v>530</v>
      </c>
    </row>
    <row r="39">
      <c r="A39" s="35" t="s">
        <v>564</v>
      </c>
      <c r="B39" s="6">
        <v>49784</v>
      </c>
      <c r="C39" s="6">
        <v>51041</v>
      </c>
      <c r="D39" s="6">
        <v>52680</v>
      </c>
      <c r="E39" s="6">
        <v>54931</v>
      </c>
      <c r="F39" s="14">
        <f>E39</f>
        <v>54931</v>
      </c>
      <c r="G39" s="6">
        <v>56404</v>
      </c>
      <c r="H39" s="6">
        <v>58346</v>
      </c>
      <c r="I39" s="34">
        <f>H39+'Income Statement'!I47-'Share Count'!I47</f>
        <v>59678.73411094119</v>
      </c>
      <c r="J39" s="17" t="s">
        <v>530</v>
      </c>
    </row>
    <row r="40" ht="27.75">
      <c r="A40" s="35" t="s">
        <v>565</v>
      </c>
      <c r="B40" s="6">
        <v>-4568</v>
      </c>
      <c r="C40" s="6">
        <v>-4085</v>
      </c>
      <c r="D40" s="6">
        <v>-3094</v>
      </c>
      <c r="E40" s="6">
        <v>-2500</v>
      </c>
      <c r="F40" s="14">
        <f>E40</f>
        <v>-2500</v>
      </c>
      <c r="G40" s="6">
        <v>-3078</v>
      </c>
      <c r="H40" s="6">
        <v>-2668</v>
      </c>
      <c r="I40" s="34">
        <f>H40</f>
        <v>-2668</v>
      </c>
      <c r="J40" s="142" t="s">
        <v>566</v>
      </c>
    </row>
    <row r="41">
      <c r="A41" s="35" t="s">
        <v>567</v>
      </c>
      <c r="B41" s="6">
        <v>-42609</v>
      </c>
      <c r="C41" s="6">
        <v>-43166</v>
      </c>
      <c r="D41" s="6">
        <v>-43794</v>
      </c>
      <c r="E41" s="6">
        <v>-45447</v>
      </c>
      <c r="F41" s="14">
        <f>E41</f>
        <v>-45447</v>
      </c>
      <c r="G41" s="6">
        <v>-47432</v>
      </c>
      <c r="H41" s="6">
        <v>-48743</v>
      </c>
      <c r="I41" s="34">
        <f>H41+'Cash Flow Statement'!I45+'Cash Flow Statement'!I46</f>
        <v>-49648</v>
      </c>
      <c r="J41" s="17" t="s">
        <v>530</v>
      </c>
    </row>
    <row r="42">
      <c r="A42" s="22" t="s">
        <v>568</v>
      </c>
      <c r="B42" s="30">
        <f>B38+B39+B40+B41</f>
        <v>28191</v>
      </c>
      <c r="C42" s="30">
        <f>C38+C39+C40+C41</f>
        <v>29518</v>
      </c>
      <c r="D42" s="30">
        <f>D38+D39+D40+D41</f>
        <v>31609</v>
      </c>
      <c r="E42" s="30">
        <f>E38+E39+E40+E41</f>
        <v>32894</v>
      </c>
      <c r="F42" s="30">
        <f>F38+F39+F40+F41</f>
        <v>32894</v>
      </c>
      <c r="G42" s="30">
        <f>G38+G39+G40+G41</f>
        <v>31986</v>
      </c>
      <c r="H42" s="30">
        <f>H38+H39+H40+H41</f>
        <v>33121</v>
      </c>
      <c r="I42" s="44">
        <f>I38+I39+I40+I41</f>
        <v>33583.73411094118</v>
      </c>
      <c r="J42" s="17"/>
    </row>
    <row r="43">
      <c r="A43" s="22" t="s">
        <v>569</v>
      </c>
      <c r="B43" s="30">
        <f>B36+B42</f>
        <v>135977</v>
      </c>
      <c r="C43" s="30">
        <f>C36+C42</f>
        <v>138873</v>
      </c>
      <c r="D43" s="30">
        <f>D36+D42</f>
        <v>143678</v>
      </c>
      <c r="E43" s="30">
        <f>E36+E42</f>
        <v>143708</v>
      </c>
      <c r="F43" s="30">
        <f>F36+F42</f>
        <v>143708</v>
      </c>
      <c r="G43" s="30">
        <f>G36+G42</f>
        <v>142309</v>
      </c>
      <c r="H43" s="30">
        <f>H36+H42</f>
        <v>143580</v>
      </c>
      <c r="I43" s="44">
        <f>I36+I42</f>
        <v>145142.73411094118</v>
      </c>
      <c r="J43" s="17"/>
    </row>
    <row r="44">
      <c r="A44" s="65" t="s">
        <v>570</v>
      </c>
      <c r="B44" s="31">
        <f>B27-B36-B42</f>
        <v>0</v>
      </c>
      <c r="C44" s="31">
        <f>C27-C36-C42</f>
        <v>0</v>
      </c>
      <c r="D44" s="31">
        <f>D27-D36-D42</f>
        <v>0</v>
      </c>
      <c r="E44" s="31">
        <f>E27-E36-E42</f>
        <v>0</v>
      </c>
      <c r="F44" s="31">
        <f>F27-F36-F42</f>
        <v>0</v>
      </c>
      <c r="G44" s="31">
        <f>G27-G36-G42</f>
        <v>0</v>
      </c>
      <c r="H44" s="31">
        <f>H27-H36-H42</f>
        <v>0</v>
      </c>
      <c r="I44" s="40">
        <f>I27-I36-I42</f>
        <v>0</v>
      </c>
      <c r="J44" s="17"/>
    </row>
    <row r="45">
      <c r="A45" s="35" t="s">
        <v>571</v>
      </c>
      <c r="B45" s="37" t="b">
        <f>ABS(B44)&lt;0.5</f>
        <v>1</v>
      </c>
      <c r="C45" s="37" t="b">
        <f>ABS(C44)&lt;0.5</f>
        <v>1</v>
      </c>
      <c r="D45" s="37" t="b">
        <f>ABS(D44)&lt;0.5</f>
        <v>1</v>
      </c>
      <c r="E45" s="37" t="b">
        <f>ABS(E44)&lt;0.5</f>
        <v>1</v>
      </c>
      <c r="F45" s="37" t="b">
        <f>ABS(F44)&lt;0.5</f>
        <v>1</v>
      </c>
      <c r="G45" s="37" t="b">
        <f>ABS(G44)&lt;0.5</f>
        <v>1</v>
      </c>
      <c r="H45" s="37" t="b">
        <f>ABS(H44)&lt;0.5</f>
        <v>1</v>
      </c>
      <c r="I45" s="46" t="b">
        <f>ABS(I44)&lt;0.5</f>
        <v>1</v>
      </c>
      <c r="J45" s="17"/>
    </row>
    <row r="46">
      <c r="A46" s="35" t="s">
        <v>572</v>
      </c>
      <c r="B46" s="6">
        <v>135977</v>
      </c>
      <c r="C46" s="6">
        <v>138873</v>
      </c>
      <c r="D46" s="6">
        <v>143678</v>
      </c>
      <c r="E46" s="6">
        <v>143708</v>
      </c>
      <c r="F46" s="14">
        <f>E46</f>
        <v>143708</v>
      </c>
      <c r="G46" s="6">
        <v>142309</v>
      </c>
      <c r="H46" s="6">
        <v>143580</v>
      </c>
      <c r="I46" s="45"/>
      <c r="J46" s="17"/>
    </row>
    <row r="47">
      <c r="A47" s="36" t="s">
        <v>573</v>
      </c>
      <c r="B47" s="31">
        <f>B27-B46</f>
        <v>0</v>
      </c>
      <c r="C47" s="31">
        <f>C27-C46</f>
        <v>0</v>
      </c>
      <c r="D47" s="31">
        <f>D27-D46</f>
        <v>0</v>
      </c>
      <c r="E47" s="31">
        <f>E27-E46</f>
        <v>0</v>
      </c>
      <c r="F47" s="31">
        <f>F27-F46</f>
        <v>0</v>
      </c>
      <c r="G47" s="31">
        <f>G27-G46</f>
        <v>0</v>
      </c>
      <c r="H47" s="31">
        <f>H27-H46</f>
        <v>0</v>
      </c>
      <c r="I47" s="40"/>
      <c r="J47" s="17"/>
    </row>
    <row r="48">
      <c r="A48" s="35" t="s">
        <v>574</v>
      </c>
      <c r="B48" s="6">
        <v>28191</v>
      </c>
      <c r="C48" s="6">
        <v>29518</v>
      </c>
      <c r="D48" s="6">
        <v>31609</v>
      </c>
      <c r="E48" s="6">
        <v>32894</v>
      </c>
      <c r="F48" s="14">
        <f>E48</f>
        <v>32894</v>
      </c>
      <c r="G48" s="6">
        <v>31986</v>
      </c>
      <c r="H48" s="6">
        <v>33121</v>
      </c>
      <c r="I48" s="45"/>
      <c r="J48" s="17"/>
    </row>
    <row r="49">
      <c r="A49" s="36" t="s">
        <v>575</v>
      </c>
      <c r="B49" s="31">
        <f>B42-B48</f>
        <v>0</v>
      </c>
      <c r="C49" s="31">
        <f>C42-C48</f>
        <v>0</v>
      </c>
      <c r="D49" s="31">
        <f>D42-D48</f>
        <v>0</v>
      </c>
      <c r="E49" s="31">
        <f>E42-E48</f>
        <v>0</v>
      </c>
      <c r="F49" s="31">
        <f>F42-F48</f>
        <v>0</v>
      </c>
      <c r="G49" s="31">
        <f>G42-G48</f>
        <v>0</v>
      </c>
      <c r="H49" s="31">
        <f>H42-H48</f>
        <v>0</v>
      </c>
      <c r="I49" s="40"/>
      <c r="J49" s="17"/>
    </row>
    <row r="50">
      <c r="A50" s="42" t="s">
        <v>576</v>
      </c>
      <c r="B50" s="8"/>
      <c r="C50" s="8"/>
      <c r="D50" s="8"/>
      <c r="E50" s="8"/>
      <c r="F50" s="8"/>
      <c r="G50" s="8"/>
      <c r="H50" s="8"/>
      <c r="I50" s="21"/>
      <c r="J50" s="17"/>
    </row>
    <row r="51">
      <c r="A51" s="35" t="s">
        <v>577</v>
      </c>
      <c r="B51" s="55">
        <f>B42/'Share Count'!B17</f>
        <v>124.40864960282437</v>
      </c>
      <c r="C51" s="55">
        <f>C42/'Share Count'!C17</f>
        <v>131.1328298533985</v>
      </c>
      <c r="D51" s="55">
        <f>D42/'Share Count'!D17</f>
        <v>141.7443946188341</v>
      </c>
      <c r="E51" s="55">
        <f>E42/'Share Count'!E17</f>
        <v>151.2367816091954</v>
      </c>
      <c r="F51" s="55">
        <f>F42/'Share Count'!F17</f>
        <v>151.2367816091954</v>
      </c>
      <c r="G51" s="55">
        <f>G42/'Share Count'!G17</f>
        <v>150.45155221072437</v>
      </c>
      <c r="H51" s="55">
        <f>H42/'Share Count'!H17</f>
        <v>158.77756471716205</v>
      </c>
      <c r="I51" s="60">
        <f>I42/'Share Count'!I17</f>
        <v>162.7976235698036</v>
      </c>
      <c r="J51" s="17"/>
    </row>
    <row r="52">
      <c r="A52" s="36" t="s">
        <v>172</v>
      </c>
      <c r="B52" s="9" t="s">
        <v>32</v>
      </c>
      <c r="C52" s="9" t="s">
        <v>32</v>
      </c>
      <c r="D52" s="9" t="s">
        <v>32</v>
      </c>
      <c r="E52" s="9" t="s">
        <v>32</v>
      </c>
      <c r="F52" s="9" t="s">
        <v>32</v>
      </c>
      <c r="G52" s="9">
        <f>IFERROR(G51/B51-1,"n/a")</f>
        <v>0.2093335366233955</v>
      </c>
      <c r="H52" s="9">
        <f>IFERROR(H51/C51-1,"n/a")</f>
        <v>0.21081475092598323</v>
      </c>
      <c r="I52" s="29">
        <f>IFERROR(I51/D51-1,"n/a")</f>
        <v>0.1485295345017621</v>
      </c>
      <c r="J52" s="17"/>
    </row>
    <row r="53" ht="27.75">
      <c r="A53" s="35" t="s">
        <v>578</v>
      </c>
      <c r="B53" s="55">
        <f>(B42-B40)/'Share Count'!B17</f>
        <v>144.567519858782</v>
      </c>
      <c r="C53" s="55">
        <f>(C42-C40)/'Share Count'!C17</f>
        <v>149.28031985784096</v>
      </c>
      <c r="D53" s="55">
        <f>(D42-D40)/'Share Count'!D17</f>
        <v>155.61883408071748</v>
      </c>
      <c r="E53" s="55">
        <f>(E42-E40)/'Share Count'!E17</f>
        <v>162.73103448275862</v>
      </c>
      <c r="F53" s="55">
        <f>(F42-F40)/'Share Count'!F17</f>
        <v>162.73103448275862</v>
      </c>
      <c r="G53" s="55">
        <f>(G42-G40)/'Share Count'!G17</f>
        <v>164.92944496707432</v>
      </c>
      <c r="H53" s="55">
        <f>(H42-H40)/'Share Count'!H17</f>
        <v>171.56759348034515</v>
      </c>
      <c r="I53" s="60">
        <f>(I42-I40)/'Share Count'!I17</f>
        <v>175.730791104105</v>
      </c>
      <c r="J53" s="142" t="s">
        <v>579</v>
      </c>
    </row>
    <row r="54">
      <c r="A54" s="65" t="s">
        <v>580</v>
      </c>
      <c r="B54" s="9">
        <f>B33/(B33+B42)</f>
        <v>0.22175905477031801</v>
      </c>
      <c r="C54" s="9">
        <f>C33/(C33+C42)</f>
        <v>0.21394333191308054</v>
      </c>
      <c r="D54" s="9">
        <f>D33/(D33+D42)</f>
        <v>0.22671004990703592</v>
      </c>
      <c r="E54" s="9">
        <f>E33/(E33+E42)</f>
        <v>0.2198002893669505</v>
      </c>
      <c r="F54" s="9">
        <f>F33/(F33+F42)</f>
        <v>0.2198002893669505</v>
      </c>
      <c r="G54" s="9">
        <f>G33/(G33+G42)</f>
        <v>0.224657002957289</v>
      </c>
      <c r="H54" s="9">
        <f>H33/(H33+H42)</f>
        <v>0.21493754296143544</v>
      </c>
      <c r="I54" s="29">
        <f>I33/(I33+I42)</f>
        <v>0.21260565810555973</v>
      </c>
      <c r="J54" s="17"/>
    </row>
    <row r="55">
      <c r="A55" s="36" t="s">
        <v>215</v>
      </c>
      <c r="B55" s="61" t="s">
        <v>32</v>
      </c>
      <c r="C55" s="61">
        <f>(C54-B54)*10000</f>
        <v>-78.15722857237472</v>
      </c>
      <c r="D55" s="61">
        <f>(D54-C54)*10000</f>
        <v>127.66717993955373</v>
      </c>
      <c r="E55" s="61">
        <f>(E54-D54)*10000</f>
        <v>-69.09760540085408</v>
      </c>
      <c r="F55" s="61" t="s">
        <v>32</v>
      </c>
      <c r="G55" s="61">
        <f>(G54-E54)*10000</f>
        <v>48.56713590338485</v>
      </c>
      <c r="H55" s="61">
        <f>(H54-G54)*10000</f>
        <v>-97.19459995853552</v>
      </c>
      <c r="I55" s="79">
        <f>(I54-H54)*10000</f>
        <v>-23.3188485587571</v>
      </c>
      <c r="J55" s="17"/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A1:J65"/>
  <sheetViews>
    <sheetView showGridLines="0" workbookViewId="0"/>
  </sheetViews>
  <sheetFormatPr defaultColWidth="8.42578125" defaultRowHeight="15"/>
  <cols>
    <col min="1" max="1" width="37" customWidth="1"/>
    <col min="2" max="9" width="12" customWidth="1"/>
    <col min="10" max="10" width="45" customWidth="1"/>
  </cols>
  <sheetData>
    <row r="1">
      <c r="A1" s="26" t="s">
        <v>0</v>
      </c>
      <c r="B1" s="1"/>
      <c r="C1" s="1"/>
      <c r="D1" s="1"/>
      <c r="E1" s="1"/>
      <c r="F1" s="1"/>
      <c r="G1" s="1"/>
      <c r="H1" s="1"/>
      <c r="I1" s="1"/>
      <c r="J1" s="1"/>
    </row>
    <row r="2">
      <c r="A2" s="22" t="s">
        <v>581</v>
      </c>
      <c r="B2" s="1"/>
      <c r="C2" s="1"/>
      <c r="D2" s="1"/>
      <c r="E2" s="1"/>
      <c r="F2" s="1"/>
      <c r="G2" s="1"/>
      <c r="H2" s="1"/>
      <c r="I2" s="1"/>
      <c r="J2" s="1"/>
    </row>
    <row r="3">
      <c r="A3" s="11" t="s">
        <v>2</v>
      </c>
      <c r="B3" s="1"/>
      <c r="C3" s="1"/>
      <c r="D3" s="1"/>
      <c r="E3" s="1"/>
      <c r="F3" s="1"/>
      <c r="G3" s="1"/>
      <c r="H3" s="1"/>
      <c r="I3" s="1"/>
      <c r="J3" s="1"/>
    </row>
    <row r="4">
      <c r="A4" s="12" t="s">
        <v>158</v>
      </c>
      <c r="B4" s="13" t="s">
        <v>159</v>
      </c>
      <c r="C4" s="13" t="s">
        <v>160</v>
      </c>
      <c r="D4" s="13" t="s">
        <v>161</v>
      </c>
      <c r="E4" s="13" t="s">
        <v>162</v>
      </c>
      <c r="F4" s="13" t="s">
        <v>163</v>
      </c>
      <c r="G4" s="13" t="s">
        <v>164</v>
      </c>
      <c r="H4" s="13" t="s">
        <v>165</v>
      </c>
      <c r="I4" s="39" t="s">
        <v>166</v>
      </c>
      <c r="J4" s="10" t="s">
        <v>4</v>
      </c>
    </row>
    <row r="5">
      <c r="A5" s="4" t="s">
        <v>167</v>
      </c>
      <c r="B5" s="7">
        <f>DATE(2025,3,31)</f>
        <v>45747</v>
      </c>
      <c r="C5" s="7">
        <f>DATE(2025,6,30)</f>
        <v>45838</v>
      </c>
      <c r="D5" s="7">
        <f>DATE(2025,9,30)</f>
        <v>45930</v>
      </c>
      <c r="E5" s="7">
        <f>DATE(2025,12,31)</f>
        <v>46022</v>
      </c>
      <c r="F5" s="7">
        <f>DATE(2025,12,31)</f>
        <v>46022</v>
      </c>
      <c r="G5" s="7">
        <f>DATE(2026,3,31)</f>
        <v>46112</v>
      </c>
      <c r="H5" s="7">
        <f>DATE(2026,6,30)</f>
        <v>46203</v>
      </c>
      <c r="I5" s="38">
        <f>DATE(2026,9,30)</f>
        <v>46295</v>
      </c>
      <c r="J5" s="24"/>
    </row>
    <row r="6">
      <c r="A6" s="41" t="s">
        <v>168</v>
      </c>
      <c r="B6" s="20">
        <f>B5-DATE(2024,12,31)</f>
        <v>90</v>
      </c>
      <c r="C6" s="20">
        <f>C5-B5</f>
        <v>91</v>
      </c>
      <c r="D6" s="20">
        <f>D5-C5</f>
        <v>92</v>
      </c>
      <c r="E6" s="20">
        <f>E5-D5</f>
        <v>92</v>
      </c>
      <c r="F6" s="20">
        <f>F5-DATE(2024,12,31)</f>
        <v>365</v>
      </c>
      <c r="G6" s="20">
        <f>G5-E5</f>
        <v>90</v>
      </c>
      <c r="H6" s="20">
        <f>H5-G5</f>
        <v>91</v>
      </c>
      <c r="I6" s="15">
        <f>I5-H5</f>
        <v>92</v>
      </c>
      <c r="J6" s="18"/>
    </row>
    <row r="7">
      <c r="A7" s="1"/>
      <c r="B7" s="1"/>
      <c r="C7" s="1"/>
      <c r="D7" s="1"/>
      <c r="E7" s="1"/>
      <c r="F7" s="1"/>
      <c r="G7" s="1"/>
      <c r="H7" s="1"/>
      <c r="I7" s="33"/>
      <c r="J7" s="17"/>
    </row>
    <row r="8">
      <c r="A8" s="42" t="s">
        <v>582</v>
      </c>
      <c r="B8" s="8"/>
      <c r="C8" s="8"/>
      <c r="D8" s="8"/>
      <c r="E8" s="8"/>
      <c r="F8" s="8"/>
      <c r="G8" s="8"/>
      <c r="H8" s="8"/>
      <c r="I8" s="21"/>
      <c r="J8" s="17"/>
    </row>
    <row r="9">
      <c r="A9" s="35" t="s">
        <v>583</v>
      </c>
      <c r="B9" s="16">
        <f>'Income Statement'!B47</f>
        <v>395</v>
      </c>
      <c r="C9" s="16">
        <f>'Income Statement'!C47</f>
        <v>1509</v>
      </c>
      <c r="D9" s="16">
        <f>'Income Statement'!D47</f>
        <v>1888</v>
      </c>
      <c r="E9" s="16">
        <f>'Income Statement'!E47</f>
        <v>2496</v>
      </c>
      <c r="F9" s="16">
        <f>'Income Statement'!F47</f>
        <v>6288</v>
      </c>
      <c r="G9" s="16">
        <f>'Income Statement'!G47</f>
        <v>1711</v>
      </c>
      <c r="H9" s="16">
        <f>'Income Statement'!H47</f>
        <v>2208</v>
      </c>
      <c r="I9" s="34">
        <f>'Income Statement'!I47</f>
        <v>1593.4841109411843</v>
      </c>
      <c r="J9" s="17"/>
    </row>
    <row r="10">
      <c r="A10" s="35" t="s">
        <v>584</v>
      </c>
      <c r="B10" s="6">
        <v>61</v>
      </c>
      <c r="C10" s="6">
        <v>-6</v>
      </c>
      <c r="D10" s="6">
        <v>-27</v>
      </c>
      <c r="E10" s="6">
        <v>20</v>
      </c>
      <c r="F10" s="14">
        <f>SUM(B10:E10)</f>
        <v>48</v>
      </c>
      <c r="G10" s="6">
        <v>-49</v>
      </c>
      <c r="H10" s="6">
        <v>-60</v>
      </c>
      <c r="I10" s="34">
        <f>-'Revenue summary'!I108</f>
        <v>0</v>
      </c>
      <c r="J10" s="17" t="s">
        <v>585</v>
      </c>
    </row>
    <row r="11">
      <c r="A11" s="35" t="s">
        <v>586</v>
      </c>
      <c r="B11" s="6">
        <v>188</v>
      </c>
      <c r="C11" s="6">
        <v>164</v>
      </c>
      <c r="D11" s="6">
        <v>166</v>
      </c>
      <c r="E11" s="6">
        <v>162</v>
      </c>
      <c r="F11" s="14">
        <f>SUM(B11:E11)</f>
        <v>680</v>
      </c>
      <c r="G11" s="6">
        <v>193</v>
      </c>
      <c r="H11" s="6">
        <v>170</v>
      </c>
      <c r="I11" s="62">
        <v>170</v>
      </c>
      <c r="J11" s="17" t="s">
        <v>587</v>
      </c>
    </row>
    <row r="12">
      <c r="A12" s="35" t="s">
        <v>588</v>
      </c>
      <c r="B12" s="6">
        <v>31</v>
      </c>
      <c r="C12" s="6">
        <v>-83</v>
      </c>
      <c r="D12" s="6">
        <v>320</v>
      </c>
      <c r="E12" s="6">
        <v>-58</v>
      </c>
      <c r="F12" s="14">
        <f>SUM(B12:E12)</f>
        <v>210</v>
      </c>
      <c r="G12" s="6">
        <v>51</v>
      </c>
      <c r="H12" s="6">
        <v>-58</v>
      </c>
      <c r="I12" s="62">
        <v>0</v>
      </c>
      <c r="J12" s="17" t="s">
        <v>589</v>
      </c>
    </row>
    <row r="13">
      <c r="A13" s="35" t="s">
        <v>353</v>
      </c>
      <c r="B13" s="16">
        <f>'Income Statement'!B21</f>
        <v>1778</v>
      </c>
      <c r="C13" s="16">
        <f>'Income Statement'!C21</f>
        <v>1802</v>
      </c>
      <c r="D13" s="16">
        <f>'Income Statement'!D21</f>
        <v>1849</v>
      </c>
      <c r="E13" s="16">
        <f>'Income Statement'!E21</f>
        <v>1837</v>
      </c>
      <c r="F13" s="16">
        <f>'Income Statement'!F21</f>
        <v>7266</v>
      </c>
      <c r="G13" s="16">
        <f>'Income Statement'!G21</f>
        <v>1766</v>
      </c>
      <c r="H13" s="16">
        <f>'Income Statement'!H21</f>
        <v>1786</v>
      </c>
      <c r="I13" s="34">
        <f>'Income Statement'!I21</f>
        <v>1821.8799940132749</v>
      </c>
      <c r="J13" s="17"/>
    </row>
    <row r="14">
      <c r="A14" s="35" t="s">
        <v>590</v>
      </c>
      <c r="B14" s="6">
        <v>-53</v>
      </c>
      <c r="C14" s="6">
        <v>-42</v>
      </c>
      <c r="D14" s="6">
        <v>-74</v>
      </c>
      <c r="E14" s="6">
        <v>-57</v>
      </c>
      <c r="F14" s="14">
        <f>SUM(B14:E14)</f>
        <v>-226</v>
      </c>
      <c r="G14" s="6">
        <v>-23</v>
      </c>
      <c r="H14" s="6">
        <v>-75</v>
      </c>
      <c r="I14" s="62">
        <v>0</v>
      </c>
      <c r="J14" s="17" t="s">
        <v>589</v>
      </c>
    </row>
    <row r="15">
      <c r="A15" s="35" t="s">
        <v>591</v>
      </c>
      <c r="B15" s="6">
        <v>-459</v>
      </c>
      <c r="C15" s="6">
        <v>-438</v>
      </c>
      <c r="D15" s="6">
        <v>412</v>
      </c>
      <c r="E15" s="6">
        <v>370</v>
      </c>
      <c r="F15" s="14">
        <f>SUM(B15:E15)</f>
        <v>-115</v>
      </c>
      <c r="G15" s="6">
        <v>-434</v>
      </c>
      <c r="H15" s="6">
        <v>-961</v>
      </c>
      <c r="I15" s="62">
        <v>350</v>
      </c>
      <c r="J15" s="17" t="s">
        <v>592</v>
      </c>
    </row>
    <row r="16">
      <c r="A16" s="35" t="s">
        <v>593</v>
      </c>
      <c r="B16" s="6">
        <v>-97</v>
      </c>
      <c r="C16" s="6">
        <v>78</v>
      </c>
      <c r="D16" s="6">
        <v>-250</v>
      </c>
      <c r="E16" s="6">
        <v>132</v>
      </c>
      <c r="F16" s="14">
        <f>SUM(B16:E16)</f>
        <v>-137</v>
      </c>
      <c r="G16" s="6">
        <v>-108</v>
      </c>
      <c r="H16" s="6">
        <v>-23</v>
      </c>
      <c r="I16" s="62">
        <v>0</v>
      </c>
      <c r="J16" s="17" t="s">
        <v>594</v>
      </c>
    </row>
    <row r="17">
      <c r="A17" s="35" t="s">
        <v>595</v>
      </c>
      <c r="B17" s="6">
        <v>-1822</v>
      </c>
      <c r="C17" s="6">
        <v>-1917</v>
      </c>
      <c r="D17" s="6">
        <v>-1877</v>
      </c>
      <c r="E17" s="6">
        <v>-1757</v>
      </c>
      <c r="F17" s="14">
        <f>SUM(B17:E17)</f>
        <v>-7373</v>
      </c>
      <c r="G17" s="6">
        <v>-1837</v>
      </c>
      <c r="H17" s="6">
        <v>-1912</v>
      </c>
      <c r="I17" s="62">
        <v>-1830</v>
      </c>
      <c r="J17" s="17" t="s">
        <v>596</v>
      </c>
    </row>
    <row r="18">
      <c r="A18" s="35" t="s">
        <v>597</v>
      </c>
      <c r="B18" s="6">
        <v>1818</v>
      </c>
      <c r="C18" s="6">
        <v>725</v>
      </c>
      <c r="D18" s="6">
        <v>845</v>
      </c>
      <c r="E18" s="6">
        <v>-88</v>
      </c>
      <c r="F18" s="14">
        <f>SUM(B18:E18)</f>
        <v>3300</v>
      </c>
      <c r="G18" s="6">
        <v>1211</v>
      </c>
      <c r="H18" s="6">
        <v>319</v>
      </c>
      <c r="I18" s="62">
        <v>800</v>
      </c>
      <c r="J18" s="17" t="s">
        <v>598</v>
      </c>
    </row>
    <row r="19">
      <c r="A19" s="35" t="s">
        <v>599</v>
      </c>
      <c r="B19" s="6">
        <v>419</v>
      </c>
      <c r="C19" s="6">
        <v>495</v>
      </c>
      <c r="D19" s="6">
        <v>331</v>
      </c>
      <c r="E19" s="6">
        <v>-661</v>
      </c>
      <c r="F19" s="14">
        <f>SUM(B19:E19)</f>
        <v>584</v>
      </c>
      <c r="G19" s="6">
        <v>351</v>
      </c>
      <c r="H19" s="6">
        <v>559</v>
      </c>
      <c r="I19" s="62">
        <v>300</v>
      </c>
      <c r="J19" s="17" t="s">
        <v>600</v>
      </c>
    </row>
    <row r="20">
      <c r="A20" s="35" t="s">
        <v>601</v>
      </c>
      <c r="B20" s="6">
        <v>-899</v>
      </c>
      <c r="C20" s="6">
        <v>47</v>
      </c>
      <c r="D20" s="6">
        <v>644</v>
      </c>
      <c r="E20" s="6">
        <v>289</v>
      </c>
      <c r="F20" s="14">
        <f>SUM(B20:E20)</f>
        <v>81</v>
      </c>
      <c r="G20" s="6">
        <v>-634</v>
      </c>
      <c r="H20" s="6">
        <v>-37</v>
      </c>
      <c r="I20" s="62">
        <v>0</v>
      </c>
      <c r="J20" s="17" t="s">
        <v>594</v>
      </c>
    </row>
    <row r="21" ht="78.75">
      <c r="A21" s="22" t="s">
        <v>602</v>
      </c>
      <c r="B21" s="30">
        <f>SUM(B9:B20)</f>
        <v>1360</v>
      </c>
      <c r="C21" s="30">
        <f>SUM(C9:C20)</f>
        <v>2334</v>
      </c>
      <c r="D21" s="30">
        <f>SUM(D9:D20)</f>
        <v>4227</v>
      </c>
      <c r="E21" s="30">
        <f>SUM(E9:E20)</f>
        <v>2685</v>
      </c>
      <c r="F21" s="30">
        <f>SUM(F9:F20)</f>
        <v>10606</v>
      </c>
      <c r="G21" s="30">
        <f>SUM(G9:G20)</f>
        <v>2198</v>
      </c>
      <c r="H21" s="30">
        <f>SUM(H9:H20)</f>
        <v>1916</v>
      </c>
      <c r="I21" s="44">
        <f>SUM(I9:I20)</f>
        <v>3205.3641049544594</v>
      </c>
      <c r="J21" s="153" t="s">
        <v>603</v>
      </c>
    </row>
    <row r="22">
      <c r="A22" s="36" t="s">
        <v>172</v>
      </c>
      <c r="B22" s="9" t="s">
        <v>32</v>
      </c>
      <c r="C22" s="9" t="s">
        <v>32</v>
      </c>
      <c r="D22" s="9" t="s">
        <v>32</v>
      </c>
      <c r="E22" s="9" t="s">
        <v>32</v>
      </c>
      <c r="F22" s="9" t="s">
        <v>32</v>
      </c>
      <c r="G22" s="9">
        <f>IFERROR(G21/B21-1,"n/a")</f>
        <v>0.6161764705882353</v>
      </c>
      <c r="H22" s="9">
        <f>IFERROR(H21/C21-1,"n/a")</f>
        <v>-0.17909168808911735</v>
      </c>
      <c r="I22" s="29">
        <f>IFERROR(I21/D21-1,"n/a")</f>
        <v>-0.24169290159582224</v>
      </c>
      <c r="J22" s="17"/>
    </row>
    <row r="23">
      <c r="A23" s="36" t="s">
        <v>196</v>
      </c>
      <c r="B23" s="31" t="s">
        <v>32</v>
      </c>
      <c r="C23" s="31">
        <f>C21-B21</f>
        <v>974</v>
      </c>
      <c r="D23" s="31">
        <f>D21-C21</f>
        <v>1893</v>
      </c>
      <c r="E23" s="31">
        <f>E21-D21</f>
        <v>-1542</v>
      </c>
      <c r="F23" s="31" t="s">
        <v>32</v>
      </c>
      <c r="G23" s="31">
        <f>G21-E21</f>
        <v>-487</v>
      </c>
      <c r="H23" s="31">
        <f>H21-G21</f>
        <v>-282</v>
      </c>
      <c r="I23" s="40">
        <f>I21-H21</f>
        <v>1289.3641049544594</v>
      </c>
      <c r="J23" s="17"/>
    </row>
    <row r="24">
      <c r="A24" s="35" t="s">
        <v>604</v>
      </c>
      <c r="B24" s="6">
        <v>1360</v>
      </c>
      <c r="C24" s="6">
        <v>2334</v>
      </c>
      <c r="D24" s="6">
        <v>4227</v>
      </c>
      <c r="E24" s="6">
        <v>2685</v>
      </c>
      <c r="F24" s="14">
        <f>SUM(B24:E24)</f>
        <v>10606</v>
      </c>
      <c r="G24" s="6">
        <v>2198</v>
      </c>
      <c r="H24" s="6">
        <v>1916</v>
      </c>
      <c r="I24" s="45"/>
      <c r="J24" s="17" t="s">
        <v>605</v>
      </c>
    </row>
    <row r="25">
      <c r="A25" s="36" t="s">
        <v>248</v>
      </c>
      <c r="B25" s="31">
        <f>B21-B24</f>
        <v>0</v>
      </c>
      <c r="C25" s="31">
        <f>C21-C24</f>
        <v>0</v>
      </c>
      <c r="D25" s="31">
        <f>D21-D24</f>
        <v>0</v>
      </c>
      <c r="E25" s="31">
        <f>E21-E24</f>
        <v>0</v>
      </c>
      <c r="F25" s="31">
        <f>F21-F24</f>
        <v>0</v>
      </c>
      <c r="G25" s="31">
        <f>G21-G24</f>
        <v>0</v>
      </c>
      <c r="H25" s="31">
        <f>H21-H24</f>
        <v>0</v>
      </c>
      <c r="I25" s="40"/>
      <c r="J25" s="17"/>
    </row>
    <row r="26">
      <c r="A26" s="42" t="s">
        <v>606</v>
      </c>
      <c r="B26" s="8"/>
      <c r="C26" s="8"/>
      <c r="D26" s="8"/>
      <c r="E26" s="8"/>
      <c r="F26" s="8"/>
      <c r="G26" s="8"/>
      <c r="H26" s="8"/>
      <c r="I26" s="21"/>
      <c r="J26" s="17"/>
    </row>
    <row r="27">
      <c r="A27" s="35" t="s">
        <v>607</v>
      </c>
      <c r="B27" s="6">
        <v>2801</v>
      </c>
      <c r="C27" s="6">
        <v>3071</v>
      </c>
      <c r="D27" s="6">
        <v>2886</v>
      </c>
      <c r="E27" s="6">
        <v>2902</v>
      </c>
      <c r="F27" s="14">
        <f>SUM(B27:E27)</f>
        <v>11660</v>
      </c>
      <c r="G27" s="6">
        <v>3014</v>
      </c>
      <c r="H27" s="6">
        <v>2963</v>
      </c>
      <c r="I27" s="45" t="s">
        <v>232</v>
      </c>
      <c r="J27" s="17" t="s">
        <v>608</v>
      </c>
    </row>
    <row r="28">
      <c r="A28" s="35" t="s">
        <v>609</v>
      </c>
      <c r="B28" s="6">
        <v>253</v>
      </c>
      <c r="C28" s="6">
        <v>348</v>
      </c>
      <c r="D28" s="6">
        <v>178</v>
      </c>
      <c r="E28" s="6">
        <v>53</v>
      </c>
      <c r="F28" s="14">
        <f>SUM(B28:E28)</f>
        <v>832</v>
      </c>
      <c r="G28" s="6">
        <v>251</v>
      </c>
      <c r="H28" s="6">
        <v>134</v>
      </c>
      <c r="I28" s="45" t="s">
        <v>232</v>
      </c>
      <c r="J28" s="17" t="s">
        <v>608</v>
      </c>
    </row>
    <row r="29">
      <c r="A29" s="35" t="s">
        <v>610</v>
      </c>
      <c r="B29" s="6">
        <v>68</v>
      </c>
      <c r="C29" s="6">
        <v>32</v>
      </c>
      <c r="D29" s="6">
        <v>31</v>
      </c>
      <c r="E29" s="6">
        <v>29</v>
      </c>
      <c r="F29" s="14">
        <f>SUM(B29:E29)</f>
        <v>160</v>
      </c>
      <c r="G29" s="6">
        <v>52</v>
      </c>
      <c r="H29" s="6">
        <v>64</v>
      </c>
      <c r="I29" s="45" t="s">
        <v>232</v>
      </c>
      <c r="J29" s="17" t="s">
        <v>608</v>
      </c>
    </row>
    <row r="30">
      <c r="A30" s="35" t="s">
        <v>611</v>
      </c>
      <c r="B30" s="6">
        <v>0</v>
      </c>
      <c r="C30" s="6">
        <v>0</v>
      </c>
      <c r="D30" s="6">
        <v>0</v>
      </c>
      <c r="E30" s="6">
        <v>0</v>
      </c>
      <c r="F30" s="14">
        <f>SUM(B30:E30)</f>
        <v>0</v>
      </c>
      <c r="G30" s="6">
        <v>0</v>
      </c>
      <c r="H30" s="6">
        <v>17</v>
      </c>
      <c r="I30" s="45" t="s">
        <v>232</v>
      </c>
      <c r="J30" s="17" t="s">
        <v>608</v>
      </c>
    </row>
    <row r="31">
      <c r="A31" s="35" t="s">
        <v>612</v>
      </c>
      <c r="B31" s="6">
        <v>63</v>
      </c>
      <c r="C31" s="6">
        <v>79</v>
      </c>
      <c r="D31" s="6">
        <v>68</v>
      </c>
      <c r="E31" s="6">
        <v>111</v>
      </c>
      <c r="F31" s="14">
        <f>SUM(B31:E31)</f>
        <v>321</v>
      </c>
      <c r="G31" s="6">
        <v>60</v>
      </c>
      <c r="H31" s="6">
        <v>65</v>
      </c>
      <c r="I31" s="45" t="s">
        <v>232</v>
      </c>
      <c r="J31" s="17" t="s">
        <v>608</v>
      </c>
    </row>
    <row r="32">
      <c r="A32" s="35" t="s">
        <v>613</v>
      </c>
      <c r="B32" s="6">
        <v>-4296</v>
      </c>
      <c r="C32" s="6">
        <v>-4847</v>
      </c>
      <c r="D32" s="6">
        <v>-5376</v>
      </c>
      <c r="E32" s="6">
        <v>-4252</v>
      </c>
      <c r="F32" s="14">
        <f>SUM(B32:E32)</f>
        <v>-18771</v>
      </c>
      <c r="G32" s="6">
        <v>-5356</v>
      </c>
      <c r="H32" s="6">
        <v>-4799</v>
      </c>
      <c r="I32" s="45" t="s">
        <v>232</v>
      </c>
      <c r="J32" s="17" t="s">
        <v>608</v>
      </c>
    </row>
    <row r="33">
      <c r="A33" s="35" t="s">
        <v>614</v>
      </c>
      <c r="B33" s="6">
        <v>-25</v>
      </c>
      <c r="C33" s="6">
        <v>-35</v>
      </c>
      <c r="D33" s="6">
        <v>-34</v>
      </c>
      <c r="E33" s="6">
        <v>-32</v>
      </c>
      <c r="F33" s="14">
        <f>SUM(B33:E33)</f>
        <v>-126</v>
      </c>
      <c r="G33" s="6">
        <v>-25</v>
      </c>
      <c r="H33" s="6">
        <v>-31</v>
      </c>
      <c r="I33" s="45" t="s">
        <v>232</v>
      </c>
      <c r="J33" s="17" t="s">
        <v>608</v>
      </c>
    </row>
    <row r="34">
      <c r="A34" s="35" t="s">
        <v>615</v>
      </c>
      <c r="B34" s="6">
        <v>-7</v>
      </c>
      <c r="C34" s="6">
        <v>-6</v>
      </c>
      <c r="D34" s="6">
        <v>-10</v>
      </c>
      <c r="E34" s="6">
        <v>-25</v>
      </c>
      <c r="F34" s="14">
        <f>SUM(B34:E34)</f>
        <v>-48</v>
      </c>
      <c r="G34" s="6">
        <v>-12</v>
      </c>
      <c r="H34" s="6">
        <v>-10</v>
      </c>
      <c r="I34" s="45" t="s">
        <v>232</v>
      </c>
      <c r="J34" s="17" t="s">
        <v>608</v>
      </c>
    </row>
    <row r="35">
      <c r="A35" s="35" t="s">
        <v>616</v>
      </c>
      <c r="B35" s="6">
        <v>-96</v>
      </c>
      <c r="C35" s="6">
        <v>-80</v>
      </c>
      <c r="D35" s="6">
        <v>-86</v>
      </c>
      <c r="E35" s="6">
        <v>-84</v>
      </c>
      <c r="F35" s="14">
        <f>SUM(B35:E35)</f>
        <v>-346</v>
      </c>
      <c r="G35" s="6">
        <v>-69</v>
      </c>
      <c r="H35" s="6">
        <v>-112</v>
      </c>
      <c r="I35" s="45" t="s">
        <v>232</v>
      </c>
      <c r="J35" s="17" t="s">
        <v>608</v>
      </c>
    </row>
    <row r="36">
      <c r="A36" s="35" t="s">
        <v>617</v>
      </c>
      <c r="B36" s="6">
        <v>239</v>
      </c>
      <c r="C36" s="6">
        <v>-215</v>
      </c>
      <c r="D36" s="6">
        <v>-2051</v>
      </c>
      <c r="E36" s="6">
        <v>1082</v>
      </c>
      <c r="F36" s="14">
        <f>SUM(B36:E36)</f>
        <v>-945</v>
      </c>
      <c r="G36" s="6">
        <v>-945</v>
      </c>
      <c r="H36" s="6">
        <v>2081</v>
      </c>
      <c r="I36" s="45" t="s">
        <v>232</v>
      </c>
      <c r="J36" s="17" t="s">
        <v>608</v>
      </c>
    </row>
    <row r="37">
      <c r="A37" s="35" t="s">
        <v>618</v>
      </c>
      <c r="B37" s="6">
        <v>308</v>
      </c>
      <c r="C37" s="6">
        <v>64</v>
      </c>
      <c r="D37" s="6">
        <v>-4</v>
      </c>
      <c r="E37" s="6">
        <v>-224</v>
      </c>
      <c r="F37" s="14">
        <f>SUM(B37:E37)</f>
        <v>144</v>
      </c>
      <c r="G37" s="6">
        <v>430</v>
      </c>
      <c r="H37" s="6">
        <v>-400</v>
      </c>
      <c r="I37" s="45" t="s">
        <v>232</v>
      </c>
      <c r="J37" s="17" t="s">
        <v>608</v>
      </c>
    </row>
    <row r="38">
      <c r="A38" s="35" t="s">
        <v>619</v>
      </c>
      <c r="B38" s="6">
        <v>0</v>
      </c>
      <c r="C38" s="6">
        <v>0</v>
      </c>
      <c r="D38" s="6">
        <v>0</v>
      </c>
      <c r="E38" s="6">
        <v>0</v>
      </c>
      <c r="F38" s="14">
        <f>SUM(B38:E38)</f>
        <v>0</v>
      </c>
      <c r="G38" s="6">
        <v>2384</v>
      </c>
      <c r="H38" s="6">
        <v>0</v>
      </c>
      <c r="I38" s="45" t="s">
        <v>232</v>
      </c>
      <c r="J38" s="17" t="s">
        <v>608</v>
      </c>
    </row>
    <row r="39">
      <c r="A39" s="35" t="s">
        <v>620</v>
      </c>
      <c r="B39" s="6">
        <v>-116</v>
      </c>
      <c r="C39" s="6">
        <v>-127</v>
      </c>
      <c r="D39" s="6">
        <v>-155</v>
      </c>
      <c r="E39" s="6">
        <v>-135</v>
      </c>
      <c r="F39" s="14">
        <f>SUM(B39:E39)</f>
        <v>-533</v>
      </c>
      <c r="G39" s="6">
        <v>-119</v>
      </c>
      <c r="H39" s="6">
        <v>-137</v>
      </c>
      <c r="I39" s="45" t="s">
        <v>232</v>
      </c>
      <c r="J39" s="17" t="s">
        <v>608</v>
      </c>
    </row>
    <row r="40" ht="27.75">
      <c r="A40" s="35" t="s">
        <v>621</v>
      </c>
      <c r="B40" s="14"/>
      <c r="C40" s="14"/>
      <c r="D40" s="14"/>
      <c r="E40" s="14"/>
      <c r="F40" s="14"/>
      <c r="G40" s="14"/>
      <c r="H40" s="14"/>
      <c r="I40" s="45">
        <f>I56-I21-I51-I54</f>
        <v>-2074.6141049544594</v>
      </c>
      <c r="J40" s="142" t="s">
        <v>622</v>
      </c>
    </row>
    <row r="41">
      <c r="A41" s="22" t="s">
        <v>623</v>
      </c>
      <c r="B41" s="30">
        <f>SUM(B27:B40)</f>
        <v>-808</v>
      </c>
      <c r="C41" s="30">
        <f>SUM(C27:C40)</f>
        <v>-1716</v>
      </c>
      <c r="D41" s="30">
        <f>SUM(D27:D40)</f>
        <v>-4553</v>
      </c>
      <c r="E41" s="30">
        <f>SUM(E27:E40)</f>
        <v>-575</v>
      </c>
      <c r="F41" s="30">
        <f>SUM(F27:F40)</f>
        <v>-7652</v>
      </c>
      <c r="G41" s="30">
        <f>SUM(G27:G40)</f>
        <v>-335</v>
      </c>
      <c r="H41" s="30">
        <f>SUM(H27:H40)</f>
        <v>-165</v>
      </c>
      <c r="I41" s="44">
        <f>SUM(I27:I40)</f>
        <v>-2074.6141049544594</v>
      </c>
      <c r="J41" s="17"/>
    </row>
    <row r="42">
      <c r="A42" s="35" t="s">
        <v>624</v>
      </c>
      <c r="B42" s="6">
        <v>-808</v>
      </c>
      <c r="C42" s="6">
        <v>-1716</v>
      </c>
      <c r="D42" s="6">
        <v>-4553</v>
      </c>
      <c r="E42" s="6">
        <v>-575</v>
      </c>
      <c r="F42" s="14">
        <f>SUM(B42:E42)</f>
        <v>-7652</v>
      </c>
      <c r="G42" s="6">
        <v>-335</v>
      </c>
      <c r="H42" s="6">
        <v>-165</v>
      </c>
      <c r="I42" s="45"/>
      <c r="J42" s="17" t="s">
        <v>605</v>
      </c>
    </row>
    <row r="43">
      <c r="A43" s="36" t="s">
        <v>248</v>
      </c>
      <c r="B43" s="31">
        <f>B41-B42</f>
        <v>0</v>
      </c>
      <c r="C43" s="31">
        <f>C41-C42</f>
        <v>0</v>
      </c>
      <c r="D43" s="31">
        <f>D41-D42</f>
        <v>0</v>
      </c>
      <c r="E43" s="31">
        <f>E41-E42</f>
        <v>0</v>
      </c>
      <c r="F43" s="31">
        <f>F41-F42</f>
        <v>0</v>
      </c>
      <c r="G43" s="31">
        <f>G41-G42</f>
        <v>0</v>
      </c>
      <c r="H43" s="31">
        <f>H41-H42</f>
        <v>0</v>
      </c>
      <c r="I43" s="40"/>
      <c r="J43" s="17"/>
    </row>
    <row r="44">
      <c r="A44" s="42" t="s">
        <v>625</v>
      </c>
      <c r="B44" s="8"/>
      <c r="C44" s="8"/>
      <c r="D44" s="8"/>
      <c r="E44" s="8"/>
      <c r="F44" s="8"/>
      <c r="G44" s="8"/>
      <c r="H44" s="8"/>
      <c r="I44" s="21"/>
      <c r="J44" s="17"/>
    </row>
    <row r="45">
      <c r="A45" s="35" t="s">
        <v>626</v>
      </c>
      <c r="B45" s="6">
        <v>-250</v>
      </c>
      <c r="C45" s="6">
        <v>-500</v>
      </c>
      <c r="D45" s="6">
        <v>-619</v>
      </c>
      <c r="E45" s="6">
        <v>-1635</v>
      </c>
      <c r="F45" s="14">
        <f>SUM(B45:E45)</f>
        <v>-3004</v>
      </c>
      <c r="G45" s="6">
        <v>-1785</v>
      </c>
      <c r="H45" s="6">
        <v>-1313</v>
      </c>
      <c r="I45" s="34">
        <f>-'Share Count'!I21</f>
        <v>-900</v>
      </c>
      <c r="J45" s="17" t="s">
        <v>627</v>
      </c>
    </row>
    <row r="46" ht="40.5">
      <c r="A46" s="35" t="s">
        <v>628</v>
      </c>
      <c r="B46" s="6">
        <v>-102</v>
      </c>
      <c r="C46" s="6">
        <v>-22</v>
      </c>
      <c r="D46" s="6">
        <v>-1</v>
      </c>
      <c r="E46" s="6">
        <v>-2</v>
      </c>
      <c r="F46" s="14">
        <f>SUM(B46:E46)</f>
        <v>-127</v>
      </c>
      <c r="G46" s="6">
        <v>-149</v>
      </c>
      <c r="H46" s="6">
        <v>-5</v>
      </c>
      <c r="I46" s="62">
        <v>-5</v>
      </c>
      <c r="J46" s="142" t="s">
        <v>629</v>
      </c>
    </row>
    <row r="47">
      <c r="A47" s="35" t="s">
        <v>630</v>
      </c>
      <c r="B47" s="6">
        <v>-240</v>
      </c>
      <c r="C47" s="6">
        <v>-250</v>
      </c>
      <c r="D47" s="6">
        <v>-247</v>
      </c>
      <c r="E47" s="6">
        <v>-242</v>
      </c>
      <c r="F47" s="14">
        <f>SUM(B47:E47)</f>
        <v>-979</v>
      </c>
      <c r="G47" s="6">
        <v>-237</v>
      </c>
      <c r="H47" s="6">
        <v>-263</v>
      </c>
      <c r="I47" s="34">
        <f>-'Share Count'!I47</f>
        <v>-260.75</v>
      </c>
      <c r="J47" s="17" t="s">
        <v>631</v>
      </c>
    </row>
    <row r="48">
      <c r="A48" s="35" t="s">
        <v>632</v>
      </c>
      <c r="B48" s="6">
        <v>0</v>
      </c>
      <c r="C48" s="6">
        <v>0</v>
      </c>
      <c r="D48" s="6">
        <v>0</v>
      </c>
      <c r="E48" s="6">
        <v>0</v>
      </c>
      <c r="F48" s="14">
        <f>SUM(B48:E48)</f>
        <v>0</v>
      </c>
      <c r="G48" s="6">
        <v>0</v>
      </c>
      <c r="H48" s="6">
        <v>-200</v>
      </c>
      <c r="I48" s="62">
        <v>0</v>
      </c>
      <c r="J48" s="17" t="s">
        <v>633</v>
      </c>
    </row>
    <row r="49">
      <c r="A49" s="35" t="s">
        <v>634</v>
      </c>
      <c r="B49" s="6">
        <v>0</v>
      </c>
      <c r="C49" s="6">
        <v>0</v>
      </c>
      <c r="D49" s="6">
        <v>1233</v>
      </c>
      <c r="E49" s="6">
        <v>0</v>
      </c>
      <c r="F49" s="14">
        <f>SUM(B49:E49)</f>
        <v>1233</v>
      </c>
      <c r="G49" s="6">
        <v>0</v>
      </c>
      <c r="H49" s="6">
        <v>0</v>
      </c>
      <c r="I49" s="62">
        <v>0</v>
      </c>
      <c r="J49" s="17" t="s">
        <v>585</v>
      </c>
    </row>
    <row r="50">
      <c r="A50" s="35" t="s">
        <v>635</v>
      </c>
      <c r="B50" s="6">
        <v>57</v>
      </c>
      <c r="C50" s="6">
        <v>70</v>
      </c>
      <c r="D50" s="6">
        <v>36</v>
      </c>
      <c r="E50" s="6">
        <v>51</v>
      </c>
      <c r="F50" s="14">
        <f>SUM(B50:E50)</f>
        <v>214</v>
      </c>
      <c r="G50" s="6">
        <v>86</v>
      </c>
      <c r="H50" s="6">
        <v>38</v>
      </c>
      <c r="I50" s="62">
        <v>35</v>
      </c>
      <c r="J50" s="17" t="s">
        <v>585</v>
      </c>
    </row>
    <row r="51">
      <c r="A51" s="22" t="s">
        <v>636</v>
      </c>
      <c r="B51" s="30">
        <f>SUM(B45:B50)</f>
        <v>-535</v>
      </c>
      <c r="C51" s="30">
        <f>SUM(C45:C50)</f>
        <v>-702</v>
      </c>
      <c r="D51" s="30">
        <f>SUM(D45:D50)</f>
        <v>402</v>
      </c>
      <c r="E51" s="30">
        <f>SUM(E45:E50)</f>
        <v>-1828</v>
      </c>
      <c r="F51" s="30">
        <f>SUM(F45:F50)</f>
        <v>-2663</v>
      </c>
      <c r="G51" s="30">
        <f>SUM(G45:G50)</f>
        <v>-2085</v>
      </c>
      <c r="H51" s="30">
        <f>SUM(H45:H50)</f>
        <v>-1743</v>
      </c>
      <c r="I51" s="44">
        <f>SUM(I45:I50)</f>
        <v>-1130.75</v>
      </c>
      <c r="J51" s="17"/>
    </row>
    <row r="52">
      <c r="A52" s="35" t="s">
        <v>637</v>
      </c>
      <c r="B52" s="6">
        <v>-535</v>
      </c>
      <c r="C52" s="6">
        <v>-702</v>
      </c>
      <c r="D52" s="6">
        <v>402</v>
      </c>
      <c r="E52" s="6">
        <v>-1828</v>
      </c>
      <c r="F52" s="14">
        <f>SUM(B52:E52)</f>
        <v>-2663</v>
      </c>
      <c r="G52" s="6">
        <v>-2085</v>
      </c>
      <c r="H52" s="6">
        <v>-1743</v>
      </c>
      <c r="I52" s="45"/>
      <c r="J52" s="17" t="s">
        <v>605</v>
      </c>
    </row>
    <row r="53">
      <c r="A53" s="36" t="s">
        <v>248</v>
      </c>
      <c r="B53" s="31">
        <f>B51-B52</f>
        <v>0</v>
      </c>
      <c r="C53" s="31">
        <f>C51-C52</f>
        <v>0</v>
      </c>
      <c r="D53" s="31">
        <f>D51-D52</f>
        <v>0</v>
      </c>
      <c r="E53" s="31">
        <f>E51-E52</f>
        <v>0</v>
      </c>
      <c r="F53" s="31">
        <f>F51-F52</f>
        <v>0</v>
      </c>
      <c r="G53" s="31">
        <f>G51-G52</f>
        <v>0</v>
      </c>
      <c r="H53" s="31">
        <f>H51-H52</f>
        <v>0</v>
      </c>
      <c r="I53" s="40"/>
      <c r="J53" s="17"/>
    </row>
    <row r="54">
      <c r="A54" s="35" t="s">
        <v>638</v>
      </c>
      <c r="B54" s="6">
        <v>8</v>
      </c>
      <c r="C54" s="6">
        <v>19</v>
      </c>
      <c r="D54" s="6">
        <v>-6</v>
      </c>
      <c r="E54" s="6">
        <v>2</v>
      </c>
      <c r="F54" s="14">
        <f>SUM(B54:E54)</f>
        <v>23</v>
      </c>
      <c r="G54" s="6">
        <v>-5</v>
      </c>
      <c r="H54" s="6">
        <v>-2</v>
      </c>
      <c r="I54" s="62">
        <v>0</v>
      </c>
      <c r="J54" s="17" t="s">
        <v>585</v>
      </c>
    </row>
    <row r="55">
      <c r="A55" s="22" t="s">
        <v>639</v>
      </c>
      <c r="B55" s="30">
        <f>B21+B41+B51+B54</f>
        <v>25</v>
      </c>
      <c r="C55" s="30">
        <f>C21+C41+C51+C54</f>
        <v>-65</v>
      </c>
      <c r="D55" s="30">
        <f>D21+D41+D51+D54</f>
        <v>70</v>
      </c>
      <c r="E55" s="30">
        <f>E21+E41+E51+E54</f>
        <v>284</v>
      </c>
      <c r="F55" s="30">
        <f>F21+F41+F51+F54</f>
        <v>314</v>
      </c>
      <c r="G55" s="30">
        <f>G21+G41+G51+G54</f>
        <v>-227</v>
      </c>
      <c r="H55" s="30">
        <f>H21+H41+H51+H54</f>
        <v>6</v>
      </c>
      <c r="I55" s="44">
        <f>I21+I41+I51+I54</f>
        <v>0</v>
      </c>
      <c r="J55" s="17"/>
    </row>
    <row r="56">
      <c r="A56" s="80" t="s">
        <v>640</v>
      </c>
      <c r="B56" s="14"/>
      <c r="C56" s="14"/>
      <c r="D56" s="14"/>
      <c r="E56" s="14"/>
      <c r="F56" s="14"/>
      <c r="G56" s="14"/>
      <c r="H56" s="14"/>
      <c r="I56" s="62">
        <v>0</v>
      </c>
      <c r="J56" s="17" t="s">
        <v>641</v>
      </c>
    </row>
    <row r="57">
      <c r="A57" s="35" t="s">
        <v>642</v>
      </c>
      <c r="B57" s="6">
        <v>699</v>
      </c>
      <c r="C57" s="14">
        <f>B59</f>
        <v>724</v>
      </c>
      <c r="D57" s="14">
        <f>C59</f>
        <v>659</v>
      </c>
      <c r="E57" s="14">
        <f>D59</f>
        <v>729</v>
      </c>
      <c r="F57" s="14">
        <f>B57</f>
        <v>699</v>
      </c>
      <c r="G57" s="14">
        <f>E59</f>
        <v>842</v>
      </c>
      <c r="H57" s="14">
        <f>G59</f>
        <v>615</v>
      </c>
      <c r="I57" s="45">
        <f>H59</f>
        <v>621</v>
      </c>
      <c r="J57" s="17" t="s">
        <v>643</v>
      </c>
    </row>
    <row r="58">
      <c r="A58" s="35" t="s">
        <v>644</v>
      </c>
      <c r="B58" s="6">
        <v>0</v>
      </c>
      <c r="C58" s="6">
        <v>0</v>
      </c>
      <c r="D58" s="6">
        <v>0</v>
      </c>
      <c r="E58" s="6">
        <v>-171</v>
      </c>
      <c r="F58" s="14">
        <f>SUM(B58:E58)</f>
        <v>-171</v>
      </c>
      <c r="G58" s="6">
        <v>0</v>
      </c>
      <c r="H58" s="6">
        <v>0</v>
      </c>
      <c r="I58" s="62">
        <v>0</v>
      </c>
      <c r="J58" s="17" t="s">
        <v>645</v>
      </c>
    </row>
    <row r="59">
      <c r="A59" s="22" t="s">
        <v>646</v>
      </c>
      <c r="B59" s="30">
        <f>B57+B55+B58</f>
        <v>724</v>
      </c>
      <c r="C59" s="30">
        <f>C57+C55+C58</f>
        <v>659</v>
      </c>
      <c r="D59" s="30">
        <f>D57+D55+D58</f>
        <v>729</v>
      </c>
      <c r="E59" s="30">
        <f>E57+E55+E58</f>
        <v>842</v>
      </c>
      <c r="F59" s="30">
        <f>F57+F55+F58</f>
        <v>842</v>
      </c>
      <c r="G59" s="30">
        <f>G57+G55+G58</f>
        <v>615</v>
      </c>
      <c r="H59" s="30">
        <f>H57+H55+H58</f>
        <v>621</v>
      </c>
      <c r="I59" s="44">
        <f>I57+I55+I58</f>
        <v>621</v>
      </c>
      <c r="J59" s="17"/>
    </row>
    <row r="60">
      <c r="A60" s="65" t="s">
        <v>647</v>
      </c>
      <c r="B60" s="59">
        <f>B59-'Balance Sheet'!B15</f>
        <v>0</v>
      </c>
      <c r="C60" s="59">
        <f>C59-'Balance Sheet'!C15</f>
        <v>0</v>
      </c>
      <c r="D60" s="59">
        <f>D59-'Balance Sheet'!D15</f>
        <v>0</v>
      </c>
      <c r="E60" s="59">
        <f>E59-'Balance Sheet'!E15</f>
        <v>0</v>
      </c>
      <c r="F60" s="59">
        <f>F59-'Balance Sheet'!F15</f>
        <v>0</v>
      </c>
      <c r="G60" s="59">
        <f>G59-'Balance Sheet'!G15</f>
        <v>0</v>
      </c>
      <c r="H60" s="59">
        <f>H59-'Balance Sheet'!H15</f>
        <v>0</v>
      </c>
      <c r="I60" s="84">
        <f>I59-'Balance Sheet'!I15</f>
        <v>0</v>
      </c>
      <c r="J60" s="17"/>
    </row>
    <row r="61">
      <c r="A61" s="35" t="s">
        <v>571</v>
      </c>
      <c r="B61" s="37" t="b">
        <f>ABS(B60)&lt;0.5</f>
        <v>1</v>
      </c>
      <c r="C61" s="37" t="b">
        <f>ABS(C60)&lt;0.5</f>
        <v>1</v>
      </c>
      <c r="D61" s="37" t="b">
        <f>ABS(D60)&lt;0.5</f>
        <v>1</v>
      </c>
      <c r="E61" s="37" t="b">
        <f>ABS(E60)&lt;0.5</f>
        <v>1</v>
      </c>
      <c r="F61" s="37" t="b">
        <f>ABS(F60)&lt;0.5</f>
        <v>1</v>
      </c>
      <c r="G61" s="37" t="b">
        <f>ABS(G60)&lt;0.5</f>
        <v>1</v>
      </c>
      <c r="H61" s="37" t="b">
        <f>ABS(H60)&lt;0.5</f>
        <v>1</v>
      </c>
      <c r="I61" s="46" t="b">
        <f>ABS(I60)&lt;0.5</f>
        <v>1</v>
      </c>
      <c r="J61" s="17"/>
    </row>
    <row r="62" ht="27.75">
      <c r="A62" s="35" t="s">
        <v>648</v>
      </c>
      <c r="B62" s="14" t="s">
        <v>178</v>
      </c>
      <c r="C62" s="14" t="s">
        <v>178</v>
      </c>
      <c r="D62" s="14" t="s">
        <v>178</v>
      </c>
      <c r="E62" s="14" t="s">
        <v>178</v>
      </c>
      <c r="F62" s="14" t="s">
        <v>178</v>
      </c>
      <c r="G62" s="14" t="s">
        <v>178</v>
      </c>
      <c r="H62" s="14" t="s">
        <v>178</v>
      </c>
      <c r="I62" s="45" t="s">
        <v>178</v>
      </c>
      <c r="J62" s="142" t="s">
        <v>649</v>
      </c>
    </row>
    <row r="63">
      <c r="A63" s="35" t="s">
        <v>650</v>
      </c>
      <c r="B63" s="14" t="s">
        <v>32</v>
      </c>
      <c r="C63" s="14" t="s">
        <v>32</v>
      </c>
      <c r="D63" s="14" t="s">
        <v>32</v>
      </c>
      <c r="E63" s="14" t="s">
        <v>32</v>
      </c>
      <c r="F63" s="14" t="s">
        <v>32</v>
      </c>
      <c r="G63" s="14" t="s">
        <v>32</v>
      </c>
      <c r="H63" s="14" t="s">
        <v>32</v>
      </c>
      <c r="I63" s="45" t="s">
        <v>32</v>
      </c>
      <c r="J63" s="17" t="s">
        <v>651</v>
      </c>
    </row>
    <row r="64">
      <c r="A64" s="35" t="s">
        <v>652</v>
      </c>
      <c r="B64" s="6">
        <v>24</v>
      </c>
      <c r="C64" s="6">
        <v>538</v>
      </c>
      <c r="D64" s="6">
        <v>194</v>
      </c>
      <c r="E64" s="6">
        <v>518</v>
      </c>
      <c r="F64" s="14">
        <f>SUM(B64:E64)</f>
        <v>1274</v>
      </c>
      <c r="G64" s="6">
        <v>12</v>
      </c>
      <c r="H64" s="6">
        <v>1100</v>
      </c>
      <c r="I64" s="45"/>
      <c r="J64" s="17"/>
    </row>
    <row r="65">
      <c r="A65" s="35" t="s">
        <v>653</v>
      </c>
      <c r="B65" s="6">
        <v>61</v>
      </c>
      <c r="C65" s="6">
        <v>136</v>
      </c>
      <c r="D65" s="6">
        <v>60</v>
      </c>
      <c r="E65" s="6">
        <v>136</v>
      </c>
      <c r="F65" s="14">
        <f>SUM(B65:E65)</f>
        <v>393</v>
      </c>
      <c r="G65" s="6">
        <v>94</v>
      </c>
      <c r="H65" s="6">
        <v>136</v>
      </c>
      <c r="I65" s="45"/>
      <c r="J65" s="17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A1:J28"/>
  <sheetViews>
    <sheetView showGridLines="0" workbookViewId="0"/>
  </sheetViews>
  <sheetFormatPr defaultColWidth="8.42578125" defaultRowHeight="15"/>
  <cols>
    <col min="1" max="1" width="37" customWidth="1"/>
    <col min="2" max="9" width="12" customWidth="1"/>
    <col min="10" max="10" width="45" customWidth="1"/>
  </cols>
  <sheetData>
    <row r="1">
      <c r="A1" s="26" t="s">
        <v>0</v>
      </c>
      <c r="B1" s="1"/>
      <c r="C1" s="1"/>
      <c r="D1" s="1"/>
      <c r="E1" s="1"/>
      <c r="F1" s="1"/>
      <c r="G1" s="1"/>
      <c r="H1" s="1"/>
      <c r="I1" s="1"/>
      <c r="J1" s="1"/>
    </row>
    <row r="2">
      <c r="A2" s="22" t="s">
        <v>654</v>
      </c>
      <c r="B2" s="1"/>
      <c r="C2" s="1"/>
      <c r="D2" s="1"/>
      <c r="E2" s="1"/>
      <c r="F2" s="1"/>
      <c r="G2" s="1"/>
      <c r="H2" s="1"/>
      <c r="I2" s="1"/>
      <c r="J2" s="1"/>
    </row>
    <row r="3">
      <c r="A3" s="11" t="s">
        <v>2</v>
      </c>
      <c r="B3" s="1"/>
      <c r="C3" s="1"/>
      <c r="D3" s="1"/>
      <c r="E3" s="1"/>
      <c r="F3" s="1"/>
      <c r="G3" s="1"/>
      <c r="H3" s="1"/>
      <c r="I3" s="1"/>
      <c r="J3" s="1"/>
    </row>
    <row r="4">
      <c r="A4" s="12" t="s">
        <v>158</v>
      </c>
      <c r="B4" s="13" t="s">
        <v>159</v>
      </c>
      <c r="C4" s="13" t="s">
        <v>160</v>
      </c>
      <c r="D4" s="13" t="s">
        <v>161</v>
      </c>
      <c r="E4" s="13" t="s">
        <v>162</v>
      </c>
      <c r="F4" s="13" t="s">
        <v>163</v>
      </c>
      <c r="G4" s="13" t="s">
        <v>164</v>
      </c>
      <c r="H4" s="13" t="s">
        <v>165</v>
      </c>
      <c r="I4" s="39" t="s">
        <v>166</v>
      </c>
      <c r="J4" s="10" t="s">
        <v>4</v>
      </c>
    </row>
    <row r="5">
      <c r="A5" s="4" t="s">
        <v>167</v>
      </c>
      <c r="B5" s="7">
        <f>DATE(2025,3,31)</f>
        <v>45747</v>
      </c>
      <c r="C5" s="7">
        <f>DATE(2025,6,30)</f>
        <v>45838</v>
      </c>
      <c r="D5" s="7">
        <f>DATE(2025,9,30)</f>
        <v>45930</v>
      </c>
      <c r="E5" s="7">
        <f>DATE(2025,12,31)</f>
        <v>46022</v>
      </c>
      <c r="F5" s="7">
        <f>DATE(2025,12,31)</f>
        <v>46022</v>
      </c>
      <c r="G5" s="7">
        <f>DATE(2026,3,31)</f>
        <v>46112</v>
      </c>
      <c r="H5" s="7">
        <f>DATE(2026,6,30)</f>
        <v>46203</v>
      </c>
      <c r="I5" s="38">
        <f>DATE(2026,9,30)</f>
        <v>46295</v>
      </c>
      <c r="J5" s="24"/>
    </row>
    <row r="6">
      <c r="A6" s="41" t="s">
        <v>168</v>
      </c>
      <c r="B6" s="20">
        <f>B5-DATE(2024,12,31)</f>
        <v>90</v>
      </c>
      <c r="C6" s="20">
        <f>C5-B5</f>
        <v>91</v>
      </c>
      <c r="D6" s="20">
        <f>D5-C5</f>
        <v>92</v>
      </c>
      <c r="E6" s="20">
        <f>E5-D5</f>
        <v>92</v>
      </c>
      <c r="F6" s="20">
        <f>F5-DATE(2024,12,31)</f>
        <v>365</v>
      </c>
      <c r="G6" s="20">
        <f>G5-E5</f>
        <v>90</v>
      </c>
      <c r="H6" s="20">
        <f>H5-G5</f>
        <v>91</v>
      </c>
      <c r="I6" s="15">
        <f>I5-H5</f>
        <v>92</v>
      </c>
      <c r="J6" s="18"/>
    </row>
    <row r="7">
      <c r="A7" s="1"/>
      <c r="B7" s="1"/>
      <c r="C7" s="1"/>
      <c r="D7" s="1"/>
      <c r="E7" s="1"/>
      <c r="F7" s="1"/>
      <c r="G7" s="1"/>
      <c r="H7" s="1"/>
      <c r="I7" s="33"/>
      <c r="J7" s="17"/>
    </row>
    <row r="8">
      <c r="A8" s="42" t="s">
        <v>655</v>
      </c>
      <c r="B8" s="8"/>
      <c r="C8" s="8"/>
      <c r="D8" s="8"/>
      <c r="E8" s="8"/>
      <c r="F8" s="8"/>
      <c r="G8" s="8"/>
      <c r="H8" s="8"/>
      <c r="I8" s="21"/>
      <c r="J8" s="17"/>
    </row>
    <row r="9">
      <c r="A9" s="35" t="s">
        <v>656</v>
      </c>
      <c r="B9" s="16">
        <f>'Segment - Business Insurance'!B63</f>
        <v>5174</v>
      </c>
      <c r="C9" s="16">
        <f>'Segment - Business Insurance'!C63</f>
        <v>5252</v>
      </c>
      <c r="D9" s="16">
        <f>'Segment - Business Insurance'!D63</f>
        <v>5266</v>
      </c>
      <c r="E9" s="16">
        <f>'Segment - Business Insurance'!E63</f>
        <v>5053</v>
      </c>
      <c r="F9" s="16">
        <f>'Segment - Business Insurance'!F63</f>
        <v>20745</v>
      </c>
      <c r="G9" s="16">
        <f>'Segment - Business Insurance'!G63</f>
        <v>5369</v>
      </c>
      <c r="H9" s="16">
        <f>'Segment - Business Insurance'!H63</f>
        <v>5485</v>
      </c>
      <c r="I9" s="34">
        <f>'Segment - Business Insurance'!I63</f>
        <v>5428.5767751208805</v>
      </c>
      <c r="J9" s="17"/>
    </row>
    <row r="10">
      <c r="A10" s="35" t="s">
        <v>657</v>
      </c>
      <c r="B10" s="16">
        <f>'Segment - Bond &amp; Specialty'!B31</f>
        <v>886</v>
      </c>
      <c r="C10" s="16">
        <f>'Segment - Bond &amp; Specialty'!C31</f>
        <v>931</v>
      </c>
      <c r="D10" s="16">
        <f>'Segment - Bond &amp; Specialty'!D31</f>
        <v>955</v>
      </c>
      <c r="E10" s="16">
        <f>'Segment - Bond &amp; Specialty'!E31</f>
        <v>908</v>
      </c>
      <c r="F10" s="16">
        <f>'Segment - Bond &amp; Specialty'!F31</f>
        <v>3680</v>
      </c>
      <c r="G10" s="16">
        <f>'Segment - Bond &amp; Specialty'!G31</f>
        <v>953</v>
      </c>
      <c r="H10" s="16">
        <f>'Segment - Bond &amp; Specialty'!H31</f>
        <v>1091</v>
      </c>
      <c r="I10" s="34">
        <f>'Segment - Bond &amp; Specialty'!I31</f>
        <v>1039.1136008985743</v>
      </c>
      <c r="J10" s="17"/>
    </row>
    <row r="11">
      <c r="A11" s="35" t="s">
        <v>658</v>
      </c>
      <c r="B11" s="16">
        <f>'Segment - Personal Insurance'!B47</f>
        <v>3672</v>
      </c>
      <c r="C11" s="16">
        <f>'Segment - Personal Insurance'!C47</f>
        <v>4488</v>
      </c>
      <c r="D11" s="16">
        <f>'Segment - Personal Insurance'!D47</f>
        <v>4551</v>
      </c>
      <c r="E11" s="16">
        <f>'Segment - Personal Insurance'!E47</f>
        <v>4085</v>
      </c>
      <c r="F11" s="16">
        <f>'Segment - Personal Insurance'!F47</f>
        <v>16796</v>
      </c>
      <c r="G11" s="16">
        <f>'Segment - Personal Insurance'!G47</f>
        <v>3486</v>
      </c>
      <c r="H11" s="16">
        <f>'Segment - Personal Insurance'!H47</f>
        <v>4308</v>
      </c>
      <c r="I11" s="34">
        <f>'Segment - Personal Insurance'!I47</f>
        <v>4300.064121318032</v>
      </c>
      <c r="J11" s="17"/>
    </row>
    <row r="12">
      <c r="A12" s="22" t="s">
        <v>280</v>
      </c>
      <c r="B12" s="30">
        <f>B9+B10+B11</f>
        <v>9732</v>
      </c>
      <c r="C12" s="30">
        <f>C9+C10+C11</f>
        <v>10671</v>
      </c>
      <c r="D12" s="30">
        <f>D9+D10+D11</f>
        <v>10772</v>
      </c>
      <c r="E12" s="30">
        <f>E9+E10+E11</f>
        <v>10046</v>
      </c>
      <c r="F12" s="30">
        <f>F9+F10+F11</f>
        <v>41221</v>
      </c>
      <c r="G12" s="30">
        <f>G9+G10+G11</f>
        <v>9808</v>
      </c>
      <c r="H12" s="30">
        <f>H9+H10+H11</f>
        <v>10884</v>
      </c>
      <c r="I12" s="44">
        <f>I9+I10+I11</f>
        <v>10767.754497337486</v>
      </c>
      <c r="J12" s="17"/>
    </row>
    <row r="13">
      <c r="A13" s="36" t="s">
        <v>172</v>
      </c>
      <c r="B13" s="9" t="s">
        <v>32</v>
      </c>
      <c r="C13" s="9" t="s">
        <v>32</v>
      </c>
      <c r="D13" s="9" t="s">
        <v>32</v>
      </c>
      <c r="E13" s="9" t="s">
        <v>32</v>
      </c>
      <c r="F13" s="9" t="s">
        <v>32</v>
      </c>
      <c r="G13" s="9">
        <f>IFERROR(G12/B12-1,"n/a")</f>
        <v>0.0078092889436909285</v>
      </c>
      <c r="H13" s="9">
        <f>IFERROR(H12/C12-1,"n/a")</f>
        <v>0.019960640989598044</v>
      </c>
      <c r="I13" s="29">
        <f>IFERROR(I12/D12-1,"n/a")</f>
        <v>-0.00039412390108739537</v>
      </c>
      <c r="J13" s="17"/>
    </row>
    <row r="14">
      <c r="A14" s="36" t="s">
        <v>196</v>
      </c>
      <c r="B14" s="31" t="s">
        <v>32</v>
      </c>
      <c r="C14" s="31">
        <f>C12-B12</f>
        <v>939</v>
      </c>
      <c r="D14" s="31">
        <f>D12-C12</f>
        <v>101</v>
      </c>
      <c r="E14" s="31">
        <f>E12-D12</f>
        <v>-726</v>
      </c>
      <c r="F14" s="31" t="s">
        <v>32</v>
      </c>
      <c r="G14" s="31">
        <f>G12-E12</f>
        <v>-238</v>
      </c>
      <c r="H14" s="31">
        <f>H12-G12</f>
        <v>1076</v>
      </c>
      <c r="I14" s="40">
        <f>I12-H12</f>
        <v>-116.2455026625139</v>
      </c>
      <c r="J14" s="17"/>
    </row>
    <row r="15">
      <c r="A15" s="42" t="s">
        <v>659</v>
      </c>
      <c r="B15" s="8"/>
      <c r="C15" s="8"/>
      <c r="D15" s="8"/>
      <c r="E15" s="8"/>
      <c r="F15" s="8"/>
      <c r="G15" s="8"/>
      <c r="H15" s="8"/>
      <c r="I15" s="21"/>
      <c r="J15" s="17"/>
    </row>
    <row r="16">
      <c r="A16" s="35" t="s">
        <v>660</v>
      </c>
      <c r="B16" s="16">
        <f>'Segment - Business Insurance'!B67</f>
        <v>524</v>
      </c>
      <c r="C16" s="16">
        <f>'Segment - Business Insurance'!C67</f>
        <v>540</v>
      </c>
      <c r="D16" s="16">
        <f>'Segment - Business Insurance'!D67</f>
        <v>409</v>
      </c>
      <c r="E16" s="16">
        <f>'Segment - Business Insurance'!E67</f>
        <v>461</v>
      </c>
      <c r="F16" s="16">
        <f>'Segment - Business Insurance'!F67</f>
        <v>1934</v>
      </c>
      <c r="G16" s="16">
        <f>'Segment - Business Insurance'!G67</f>
        <v>417</v>
      </c>
      <c r="H16" s="16">
        <f>'Segment - Business Insurance'!H67</f>
        <v>499</v>
      </c>
      <c r="I16" s="34">
        <f>'Segment - Business Insurance'!I67</f>
        <v>350</v>
      </c>
      <c r="J16" s="17"/>
    </row>
    <row r="17">
      <c r="A17" s="35" t="s">
        <v>661</v>
      </c>
      <c r="B17" s="16">
        <f>'Segment - Bond &amp; Specialty'!B35</f>
        <v>113</v>
      </c>
      <c r="C17" s="16">
        <f>'Segment - Bond &amp; Specialty'!C35</f>
        <v>154</v>
      </c>
      <c r="D17" s="16">
        <f>'Segment - Bond &amp; Specialty'!D35</f>
        <v>125</v>
      </c>
      <c r="E17" s="16">
        <f>'Segment - Bond &amp; Specialty'!E35</f>
        <v>190</v>
      </c>
      <c r="F17" s="16">
        <f>'Segment - Bond &amp; Specialty'!F35</f>
        <v>582</v>
      </c>
      <c r="G17" s="16">
        <f>'Segment - Bond &amp; Specialty'!G35</f>
        <v>113</v>
      </c>
      <c r="H17" s="16">
        <f>'Segment - Bond &amp; Specialty'!H35</f>
        <v>146</v>
      </c>
      <c r="I17" s="34">
        <f>'Segment - Bond &amp; Specialty'!I35</f>
        <v>117.66000000000001</v>
      </c>
      <c r="J17" s="17"/>
    </row>
    <row r="18">
      <c r="A18" s="35" t="s">
        <v>662</v>
      </c>
      <c r="B18" s="16">
        <f>'Segment - Personal Insurance'!B50</f>
        <v>146</v>
      </c>
      <c r="C18" s="16">
        <f>'Segment - Personal Insurance'!C50</f>
        <v>178</v>
      </c>
      <c r="D18" s="16">
        <f>'Segment - Personal Insurance'!D50</f>
        <v>167</v>
      </c>
      <c r="E18" s="16">
        <f>'Segment - Personal Insurance'!E50</f>
        <v>159</v>
      </c>
      <c r="F18" s="16">
        <f>'Segment - Personal Insurance'!F50</f>
        <v>650</v>
      </c>
      <c r="G18" s="16">
        <f>'Segment - Personal Insurance'!G50</f>
        <v>0</v>
      </c>
      <c r="H18" s="16">
        <f>'Segment - Personal Insurance'!H50</f>
        <v>0</v>
      </c>
      <c r="I18" s="34">
        <f>'Segment - Personal Insurance'!I50</f>
        <v>0</v>
      </c>
      <c r="J18" s="17"/>
    </row>
    <row r="19">
      <c r="A19" s="22" t="s">
        <v>663</v>
      </c>
      <c r="B19" s="30">
        <f>B16+B17+B18</f>
        <v>783</v>
      </c>
      <c r="C19" s="30">
        <f>C16+C17+C18</f>
        <v>872</v>
      </c>
      <c r="D19" s="30">
        <f>D16+D17+D18</f>
        <v>701</v>
      </c>
      <c r="E19" s="30">
        <f>E16+E17+E18</f>
        <v>810</v>
      </c>
      <c r="F19" s="30">
        <f>F16+F17+F18</f>
        <v>3166</v>
      </c>
      <c r="G19" s="30">
        <f>G16+G17+G18</f>
        <v>530</v>
      </c>
      <c r="H19" s="30">
        <f>H16+H17+H18</f>
        <v>645</v>
      </c>
      <c r="I19" s="44">
        <f>I16+I17+I18</f>
        <v>467.66</v>
      </c>
      <c r="J19" s="17"/>
    </row>
    <row r="20">
      <c r="A20" s="36" t="s">
        <v>172</v>
      </c>
      <c r="B20" s="9" t="s">
        <v>32</v>
      </c>
      <c r="C20" s="9" t="s">
        <v>32</v>
      </c>
      <c r="D20" s="9" t="s">
        <v>32</v>
      </c>
      <c r="E20" s="9" t="s">
        <v>32</v>
      </c>
      <c r="F20" s="9" t="s">
        <v>32</v>
      </c>
      <c r="G20" s="9">
        <f>IFERROR(G19/B19-1,"n/a")</f>
        <v>-0.3231162196679438</v>
      </c>
      <c r="H20" s="9">
        <f>IFERROR(H19/C19-1,"n/a")</f>
        <v>-0.2603211009174312</v>
      </c>
      <c r="I20" s="29">
        <f>IFERROR(I19/D19-1,"n/a")</f>
        <v>-0.3328673323823109</v>
      </c>
      <c r="J20" s="17"/>
    </row>
    <row r="21">
      <c r="A21" s="36" t="s">
        <v>196</v>
      </c>
      <c r="B21" s="31" t="s">
        <v>32</v>
      </c>
      <c r="C21" s="31">
        <f>C19-B19</f>
        <v>89</v>
      </c>
      <c r="D21" s="31">
        <f>D19-C19</f>
        <v>-171</v>
      </c>
      <c r="E21" s="31">
        <f>E19-D19</f>
        <v>109</v>
      </c>
      <c r="F21" s="31" t="s">
        <v>32</v>
      </c>
      <c r="G21" s="31">
        <f>G19-E19</f>
        <v>-280</v>
      </c>
      <c r="H21" s="31">
        <f>H19-G19</f>
        <v>115</v>
      </c>
      <c r="I21" s="40">
        <f>I19-H19</f>
        <v>-177.33999999999997</v>
      </c>
      <c r="J21" s="17"/>
    </row>
    <row r="22">
      <c r="A22" s="22" t="s">
        <v>287</v>
      </c>
      <c r="B22" s="30">
        <f>B12+B19</f>
        <v>10515</v>
      </c>
      <c r="C22" s="30">
        <f>C12+C19</f>
        <v>11543</v>
      </c>
      <c r="D22" s="30">
        <f>D12+D19</f>
        <v>11473</v>
      </c>
      <c r="E22" s="30">
        <f>E12+E19</f>
        <v>10856</v>
      </c>
      <c r="F22" s="30">
        <f>F12+F19</f>
        <v>44387</v>
      </c>
      <c r="G22" s="30">
        <f>G12+G19</f>
        <v>10338</v>
      </c>
      <c r="H22" s="30">
        <f>H12+H19</f>
        <v>11529</v>
      </c>
      <c r="I22" s="44">
        <f>I12+I19</f>
        <v>11235.414497337486</v>
      </c>
      <c r="J22" s="17"/>
    </row>
    <row r="23">
      <c r="A23" s="36" t="s">
        <v>664</v>
      </c>
      <c r="B23" s="9">
        <f>B19/B22</f>
        <v>0.07446504992867332</v>
      </c>
      <c r="C23" s="9">
        <f>C19/C22</f>
        <v>0.07554361950965953</v>
      </c>
      <c r="D23" s="9">
        <f>D19/D22</f>
        <v>0.0610999738516517</v>
      </c>
      <c r="E23" s="9">
        <f>E19/E22</f>
        <v>0.07461311717022845</v>
      </c>
      <c r="F23" s="9">
        <f>F19/F22</f>
        <v>0.0713271903935837</v>
      </c>
      <c r="G23" s="9">
        <f>G19/G22</f>
        <v>0.05126716966531244</v>
      </c>
      <c r="H23" s="9">
        <f>H19/H22</f>
        <v>0.05594587561800676</v>
      </c>
      <c r="I23" s="29">
        <f>I19/I22</f>
        <v>0.041623742507303475</v>
      </c>
      <c r="J23" s="17"/>
    </row>
    <row r="24">
      <c r="A24" s="36" t="s">
        <v>665</v>
      </c>
      <c r="B24" s="9">
        <f>B12/B22</f>
        <v>0.9255349500713267</v>
      </c>
      <c r="C24" s="9">
        <f>C12/C22</f>
        <v>0.9244563804903405</v>
      </c>
      <c r="D24" s="9">
        <f>D12/D22</f>
        <v>0.9389000261483483</v>
      </c>
      <c r="E24" s="9">
        <f>E12/E22</f>
        <v>0.9253868828297716</v>
      </c>
      <c r="F24" s="9">
        <f>F12/F22</f>
        <v>0.9286728096064163</v>
      </c>
      <c r="G24" s="9">
        <f>G12/G22</f>
        <v>0.9487328303346876</v>
      </c>
      <c r="H24" s="9">
        <f>H12/H22</f>
        <v>0.9440541243819932</v>
      </c>
      <c r="I24" s="29">
        <f>I12/I22</f>
        <v>0.9583762574926965</v>
      </c>
      <c r="J24" s="17"/>
    </row>
    <row r="25">
      <c r="A25" s="35" t="s">
        <v>666</v>
      </c>
      <c r="B25" s="16">
        <f>'Segment - Business Insurance'!B71+'Segment - Bond &amp; Specialty'!B39+'Segment - Personal Insurance'!B52</f>
        <v>10515</v>
      </c>
      <c r="C25" s="16">
        <f>'Segment - Business Insurance'!C71+'Segment - Bond &amp; Specialty'!C39+'Segment - Personal Insurance'!C52</f>
        <v>11543</v>
      </c>
      <c r="D25" s="16">
        <f>'Segment - Business Insurance'!D71+'Segment - Bond &amp; Specialty'!D39+'Segment - Personal Insurance'!D52</f>
        <v>11473</v>
      </c>
      <c r="E25" s="16">
        <f>'Segment - Business Insurance'!E71+'Segment - Bond &amp; Specialty'!E39+'Segment - Personal Insurance'!E52</f>
        <v>10856</v>
      </c>
      <c r="F25" s="16">
        <f>'Segment - Business Insurance'!F71+'Segment - Bond &amp; Specialty'!F39+'Segment - Personal Insurance'!F52</f>
        <v>44387</v>
      </c>
      <c r="G25" s="16">
        <f>'Segment - Business Insurance'!G71+'Segment - Bond &amp; Specialty'!G39+'Segment - Personal Insurance'!G52</f>
        <v>10338</v>
      </c>
      <c r="H25" s="16">
        <f>'Segment - Business Insurance'!H71+'Segment - Bond &amp; Specialty'!H39+'Segment - Personal Insurance'!H52</f>
        <v>11529</v>
      </c>
      <c r="I25" s="34">
        <f>'Segment - Business Insurance'!I71+'Segment - Bond &amp; Specialty'!I39+'Segment - Personal Insurance'!I52</f>
        <v>11235.414497337486</v>
      </c>
      <c r="J25" s="17"/>
    </row>
    <row r="26">
      <c r="A26" s="35" t="s">
        <v>667</v>
      </c>
      <c r="B26" s="6">
        <v>10515</v>
      </c>
      <c r="C26" s="6">
        <v>11543</v>
      </c>
      <c r="D26" s="6">
        <v>11473</v>
      </c>
      <c r="E26" s="6">
        <v>10856</v>
      </c>
      <c r="F26" s="14">
        <f>SUM(B26:E26)</f>
        <v>44387</v>
      </c>
      <c r="G26" s="6">
        <v>10338</v>
      </c>
      <c r="H26" s="6">
        <v>11529</v>
      </c>
      <c r="I26" s="45"/>
      <c r="J26" s="17" t="s">
        <v>668</v>
      </c>
    </row>
    <row r="27">
      <c r="A27" s="35" t="s">
        <v>669</v>
      </c>
      <c r="B27" s="37" t="b">
        <f>ABS(B22-B25)&lt;0.001</f>
        <v>1</v>
      </c>
      <c r="C27" s="37" t="b">
        <f>ABS(C22-C25)&lt;0.001</f>
        <v>1</v>
      </c>
      <c r="D27" s="37" t="b">
        <f>ABS(D22-D25)&lt;0.001</f>
        <v>1</v>
      </c>
      <c r="E27" s="37" t="b">
        <f>ABS(E22-E25)&lt;0.001</f>
        <v>1</v>
      </c>
      <c r="F27" s="37" t="b">
        <f>ABS(F22-F25)&lt;0.001</f>
        <v>1</v>
      </c>
      <c r="G27" s="37" t="b">
        <f>ABS(G22-G25)&lt;0.001</f>
        <v>1</v>
      </c>
      <c r="H27" s="37" t="b">
        <f>ABS(H22-H25)&lt;0.001</f>
        <v>1</v>
      </c>
      <c r="I27" s="46" t="b">
        <f>ABS(I22-I25)&lt;0.001</f>
        <v>1</v>
      </c>
      <c r="J27" s="17"/>
    </row>
    <row r="28">
      <c r="A28" s="36" t="s">
        <v>670</v>
      </c>
      <c r="B28" s="31">
        <f>B22-B26</f>
        <v>0</v>
      </c>
      <c r="C28" s="31">
        <f>C22-C26</f>
        <v>0</v>
      </c>
      <c r="D28" s="31">
        <f>D22-D26</f>
        <v>0</v>
      </c>
      <c r="E28" s="31">
        <f>E22-E26</f>
        <v>0</v>
      </c>
      <c r="F28" s="31">
        <f>F22-F26</f>
        <v>0</v>
      </c>
      <c r="G28" s="31">
        <f>G22-G26</f>
        <v>0</v>
      </c>
      <c r="H28" s="31">
        <f>H22-H26</f>
        <v>0</v>
      </c>
      <c r="I28" s="40"/>
      <c r="J28" s="17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A1:J51"/>
  <sheetViews>
    <sheetView showGridLines="0" workbookViewId="0"/>
  </sheetViews>
  <sheetFormatPr defaultColWidth="8.42578125" defaultRowHeight="15"/>
  <cols>
    <col min="1" max="1" width="37" customWidth="1"/>
    <col min="2" max="9" width="12" customWidth="1"/>
    <col min="10" max="10" width="45" customWidth="1"/>
  </cols>
  <sheetData>
    <row r="1">
      <c r="A1" s="26" t="s">
        <v>0</v>
      </c>
      <c r="B1" s="1"/>
      <c r="C1" s="1"/>
      <c r="D1" s="1"/>
      <c r="E1" s="1"/>
      <c r="F1" s="1"/>
      <c r="G1" s="1"/>
      <c r="H1" s="1"/>
      <c r="I1" s="1"/>
      <c r="J1" s="1"/>
    </row>
    <row r="2">
      <c r="A2" s="22" t="s">
        <v>671</v>
      </c>
      <c r="B2" s="1"/>
      <c r="C2" s="1"/>
      <c r="D2" s="1"/>
      <c r="E2" s="1"/>
      <c r="F2" s="1"/>
      <c r="G2" s="1"/>
      <c r="H2" s="1"/>
      <c r="I2" s="1"/>
      <c r="J2" s="1"/>
    </row>
    <row r="3">
      <c r="A3" s="11" t="s">
        <v>672</v>
      </c>
      <c r="B3" s="1"/>
      <c r="C3" s="1"/>
      <c r="D3" s="1"/>
      <c r="E3" s="1"/>
      <c r="F3" s="1"/>
      <c r="G3" s="1"/>
      <c r="H3" s="1"/>
      <c r="I3" s="1"/>
      <c r="J3" s="1"/>
    </row>
    <row r="4">
      <c r="A4" s="12" t="s">
        <v>158</v>
      </c>
      <c r="B4" s="13" t="s">
        <v>159</v>
      </c>
      <c r="C4" s="13" t="s">
        <v>160</v>
      </c>
      <c r="D4" s="13" t="s">
        <v>161</v>
      </c>
      <c r="E4" s="13" t="s">
        <v>162</v>
      </c>
      <c r="F4" s="13" t="s">
        <v>163</v>
      </c>
      <c r="G4" s="13" t="s">
        <v>164</v>
      </c>
      <c r="H4" s="13" t="s">
        <v>165</v>
      </c>
      <c r="I4" s="39" t="s">
        <v>166</v>
      </c>
      <c r="J4" s="10" t="s">
        <v>4</v>
      </c>
    </row>
    <row r="5">
      <c r="A5" s="4" t="s">
        <v>167</v>
      </c>
      <c r="B5" s="7">
        <f>DATE(2025,3,31)</f>
        <v>45747</v>
      </c>
      <c r="C5" s="7">
        <f>DATE(2025,6,30)</f>
        <v>45838</v>
      </c>
      <c r="D5" s="7">
        <f>DATE(2025,9,30)</f>
        <v>45930</v>
      </c>
      <c r="E5" s="7">
        <f>DATE(2025,12,31)</f>
        <v>46022</v>
      </c>
      <c r="F5" s="7">
        <f>DATE(2025,12,31)</f>
        <v>46022</v>
      </c>
      <c r="G5" s="7">
        <f>DATE(2026,3,31)</f>
        <v>46112</v>
      </c>
      <c r="H5" s="7">
        <f>DATE(2026,6,30)</f>
        <v>46203</v>
      </c>
      <c r="I5" s="38">
        <f>DATE(2026,9,30)</f>
        <v>46295</v>
      </c>
      <c r="J5" s="24"/>
    </row>
    <row r="6">
      <c r="A6" s="41" t="s">
        <v>168</v>
      </c>
      <c r="B6" s="20">
        <f>B5-DATE(2024,12,31)</f>
        <v>90</v>
      </c>
      <c r="C6" s="20">
        <f>C5-B5</f>
        <v>91</v>
      </c>
      <c r="D6" s="20">
        <f>D5-C5</f>
        <v>92</v>
      </c>
      <c r="E6" s="20">
        <f>E5-D5</f>
        <v>92</v>
      </c>
      <c r="F6" s="20">
        <f>F5-DATE(2024,12,31)</f>
        <v>365</v>
      </c>
      <c r="G6" s="20">
        <f>G5-E5</f>
        <v>90</v>
      </c>
      <c r="H6" s="20">
        <f>H5-G5</f>
        <v>91</v>
      </c>
      <c r="I6" s="15">
        <f>I5-H5</f>
        <v>92</v>
      </c>
      <c r="J6" s="18"/>
    </row>
    <row r="7">
      <c r="A7" s="1"/>
      <c r="B7" s="1"/>
      <c r="C7" s="1"/>
      <c r="D7" s="1"/>
      <c r="E7" s="1"/>
      <c r="F7" s="1"/>
      <c r="G7" s="1"/>
      <c r="H7" s="1"/>
      <c r="I7" s="33"/>
      <c r="J7" s="17"/>
    </row>
    <row r="8">
      <c r="A8" s="42" t="s">
        <v>673</v>
      </c>
      <c r="B8" s="8"/>
      <c r="C8" s="8"/>
      <c r="D8" s="8"/>
      <c r="E8" s="8"/>
      <c r="F8" s="8"/>
      <c r="G8" s="8"/>
      <c r="H8" s="8"/>
      <c r="I8" s="21"/>
      <c r="J8" s="17"/>
    </row>
    <row r="9">
      <c r="A9" s="35" t="s">
        <v>674</v>
      </c>
      <c r="B9" s="6">
        <v>226.6</v>
      </c>
      <c r="C9" s="14">
        <f>B17</f>
        <v>226.6</v>
      </c>
      <c r="D9" s="14">
        <f>C17</f>
        <v>225.1</v>
      </c>
      <c r="E9" s="14">
        <f>D17</f>
        <v>223</v>
      </c>
      <c r="F9" s="14">
        <f>B9</f>
        <v>226.6</v>
      </c>
      <c r="G9" s="14">
        <f>E17</f>
        <v>217.5</v>
      </c>
      <c r="H9" s="14">
        <f>G17</f>
        <v>212.6</v>
      </c>
      <c r="I9" s="45">
        <f>H17</f>
        <v>208.6</v>
      </c>
      <c r="J9" s="17" t="s">
        <v>643</v>
      </c>
    </row>
    <row r="10">
      <c r="A10" s="35" t="s">
        <v>675</v>
      </c>
      <c r="B10" s="6">
        <v>1</v>
      </c>
      <c r="C10" s="6">
        <v>1.8</v>
      </c>
      <c r="D10" s="6">
        <v>2.3</v>
      </c>
      <c r="E10" s="6">
        <v>5.8</v>
      </c>
      <c r="F10" s="14">
        <f>SUM(B10:E10)</f>
        <v>10.899999999999999</v>
      </c>
      <c r="G10" s="6">
        <v>6</v>
      </c>
      <c r="H10" s="6">
        <v>4.3</v>
      </c>
      <c r="I10" s="45">
        <f>I21/I24</f>
        <v>2.608695652173913</v>
      </c>
      <c r="J10" s="17" t="s">
        <v>676</v>
      </c>
    </row>
    <row r="11">
      <c r="A11" s="36" t="s">
        <v>172</v>
      </c>
      <c r="B11" s="9" t="s">
        <v>32</v>
      </c>
      <c r="C11" s="9" t="s">
        <v>32</v>
      </c>
      <c r="D11" s="9" t="s">
        <v>32</v>
      </c>
      <c r="E11" s="9" t="s">
        <v>32</v>
      </c>
      <c r="F11" s="9" t="s">
        <v>32</v>
      </c>
      <c r="G11" s="9">
        <f>IFERROR(G10/B10-1,"n/a")</f>
        <v>5</v>
      </c>
      <c r="H11" s="9">
        <f>IFERROR(H10/C10-1,"n/a")</f>
        <v>1.3888888888888888</v>
      </c>
      <c r="I11" s="29">
        <f>IFERROR(I10/D10-1,"n/a")</f>
        <v>0.13421550094517976</v>
      </c>
      <c r="J11" s="17"/>
    </row>
    <row r="12">
      <c r="A12" s="36" t="s">
        <v>677</v>
      </c>
      <c r="B12" s="31" t="s">
        <v>32</v>
      </c>
      <c r="C12" s="31">
        <f>C10-B10</f>
        <v>0.8</v>
      </c>
      <c r="D12" s="31">
        <f>D10-C10</f>
        <v>0.4999999999999998</v>
      </c>
      <c r="E12" s="31">
        <f>E10-D10</f>
        <v>3.5</v>
      </c>
      <c r="F12" s="31" t="s">
        <v>32</v>
      </c>
      <c r="G12" s="31">
        <f>G10-E10</f>
        <v>0.20000000000000018</v>
      </c>
      <c r="H12" s="31">
        <f>H10-G10</f>
        <v>-1.7000000000000002</v>
      </c>
      <c r="I12" s="40">
        <f>I10-H10</f>
        <v>-1.6913043478260867</v>
      </c>
      <c r="J12" s="17"/>
    </row>
    <row r="13" ht="53.25">
      <c r="A13" s="35" t="s">
        <v>678</v>
      </c>
      <c r="B13" s="6">
        <v>0.4</v>
      </c>
      <c r="C13" s="6">
        <v>0.3</v>
      </c>
      <c r="D13" s="6">
        <v>0</v>
      </c>
      <c r="E13" s="6">
        <v>0</v>
      </c>
      <c r="F13" s="14">
        <f>SUM(B13:E13)</f>
        <v>0.7</v>
      </c>
      <c r="G13" s="6">
        <v>0.6</v>
      </c>
      <c r="H13" s="6">
        <v>0</v>
      </c>
      <c r="I13" s="62">
        <v>0</v>
      </c>
      <c r="J13" s="142" t="s">
        <v>679</v>
      </c>
    </row>
    <row r="14">
      <c r="A14" s="36" t="s">
        <v>172</v>
      </c>
      <c r="B14" s="9" t="s">
        <v>32</v>
      </c>
      <c r="C14" s="9" t="s">
        <v>32</v>
      </c>
      <c r="D14" s="9" t="s">
        <v>32</v>
      </c>
      <c r="E14" s="9" t="s">
        <v>32</v>
      </c>
      <c r="F14" s="9" t="s">
        <v>32</v>
      </c>
      <c r="G14" s="9">
        <f>IFERROR(G13/B13-1,"n/a")</f>
        <v>0.4999999999999998</v>
      </c>
      <c r="H14" s="9">
        <f>IFERROR(H13/C13-1,"n/a")</f>
        <v>-1</v>
      </c>
      <c r="I14" s="29" t="str">
        <f>IFERROR(I13/D13-1,"n/a")</f>
        <v>n/a</v>
      </c>
      <c r="J14" s="17"/>
    </row>
    <row r="15">
      <c r="A15" s="36" t="s">
        <v>677</v>
      </c>
      <c r="B15" s="31" t="s">
        <v>32</v>
      </c>
      <c r="C15" s="31">
        <f>C13-B13</f>
        <v>-0.10000000000000003</v>
      </c>
      <c r="D15" s="31">
        <f>D13-C13</f>
        <v>-0.3</v>
      </c>
      <c r="E15" s="31">
        <f>E13-D13</f>
        <v>0</v>
      </c>
      <c r="F15" s="31" t="s">
        <v>32</v>
      </c>
      <c r="G15" s="31">
        <f>G13-E13</f>
        <v>0.6</v>
      </c>
      <c r="H15" s="31">
        <f>H13-G13</f>
        <v>-0.6</v>
      </c>
      <c r="I15" s="40">
        <f>I13-H13</f>
        <v>0</v>
      </c>
      <c r="J15" s="17"/>
    </row>
    <row r="16" ht="27.75">
      <c r="A16" s="35" t="s">
        <v>680</v>
      </c>
      <c r="B16" s="14">
        <f>B17-B9+B10+B13</f>
        <v>1.4</v>
      </c>
      <c r="C16" s="14">
        <f>C17-C9+C10+C13</f>
        <v>0.6000000000000001</v>
      </c>
      <c r="D16" s="14">
        <f>D17-D9+D10+D13</f>
        <v>0.2000000000000055</v>
      </c>
      <c r="E16" s="14">
        <f>E17-E9+E10+E13</f>
        <v>0.2999999999999998</v>
      </c>
      <c r="F16" s="14">
        <f>F17-F9+F10+F13</f>
        <v>2.5000000000000044</v>
      </c>
      <c r="G16" s="14">
        <f>G17-G9+G10+G13</f>
        <v>1.6999999999999944</v>
      </c>
      <c r="H16" s="14">
        <f>H17-H9+H10+H13</f>
        <v>0.2999999999999998</v>
      </c>
      <c r="I16" s="62">
        <v>0.3</v>
      </c>
      <c r="J16" s="142" t="s">
        <v>681</v>
      </c>
    </row>
    <row r="17">
      <c r="A17" s="22" t="s">
        <v>682</v>
      </c>
      <c r="B17" s="64">
        <v>226.6</v>
      </c>
      <c r="C17" s="64">
        <v>225.1</v>
      </c>
      <c r="D17" s="64">
        <v>223</v>
      </c>
      <c r="E17" s="64">
        <v>217.5</v>
      </c>
      <c r="F17" s="30">
        <f>E17</f>
        <v>217.5</v>
      </c>
      <c r="G17" s="64">
        <v>212.6</v>
      </c>
      <c r="H17" s="64">
        <v>208.6</v>
      </c>
      <c r="I17" s="44">
        <f>I9-I10-I13+I16</f>
        <v>206.2913043478261</v>
      </c>
      <c r="J17" s="17" t="s">
        <v>683</v>
      </c>
    </row>
    <row r="18">
      <c r="A18" s="36" t="s">
        <v>172</v>
      </c>
      <c r="B18" s="9" t="s">
        <v>32</v>
      </c>
      <c r="C18" s="9" t="s">
        <v>32</v>
      </c>
      <c r="D18" s="9" t="s">
        <v>32</v>
      </c>
      <c r="E18" s="9" t="s">
        <v>32</v>
      </c>
      <c r="F18" s="9" t="s">
        <v>32</v>
      </c>
      <c r="G18" s="9">
        <f>IFERROR(G17/B17-1,"n/a")</f>
        <v>-0.06178287731685794</v>
      </c>
      <c r="H18" s="9">
        <f>IFERROR(H17/C17-1,"n/a")</f>
        <v>-0.07330075521990231</v>
      </c>
      <c r="I18" s="29">
        <f>IFERROR(I17/D17-1,"n/a")</f>
        <v>-0.07492688633261835</v>
      </c>
      <c r="J18" s="17"/>
    </row>
    <row r="19">
      <c r="A19" s="36" t="s">
        <v>677</v>
      </c>
      <c r="B19" s="31" t="s">
        <v>32</v>
      </c>
      <c r="C19" s="31">
        <f>C17-B17</f>
        <v>-1.5</v>
      </c>
      <c r="D19" s="31">
        <f>D17-C17</f>
        <v>-2.0999999999999943</v>
      </c>
      <c r="E19" s="31">
        <f>E17-D17</f>
        <v>-5.5</v>
      </c>
      <c r="F19" s="31" t="s">
        <v>32</v>
      </c>
      <c r="G19" s="31">
        <f>G17-E17</f>
        <v>-4.900000000000006</v>
      </c>
      <c r="H19" s="31">
        <f>H17-G17</f>
        <v>-4</v>
      </c>
      <c r="I19" s="40">
        <f>I17-H17</f>
        <v>-2.3086956521738955</v>
      </c>
      <c r="J19" s="17"/>
    </row>
    <row r="20">
      <c r="A20" s="42" t="s">
        <v>684</v>
      </c>
      <c r="B20" s="8"/>
      <c r="C20" s="8"/>
      <c r="D20" s="8"/>
      <c r="E20" s="8"/>
      <c r="F20" s="8"/>
      <c r="G20" s="8"/>
      <c r="H20" s="8"/>
      <c r="I20" s="21"/>
      <c r="J20" s="17"/>
    </row>
    <row r="21" ht="27.75">
      <c r="A21" s="35" t="s">
        <v>685</v>
      </c>
      <c r="B21" s="6">
        <v>250</v>
      </c>
      <c r="C21" s="6">
        <v>500</v>
      </c>
      <c r="D21" s="6">
        <v>625</v>
      </c>
      <c r="E21" s="6">
        <v>1650</v>
      </c>
      <c r="F21" s="14">
        <f>SUM(B21:E21)</f>
        <v>3025</v>
      </c>
      <c r="G21" s="6">
        <v>1800</v>
      </c>
      <c r="H21" s="6">
        <v>1300</v>
      </c>
      <c r="I21" s="62">
        <v>900</v>
      </c>
      <c r="J21" s="142" t="s">
        <v>686</v>
      </c>
    </row>
    <row r="22">
      <c r="A22" s="36" t="s">
        <v>172</v>
      </c>
      <c r="B22" s="9" t="s">
        <v>32</v>
      </c>
      <c r="C22" s="9" t="s">
        <v>32</v>
      </c>
      <c r="D22" s="9" t="s">
        <v>32</v>
      </c>
      <c r="E22" s="9" t="s">
        <v>32</v>
      </c>
      <c r="F22" s="9" t="s">
        <v>32</v>
      </c>
      <c r="G22" s="9">
        <f>IFERROR(G21/B21-1,"n/a")</f>
        <v>6.2</v>
      </c>
      <c r="H22" s="9">
        <f>IFERROR(H21/C21-1,"n/a")</f>
        <v>1.6</v>
      </c>
      <c r="I22" s="29">
        <f>IFERROR(I21/D21-1,"n/a")</f>
        <v>0.43999999999999995</v>
      </c>
      <c r="J22" s="17"/>
    </row>
    <row r="23">
      <c r="A23" s="36" t="s">
        <v>196</v>
      </c>
      <c r="B23" s="31" t="s">
        <v>32</v>
      </c>
      <c r="C23" s="31">
        <f>C21-B21</f>
        <v>250</v>
      </c>
      <c r="D23" s="31">
        <f>D21-C21</f>
        <v>125</v>
      </c>
      <c r="E23" s="31">
        <f>E21-D21</f>
        <v>1025</v>
      </c>
      <c r="F23" s="31" t="s">
        <v>32</v>
      </c>
      <c r="G23" s="31">
        <f>G21-E21</f>
        <v>150</v>
      </c>
      <c r="H23" s="31">
        <f>H21-G21</f>
        <v>-500</v>
      </c>
      <c r="I23" s="40">
        <f>I21-H21</f>
        <v>-400</v>
      </c>
      <c r="J23" s="17"/>
    </row>
    <row r="24" ht="27.75">
      <c r="A24" s="35" t="s">
        <v>687</v>
      </c>
      <c r="B24" s="56">
        <f>B21/B10</f>
        <v>250</v>
      </c>
      <c r="C24" s="56">
        <f>C21/C10</f>
        <v>277.77777777777777</v>
      </c>
      <c r="D24" s="56">
        <f>D21/D10</f>
        <v>271.7391304347826</v>
      </c>
      <c r="E24" s="56">
        <f>E21/E10</f>
        <v>284.48275862068965</v>
      </c>
      <c r="F24" s="56">
        <f>F21/F10</f>
        <v>277.5229357798166</v>
      </c>
      <c r="G24" s="56">
        <f>G21/G10</f>
        <v>300</v>
      </c>
      <c r="H24" s="56">
        <f>H21/H10</f>
        <v>302.3255813953489</v>
      </c>
      <c r="I24" s="72">
        <v>345</v>
      </c>
      <c r="J24" s="142" t="s">
        <v>688</v>
      </c>
    </row>
    <row r="25">
      <c r="A25" s="36" t="s">
        <v>172</v>
      </c>
      <c r="B25" s="9" t="s">
        <v>32</v>
      </c>
      <c r="C25" s="9" t="s">
        <v>32</v>
      </c>
      <c r="D25" s="9" t="s">
        <v>32</v>
      </c>
      <c r="E25" s="9" t="s">
        <v>32</v>
      </c>
      <c r="F25" s="9" t="s">
        <v>32</v>
      </c>
      <c r="G25" s="9">
        <f>IFERROR(G24/B24-1,"n/a")</f>
        <v>0.19999999999999996</v>
      </c>
      <c r="H25" s="9">
        <f>IFERROR(H24/C24-1,"n/a")</f>
        <v>0.08837209302325588</v>
      </c>
      <c r="I25" s="29">
        <f>IFERROR(I24/D24-1,"n/a")</f>
        <v>0.26959999999999984</v>
      </c>
      <c r="J25" s="17"/>
    </row>
    <row r="26">
      <c r="A26" s="36" t="s">
        <v>196</v>
      </c>
      <c r="B26" s="57" t="s">
        <v>32</v>
      </c>
      <c r="C26" s="57">
        <f>C24-B24</f>
        <v>27.77777777777777</v>
      </c>
      <c r="D26" s="57">
        <f>D24-C24</f>
        <v>-6.038647342995148</v>
      </c>
      <c r="E26" s="57">
        <f>E24-D24</f>
        <v>12.743628185907028</v>
      </c>
      <c r="F26" s="57" t="s">
        <v>32</v>
      </c>
      <c r="G26" s="57">
        <f>G24-E24</f>
        <v>15.517241379310349</v>
      </c>
      <c r="H26" s="57">
        <f>H24-G24</f>
        <v>2.325581395348877</v>
      </c>
      <c r="I26" s="66">
        <f>I24-H24</f>
        <v>42.67441860465112</v>
      </c>
      <c r="J26" s="17"/>
    </row>
    <row r="27">
      <c r="A27" s="35" t="s">
        <v>689</v>
      </c>
      <c r="B27" s="6">
        <v>108</v>
      </c>
      <c r="C27" s="6">
        <v>57</v>
      </c>
      <c r="D27" s="6">
        <v>3</v>
      </c>
      <c r="E27" s="6">
        <v>3</v>
      </c>
      <c r="F27" s="14">
        <f>SUM(B27:E27)</f>
        <v>171</v>
      </c>
      <c r="G27" s="6">
        <v>185</v>
      </c>
      <c r="H27" s="6">
        <v>11</v>
      </c>
      <c r="I27" s="62">
        <v>0</v>
      </c>
      <c r="J27" s="17" t="s">
        <v>683</v>
      </c>
    </row>
    <row r="28">
      <c r="A28" s="36" t="s">
        <v>172</v>
      </c>
      <c r="B28" s="9" t="s">
        <v>32</v>
      </c>
      <c r="C28" s="9" t="s">
        <v>32</v>
      </c>
      <c r="D28" s="9" t="s">
        <v>32</v>
      </c>
      <c r="E28" s="9" t="s">
        <v>32</v>
      </c>
      <c r="F28" s="9" t="s">
        <v>32</v>
      </c>
      <c r="G28" s="9">
        <f>IFERROR(G27/B27-1,"n/a")</f>
        <v>0.712962962962963</v>
      </c>
      <c r="H28" s="9">
        <f>IFERROR(H27/C27-1,"n/a")</f>
        <v>-0.8070175438596492</v>
      </c>
      <c r="I28" s="29">
        <f>IFERROR(I27/D27-1,"n/a")</f>
        <v>-1</v>
      </c>
      <c r="J28" s="17"/>
    </row>
    <row r="29">
      <c r="A29" s="36" t="s">
        <v>196</v>
      </c>
      <c r="B29" s="31" t="s">
        <v>32</v>
      </c>
      <c r="C29" s="31">
        <f>C27-B27</f>
        <v>-51</v>
      </c>
      <c r="D29" s="31">
        <f>D27-C27</f>
        <v>-54</v>
      </c>
      <c r="E29" s="31">
        <f>E27-D27</f>
        <v>0</v>
      </c>
      <c r="F29" s="31" t="s">
        <v>32</v>
      </c>
      <c r="G29" s="31">
        <f>G27-E27</f>
        <v>182</v>
      </c>
      <c r="H29" s="31">
        <f>H27-G27</f>
        <v>-174</v>
      </c>
      <c r="I29" s="40">
        <f>I27-H27</f>
        <v>-11</v>
      </c>
      <c r="J29" s="17"/>
    </row>
    <row r="30" ht="27.75">
      <c r="A30" s="35" t="s">
        <v>690</v>
      </c>
      <c r="B30" s="14"/>
      <c r="C30" s="14"/>
      <c r="D30" s="14"/>
      <c r="E30" s="14"/>
      <c r="F30" s="14"/>
      <c r="G30" s="14"/>
      <c r="H30" s="6">
        <v>3915</v>
      </c>
      <c r="I30" s="45">
        <f>H30-I21</f>
        <v>3015</v>
      </c>
      <c r="J30" s="142" t="s">
        <v>691</v>
      </c>
    </row>
    <row r="31">
      <c r="A31" s="42" t="s">
        <v>692</v>
      </c>
      <c r="B31" s="8"/>
      <c r="C31" s="8"/>
      <c r="D31" s="8"/>
      <c r="E31" s="8"/>
      <c r="F31" s="8"/>
      <c r="G31" s="8"/>
      <c r="H31" s="8"/>
      <c r="I31" s="21"/>
      <c r="J31" s="17"/>
    </row>
    <row r="32" ht="53.25">
      <c r="A32" s="22" t="s">
        <v>693</v>
      </c>
      <c r="B32" s="64">
        <v>226.9</v>
      </c>
      <c r="C32" s="64">
        <v>225.9</v>
      </c>
      <c r="D32" s="64">
        <v>224.1</v>
      </c>
      <c r="E32" s="64">
        <v>220.3</v>
      </c>
      <c r="F32" s="30">
        <f>SUMPRODUCT(B32:E32,B6:E6)/F6</f>
        <v>224.28136986301374</v>
      </c>
      <c r="G32" s="64">
        <v>215.2</v>
      </c>
      <c r="H32" s="64">
        <v>210.5</v>
      </c>
      <c r="I32" s="44">
        <f>AVERAGE(I9,I17)</f>
        <v>207.44565217391306</v>
      </c>
      <c r="J32" s="142" t="s">
        <v>694</v>
      </c>
    </row>
    <row r="33">
      <c r="A33" s="36" t="s">
        <v>172</v>
      </c>
      <c r="B33" s="9" t="s">
        <v>32</v>
      </c>
      <c r="C33" s="9" t="s">
        <v>32</v>
      </c>
      <c r="D33" s="9" t="s">
        <v>32</v>
      </c>
      <c r="E33" s="9" t="s">
        <v>32</v>
      </c>
      <c r="F33" s="9" t="s">
        <v>32</v>
      </c>
      <c r="G33" s="9">
        <f>IFERROR(G32/B32-1,"n/a")</f>
        <v>-0.05156456588805647</v>
      </c>
      <c r="H33" s="9">
        <f>IFERROR(H32/C32-1,"n/a")</f>
        <v>-0.06817175741478532</v>
      </c>
      <c r="I33" s="29">
        <f>IFERROR(I32/D32-1,"n/a")</f>
        <v>-0.07431659003162394</v>
      </c>
      <c r="J33" s="17"/>
    </row>
    <row r="34">
      <c r="A34" s="36" t="s">
        <v>677</v>
      </c>
      <c r="B34" s="31" t="s">
        <v>32</v>
      </c>
      <c r="C34" s="31">
        <f>C32-B32</f>
        <v>-1</v>
      </c>
      <c r="D34" s="31">
        <f>D32-C32</f>
        <v>-1.8000000000000114</v>
      </c>
      <c r="E34" s="31">
        <f>E32-D32</f>
        <v>-3.799999999999983</v>
      </c>
      <c r="F34" s="31" t="s">
        <v>32</v>
      </c>
      <c r="G34" s="31">
        <f>G32-E32</f>
        <v>-5.100000000000023</v>
      </c>
      <c r="H34" s="31">
        <f>H32-G32</f>
        <v>-4.699999999999989</v>
      </c>
      <c r="I34" s="40">
        <f>I32-H32</f>
        <v>-3.054347826086939</v>
      </c>
      <c r="J34" s="17"/>
    </row>
    <row r="35" ht="27.75">
      <c r="A35" s="35" t="s">
        <v>695</v>
      </c>
      <c r="B35" s="6">
        <v>3.5</v>
      </c>
      <c r="C35" s="6">
        <v>3.4</v>
      </c>
      <c r="D35" s="6">
        <v>3.4</v>
      </c>
      <c r="E35" s="6">
        <v>3.7</v>
      </c>
      <c r="F35" s="14">
        <f>SUMPRODUCT(B35:E35,B6:E6)/F6</f>
        <v>3.5002739726027396</v>
      </c>
      <c r="G35" s="6">
        <v>3.2</v>
      </c>
      <c r="H35" s="6">
        <v>3.1</v>
      </c>
      <c r="I35" s="62">
        <v>3.1</v>
      </c>
      <c r="J35" s="142" t="s">
        <v>696</v>
      </c>
    </row>
    <row r="36">
      <c r="A36" s="36" t="s">
        <v>172</v>
      </c>
      <c r="B36" s="9" t="s">
        <v>32</v>
      </c>
      <c r="C36" s="9" t="s">
        <v>32</v>
      </c>
      <c r="D36" s="9" t="s">
        <v>32</v>
      </c>
      <c r="E36" s="9" t="s">
        <v>32</v>
      </c>
      <c r="F36" s="9" t="s">
        <v>32</v>
      </c>
      <c r="G36" s="9">
        <f>IFERROR(G35/B35-1,"n/a")</f>
        <v>-0.08571428571428563</v>
      </c>
      <c r="H36" s="9">
        <f>IFERROR(H35/C35-1,"n/a")</f>
        <v>-0.08823529411764697</v>
      </c>
      <c r="I36" s="29">
        <f>IFERROR(I35/D35-1,"n/a")</f>
        <v>-0.08823529411764697</v>
      </c>
      <c r="J36" s="17"/>
    </row>
    <row r="37">
      <c r="A37" s="36" t="s">
        <v>677</v>
      </c>
      <c r="B37" s="31" t="s">
        <v>32</v>
      </c>
      <c r="C37" s="31">
        <f>C35-B35</f>
        <v>-0.10000000000000009</v>
      </c>
      <c r="D37" s="31">
        <f>D35-C35</f>
        <v>0</v>
      </c>
      <c r="E37" s="31">
        <f>E35-D35</f>
        <v>0.30000000000000027</v>
      </c>
      <c r="F37" s="31" t="s">
        <v>32</v>
      </c>
      <c r="G37" s="31">
        <f>G35-E35</f>
        <v>-0.5</v>
      </c>
      <c r="H37" s="31">
        <f>H35-G35</f>
        <v>-0.10000000000000009</v>
      </c>
      <c r="I37" s="40">
        <f>I35-H35</f>
        <v>0</v>
      </c>
      <c r="J37" s="17"/>
    </row>
    <row r="38">
      <c r="A38" s="22" t="s">
        <v>697</v>
      </c>
      <c r="B38" s="30">
        <f>B32+B35</f>
        <v>230.4</v>
      </c>
      <c r="C38" s="30">
        <f>C32+C35</f>
        <v>229.3</v>
      </c>
      <c r="D38" s="30">
        <f>D32+D35</f>
        <v>227.5</v>
      </c>
      <c r="E38" s="30">
        <f>E32+E35</f>
        <v>224</v>
      </c>
      <c r="F38" s="30">
        <f>F32+F35</f>
        <v>227.78164383561648</v>
      </c>
      <c r="G38" s="30">
        <f>G32+G35</f>
        <v>218.39999999999998</v>
      </c>
      <c r="H38" s="30">
        <f>H32+H35</f>
        <v>213.6</v>
      </c>
      <c r="I38" s="44">
        <f>I32+I35</f>
        <v>210.54565217391306</v>
      </c>
      <c r="J38" s="17"/>
    </row>
    <row r="39">
      <c r="A39" s="36" t="s">
        <v>172</v>
      </c>
      <c r="B39" s="9" t="s">
        <v>32</v>
      </c>
      <c r="C39" s="9" t="s">
        <v>32</v>
      </c>
      <c r="D39" s="9" t="s">
        <v>32</v>
      </c>
      <c r="E39" s="9" t="s">
        <v>32</v>
      </c>
      <c r="F39" s="9" t="s">
        <v>32</v>
      </c>
      <c r="G39" s="9">
        <f>IFERROR(G38/B38-1,"n/a")</f>
        <v>-0.05208333333333348</v>
      </c>
      <c r="H39" s="9">
        <f>IFERROR(H38/C38-1,"n/a")</f>
        <v>-0.06846925425207162</v>
      </c>
      <c r="I39" s="29">
        <f>IFERROR(I38/D38-1,"n/a")</f>
        <v>-0.0745246058289536</v>
      </c>
      <c r="J39" s="17"/>
    </row>
    <row r="40">
      <c r="A40" s="36" t="s">
        <v>677</v>
      </c>
      <c r="B40" s="31" t="s">
        <v>32</v>
      </c>
      <c r="C40" s="31">
        <f>C38-B38</f>
        <v>-1.0999999999999943</v>
      </c>
      <c r="D40" s="31">
        <f>D38-C38</f>
        <v>-1.8000000000000114</v>
      </c>
      <c r="E40" s="31">
        <f>E38-D38</f>
        <v>-3.5</v>
      </c>
      <c r="F40" s="31" t="s">
        <v>32</v>
      </c>
      <c r="G40" s="31">
        <f>G38-E38</f>
        <v>-5.600000000000023</v>
      </c>
      <c r="H40" s="31">
        <f>H38-G38</f>
        <v>-4.799999999999983</v>
      </c>
      <c r="I40" s="40">
        <f>I38-H38</f>
        <v>-3.054347826086939</v>
      </c>
      <c r="J40" s="17"/>
    </row>
    <row r="41">
      <c r="A41" s="35" t="s">
        <v>698</v>
      </c>
      <c r="B41" s="6">
        <v>230.4</v>
      </c>
      <c r="C41" s="6">
        <v>229.3</v>
      </c>
      <c r="D41" s="6">
        <v>227.5</v>
      </c>
      <c r="E41" s="6">
        <v>224</v>
      </c>
      <c r="F41" s="14"/>
      <c r="G41" s="6">
        <v>218.4</v>
      </c>
      <c r="H41" s="6">
        <v>213.6</v>
      </c>
      <c r="I41" s="45"/>
      <c r="J41" s="17" t="s">
        <v>499</v>
      </c>
    </row>
    <row r="42">
      <c r="A42" s="36" t="s">
        <v>248</v>
      </c>
      <c r="B42" s="31">
        <f>B38-B41</f>
        <v>0</v>
      </c>
      <c r="C42" s="31">
        <f>C38-C41</f>
        <v>0</v>
      </c>
      <c r="D42" s="31">
        <f>D38-D41</f>
        <v>0</v>
      </c>
      <c r="E42" s="31">
        <f>E38-E41</f>
        <v>0</v>
      </c>
      <c r="F42" s="31"/>
      <c r="G42" s="31">
        <f>G38-G41</f>
        <v>0</v>
      </c>
      <c r="H42" s="31">
        <f>H38-H41</f>
        <v>0</v>
      </c>
      <c r="I42" s="40"/>
      <c r="J42" s="17"/>
    </row>
    <row r="43">
      <c r="A43" s="42" t="s">
        <v>699</v>
      </c>
      <c r="B43" s="8"/>
      <c r="C43" s="8"/>
      <c r="D43" s="8"/>
      <c r="E43" s="8"/>
      <c r="F43" s="8"/>
      <c r="G43" s="8"/>
      <c r="H43" s="8"/>
      <c r="I43" s="21"/>
      <c r="J43" s="17"/>
    </row>
    <row r="44">
      <c r="A44" s="35" t="s">
        <v>700</v>
      </c>
      <c r="B44" s="58">
        <v>1.1</v>
      </c>
      <c r="C44" s="58">
        <v>1.1</v>
      </c>
      <c r="D44" s="58">
        <v>1.1</v>
      </c>
      <c r="E44" s="58">
        <v>1.1</v>
      </c>
      <c r="F44" s="56">
        <f>SUM(B44:E44)</f>
        <v>4.4</v>
      </c>
      <c r="G44" s="58">
        <v>1.25</v>
      </c>
      <c r="H44" s="58">
        <v>1.25</v>
      </c>
      <c r="I44" s="71">
        <f>H44</f>
        <v>1.25</v>
      </c>
      <c r="J44" s="17" t="s">
        <v>701</v>
      </c>
    </row>
    <row r="45">
      <c r="A45" s="36" t="s">
        <v>172</v>
      </c>
      <c r="B45" s="9" t="s">
        <v>32</v>
      </c>
      <c r="C45" s="9" t="s">
        <v>32</v>
      </c>
      <c r="D45" s="9" t="s">
        <v>32</v>
      </c>
      <c r="E45" s="9" t="s">
        <v>32</v>
      </c>
      <c r="F45" s="9" t="s">
        <v>32</v>
      </c>
      <c r="G45" s="9">
        <f>IFERROR(G44/B44-1,"n/a")</f>
        <v>0.13636363636363624</v>
      </c>
      <c r="H45" s="9">
        <f>IFERROR(H44/C44-1,"n/a")</f>
        <v>0.13636363636363624</v>
      </c>
      <c r="I45" s="29">
        <f>IFERROR(I44/D44-1,"n/a")</f>
        <v>0.13636363636363624</v>
      </c>
      <c r="J45" s="17"/>
    </row>
    <row r="46">
      <c r="A46" s="36" t="s">
        <v>196</v>
      </c>
      <c r="B46" s="57" t="s">
        <v>32</v>
      </c>
      <c r="C46" s="57">
        <f>C44-B44</f>
        <v>0</v>
      </c>
      <c r="D46" s="57">
        <f>D44-C44</f>
        <v>0</v>
      </c>
      <c r="E46" s="57">
        <f>E44-D44</f>
        <v>0</v>
      </c>
      <c r="F46" s="57" t="s">
        <v>32</v>
      </c>
      <c r="G46" s="57">
        <f>G44-E44</f>
        <v>0.1499999999999999</v>
      </c>
      <c r="H46" s="57">
        <f>H44-G44</f>
        <v>0</v>
      </c>
      <c r="I46" s="66">
        <f>I44-H44</f>
        <v>0</v>
      </c>
      <c r="J46" s="17"/>
    </row>
    <row r="47">
      <c r="A47" s="35" t="s">
        <v>702</v>
      </c>
      <c r="B47" s="6">
        <v>241</v>
      </c>
      <c r="C47" s="6">
        <v>252</v>
      </c>
      <c r="D47" s="6">
        <v>250</v>
      </c>
      <c r="E47" s="6">
        <v>244</v>
      </c>
      <c r="F47" s="14">
        <f>SUM(B47:E47)</f>
        <v>987</v>
      </c>
      <c r="G47" s="6">
        <v>238</v>
      </c>
      <c r="H47" s="6">
        <v>266</v>
      </c>
      <c r="I47" s="45">
        <f>I44*I9</f>
        <v>260.75</v>
      </c>
      <c r="J47" s="17" t="s">
        <v>703</v>
      </c>
    </row>
    <row r="48">
      <c r="A48" s="36" t="s">
        <v>172</v>
      </c>
      <c r="B48" s="9" t="s">
        <v>32</v>
      </c>
      <c r="C48" s="9" t="s">
        <v>32</v>
      </c>
      <c r="D48" s="9" t="s">
        <v>32</v>
      </c>
      <c r="E48" s="9" t="s">
        <v>32</v>
      </c>
      <c r="F48" s="9" t="s">
        <v>32</v>
      </c>
      <c r="G48" s="9">
        <f>IFERROR(G47/B47-1,"n/a")</f>
        <v>-0.012448132780082943</v>
      </c>
      <c r="H48" s="9">
        <f>IFERROR(H47/C47-1,"n/a")</f>
        <v>0.05555555555555558</v>
      </c>
      <c r="I48" s="29">
        <f>IFERROR(I47/D47-1,"n/a")</f>
        <v>0.04299999999999993</v>
      </c>
      <c r="J48" s="17"/>
    </row>
    <row r="49">
      <c r="A49" s="36" t="s">
        <v>196</v>
      </c>
      <c r="B49" s="31" t="s">
        <v>32</v>
      </c>
      <c r="C49" s="31">
        <f>C47-B47</f>
        <v>11</v>
      </c>
      <c r="D49" s="31">
        <f>D47-C47</f>
        <v>-2</v>
      </c>
      <c r="E49" s="31">
        <f>E47-D47</f>
        <v>-6</v>
      </c>
      <c r="F49" s="31" t="s">
        <v>32</v>
      </c>
      <c r="G49" s="31">
        <f>G47-E47</f>
        <v>-6</v>
      </c>
      <c r="H49" s="31">
        <f>H47-G47</f>
        <v>28</v>
      </c>
      <c r="I49" s="40">
        <f>I47-H47</f>
        <v>-5.25</v>
      </c>
      <c r="J49" s="17"/>
    </row>
    <row r="50">
      <c r="A50" s="35" t="s">
        <v>704</v>
      </c>
      <c r="B50" s="56"/>
      <c r="C50" s="56"/>
      <c r="D50" s="56"/>
      <c r="E50" s="56"/>
      <c r="F50" s="56"/>
      <c r="G50" s="56"/>
      <c r="H50" s="56"/>
      <c r="I50" s="60">
        <f>Inputs!B96</f>
        <v>368.75</v>
      </c>
      <c r="J50" s="17" t="s">
        <v>705</v>
      </c>
    </row>
    <row r="51" ht="53.25">
      <c r="A51" s="35" t="s">
        <v>706</v>
      </c>
      <c r="B51" s="14"/>
      <c r="C51" s="14"/>
      <c r="D51" s="14"/>
      <c r="E51" s="14"/>
      <c r="F51" s="14"/>
      <c r="G51" s="14"/>
      <c r="H51" s="14"/>
      <c r="I51" s="45">
        <f>I50*H17</f>
        <v>76921.25</v>
      </c>
      <c r="J51" s="142" t="s">
        <v>707</v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A1:J18"/>
  <sheetViews>
    <sheetView showGridLines="0" workbookViewId="0"/>
  </sheetViews>
  <sheetFormatPr defaultColWidth="8.42578125" defaultRowHeight="15"/>
  <cols>
    <col min="1" max="1" width="37" customWidth="1"/>
    <col min="2" max="9" width="12" customWidth="1"/>
    <col min="10" max="10" width="45" customWidth="1"/>
  </cols>
  <sheetData>
    <row r="1">
      <c r="A1" s="26" t="s">
        <v>0</v>
      </c>
      <c r="B1" s="1"/>
      <c r="C1" s="1"/>
      <c r="D1" s="1"/>
      <c r="E1" s="1"/>
      <c r="F1" s="1"/>
      <c r="G1" s="1"/>
      <c r="H1" s="1"/>
      <c r="I1" s="1"/>
      <c r="J1" s="1"/>
    </row>
    <row r="2">
      <c r="A2" s="22" t="s">
        <v>708</v>
      </c>
      <c r="B2" s="1"/>
      <c r="C2" s="1"/>
      <c r="D2" s="1"/>
      <c r="E2" s="1"/>
      <c r="F2" s="1"/>
      <c r="G2" s="1"/>
      <c r="H2" s="1"/>
      <c r="I2" s="1"/>
      <c r="J2" s="1"/>
    </row>
    <row r="3">
      <c r="A3" s="11" t="s">
        <v>2</v>
      </c>
      <c r="B3" s="1"/>
      <c r="C3" s="1"/>
      <c r="D3" s="1"/>
      <c r="E3" s="1"/>
      <c r="F3" s="1"/>
      <c r="G3" s="1"/>
      <c r="H3" s="1"/>
      <c r="I3" s="1"/>
      <c r="J3" s="1"/>
    </row>
    <row r="4">
      <c r="A4" s="12" t="s">
        <v>709</v>
      </c>
      <c r="B4" s="13"/>
      <c r="C4" s="13"/>
      <c r="D4" s="13"/>
      <c r="E4" s="13"/>
      <c r="F4" s="13"/>
      <c r="G4" s="13"/>
      <c r="H4" s="13"/>
      <c r="I4" s="134"/>
      <c r="J4" s="10" t="s">
        <v>4</v>
      </c>
    </row>
    <row r="5">
      <c r="A5" s="4"/>
      <c r="B5" s="7"/>
      <c r="C5" s="7"/>
      <c r="D5" s="7"/>
      <c r="E5" s="7"/>
      <c r="F5" s="7"/>
      <c r="G5" s="7"/>
      <c r="H5" s="7"/>
      <c r="I5" s="132"/>
      <c r="J5" s="24"/>
    </row>
    <row r="6">
      <c r="A6" s="41"/>
      <c r="B6" s="20"/>
      <c r="C6" s="20"/>
      <c r="D6" s="20"/>
      <c r="E6" s="20"/>
      <c r="F6" s="20"/>
      <c r="G6" s="20"/>
      <c r="H6" s="20"/>
      <c r="I6" s="129"/>
      <c r="J6" s="18"/>
    </row>
    <row r="7">
      <c r="A7" s="1"/>
      <c r="B7" s="1"/>
      <c r="C7" s="1"/>
      <c r="D7" s="1"/>
      <c r="E7" s="1"/>
      <c r="F7" s="1"/>
      <c r="G7" s="1"/>
      <c r="H7" s="1"/>
      <c r="I7" s="131"/>
      <c r="J7" s="17"/>
    </row>
    <row r="8">
      <c r="A8" s="43" t="s">
        <v>710</v>
      </c>
      <c r="B8" s="27" t="s">
        <v>711</v>
      </c>
      <c r="C8" s="27" t="s">
        <v>158</v>
      </c>
      <c r="D8" s="27" t="s">
        <v>712</v>
      </c>
      <c r="E8" s="27" t="s">
        <v>713</v>
      </c>
      <c r="F8" s="27" t="s">
        <v>714</v>
      </c>
      <c r="G8" s="27" t="s">
        <v>715</v>
      </c>
      <c r="H8" s="27" t="s">
        <v>716</v>
      </c>
      <c r="I8" s="27" t="s">
        <v>717</v>
      </c>
      <c r="J8" s="17"/>
    </row>
    <row r="9">
      <c r="A9" s="11" t="s">
        <v>718</v>
      </c>
      <c r="B9" s="25"/>
      <c r="C9" s="19"/>
      <c r="D9" s="9"/>
      <c r="E9" s="9"/>
      <c r="F9" s="2">
        <v>0.002</v>
      </c>
      <c r="G9" s="9"/>
      <c r="H9" s="19"/>
      <c r="I9" s="136"/>
      <c r="J9" s="17" t="s">
        <v>719</v>
      </c>
    </row>
    <row r="10">
      <c r="A10" s="11" t="s">
        <v>720</v>
      </c>
      <c r="B10" s="25"/>
      <c r="C10" s="19"/>
      <c r="D10" s="9"/>
      <c r="E10" s="9"/>
      <c r="F10" s="2">
        <v>0.015</v>
      </c>
      <c r="G10" s="9"/>
      <c r="H10" s="19"/>
      <c r="I10" s="136"/>
      <c r="J10" s="17" t="s">
        <v>721</v>
      </c>
    </row>
    <row r="11" ht="27.75">
      <c r="A11" s="131" t="s">
        <v>722</v>
      </c>
      <c r="B11" s="135">
        <v>45946</v>
      </c>
      <c r="C11" s="130" t="s">
        <v>723</v>
      </c>
      <c r="D11" s="128">
        <v>0.285</v>
      </c>
      <c r="E11" s="128">
        <v>0.285</v>
      </c>
      <c r="F11" s="133">
        <f>AVERAGE(D11:E11)</f>
        <v>0.285</v>
      </c>
      <c r="G11" s="137">
        <f>'Income Statement'!F63</f>
        <v>0.28490158036161595</v>
      </c>
      <c r="H11" s="130" t="str">
        <f>IF(ABS(G11-F11)&lt;=F9,"In line",IF(G11&lt;F11,"Beat","Miss"))</f>
        <v>In line</v>
      </c>
      <c r="I11" s="130" t="s">
        <v>724</v>
      </c>
      <c r="J11" s="142" t="s">
        <v>725</v>
      </c>
    </row>
    <row r="12">
      <c r="A12" s="131" t="s">
        <v>722</v>
      </c>
      <c r="B12" s="135">
        <v>46220</v>
      </c>
      <c r="C12" s="130" t="s">
        <v>726</v>
      </c>
      <c r="D12" s="128">
        <v>0.285</v>
      </c>
      <c r="E12" s="128">
        <v>0.285</v>
      </c>
      <c r="F12" s="133">
        <f>AVERAGE(D12:E12)</f>
        <v>0.285</v>
      </c>
      <c r="G12" s="133" t="s">
        <v>727</v>
      </c>
      <c r="H12" s="130" t="s">
        <v>727</v>
      </c>
      <c r="I12" s="130" t="s">
        <v>724</v>
      </c>
      <c r="J12" s="17" t="s">
        <v>728</v>
      </c>
    </row>
    <row r="13">
      <c r="A13" s="1" t="s">
        <v>729</v>
      </c>
      <c r="B13" s="3">
        <v>46043</v>
      </c>
      <c r="C13" s="8" t="s">
        <v>726</v>
      </c>
      <c r="D13" s="6">
        <v>3300</v>
      </c>
      <c r="E13" s="6">
        <v>3300</v>
      </c>
      <c r="F13" s="14">
        <f>AVERAGE(D13:E13)</f>
        <v>3300</v>
      </c>
      <c r="G13" s="14" t="s">
        <v>727</v>
      </c>
      <c r="H13" s="8" t="s">
        <v>727</v>
      </c>
      <c r="I13" s="130" t="s">
        <v>730</v>
      </c>
      <c r="J13" s="17" t="s">
        <v>731</v>
      </c>
    </row>
    <row r="14" ht="40.5">
      <c r="A14" s="1" t="s">
        <v>729</v>
      </c>
      <c r="B14" s="3">
        <v>46043</v>
      </c>
      <c r="C14" s="8" t="s">
        <v>732</v>
      </c>
      <c r="D14" s="6">
        <v>800</v>
      </c>
      <c r="E14" s="6">
        <v>800</v>
      </c>
      <c r="F14" s="14">
        <f>AVERAGE(D14:E14)</f>
        <v>800</v>
      </c>
      <c r="G14" s="16">
        <f>('Revenue summary'!G43+'Revenue summary'!G46-'Revenue summary'!G53)*(1-'Revenue summary'!G65)</f>
        <v>793.7860000000001</v>
      </c>
      <c r="H14" s="8" t="str">
        <f>IF(ABS(G14/F14-1)&lt;=F10,"In line",IF(G14&gt;F14,"Beat","Miss"))</f>
        <v>In line</v>
      </c>
      <c r="I14" s="130" t="s">
        <v>730</v>
      </c>
      <c r="J14" s="142" t="s">
        <v>733</v>
      </c>
    </row>
    <row r="15" ht="27.75">
      <c r="A15" s="1" t="s">
        <v>729</v>
      </c>
      <c r="B15" s="3">
        <v>46128</v>
      </c>
      <c r="C15" s="8" t="s">
        <v>734</v>
      </c>
      <c r="D15" s="6">
        <v>810</v>
      </c>
      <c r="E15" s="6">
        <v>810</v>
      </c>
      <c r="F15" s="14">
        <f>AVERAGE(D15:E15)</f>
        <v>810</v>
      </c>
      <c r="G15" s="16">
        <f>('Revenue summary'!H43+'Revenue summary'!H46-'Revenue summary'!H53)*(1-'Revenue summary'!H65)</f>
        <v>801.22</v>
      </c>
      <c r="H15" s="8" t="str">
        <f>IF(ABS(G15/F15-1)&lt;=F10,"In line",IF(G15&gt;F15,"Beat","Miss"))</f>
        <v>In line</v>
      </c>
      <c r="I15" s="130" t="s">
        <v>730</v>
      </c>
      <c r="J15" s="142" t="s">
        <v>735</v>
      </c>
    </row>
    <row r="16" ht="27.75">
      <c r="A16" s="1" t="s">
        <v>729</v>
      </c>
      <c r="B16" s="3">
        <v>46220</v>
      </c>
      <c r="C16" s="8" t="s">
        <v>736</v>
      </c>
      <c r="D16" s="6">
        <v>840</v>
      </c>
      <c r="E16" s="6">
        <v>840</v>
      </c>
      <c r="F16" s="14">
        <f>AVERAGE(D16:E16)</f>
        <v>840</v>
      </c>
      <c r="G16" s="14" t="s">
        <v>727</v>
      </c>
      <c r="H16" s="8" t="s">
        <v>727</v>
      </c>
      <c r="I16" s="130" t="s">
        <v>730</v>
      </c>
      <c r="J16" s="142" t="s">
        <v>737</v>
      </c>
    </row>
    <row r="17">
      <c r="A17" s="1" t="s">
        <v>729</v>
      </c>
      <c r="B17" s="3">
        <v>46220</v>
      </c>
      <c r="C17" s="8" t="s">
        <v>738</v>
      </c>
      <c r="D17" s="6">
        <v>870</v>
      </c>
      <c r="E17" s="6">
        <v>870</v>
      </c>
      <c r="F17" s="14">
        <f>AVERAGE(D17:E17)</f>
        <v>870</v>
      </c>
      <c r="G17" s="14" t="s">
        <v>727</v>
      </c>
      <c r="H17" s="8" t="s">
        <v>727</v>
      </c>
      <c r="I17" s="130" t="s">
        <v>730</v>
      </c>
      <c r="J17" s="17" t="s">
        <v>739</v>
      </c>
    </row>
    <row r="18" ht="40.5">
      <c r="A18" s="1" t="s">
        <v>740</v>
      </c>
      <c r="B18" s="32" t="s">
        <v>32</v>
      </c>
      <c r="C18" s="8" t="s">
        <v>736</v>
      </c>
      <c r="D18" s="14" t="s">
        <v>32</v>
      </c>
      <c r="E18" s="14" t="s">
        <v>32</v>
      </c>
      <c r="F18" s="14" t="s">
        <v>32</v>
      </c>
      <c r="G18" s="14" t="s">
        <v>32</v>
      </c>
      <c r="H18" s="8" t="s">
        <v>32</v>
      </c>
      <c r="I18" s="130" t="s">
        <v>32</v>
      </c>
      <c r="J18" s="142" t="s">
        <v>741</v>
      </c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A1:J116"/>
  <sheetViews>
    <sheetView showGridLines="0" workbookViewId="0"/>
  </sheetViews>
  <sheetFormatPr defaultColWidth="8.42578125" defaultRowHeight="15"/>
  <cols>
    <col min="1" max="1" width="37" customWidth="1"/>
    <col min="2" max="9" width="12" customWidth="1"/>
    <col min="10" max="10" width="45" customWidth="1"/>
  </cols>
  <sheetData>
    <row r="1">
      <c r="A1" s="26" t="s">
        <v>0</v>
      </c>
      <c r="B1" s="1"/>
      <c r="C1" s="1"/>
      <c r="D1" s="1"/>
      <c r="E1" s="1"/>
      <c r="F1" s="1"/>
      <c r="G1" s="1"/>
      <c r="H1" s="1"/>
      <c r="I1" s="1"/>
      <c r="J1" s="1"/>
    </row>
    <row r="2">
      <c r="A2" s="22" t="s">
        <v>742</v>
      </c>
      <c r="B2" s="1"/>
      <c r="C2" s="1"/>
      <c r="D2" s="1"/>
      <c r="E2" s="1"/>
      <c r="F2" s="1"/>
      <c r="G2" s="1"/>
      <c r="H2" s="1"/>
      <c r="I2" s="1"/>
      <c r="J2" s="1"/>
    </row>
    <row r="3">
      <c r="A3" s="11" t="s">
        <v>2</v>
      </c>
      <c r="B3" s="1"/>
      <c r="C3" s="1"/>
      <c r="D3" s="1"/>
      <c r="E3" s="1"/>
      <c r="F3" s="1"/>
      <c r="G3" s="1"/>
      <c r="H3" s="1"/>
      <c r="I3" s="1"/>
      <c r="J3" s="1"/>
    </row>
    <row r="4">
      <c r="A4" s="12" t="s">
        <v>709</v>
      </c>
      <c r="B4" s="13"/>
      <c r="C4" s="13"/>
      <c r="D4" s="13"/>
      <c r="E4" s="13"/>
      <c r="F4" s="13"/>
      <c r="G4" s="13"/>
      <c r="H4" s="13"/>
      <c r="I4" s="151"/>
      <c r="J4" s="10" t="s">
        <v>4</v>
      </c>
    </row>
    <row r="5">
      <c r="A5" s="4"/>
      <c r="B5" s="7"/>
      <c r="C5" s="7"/>
      <c r="D5" s="7"/>
      <c r="E5" s="7"/>
      <c r="F5" s="7"/>
      <c r="G5" s="7"/>
      <c r="H5" s="7"/>
      <c r="I5" s="149"/>
      <c r="J5" s="24"/>
    </row>
    <row r="6">
      <c r="A6" s="41"/>
      <c r="B6" s="20"/>
      <c r="C6" s="20"/>
      <c r="D6" s="20"/>
      <c r="E6" s="20"/>
      <c r="F6" s="20"/>
      <c r="G6" s="20"/>
      <c r="H6" s="20"/>
      <c r="I6" s="150"/>
      <c r="J6" s="18"/>
    </row>
    <row r="7">
      <c r="A7" s="1"/>
      <c r="B7" s="1"/>
      <c r="C7" s="1"/>
      <c r="D7" s="1"/>
      <c r="E7" s="1"/>
      <c r="F7" s="1"/>
      <c r="G7" s="1"/>
      <c r="H7" s="1"/>
      <c r="I7" s="148"/>
      <c r="J7" s="17"/>
    </row>
    <row r="8">
      <c r="A8" s="43" t="s">
        <v>743</v>
      </c>
      <c r="B8" s="27" t="s">
        <v>744</v>
      </c>
      <c r="C8" s="101" t="s">
        <v>745</v>
      </c>
      <c r="D8" s="27"/>
      <c r="E8" s="27"/>
      <c r="F8" s="27"/>
      <c r="G8" s="27"/>
      <c r="H8" s="27"/>
      <c r="I8" s="147"/>
      <c r="J8" s="17"/>
    </row>
    <row r="9">
      <c r="A9" s="22" t="s">
        <v>746</v>
      </c>
      <c r="B9" s="82">
        <v>46220</v>
      </c>
      <c r="C9" s="49" t="s">
        <v>747</v>
      </c>
      <c r="D9" s="49"/>
      <c r="E9" s="49"/>
      <c r="F9" s="49"/>
      <c r="G9" s="49"/>
      <c r="H9" s="49"/>
      <c r="I9" s="143"/>
      <c r="J9" s="17"/>
    </row>
    <row r="10">
      <c r="A10" s="1"/>
      <c r="B10" s="32"/>
      <c r="C10" s="47" t="s">
        <v>748</v>
      </c>
      <c r="D10" s="47"/>
      <c r="E10" s="47"/>
      <c r="F10" s="47"/>
      <c r="G10" s="47"/>
      <c r="H10" s="47"/>
      <c r="I10" s="144"/>
      <c r="J10" s="17"/>
    </row>
    <row r="11">
      <c r="A11" s="11"/>
      <c r="B11" s="25"/>
      <c r="C11" s="17" t="s">
        <v>749</v>
      </c>
      <c r="D11" s="17"/>
      <c r="E11" s="17"/>
      <c r="F11" s="17"/>
      <c r="G11" s="17"/>
      <c r="H11" s="17"/>
      <c r="I11" s="145"/>
      <c r="J11" s="17"/>
    </row>
    <row r="12">
      <c r="A12" s="22" t="s">
        <v>750</v>
      </c>
      <c r="B12" s="82">
        <v>46220</v>
      </c>
      <c r="C12" s="49" t="s">
        <v>751</v>
      </c>
      <c r="D12" s="49"/>
      <c r="E12" s="49"/>
      <c r="F12" s="49"/>
      <c r="G12" s="49"/>
      <c r="H12" s="49"/>
      <c r="I12" s="143"/>
      <c r="J12" s="17"/>
    </row>
    <row r="13">
      <c r="A13" s="1"/>
      <c r="B13" s="32"/>
      <c r="C13" s="47" t="s">
        <v>752</v>
      </c>
      <c r="D13" s="47"/>
      <c r="E13" s="47"/>
      <c r="F13" s="47"/>
      <c r="G13" s="47"/>
      <c r="H13" s="47"/>
      <c r="I13" s="144"/>
      <c r="J13" s="17"/>
    </row>
    <row r="14">
      <c r="A14" s="11"/>
      <c r="B14" s="25"/>
      <c r="C14" s="17" t="s">
        <v>753</v>
      </c>
      <c r="D14" s="17"/>
      <c r="E14" s="17"/>
      <c r="F14" s="17"/>
      <c r="G14" s="17"/>
      <c r="H14" s="17"/>
      <c r="I14" s="145"/>
      <c r="J14" s="17"/>
    </row>
    <row r="15">
      <c r="A15" s="22" t="s">
        <v>739</v>
      </c>
      <c r="B15" s="82">
        <v>46220</v>
      </c>
      <c r="C15" s="49" t="s">
        <v>754</v>
      </c>
      <c r="D15" s="49"/>
      <c r="E15" s="49"/>
      <c r="F15" s="49"/>
      <c r="G15" s="49"/>
      <c r="H15" s="49"/>
      <c r="I15" s="143"/>
      <c r="J15" s="17"/>
    </row>
    <row r="16">
      <c r="A16" s="1"/>
      <c r="B16" s="32"/>
      <c r="C16" s="47" t="s">
        <v>755</v>
      </c>
      <c r="D16" s="47"/>
      <c r="E16" s="47"/>
      <c r="F16" s="47"/>
      <c r="G16" s="47"/>
      <c r="H16" s="47"/>
      <c r="I16" s="144"/>
      <c r="J16" s="17"/>
    </row>
    <row r="17">
      <c r="A17" s="11"/>
      <c r="B17" s="25"/>
      <c r="C17" s="17" t="s">
        <v>756</v>
      </c>
      <c r="D17" s="17"/>
      <c r="E17" s="17"/>
      <c r="F17" s="17"/>
      <c r="G17" s="17"/>
      <c r="H17" s="17"/>
      <c r="I17" s="145"/>
      <c r="J17" s="17"/>
    </row>
    <row r="18">
      <c r="A18" s="22" t="s">
        <v>757</v>
      </c>
      <c r="B18" s="82">
        <v>46128</v>
      </c>
      <c r="C18" s="49" t="s">
        <v>758</v>
      </c>
      <c r="D18" s="49"/>
      <c r="E18" s="49"/>
      <c r="F18" s="49"/>
      <c r="G18" s="49"/>
      <c r="H18" s="49"/>
      <c r="I18" s="143"/>
      <c r="J18" s="17"/>
    </row>
    <row r="19">
      <c r="A19" s="1"/>
      <c r="B19" s="32"/>
      <c r="C19" s="47" t="s">
        <v>759</v>
      </c>
      <c r="D19" s="47"/>
      <c r="E19" s="47"/>
      <c r="F19" s="47"/>
      <c r="G19" s="47"/>
      <c r="H19" s="47"/>
      <c r="I19" s="144"/>
      <c r="J19" s="17"/>
    </row>
    <row r="20">
      <c r="A20" s="11"/>
      <c r="B20" s="25"/>
      <c r="C20" s="17" t="s">
        <v>760</v>
      </c>
      <c r="D20" s="17"/>
      <c r="E20" s="17"/>
      <c r="F20" s="17"/>
      <c r="G20" s="17"/>
      <c r="H20" s="17"/>
      <c r="I20" s="145"/>
      <c r="J20" s="17"/>
    </row>
    <row r="21">
      <c r="A21" s="22" t="s">
        <v>761</v>
      </c>
      <c r="B21" s="82">
        <v>45946</v>
      </c>
      <c r="C21" s="49" t="s">
        <v>762</v>
      </c>
      <c r="D21" s="49"/>
      <c r="E21" s="49"/>
      <c r="F21" s="49"/>
      <c r="G21" s="49"/>
      <c r="H21" s="49"/>
      <c r="I21" s="143"/>
      <c r="J21" s="17"/>
    </row>
    <row r="22">
      <c r="A22" s="1"/>
      <c r="B22" s="32"/>
      <c r="C22" s="47" t="s">
        <v>763</v>
      </c>
      <c r="D22" s="47"/>
      <c r="E22" s="47"/>
      <c r="F22" s="47"/>
      <c r="G22" s="47"/>
      <c r="H22" s="47"/>
      <c r="I22" s="144"/>
      <c r="J22" s="17"/>
    </row>
    <row r="23">
      <c r="A23" s="11"/>
      <c r="B23" s="25"/>
      <c r="C23" s="17" t="s">
        <v>764</v>
      </c>
      <c r="D23" s="17"/>
      <c r="E23" s="17"/>
      <c r="F23" s="17"/>
      <c r="G23" s="17"/>
      <c r="H23" s="17"/>
      <c r="I23" s="145"/>
      <c r="J23" s="17"/>
    </row>
    <row r="24">
      <c r="A24" s="22" t="s">
        <v>765</v>
      </c>
      <c r="B24" s="82">
        <v>45855</v>
      </c>
      <c r="C24" s="49" t="s">
        <v>766</v>
      </c>
      <c r="D24" s="49"/>
      <c r="E24" s="49"/>
      <c r="F24" s="49"/>
      <c r="G24" s="49"/>
      <c r="H24" s="49"/>
      <c r="I24" s="143"/>
      <c r="J24" s="17"/>
    </row>
    <row r="25">
      <c r="A25" s="1"/>
      <c r="B25" s="32"/>
      <c r="C25" s="47" t="s">
        <v>767</v>
      </c>
      <c r="D25" s="47"/>
      <c r="E25" s="47"/>
      <c r="F25" s="47"/>
      <c r="G25" s="47"/>
      <c r="H25" s="47"/>
      <c r="I25" s="144"/>
      <c r="J25" s="17"/>
    </row>
    <row r="26">
      <c r="A26" s="11"/>
      <c r="B26" s="25"/>
      <c r="C26" s="17" t="s">
        <v>768</v>
      </c>
      <c r="D26" s="17"/>
      <c r="E26" s="17"/>
      <c r="F26" s="17"/>
      <c r="G26" s="17"/>
      <c r="H26" s="17"/>
      <c r="I26" s="145"/>
      <c r="J26" s="17"/>
    </row>
    <row r="27">
      <c r="A27" s="22" t="s">
        <v>769</v>
      </c>
      <c r="B27" s="82">
        <v>45763</v>
      </c>
      <c r="C27" s="49" t="s">
        <v>770</v>
      </c>
      <c r="D27" s="49"/>
      <c r="E27" s="49"/>
      <c r="F27" s="49"/>
      <c r="G27" s="49"/>
      <c r="H27" s="49"/>
      <c r="I27" s="143"/>
      <c r="J27" s="17"/>
    </row>
    <row r="28">
      <c r="A28" s="1"/>
      <c r="B28" s="32"/>
      <c r="C28" s="47" t="s">
        <v>771</v>
      </c>
      <c r="D28" s="47"/>
      <c r="E28" s="47"/>
      <c r="F28" s="47"/>
      <c r="G28" s="47"/>
      <c r="H28" s="47"/>
      <c r="I28" s="144"/>
      <c r="J28" s="17"/>
    </row>
    <row r="29">
      <c r="A29" s="11"/>
      <c r="B29" s="25"/>
      <c r="C29" s="17" t="s">
        <v>772</v>
      </c>
      <c r="D29" s="17"/>
      <c r="E29" s="17"/>
      <c r="F29" s="17"/>
      <c r="G29" s="17"/>
      <c r="H29" s="17"/>
      <c r="I29" s="145"/>
      <c r="J29" s="17"/>
    </row>
    <row r="30">
      <c r="A30" s="22" t="s">
        <v>773</v>
      </c>
      <c r="B30" s="82">
        <v>46128</v>
      </c>
      <c r="C30" s="49" t="s">
        <v>774</v>
      </c>
      <c r="D30" s="49"/>
      <c r="E30" s="49"/>
      <c r="F30" s="49"/>
      <c r="G30" s="49"/>
      <c r="H30" s="49"/>
      <c r="I30" s="143"/>
      <c r="J30" s="17"/>
    </row>
    <row r="31">
      <c r="A31" s="1"/>
      <c r="B31" s="32"/>
      <c r="C31" s="47" t="s">
        <v>775</v>
      </c>
      <c r="D31" s="47"/>
      <c r="E31" s="47"/>
      <c r="F31" s="47"/>
      <c r="G31" s="47"/>
      <c r="H31" s="47"/>
      <c r="I31" s="144"/>
      <c r="J31" s="17"/>
    </row>
    <row r="32">
      <c r="A32" s="11"/>
      <c r="B32" s="25"/>
      <c r="C32" s="17" t="s">
        <v>776</v>
      </c>
      <c r="D32" s="17"/>
      <c r="E32" s="17"/>
      <c r="F32" s="17"/>
      <c r="G32" s="17"/>
      <c r="H32" s="17"/>
      <c r="I32" s="145"/>
      <c r="J32" s="17"/>
    </row>
    <row r="33">
      <c r="A33" s="22" t="s">
        <v>777</v>
      </c>
      <c r="B33" s="82">
        <v>46128</v>
      </c>
      <c r="C33" s="49" t="s">
        <v>778</v>
      </c>
      <c r="D33" s="49"/>
      <c r="E33" s="49"/>
      <c r="F33" s="49"/>
      <c r="G33" s="49"/>
      <c r="H33" s="49"/>
      <c r="I33" s="143"/>
      <c r="J33" s="17"/>
    </row>
    <row r="34">
      <c r="A34" s="1"/>
      <c r="B34" s="32"/>
      <c r="C34" s="47" t="s">
        <v>779</v>
      </c>
      <c r="D34" s="47"/>
      <c r="E34" s="47"/>
      <c r="F34" s="47"/>
      <c r="G34" s="47"/>
      <c r="H34" s="47"/>
      <c r="I34" s="144"/>
      <c r="J34" s="17"/>
    </row>
    <row r="35">
      <c r="A35" s="11"/>
      <c r="B35" s="25"/>
      <c r="C35" s="17" t="s">
        <v>780</v>
      </c>
      <c r="D35" s="17"/>
      <c r="E35" s="17"/>
      <c r="F35" s="17"/>
      <c r="G35" s="17"/>
      <c r="H35" s="17"/>
      <c r="I35" s="145"/>
      <c r="J35" s="17"/>
    </row>
    <row r="36">
      <c r="A36" s="22" t="s">
        <v>781</v>
      </c>
      <c r="B36" s="82">
        <v>45946</v>
      </c>
      <c r="C36" s="49" t="s">
        <v>782</v>
      </c>
      <c r="D36" s="49"/>
      <c r="E36" s="49"/>
      <c r="F36" s="49"/>
      <c r="G36" s="49"/>
      <c r="H36" s="49"/>
      <c r="I36" s="143"/>
      <c r="J36" s="17"/>
    </row>
    <row r="37">
      <c r="A37" s="1"/>
      <c r="B37" s="32"/>
      <c r="C37" s="47" t="s">
        <v>783</v>
      </c>
      <c r="D37" s="47"/>
      <c r="E37" s="47"/>
      <c r="F37" s="47"/>
      <c r="G37" s="47"/>
      <c r="H37" s="47"/>
      <c r="I37" s="144"/>
      <c r="J37" s="17"/>
    </row>
    <row r="38">
      <c r="A38" s="11"/>
      <c r="B38" s="25"/>
      <c r="C38" s="17" t="s">
        <v>784</v>
      </c>
      <c r="D38" s="17"/>
      <c r="E38" s="17"/>
      <c r="F38" s="17"/>
      <c r="G38" s="17"/>
      <c r="H38" s="17"/>
      <c r="I38" s="145"/>
      <c r="J38" s="17"/>
    </row>
    <row r="39">
      <c r="A39" s="22" t="s">
        <v>785</v>
      </c>
      <c r="B39" s="82">
        <v>46043</v>
      </c>
      <c r="C39" s="49" t="s">
        <v>786</v>
      </c>
      <c r="D39" s="49"/>
      <c r="E39" s="49"/>
      <c r="F39" s="49"/>
      <c r="G39" s="49"/>
      <c r="H39" s="49"/>
      <c r="I39" s="143"/>
      <c r="J39" s="17"/>
    </row>
    <row r="40">
      <c r="A40" s="1"/>
      <c r="B40" s="32"/>
      <c r="C40" s="47" t="s">
        <v>787</v>
      </c>
      <c r="D40" s="47"/>
      <c r="E40" s="47"/>
      <c r="F40" s="47"/>
      <c r="G40" s="47"/>
      <c r="H40" s="47"/>
      <c r="I40" s="144"/>
      <c r="J40" s="17"/>
    </row>
    <row r="41">
      <c r="A41" s="11"/>
      <c r="B41" s="25"/>
      <c r="C41" s="17" t="s">
        <v>788</v>
      </c>
      <c r="D41" s="17"/>
      <c r="E41" s="17"/>
      <c r="F41" s="17"/>
      <c r="G41" s="17"/>
      <c r="H41" s="17"/>
      <c r="I41" s="145"/>
      <c r="J41" s="17"/>
    </row>
    <row r="42">
      <c r="A42" s="22" t="s">
        <v>789</v>
      </c>
      <c r="B42" s="82">
        <v>46279</v>
      </c>
      <c r="C42" s="49" t="s">
        <v>790</v>
      </c>
      <c r="D42" s="49"/>
      <c r="E42" s="49"/>
      <c r="F42" s="49"/>
      <c r="G42" s="49"/>
      <c r="H42" s="49"/>
      <c r="I42" s="143"/>
      <c r="J42" s="17"/>
    </row>
    <row r="43">
      <c r="A43" s="1"/>
      <c r="B43" s="32"/>
      <c r="C43" s="47" t="s">
        <v>791</v>
      </c>
      <c r="D43" s="47"/>
      <c r="E43" s="47"/>
      <c r="F43" s="47"/>
      <c r="G43" s="47"/>
      <c r="H43" s="47"/>
      <c r="I43" s="144"/>
      <c r="J43" s="17"/>
    </row>
    <row r="44">
      <c r="A44" s="11"/>
      <c r="B44" s="25"/>
      <c r="C44" s="17" t="s">
        <v>792</v>
      </c>
      <c r="D44" s="17"/>
      <c r="E44" s="17"/>
      <c r="F44" s="17"/>
      <c r="G44" s="17"/>
      <c r="H44" s="17"/>
      <c r="I44" s="145"/>
      <c r="J44" s="17"/>
    </row>
    <row r="45">
      <c r="A45" s="22" t="s">
        <v>793</v>
      </c>
      <c r="B45" s="82">
        <v>46306</v>
      </c>
      <c r="C45" s="49" t="s">
        <v>794</v>
      </c>
      <c r="D45" s="49"/>
      <c r="E45" s="49"/>
      <c r="F45" s="49"/>
      <c r="G45" s="49"/>
      <c r="H45" s="49"/>
      <c r="I45" s="143"/>
      <c r="J45" s="17"/>
    </row>
    <row r="46">
      <c r="A46" s="1"/>
      <c r="B46" s="32"/>
      <c r="C46" s="47" t="s">
        <v>795</v>
      </c>
      <c r="D46" s="47"/>
      <c r="E46" s="47"/>
      <c r="F46" s="47"/>
      <c r="G46" s="47"/>
      <c r="H46" s="47"/>
      <c r="I46" s="144"/>
      <c r="J46" s="17"/>
    </row>
    <row r="47">
      <c r="A47" s="11"/>
      <c r="B47" s="25"/>
      <c r="C47" s="17" t="s">
        <v>796</v>
      </c>
      <c r="D47" s="17"/>
      <c r="E47" s="17"/>
      <c r="F47" s="17"/>
      <c r="G47" s="17"/>
      <c r="H47" s="17"/>
      <c r="I47" s="145"/>
      <c r="J47" s="17"/>
    </row>
    <row r="48">
      <c r="A48" s="22" t="s">
        <v>797</v>
      </c>
      <c r="B48" s="82">
        <v>46306</v>
      </c>
      <c r="C48" s="49" t="s">
        <v>798</v>
      </c>
      <c r="D48" s="49"/>
      <c r="E48" s="49"/>
      <c r="F48" s="49"/>
      <c r="G48" s="49"/>
      <c r="H48" s="49"/>
      <c r="I48" s="143"/>
      <c r="J48" s="17"/>
    </row>
    <row r="49">
      <c r="A49" s="1"/>
      <c r="B49" s="32"/>
      <c r="C49" s="47" t="s">
        <v>799</v>
      </c>
      <c r="D49" s="47"/>
      <c r="E49" s="47"/>
      <c r="F49" s="47"/>
      <c r="G49" s="47"/>
      <c r="H49" s="47"/>
      <c r="I49" s="144"/>
      <c r="J49" s="17"/>
    </row>
    <row r="50">
      <c r="A50" s="11"/>
      <c r="B50" s="25"/>
      <c r="C50" s="17" t="s">
        <v>800</v>
      </c>
      <c r="D50" s="17"/>
      <c r="E50" s="17"/>
      <c r="F50" s="17"/>
      <c r="G50" s="17"/>
      <c r="H50" s="17"/>
      <c r="I50" s="145"/>
      <c r="J50" s="17"/>
    </row>
    <row r="51">
      <c r="A51" s="22" t="s">
        <v>801</v>
      </c>
      <c r="B51" s="82">
        <v>46254</v>
      </c>
      <c r="C51" s="49" t="s">
        <v>802</v>
      </c>
      <c r="D51" s="49"/>
      <c r="E51" s="49"/>
      <c r="F51" s="49"/>
      <c r="G51" s="49"/>
      <c r="H51" s="49"/>
      <c r="I51" s="143"/>
      <c r="J51" s="17"/>
    </row>
    <row r="52">
      <c r="A52" s="1"/>
      <c r="B52" s="32"/>
      <c r="C52" s="47" t="s">
        <v>803</v>
      </c>
      <c r="D52" s="47"/>
      <c r="E52" s="47"/>
      <c r="F52" s="47"/>
      <c r="G52" s="47"/>
      <c r="H52" s="47"/>
      <c r="I52" s="144"/>
      <c r="J52" s="17"/>
    </row>
    <row r="53">
      <c r="A53" s="11"/>
      <c r="B53" s="25"/>
      <c r="C53" s="17" t="s">
        <v>804</v>
      </c>
      <c r="D53" s="17"/>
      <c r="E53" s="17"/>
      <c r="F53" s="17"/>
      <c r="G53" s="17"/>
      <c r="H53" s="17"/>
      <c r="I53" s="145"/>
      <c r="J53" s="17"/>
    </row>
    <row r="54">
      <c r="A54" s="22" t="s">
        <v>805</v>
      </c>
      <c r="B54" s="82">
        <v>46282</v>
      </c>
      <c r="C54" s="49" t="s">
        <v>806</v>
      </c>
      <c r="D54" s="49"/>
      <c r="E54" s="49"/>
      <c r="F54" s="49"/>
      <c r="G54" s="49"/>
      <c r="H54" s="49"/>
      <c r="I54" s="143"/>
      <c r="J54" s="17"/>
    </row>
    <row r="55">
      <c r="A55" s="1"/>
      <c r="B55" s="32"/>
      <c r="C55" s="47" t="s">
        <v>807</v>
      </c>
      <c r="D55" s="47"/>
      <c r="E55" s="47"/>
      <c r="F55" s="47"/>
      <c r="G55" s="47"/>
      <c r="H55" s="47"/>
      <c r="I55" s="144"/>
      <c r="J55" s="17"/>
    </row>
    <row r="56">
      <c r="A56" s="11"/>
      <c r="B56" s="25"/>
      <c r="C56" s="17" t="s">
        <v>804</v>
      </c>
      <c r="D56" s="17"/>
      <c r="E56" s="17"/>
      <c r="F56" s="17"/>
      <c r="G56" s="17"/>
      <c r="H56" s="17"/>
      <c r="I56" s="145"/>
      <c r="J56" s="17"/>
    </row>
    <row r="57">
      <c r="A57" s="22" t="s">
        <v>808</v>
      </c>
      <c r="B57" s="82">
        <v>45946</v>
      </c>
      <c r="C57" s="49" t="s">
        <v>809</v>
      </c>
      <c r="D57" s="49"/>
      <c r="E57" s="49"/>
      <c r="F57" s="49"/>
      <c r="G57" s="49"/>
      <c r="H57" s="49"/>
      <c r="I57" s="143"/>
      <c r="J57" s="17"/>
    </row>
    <row r="58">
      <c r="A58" s="1"/>
      <c r="B58" s="32"/>
      <c r="C58" s="47" t="s">
        <v>810</v>
      </c>
      <c r="D58" s="47"/>
      <c r="E58" s="47"/>
      <c r="F58" s="47"/>
      <c r="G58" s="47"/>
      <c r="H58" s="47"/>
      <c r="I58" s="144"/>
      <c r="J58" s="17"/>
    </row>
    <row r="59">
      <c r="A59" s="11"/>
      <c r="B59" s="25"/>
      <c r="C59" s="17" t="s">
        <v>811</v>
      </c>
      <c r="D59" s="17"/>
      <c r="E59" s="17"/>
      <c r="F59" s="17"/>
      <c r="G59" s="17"/>
      <c r="H59" s="17"/>
      <c r="I59" s="145"/>
      <c r="J59" s="17"/>
    </row>
    <row r="60">
      <c r="A60" s="22" t="s">
        <v>812</v>
      </c>
      <c r="B60" s="82">
        <v>46219</v>
      </c>
      <c r="C60" s="49" t="s">
        <v>813</v>
      </c>
      <c r="D60" s="49"/>
      <c r="E60" s="49"/>
      <c r="F60" s="49"/>
      <c r="G60" s="49"/>
      <c r="H60" s="49"/>
      <c r="I60" s="143"/>
      <c r="J60" s="17"/>
    </row>
    <row r="61">
      <c r="A61" s="1"/>
      <c r="B61" s="32"/>
      <c r="C61" s="47" t="s">
        <v>814</v>
      </c>
      <c r="D61" s="47"/>
      <c r="E61" s="47"/>
      <c r="F61" s="47"/>
      <c r="G61" s="47"/>
      <c r="H61" s="47"/>
      <c r="I61" s="144"/>
      <c r="J61" s="17"/>
    </row>
    <row r="62">
      <c r="A62" s="11"/>
      <c r="B62" s="25"/>
      <c r="C62" s="17" t="s">
        <v>811</v>
      </c>
      <c r="D62" s="17"/>
      <c r="E62" s="17"/>
      <c r="F62" s="17"/>
      <c r="G62" s="17"/>
      <c r="H62" s="17"/>
      <c r="I62" s="145"/>
      <c r="J62" s="17"/>
    </row>
    <row r="63">
      <c r="A63" s="22" t="s">
        <v>815</v>
      </c>
      <c r="B63" s="82">
        <v>46248</v>
      </c>
      <c r="C63" s="49" t="s">
        <v>816</v>
      </c>
      <c r="D63" s="49"/>
      <c r="E63" s="49"/>
      <c r="F63" s="49"/>
      <c r="G63" s="49"/>
      <c r="H63" s="49"/>
      <c r="I63" s="143"/>
      <c r="J63" s="17"/>
    </row>
    <row r="64">
      <c r="A64" s="1"/>
      <c r="B64" s="32"/>
      <c r="C64" s="47" t="s">
        <v>817</v>
      </c>
      <c r="D64" s="47"/>
      <c r="E64" s="47"/>
      <c r="F64" s="47"/>
      <c r="G64" s="47"/>
      <c r="H64" s="47"/>
      <c r="I64" s="144"/>
      <c r="J64" s="17"/>
    </row>
    <row r="65">
      <c r="A65" s="11"/>
      <c r="B65" s="25"/>
      <c r="C65" s="17" t="s">
        <v>818</v>
      </c>
      <c r="D65" s="17"/>
      <c r="E65" s="17"/>
      <c r="F65" s="17"/>
      <c r="G65" s="17"/>
      <c r="H65" s="17"/>
      <c r="I65" s="145"/>
      <c r="J65" s="17"/>
    </row>
    <row r="66">
      <c r="A66" s="22" t="s">
        <v>819</v>
      </c>
      <c r="B66" s="82">
        <v>46295</v>
      </c>
      <c r="C66" s="49" t="s">
        <v>820</v>
      </c>
      <c r="D66" s="49"/>
      <c r="E66" s="49"/>
      <c r="F66" s="49"/>
      <c r="G66" s="49"/>
      <c r="H66" s="49"/>
      <c r="I66" s="143"/>
      <c r="J66" s="17"/>
    </row>
    <row r="67">
      <c r="A67" s="1"/>
      <c r="B67" s="32"/>
      <c r="C67" s="47" t="s">
        <v>821</v>
      </c>
      <c r="D67" s="47"/>
      <c r="E67" s="47"/>
      <c r="F67" s="47"/>
      <c r="G67" s="47"/>
      <c r="H67" s="47"/>
      <c r="I67" s="144"/>
      <c r="J67" s="17"/>
    </row>
    <row r="68">
      <c r="A68" s="11"/>
      <c r="B68" s="25"/>
      <c r="C68" s="17" t="s">
        <v>818</v>
      </c>
      <c r="D68" s="17"/>
      <c r="E68" s="17"/>
      <c r="F68" s="17"/>
      <c r="G68" s="17"/>
      <c r="H68" s="17"/>
      <c r="I68" s="145"/>
      <c r="J68" s="17"/>
    </row>
    <row r="69">
      <c r="A69" s="22" t="s">
        <v>822</v>
      </c>
      <c r="B69" s="82">
        <v>46300</v>
      </c>
      <c r="C69" s="49" t="s">
        <v>823</v>
      </c>
      <c r="D69" s="49"/>
      <c r="E69" s="49"/>
      <c r="F69" s="49"/>
      <c r="G69" s="49"/>
      <c r="H69" s="49"/>
      <c r="I69" s="143"/>
      <c r="J69" s="17"/>
    </row>
    <row r="70">
      <c r="A70" s="1"/>
      <c r="B70" s="32"/>
      <c r="C70" s="47" t="s">
        <v>824</v>
      </c>
      <c r="D70" s="47"/>
      <c r="E70" s="47"/>
      <c r="F70" s="47"/>
      <c r="G70" s="47"/>
      <c r="H70" s="47"/>
      <c r="I70" s="144"/>
      <c r="J70" s="17"/>
    </row>
    <row r="71">
      <c r="A71" s="11"/>
      <c r="B71" s="25"/>
      <c r="C71" s="17" t="s">
        <v>818</v>
      </c>
      <c r="D71" s="17"/>
      <c r="E71" s="17"/>
      <c r="F71" s="17"/>
      <c r="G71" s="17"/>
      <c r="H71" s="17"/>
      <c r="I71" s="145"/>
      <c r="J71" s="17"/>
    </row>
    <row r="72">
      <c r="A72" s="22" t="s">
        <v>825</v>
      </c>
      <c r="B72" s="82">
        <v>46304</v>
      </c>
      <c r="C72" s="49" t="s">
        <v>826</v>
      </c>
      <c r="D72" s="49"/>
      <c r="E72" s="49"/>
      <c r="F72" s="49"/>
      <c r="G72" s="49"/>
      <c r="H72" s="49"/>
      <c r="I72" s="143"/>
      <c r="J72" s="17"/>
    </row>
    <row r="73">
      <c r="A73" s="1"/>
      <c r="B73" s="32"/>
      <c r="C73" s="47" t="s">
        <v>827</v>
      </c>
      <c r="D73" s="47"/>
      <c r="E73" s="47"/>
      <c r="F73" s="47"/>
      <c r="G73" s="47"/>
      <c r="H73" s="47"/>
      <c r="I73" s="144"/>
      <c r="J73" s="17"/>
    </row>
    <row r="74">
      <c r="A74" s="11"/>
      <c r="B74" s="25"/>
      <c r="C74" s="17" t="s">
        <v>828</v>
      </c>
      <c r="D74" s="17"/>
      <c r="E74" s="17"/>
      <c r="F74" s="17"/>
      <c r="G74" s="17"/>
      <c r="H74" s="17"/>
      <c r="I74" s="145"/>
      <c r="J74" s="17"/>
    </row>
    <row r="75">
      <c r="A75" s="22" t="s">
        <v>829</v>
      </c>
      <c r="B75" s="82">
        <v>46283</v>
      </c>
      <c r="C75" s="49" t="s">
        <v>830</v>
      </c>
      <c r="D75" s="49"/>
      <c r="E75" s="49"/>
      <c r="F75" s="49"/>
      <c r="G75" s="49"/>
      <c r="H75" s="49"/>
      <c r="I75" s="143"/>
      <c r="J75" s="17"/>
    </row>
    <row r="76">
      <c r="A76" s="1"/>
      <c r="B76" s="32"/>
      <c r="C76" s="47" t="s">
        <v>831</v>
      </c>
      <c r="D76" s="47"/>
      <c r="E76" s="47"/>
      <c r="F76" s="47"/>
      <c r="G76" s="47"/>
      <c r="H76" s="47"/>
      <c r="I76" s="144"/>
      <c r="J76" s="17"/>
    </row>
    <row r="77">
      <c r="A77" s="11"/>
      <c r="B77" s="25"/>
      <c r="C77" s="17" t="s">
        <v>804</v>
      </c>
      <c r="D77" s="17"/>
      <c r="E77" s="17"/>
      <c r="F77" s="17"/>
      <c r="G77" s="17"/>
      <c r="H77" s="17"/>
      <c r="I77" s="145"/>
      <c r="J77" s="17"/>
    </row>
    <row r="78">
      <c r="A78" s="22" t="s">
        <v>832</v>
      </c>
      <c r="B78" s="82">
        <v>46304</v>
      </c>
      <c r="C78" s="49" t="s">
        <v>833</v>
      </c>
      <c r="D78" s="49"/>
      <c r="E78" s="49"/>
      <c r="F78" s="49"/>
      <c r="G78" s="49"/>
      <c r="H78" s="49"/>
      <c r="I78" s="143"/>
      <c r="J78" s="17"/>
    </row>
    <row r="79">
      <c r="A79" s="1"/>
      <c r="B79" s="32"/>
      <c r="C79" s="47" t="s">
        <v>834</v>
      </c>
      <c r="D79" s="47"/>
      <c r="E79" s="47"/>
      <c r="F79" s="47"/>
      <c r="G79" s="47"/>
      <c r="H79" s="47"/>
      <c r="I79" s="144"/>
      <c r="J79" s="17"/>
    </row>
    <row r="80">
      <c r="A80" s="11"/>
      <c r="B80" s="25"/>
      <c r="C80" s="17" t="s">
        <v>835</v>
      </c>
      <c r="D80" s="17"/>
      <c r="E80" s="17"/>
      <c r="F80" s="17"/>
      <c r="G80" s="17"/>
      <c r="H80" s="17"/>
      <c r="I80" s="145"/>
      <c r="J80" s="17"/>
    </row>
    <row r="81">
      <c r="A81" s="22" t="s">
        <v>836</v>
      </c>
      <c r="B81" s="82">
        <v>46304</v>
      </c>
      <c r="C81" s="49" t="s">
        <v>837</v>
      </c>
      <c r="D81" s="49"/>
      <c r="E81" s="49"/>
      <c r="F81" s="49"/>
      <c r="G81" s="49"/>
      <c r="H81" s="49"/>
      <c r="I81" s="143"/>
      <c r="J81" s="17"/>
    </row>
    <row r="82">
      <c r="A82" s="1"/>
      <c r="B82" s="32"/>
      <c r="C82" s="47" t="s">
        <v>838</v>
      </c>
      <c r="D82" s="47"/>
      <c r="E82" s="47"/>
      <c r="F82" s="47"/>
      <c r="G82" s="47"/>
      <c r="H82" s="47"/>
      <c r="I82" s="144"/>
      <c r="J82" s="17"/>
    </row>
    <row r="83">
      <c r="A83" s="11"/>
      <c r="B83" s="25"/>
      <c r="C83" s="17" t="s">
        <v>839</v>
      </c>
      <c r="D83" s="17"/>
      <c r="E83" s="17"/>
      <c r="F83" s="17"/>
      <c r="G83" s="17"/>
      <c r="H83" s="17"/>
      <c r="I83" s="145"/>
      <c r="J83" s="17"/>
    </row>
    <row r="84">
      <c r="A84" s="22" t="s">
        <v>55</v>
      </c>
      <c r="B84" s="82">
        <v>46304</v>
      </c>
      <c r="C84" s="49" t="s">
        <v>840</v>
      </c>
      <c r="D84" s="49"/>
      <c r="E84" s="49"/>
      <c r="F84" s="49"/>
      <c r="G84" s="49"/>
      <c r="H84" s="49"/>
      <c r="I84" s="143"/>
      <c r="J84" s="17"/>
    </row>
    <row r="85">
      <c r="A85" s="1"/>
      <c r="B85" s="32"/>
      <c r="C85" s="47" t="s">
        <v>841</v>
      </c>
      <c r="D85" s="47"/>
      <c r="E85" s="47"/>
      <c r="F85" s="47"/>
      <c r="G85" s="47"/>
      <c r="H85" s="47"/>
      <c r="I85" s="144"/>
      <c r="J85" s="17"/>
    </row>
    <row r="86">
      <c r="A86" s="11"/>
      <c r="B86" s="25"/>
      <c r="C86" s="17" t="s">
        <v>842</v>
      </c>
      <c r="D86" s="17"/>
      <c r="E86" s="17"/>
      <c r="F86" s="17"/>
      <c r="G86" s="17"/>
      <c r="H86" s="17"/>
      <c r="I86" s="145"/>
      <c r="J86" s="17"/>
    </row>
    <row r="87">
      <c r="A87" s="22" t="s">
        <v>57</v>
      </c>
      <c r="B87" s="82">
        <v>46303</v>
      </c>
      <c r="C87" s="49" t="s">
        <v>843</v>
      </c>
      <c r="D87" s="49"/>
      <c r="E87" s="49"/>
      <c r="F87" s="49"/>
      <c r="G87" s="49"/>
      <c r="H87" s="49"/>
      <c r="I87" s="143"/>
      <c r="J87" s="17"/>
    </row>
    <row r="88">
      <c r="A88" s="1"/>
      <c r="B88" s="32"/>
      <c r="C88" s="47" t="s">
        <v>844</v>
      </c>
      <c r="D88" s="47"/>
      <c r="E88" s="47"/>
      <c r="F88" s="47"/>
      <c r="G88" s="47"/>
      <c r="H88" s="47"/>
      <c r="I88" s="144"/>
      <c r="J88" s="17"/>
    </row>
    <row r="89">
      <c r="A89" s="11"/>
      <c r="B89" s="25"/>
      <c r="C89" s="17" t="s">
        <v>842</v>
      </c>
      <c r="D89" s="17"/>
      <c r="E89" s="17"/>
      <c r="F89" s="17"/>
      <c r="G89" s="17"/>
      <c r="H89" s="17"/>
      <c r="I89" s="145"/>
      <c r="J89" s="17"/>
    </row>
    <row r="90">
      <c r="A90" s="22" t="s">
        <v>845</v>
      </c>
      <c r="B90" s="82">
        <v>45945</v>
      </c>
      <c r="C90" s="49" t="s">
        <v>846</v>
      </c>
      <c r="D90" s="49"/>
      <c r="E90" s="49"/>
      <c r="F90" s="49"/>
      <c r="G90" s="49"/>
      <c r="H90" s="49"/>
      <c r="I90" s="143"/>
      <c r="J90" s="17"/>
    </row>
    <row r="91">
      <c r="A91" s="1"/>
      <c r="B91" s="32"/>
      <c r="C91" s="47" t="s">
        <v>847</v>
      </c>
      <c r="D91" s="47"/>
      <c r="E91" s="47"/>
      <c r="F91" s="47"/>
      <c r="G91" s="47"/>
      <c r="H91" s="47"/>
      <c r="I91" s="144"/>
      <c r="J91" s="17"/>
    </row>
    <row r="92">
      <c r="A92" s="11"/>
      <c r="B92" s="25"/>
      <c r="C92" s="17" t="s">
        <v>848</v>
      </c>
      <c r="D92" s="17"/>
      <c r="E92" s="17"/>
      <c r="F92" s="17"/>
      <c r="G92" s="17"/>
      <c r="H92" s="17"/>
      <c r="I92" s="145"/>
      <c r="J92" s="17"/>
    </row>
    <row r="93">
      <c r="A93" s="22" t="s">
        <v>849</v>
      </c>
      <c r="B93" s="82">
        <v>45582</v>
      </c>
      <c r="C93" s="49" t="s">
        <v>850</v>
      </c>
      <c r="D93" s="49"/>
      <c r="E93" s="49"/>
      <c r="F93" s="49"/>
      <c r="G93" s="49"/>
      <c r="H93" s="49"/>
      <c r="I93" s="143"/>
      <c r="J93" s="17"/>
    </row>
    <row r="94">
      <c r="A94" s="1"/>
      <c r="B94" s="32"/>
      <c r="C94" s="47" t="s">
        <v>851</v>
      </c>
      <c r="D94" s="47"/>
      <c r="E94" s="47"/>
      <c r="F94" s="47"/>
      <c r="G94" s="47"/>
      <c r="H94" s="47"/>
      <c r="I94" s="144"/>
      <c r="J94" s="17"/>
    </row>
    <row r="95">
      <c r="A95" s="11"/>
      <c r="B95" s="25"/>
      <c r="C95" s="17" t="s">
        <v>852</v>
      </c>
      <c r="D95" s="17"/>
      <c r="E95" s="17"/>
      <c r="F95" s="17"/>
      <c r="G95" s="17"/>
      <c r="H95" s="17"/>
      <c r="I95" s="145"/>
      <c r="J95" s="17"/>
    </row>
    <row r="96">
      <c r="A96" s="22" t="s">
        <v>853</v>
      </c>
      <c r="B96" s="82">
        <v>45217</v>
      </c>
      <c r="C96" s="49" t="s">
        <v>854</v>
      </c>
      <c r="D96" s="49"/>
      <c r="E96" s="49"/>
      <c r="F96" s="49"/>
      <c r="G96" s="49"/>
      <c r="H96" s="49"/>
      <c r="I96" s="143"/>
      <c r="J96" s="17"/>
    </row>
    <row r="97">
      <c r="A97" s="1"/>
      <c r="B97" s="32"/>
      <c r="C97" s="47" t="s">
        <v>855</v>
      </c>
      <c r="D97" s="47"/>
      <c r="E97" s="47"/>
      <c r="F97" s="47"/>
      <c r="G97" s="47"/>
      <c r="H97" s="47"/>
      <c r="I97" s="144"/>
      <c r="J97" s="17"/>
    </row>
    <row r="98">
      <c r="A98" s="11"/>
      <c r="B98" s="25"/>
      <c r="C98" s="17" t="s">
        <v>856</v>
      </c>
      <c r="D98" s="17"/>
      <c r="E98" s="17"/>
      <c r="F98" s="17"/>
      <c r="G98" s="17"/>
      <c r="H98" s="17"/>
      <c r="I98" s="145"/>
      <c r="J98" s="17"/>
    </row>
    <row r="99">
      <c r="A99" s="22" t="s">
        <v>857</v>
      </c>
      <c r="B99" s="82">
        <v>46234</v>
      </c>
      <c r="C99" s="49" t="s">
        <v>858</v>
      </c>
      <c r="D99" s="49"/>
      <c r="E99" s="49"/>
      <c r="F99" s="49"/>
      <c r="G99" s="49"/>
      <c r="H99" s="49"/>
      <c r="I99" s="143"/>
      <c r="J99" s="17"/>
    </row>
    <row r="100">
      <c r="A100" s="1"/>
      <c r="B100" s="32"/>
      <c r="C100" s="47" t="s">
        <v>859</v>
      </c>
      <c r="D100" s="47"/>
      <c r="E100" s="47"/>
      <c r="F100" s="47"/>
      <c r="G100" s="47"/>
      <c r="H100" s="47"/>
      <c r="I100" s="144"/>
      <c r="J100" s="17"/>
    </row>
    <row r="101">
      <c r="A101" s="11"/>
      <c r="B101" s="25"/>
      <c r="C101" s="17" t="s">
        <v>860</v>
      </c>
      <c r="D101" s="17"/>
      <c r="E101" s="17"/>
      <c r="F101" s="17"/>
      <c r="G101" s="17"/>
      <c r="H101" s="17"/>
      <c r="I101" s="145"/>
      <c r="J101" s="17"/>
    </row>
    <row r="102">
      <c r="A102" s="22" t="s">
        <v>861</v>
      </c>
      <c r="B102" s="82">
        <v>46024</v>
      </c>
      <c r="C102" s="49" t="s">
        <v>862</v>
      </c>
      <c r="D102" s="49"/>
      <c r="E102" s="49"/>
      <c r="F102" s="49"/>
      <c r="G102" s="49"/>
      <c r="H102" s="49"/>
      <c r="I102" s="143"/>
      <c r="J102" s="17"/>
    </row>
    <row r="103">
      <c r="A103" s="1"/>
      <c r="B103" s="32"/>
      <c r="C103" s="47" t="s">
        <v>863</v>
      </c>
      <c r="D103" s="47"/>
      <c r="E103" s="47"/>
      <c r="F103" s="47"/>
      <c r="G103" s="47"/>
      <c r="H103" s="47"/>
      <c r="I103" s="144"/>
      <c r="J103" s="17"/>
    </row>
    <row r="104">
      <c r="A104" s="11"/>
      <c r="B104" s="25"/>
      <c r="C104" s="17" t="s">
        <v>864</v>
      </c>
      <c r="D104" s="17"/>
      <c r="E104" s="17"/>
      <c r="F104" s="17"/>
      <c r="G104" s="17"/>
      <c r="H104" s="17"/>
      <c r="I104" s="145"/>
      <c r="J104" s="17"/>
    </row>
    <row r="105">
      <c r="A105" s="22" t="s">
        <v>865</v>
      </c>
      <c r="B105" s="82">
        <v>46128</v>
      </c>
      <c r="C105" s="49" t="s">
        <v>866</v>
      </c>
      <c r="D105" s="49"/>
      <c r="E105" s="49"/>
      <c r="F105" s="49"/>
      <c r="G105" s="49"/>
      <c r="H105" s="49"/>
      <c r="I105" s="143"/>
      <c r="J105" s="17"/>
    </row>
    <row r="106">
      <c r="A106" s="1"/>
      <c r="B106" s="32"/>
      <c r="C106" s="47" t="s">
        <v>867</v>
      </c>
      <c r="D106" s="47"/>
      <c r="E106" s="47"/>
      <c r="F106" s="47"/>
      <c r="G106" s="47"/>
      <c r="H106" s="47"/>
      <c r="I106" s="144"/>
      <c r="J106" s="17"/>
    </row>
    <row r="107">
      <c r="A107" s="11"/>
      <c r="B107" s="25"/>
      <c r="C107" s="17" t="s">
        <v>788</v>
      </c>
      <c r="D107" s="17"/>
      <c r="E107" s="17"/>
      <c r="F107" s="17"/>
      <c r="G107" s="17"/>
      <c r="H107" s="17"/>
      <c r="I107" s="145"/>
      <c r="J107" s="17"/>
    </row>
    <row r="108">
      <c r="A108" s="22" t="s">
        <v>59</v>
      </c>
      <c r="B108" s="82">
        <v>46303</v>
      </c>
      <c r="C108" s="49" t="s">
        <v>868</v>
      </c>
      <c r="D108" s="49"/>
      <c r="E108" s="49"/>
      <c r="F108" s="49"/>
      <c r="G108" s="49"/>
      <c r="H108" s="49"/>
      <c r="I108" s="143"/>
      <c r="J108" s="17"/>
    </row>
    <row r="109">
      <c r="A109" s="1"/>
      <c r="B109" s="32"/>
      <c r="C109" s="47" t="s">
        <v>869</v>
      </c>
      <c r="D109" s="47"/>
      <c r="E109" s="47"/>
      <c r="F109" s="47"/>
      <c r="G109" s="47"/>
      <c r="H109" s="47"/>
      <c r="I109" s="144"/>
      <c r="J109" s="17"/>
    </row>
    <row r="110">
      <c r="A110" s="11"/>
      <c r="B110" s="25"/>
      <c r="C110" s="17" t="s">
        <v>842</v>
      </c>
      <c r="D110" s="17"/>
      <c r="E110" s="17"/>
      <c r="F110" s="17"/>
      <c r="G110" s="17"/>
      <c r="H110" s="17"/>
      <c r="I110" s="145"/>
      <c r="J110" s="17"/>
    </row>
    <row r="111">
      <c r="A111" s="22" t="s">
        <v>870</v>
      </c>
      <c r="B111" s="82">
        <v>46220</v>
      </c>
      <c r="C111" s="49" t="s">
        <v>871</v>
      </c>
      <c r="D111" s="49"/>
      <c r="E111" s="49"/>
      <c r="F111" s="49"/>
      <c r="G111" s="49"/>
      <c r="H111" s="49"/>
      <c r="I111" s="143"/>
      <c r="J111" s="17"/>
    </row>
    <row r="112">
      <c r="A112" s="1"/>
      <c r="B112" s="32"/>
      <c r="C112" s="47" t="s">
        <v>872</v>
      </c>
      <c r="D112" s="47"/>
      <c r="E112" s="47"/>
      <c r="F112" s="47"/>
      <c r="G112" s="47"/>
      <c r="H112" s="47"/>
      <c r="I112" s="144"/>
      <c r="J112" s="17"/>
    </row>
    <row r="113">
      <c r="A113" s="11"/>
      <c r="B113" s="25"/>
      <c r="C113" s="17" t="s">
        <v>873</v>
      </c>
      <c r="D113" s="17"/>
      <c r="E113" s="17"/>
      <c r="F113" s="17"/>
      <c r="G113" s="17"/>
      <c r="H113" s="17"/>
      <c r="I113" s="145"/>
      <c r="J113" s="17"/>
    </row>
    <row r="114">
      <c r="A114" s="1"/>
      <c r="B114" s="8"/>
      <c r="C114" s="8"/>
      <c r="D114" s="8"/>
      <c r="E114" s="8"/>
      <c r="F114" s="8"/>
      <c r="G114" s="8"/>
      <c r="H114" s="8"/>
      <c r="I114" s="146"/>
      <c r="J114" s="17"/>
    </row>
    <row r="115">
      <c r="A115" s="1" t="s">
        <v>874</v>
      </c>
      <c r="B115" s="8"/>
      <c r="C115" s="8"/>
      <c r="D115" s="8"/>
      <c r="E115" s="8"/>
      <c r="F115" s="8"/>
      <c r="G115" s="8"/>
      <c r="H115" s="8"/>
      <c r="I115" s="146"/>
      <c r="J115" s="17"/>
    </row>
    <row r="116">
      <c r="A116" s="1" t="s">
        <v>875</v>
      </c>
      <c r="B116" s="8"/>
      <c r="C116" s="8"/>
      <c r="D116" s="8"/>
      <c r="E116" s="8"/>
      <c r="F116" s="8"/>
      <c r="G116" s="8"/>
      <c r="H116" s="8"/>
      <c r="I116" s="146"/>
      <c r="J116" s="17"/>
    </row>
  </sheetData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22"/>
  <sheetViews>
    <sheetView showGridLines="0" workbookViewId="0"/>
  </sheetViews>
  <sheetFormatPr defaultColWidth="8.42578125" defaultRowHeight="15"/>
  <cols>
    <col min="1" max="1" width="37" customWidth="1"/>
    <col min="2" max="9" width="12" customWidth="1"/>
    <col min="10" max="10" width="45" customWidth="1"/>
  </cols>
  <sheetData>
    <row r="1">
      <c r="A1" s="26" t="s">
        <v>0</v>
      </c>
      <c r="B1" s="1"/>
      <c r="C1" s="1"/>
      <c r="D1" s="1"/>
      <c r="E1" s="1"/>
      <c r="F1" s="1"/>
      <c r="G1" s="1"/>
      <c r="H1" s="1"/>
      <c r="I1" s="1"/>
      <c r="J1" s="1"/>
    </row>
    <row r="2">
      <c r="A2" s="22" t="s">
        <v>876</v>
      </c>
      <c r="B2" s="1"/>
      <c r="C2" s="1"/>
      <c r="D2" s="1"/>
      <c r="E2" s="1"/>
      <c r="F2" s="1"/>
      <c r="G2" s="1"/>
      <c r="H2" s="1"/>
      <c r="I2" s="1"/>
      <c r="J2" s="1"/>
    </row>
    <row r="3">
      <c r="A3" s="11" t="s">
        <v>2</v>
      </c>
      <c r="B3" s="1"/>
      <c r="C3" s="1"/>
      <c r="D3" s="1"/>
      <c r="E3" s="1"/>
      <c r="F3" s="1"/>
      <c r="G3" s="1"/>
      <c r="H3" s="1"/>
      <c r="I3" s="1"/>
      <c r="J3" s="1"/>
    </row>
    <row r="4">
      <c r="A4" s="12" t="s">
        <v>158</v>
      </c>
      <c r="B4" s="13" t="s">
        <v>159</v>
      </c>
      <c r="C4" s="13" t="s">
        <v>160</v>
      </c>
      <c r="D4" s="13" t="s">
        <v>161</v>
      </c>
      <c r="E4" s="13" t="s">
        <v>162</v>
      </c>
      <c r="F4" s="13" t="s">
        <v>163</v>
      </c>
      <c r="G4" s="13" t="s">
        <v>164</v>
      </c>
      <c r="H4" s="13" t="s">
        <v>165</v>
      </c>
      <c r="I4" s="39" t="s">
        <v>166</v>
      </c>
      <c r="J4" s="10" t="s">
        <v>4</v>
      </c>
    </row>
    <row r="5">
      <c r="A5" s="4" t="s">
        <v>167</v>
      </c>
      <c r="B5" s="7">
        <f>DATE(2025,3,31)</f>
        <v>45747</v>
      </c>
      <c r="C5" s="7">
        <f>DATE(2025,6,30)</f>
        <v>45838</v>
      </c>
      <c r="D5" s="7">
        <f>DATE(2025,9,30)</f>
        <v>45930</v>
      </c>
      <c r="E5" s="7">
        <f>DATE(2025,12,31)</f>
        <v>46022</v>
      </c>
      <c r="F5" s="7">
        <f>DATE(2025,12,31)</f>
        <v>46022</v>
      </c>
      <c r="G5" s="7">
        <f>DATE(2026,3,31)</f>
        <v>46112</v>
      </c>
      <c r="H5" s="7">
        <f>DATE(2026,6,30)</f>
        <v>46203</v>
      </c>
      <c r="I5" s="38">
        <f>DATE(2026,9,30)</f>
        <v>46295</v>
      </c>
      <c r="J5" s="24"/>
    </row>
    <row r="6">
      <c r="A6" s="41" t="s">
        <v>168</v>
      </c>
      <c r="B6" s="20">
        <f>B5-DATE(2024,12,31)</f>
        <v>90</v>
      </c>
      <c r="C6" s="20">
        <f>C5-B5</f>
        <v>91</v>
      </c>
      <c r="D6" s="20">
        <f>D5-C5</f>
        <v>92</v>
      </c>
      <c r="E6" s="20">
        <f>E5-D5</f>
        <v>92</v>
      </c>
      <c r="F6" s="20">
        <f>F5-DATE(2024,12,31)</f>
        <v>365</v>
      </c>
      <c r="G6" s="20">
        <f>G5-E5</f>
        <v>90</v>
      </c>
      <c r="H6" s="20">
        <f>H5-G5</f>
        <v>91</v>
      </c>
      <c r="I6" s="15">
        <f>I5-H5</f>
        <v>92</v>
      </c>
      <c r="J6" s="18"/>
    </row>
    <row r="7">
      <c r="A7" s="1"/>
      <c r="B7" s="1"/>
      <c r="C7" s="1"/>
      <c r="D7" s="1"/>
      <c r="E7" s="1"/>
      <c r="F7" s="1"/>
      <c r="G7" s="1"/>
      <c r="H7" s="1"/>
      <c r="I7" s="33"/>
      <c r="J7" s="17"/>
    </row>
    <row r="8">
      <c r="A8" s="42" t="s">
        <v>877</v>
      </c>
      <c r="B8" s="8"/>
      <c r="C8" s="8"/>
      <c r="D8" s="8"/>
      <c r="E8" s="8"/>
      <c r="F8" s="8"/>
      <c r="G8" s="8"/>
      <c r="H8" s="8"/>
      <c r="I8" s="21"/>
      <c r="J8" s="17"/>
    </row>
    <row r="9" ht="27.75">
      <c r="A9" s="35" t="s">
        <v>878</v>
      </c>
      <c r="B9" s="3">
        <v>45747</v>
      </c>
      <c r="C9" s="3">
        <v>45838</v>
      </c>
      <c r="D9" s="3">
        <v>45930</v>
      </c>
      <c r="E9" s="3">
        <v>46022</v>
      </c>
      <c r="F9" s="32"/>
      <c r="G9" s="3">
        <v>46112</v>
      </c>
      <c r="H9" s="3">
        <v>46203</v>
      </c>
      <c r="I9" s="38">
        <f>B39</f>
        <v>46295</v>
      </c>
      <c r="J9" s="142" t="s">
        <v>879</v>
      </c>
    </row>
    <row r="10" ht="27.75">
      <c r="A10" s="35" t="s">
        <v>880</v>
      </c>
      <c r="B10" s="3">
        <v>45763</v>
      </c>
      <c r="C10" s="3">
        <v>45855</v>
      </c>
      <c r="D10" s="3">
        <v>45946</v>
      </c>
      <c r="E10" s="3">
        <v>46043</v>
      </c>
      <c r="F10" s="32"/>
      <c r="G10" s="3">
        <v>46128</v>
      </c>
      <c r="H10" s="3">
        <v>46220</v>
      </c>
      <c r="I10" s="38">
        <f>B40</f>
        <v>46311</v>
      </c>
      <c r="J10" s="142" t="s">
        <v>879</v>
      </c>
    </row>
    <row r="11" ht="27.75">
      <c r="A11" s="35" t="s">
        <v>881</v>
      </c>
      <c r="B11" s="58">
        <v>0.77</v>
      </c>
      <c r="C11" s="58">
        <v>3.61</v>
      </c>
      <c r="D11" s="58">
        <v>6.38</v>
      </c>
      <c r="E11" s="58">
        <v>8.8</v>
      </c>
      <c r="F11" s="56"/>
      <c r="G11" s="58">
        <v>7.08</v>
      </c>
      <c r="H11" s="58">
        <v>5.39</v>
      </c>
      <c r="I11" s="71">
        <f>B43</f>
        <v>7.36</v>
      </c>
      <c r="J11" s="142" t="s">
        <v>879</v>
      </c>
    </row>
    <row r="12" ht="27.75">
      <c r="A12" s="35" t="s">
        <v>882</v>
      </c>
      <c r="B12" s="58">
        <v>1.91</v>
      </c>
      <c r="C12" s="58">
        <v>6.51</v>
      </c>
      <c r="D12" s="58">
        <v>8.14</v>
      </c>
      <c r="E12" s="58">
        <v>11.13</v>
      </c>
      <c r="F12" s="56"/>
      <c r="G12" s="58">
        <v>7.71</v>
      </c>
      <c r="H12" s="58">
        <v>10.04</v>
      </c>
      <c r="I12" s="71"/>
      <c r="J12" s="153" t="s">
        <v>883</v>
      </c>
    </row>
    <row r="13" ht="27.75">
      <c r="A13" s="35" t="s">
        <v>884</v>
      </c>
      <c r="B13" s="58">
        <v>0.73</v>
      </c>
      <c r="C13" s="58">
        <v>3.7</v>
      </c>
      <c r="D13" s="58">
        <v>6.42</v>
      </c>
      <c r="E13" s="58">
        <v>8.92</v>
      </c>
      <c r="F13" s="56"/>
      <c r="G13" s="58">
        <v>7.15</v>
      </c>
      <c r="H13" s="58">
        <v>5.4</v>
      </c>
      <c r="I13" s="71">
        <f>B52</f>
        <v>7.18</v>
      </c>
      <c r="J13" s="142" t="s">
        <v>879</v>
      </c>
    </row>
    <row r="14" ht="27.75">
      <c r="A14" s="35" t="s">
        <v>885</v>
      </c>
      <c r="B14" s="58">
        <v>1.7</v>
      </c>
      <c r="C14" s="58">
        <v>6.53</v>
      </c>
      <c r="D14" s="58">
        <v>8.24</v>
      </c>
      <c r="E14" s="58">
        <v>11.06</v>
      </c>
      <c r="F14" s="56"/>
      <c r="G14" s="58">
        <v>7.78</v>
      </c>
      <c r="H14" s="58">
        <v>10.26</v>
      </c>
      <c r="I14" s="71"/>
      <c r="J14" s="153" t="s">
        <v>883</v>
      </c>
    </row>
    <row r="15" ht="27.75">
      <c r="A15" s="35" t="s">
        <v>886</v>
      </c>
      <c r="B15" s="6">
        <v>10969</v>
      </c>
      <c r="C15" s="6">
        <v>11024.83</v>
      </c>
      <c r="D15" s="6">
        <v>11145.14</v>
      </c>
      <c r="E15" s="6">
        <v>11144.57</v>
      </c>
      <c r="F15" s="14"/>
      <c r="G15" s="6">
        <v>11106.25</v>
      </c>
      <c r="H15" s="6">
        <v>10988.11</v>
      </c>
      <c r="I15" s="45">
        <f>B59</f>
        <v>11018.09</v>
      </c>
      <c r="J15" s="142" t="s">
        <v>879</v>
      </c>
    </row>
    <row r="16" ht="27.75">
      <c r="A16" s="35" t="s">
        <v>887</v>
      </c>
      <c r="B16" s="6">
        <v>10710</v>
      </c>
      <c r="C16" s="6">
        <v>10921</v>
      </c>
      <c r="D16" s="6">
        <v>11135</v>
      </c>
      <c r="E16" s="6">
        <v>11148</v>
      </c>
      <c r="F16" s="14"/>
      <c r="G16" s="6">
        <v>10605</v>
      </c>
      <c r="H16" s="6">
        <v>10753</v>
      </c>
      <c r="I16" s="45"/>
      <c r="J16" s="153" t="s">
        <v>883</v>
      </c>
    </row>
    <row r="17">
      <c r="A17" s="80" t="s">
        <v>888</v>
      </c>
      <c r="B17" s="56">
        <f>B12-B11</f>
        <v>1.14</v>
      </c>
      <c r="C17" s="56">
        <f>C12-C11</f>
        <v>2.9</v>
      </c>
      <c r="D17" s="56">
        <f>D12-D11</f>
        <v>1.7600000000000007</v>
      </c>
      <c r="E17" s="56">
        <f>E12-E11</f>
        <v>2.33</v>
      </c>
      <c r="F17" s="56"/>
      <c r="G17" s="56">
        <f>G12-G11</f>
        <v>0.6299999999999999</v>
      </c>
      <c r="H17" s="56">
        <f>H12-H11</f>
        <v>4.6499999999999995</v>
      </c>
      <c r="I17" s="71"/>
      <c r="J17" s="17"/>
    </row>
    <row r="18">
      <c r="A18" s="80" t="s">
        <v>889</v>
      </c>
      <c r="B18" s="37" t="b">
        <f>B12&gt;B11</f>
        <v>1</v>
      </c>
      <c r="C18" s="37" t="b">
        <f>C12&gt;C11</f>
        <v>1</v>
      </c>
      <c r="D18" s="37" t="b">
        <f>D12&gt;D11</f>
        <v>1</v>
      </c>
      <c r="E18" s="37" t="b">
        <f>E12&gt;E11</f>
        <v>1</v>
      </c>
      <c r="F18" s="37"/>
      <c r="G18" s="37" t="b">
        <f>G12&gt;G11</f>
        <v>1</v>
      </c>
      <c r="H18" s="37" t="b">
        <f>H12&gt;H11</f>
        <v>1</v>
      </c>
      <c r="I18" s="46"/>
      <c r="J18" s="17"/>
    </row>
    <row r="19">
      <c r="A19" s="80" t="s">
        <v>890</v>
      </c>
      <c r="B19" s="56"/>
      <c r="C19" s="56"/>
      <c r="D19" s="56"/>
      <c r="E19" s="56"/>
      <c r="F19" s="56"/>
      <c r="G19" s="56"/>
      <c r="H19" s="56"/>
      <c r="I19" s="71">
        <f>AVERAGE(B17:H17)</f>
        <v>2.235</v>
      </c>
      <c r="J19" s="17"/>
    </row>
    <row r="20">
      <c r="A20" s="80" t="s">
        <v>891</v>
      </c>
      <c r="B20" s="56"/>
      <c r="C20" s="56"/>
      <c r="D20" s="56"/>
      <c r="E20" s="56"/>
      <c r="F20" s="56"/>
      <c r="G20" s="56"/>
      <c r="H20" s="56"/>
      <c r="I20" s="71">
        <f>D17</f>
        <v>1.7600000000000007</v>
      </c>
      <c r="J20" s="17"/>
    </row>
    <row r="21">
      <c r="A21" s="1"/>
      <c r="B21" s="8"/>
      <c r="C21" s="8"/>
      <c r="D21" s="8"/>
      <c r="E21" s="8"/>
      <c r="F21" s="8"/>
      <c r="G21" s="8"/>
      <c r="H21" s="8"/>
      <c r="I21" s="21"/>
      <c r="J21" s="17"/>
    </row>
    <row r="22">
      <c r="A22" s="42" t="s">
        <v>892</v>
      </c>
      <c r="B22" s="8"/>
      <c r="C22" s="8"/>
      <c r="D22" s="8"/>
      <c r="E22" s="8"/>
      <c r="F22" s="8"/>
      <c r="G22" s="8"/>
      <c r="H22" s="8"/>
      <c r="I22" s="21"/>
      <c r="J22" s="17"/>
    </row>
    <row r="23">
      <c r="A23" s="1" t="s">
        <v>893</v>
      </c>
      <c r="B23" s="8"/>
      <c r="C23" s="8"/>
      <c r="D23" s="8"/>
      <c r="E23" s="8"/>
      <c r="F23" s="8"/>
      <c r="G23" s="8"/>
      <c r="H23" s="8"/>
      <c r="I23" s="21"/>
      <c r="J23" s="17"/>
    </row>
    <row r="24">
      <c r="A24" s="1" t="s">
        <v>894</v>
      </c>
      <c r="B24" s="8"/>
      <c r="C24" s="8"/>
      <c r="D24" s="8"/>
      <c r="E24" s="8"/>
      <c r="F24" s="8"/>
      <c r="G24" s="8"/>
      <c r="H24" s="8"/>
      <c r="I24" s="21"/>
      <c r="J24" s="17"/>
    </row>
    <row r="25">
      <c r="A25" s="1" t="s">
        <v>895</v>
      </c>
      <c r="B25" s="8"/>
      <c r="C25" s="8"/>
      <c r="D25" s="8"/>
      <c r="E25" s="8"/>
      <c r="F25" s="8"/>
      <c r="G25" s="8"/>
      <c r="H25" s="8"/>
      <c r="I25" s="21"/>
      <c r="J25" s="17"/>
    </row>
    <row r="26">
      <c r="A26" s="1" t="s">
        <v>896</v>
      </c>
      <c r="B26" s="8"/>
      <c r="C26" s="8"/>
      <c r="D26" s="8"/>
      <c r="E26" s="8"/>
      <c r="F26" s="8"/>
      <c r="G26" s="8"/>
      <c r="H26" s="8"/>
      <c r="I26" s="21"/>
      <c r="J26" s="17"/>
    </row>
    <row r="27">
      <c r="A27" s="1" t="s">
        <v>897</v>
      </c>
      <c r="B27" s="8"/>
      <c r="C27" s="8"/>
      <c r="D27" s="8"/>
      <c r="E27" s="8"/>
      <c r="F27" s="8"/>
      <c r="G27" s="8"/>
      <c r="H27" s="8"/>
      <c r="I27" s="21"/>
      <c r="J27" s="17"/>
    </row>
    <row r="28">
      <c r="A28" s="1" t="s">
        <v>898</v>
      </c>
      <c r="B28" s="8"/>
      <c r="C28" s="8"/>
      <c r="D28" s="8"/>
      <c r="E28" s="8"/>
      <c r="F28" s="8"/>
      <c r="G28" s="8"/>
      <c r="H28" s="8"/>
      <c r="I28" s="21"/>
      <c r="J28" s="17"/>
    </row>
    <row r="29">
      <c r="A29" s="1" t="s">
        <v>899</v>
      </c>
      <c r="B29" s="8"/>
      <c r="C29" s="8"/>
      <c r="D29" s="8"/>
      <c r="E29" s="8"/>
      <c r="F29" s="8"/>
      <c r="G29" s="8"/>
      <c r="H29" s="8"/>
      <c r="I29" s="21"/>
      <c r="J29" s="17"/>
    </row>
    <row r="30">
      <c r="A30" s="1"/>
      <c r="B30" s="8"/>
      <c r="C30" s="8"/>
      <c r="D30" s="8"/>
      <c r="E30" s="8"/>
      <c r="F30" s="8"/>
      <c r="G30" s="8"/>
      <c r="H30" s="8"/>
      <c r="I30" s="21"/>
      <c r="J30" s="17"/>
    </row>
    <row r="31">
      <c r="A31" s="42" t="s">
        <v>900</v>
      </c>
      <c r="B31" s="8"/>
      <c r="C31" s="8"/>
      <c r="D31" s="8"/>
      <c r="E31" s="8"/>
      <c r="F31" s="8"/>
      <c r="G31" s="8"/>
      <c r="H31" s="8"/>
      <c r="I31" s="21"/>
      <c r="J31" s="17"/>
    </row>
    <row r="32">
      <c r="A32" s="35" t="s">
        <v>901</v>
      </c>
      <c r="B32" s="102" t="s">
        <v>902</v>
      </c>
      <c r="C32" s="37"/>
      <c r="D32" s="37"/>
      <c r="E32" s="37"/>
      <c r="F32" s="37"/>
      <c r="G32" s="37"/>
      <c r="H32" s="37"/>
      <c r="I32" s="46"/>
      <c r="J32" s="17"/>
    </row>
    <row r="33">
      <c r="A33" s="35" t="s">
        <v>903</v>
      </c>
      <c r="B33" s="102" t="s">
        <v>904</v>
      </c>
      <c r="C33" s="37"/>
      <c r="D33" s="37"/>
      <c r="E33" s="37"/>
      <c r="F33" s="37"/>
      <c r="G33" s="37"/>
      <c r="H33" s="37"/>
      <c r="I33" s="46"/>
      <c r="J33" s="17"/>
    </row>
    <row r="34">
      <c r="A34" s="35" t="s">
        <v>905</v>
      </c>
      <c r="B34" s="102" t="s">
        <v>906</v>
      </c>
      <c r="C34" s="37"/>
      <c r="D34" s="37"/>
      <c r="E34" s="37"/>
      <c r="F34" s="37"/>
      <c r="G34" s="37"/>
      <c r="H34" s="37"/>
      <c r="I34" s="46"/>
      <c r="J34" s="17"/>
    </row>
    <row r="35">
      <c r="A35" s="35" t="s">
        <v>907</v>
      </c>
      <c r="B35" s="83">
        <v>392856</v>
      </c>
      <c r="C35" s="37"/>
      <c r="D35" s="37"/>
      <c r="E35" s="37"/>
      <c r="F35" s="37"/>
      <c r="G35" s="37"/>
      <c r="H35" s="37"/>
      <c r="I35" s="46"/>
      <c r="J35" s="17"/>
    </row>
    <row r="36">
      <c r="A36" s="35" t="s">
        <v>908</v>
      </c>
      <c r="B36" s="102" t="s">
        <v>909</v>
      </c>
      <c r="C36" s="37"/>
      <c r="D36" s="37"/>
      <c r="E36" s="37"/>
      <c r="F36" s="37"/>
      <c r="G36" s="37"/>
      <c r="H36" s="37"/>
      <c r="I36" s="46"/>
      <c r="J36" s="17"/>
    </row>
    <row r="37">
      <c r="A37" s="35" t="s">
        <v>910</v>
      </c>
      <c r="B37" s="37"/>
      <c r="C37" s="37"/>
      <c r="D37" s="37"/>
      <c r="E37" s="37"/>
      <c r="F37" s="37"/>
      <c r="G37" s="37"/>
      <c r="H37" s="37"/>
      <c r="I37" s="46"/>
      <c r="J37" s="17"/>
    </row>
    <row r="38">
      <c r="A38" s="35" t="s">
        <v>911</v>
      </c>
      <c r="B38" s="102" t="s">
        <v>912</v>
      </c>
      <c r="C38" s="37"/>
      <c r="D38" s="37"/>
      <c r="E38" s="37"/>
      <c r="F38" s="37"/>
      <c r="G38" s="37"/>
      <c r="H38" s="37"/>
      <c r="I38" s="46"/>
      <c r="J38" s="17"/>
    </row>
    <row r="39">
      <c r="A39" s="35" t="s">
        <v>913</v>
      </c>
      <c r="B39" s="3">
        <v>46295</v>
      </c>
      <c r="C39" s="32"/>
      <c r="D39" s="32"/>
      <c r="E39" s="32"/>
      <c r="F39" s="32"/>
      <c r="G39" s="32"/>
      <c r="H39" s="32"/>
      <c r="I39" s="38"/>
      <c r="J39" s="17"/>
    </row>
    <row r="40">
      <c r="A40" s="35" t="s">
        <v>914</v>
      </c>
      <c r="B40" s="3">
        <v>46311</v>
      </c>
      <c r="C40" s="32"/>
      <c r="D40" s="32"/>
      <c r="E40" s="32"/>
      <c r="F40" s="32"/>
      <c r="G40" s="32"/>
      <c r="H40" s="32"/>
      <c r="I40" s="38"/>
      <c r="J40" s="17"/>
    </row>
    <row r="41">
      <c r="A41" s="35" t="s">
        <v>915</v>
      </c>
      <c r="B41" s="102" t="s">
        <v>916</v>
      </c>
      <c r="C41" s="37"/>
      <c r="D41" s="37"/>
      <c r="E41" s="37"/>
      <c r="F41" s="37"/>
      <c r="G41" s="37"/>
      <c r="H41" s="37"/>
      <c r="I41" s="46"/>
      <c r="J41" s="17"/>
    </row>
    <row r="42">
      <c r="A42" s="35" t="s">
        <v>917</v>
      </c>
      <c r="B42" s="83">
        <v>29</v>
      </c>
      <c r="C42" s="37"/>
      <c r="D42" s="37"/>
      <c r="E42" s="37"/>
      <c r="F42" s="37"/>
      <c r="G42" s="37"/>
      <c r="H42" s="37"/>
      <c r="I42" s="46"/>
      <c r="J42" s="17"/>
    </row>
    <row r="43">
      <c r="A43" s="35" t="s">
        <v>918</v>
      </c>
      <c r="B43" s="83">
        <v>7.36</v>
      </c>
      <c r="C43" s="37"/>
      <c r="D43" s="37"/>
      <c r="E43" s="37"/>
      <c r="F43" s="37"/>
      <c r="G43" s="37"/>
      <c r="H43" s="37"/>
      <c r="I43" s="46"/>
      <c r="J43" s="17"/>
    </row>
    <row r="44">
      <c r="A44" s="35" t="s">
        <v>919</v>
      </c>
      <c r="B44" s="83">
        <v>7.19</v>
      </c>
      <c r="C44" s="37"/>
      <c r="D44" s="37"/>
      <c r="E44" s="37"/>
      <c r="F44" s="37"/>
      <c r="G44" s="37"/>
      <c r="H44" s="37"/>
      <c r="I44" s="46"/>
      <c r="J44" s="17"/>
    </row>
    <row r="45">
      <c r="A45" s="35" t="s">
        <v>920</v>
      </c>
      <c r="B45" s="83">
        <v>9.31</v>
      </c>
      <c r="C45" s="37"/>
      <c r="D45" s="37"/>
      <c r="E45" s="37"/>
      <c r="F45" s="37"/>
      <c r="G45" s="37"/>
      <c r="H45" s="37"/>
      <c r="I45" s="46"/>
      <c r="J45" s="17"/>
    </row>
    <row r="46">
      <c r="A46" s="35" t="s">
        <v>921</v>
      </c>
      <c r="B46" s="83">
        <v>6.03</v>
      </c>
      <c r="C46" s="37"/>
      <c r="D46" s="37"/>
      <c r="E46" s="37"/>
      <c r="F46" s="37"/>
      <c r="G46" s="37"/>
      <c r="H46" s="37"/>
      <c r="I46" s="46"/>
      <c r="J46" s="17"/>
    </row>
    <row r="47">
      <c r="A47" s="35" t="s">
        <v>922</v>
      </c>
      <c r="B47" s="83">
        <v>0.69</v>
      </c>
      <c r="C47" s="37"/>
      <c r="D47" s="37"/>
      <c r="E47" s="37"/>
      <c r="F47" s="37"/>
      <c r="G47" s="37"/>
      <c r="H47" s="37"/>
      <c r="I47" s="46"/>
      <c r="J47" s="17"/>
    </row>
    <row r="48">
      <c r="A48" s="35" t="s">
        <v>923</v>
      </c>
      <c r="B48" s="83">
        <v>24</v>
      </c>
      <c r="C48" s="37"/>
      <c r="D48" s="37"/>
      <c r="E48" s="37"/>
      <c r="F48" s="37"/>
      <c r="G48" s="37"/>
      <c r="H48" s="37"/>
      <c r="I48" s="46"/>
      <c r="J48" s="17"/>
    </row>
    <row r="49">
      <c r="A49" s="35" t="s">
        <v>924</v>
      </c>
      <c r="B49" s="37"/>
      <c r="C49" s="37"/>
      <c r="D49" s="37"/>
      <c r="E49" s="37"/>
      <c r="F49" s="37"/>
      <c r="G49" s="37"/>
      <c r="H49" s="37"/>
      <c r="I49" s="46"/>
      <c r="J49" s="17"/>
    </row>
    <row r="50">
      <c r="A50" s="35" t="s">
        <v>925</v>
      </c>
      <c r="B50" s="37"/>
      <c r="C50" s="37"/>
      <c r="D50" s="37"/>
      <c r="E50" s="37"/>
      <c r="F50" s="37"/>
      <c r="G50" s="37"/>
      <c r="H50" s="37"/>
      <c r="I50" s="46"/>
      <c r="J50" s="17"/>
    </row>
    <row r="51">
      <c r="A51" s="35" t="s">
        <v>926</v>
      </c>
      <c r="B51" s="37"/>
      <c r="C51" s="37"/>
      <c r="D51" s="37"/>
      <c r="E51" s="37"/>
      <c r="F51" s="37"/>
      <c r="G51" s="37"/>
      <c r="H51" s="37"/>
      <c r="I51" s="46"/>
      <c r="J51" s="17"/>
    </row>
    <row r="52">
      <c r="A52" s="35" t="s">
        <v>927</v>
      </c>
      <c r="B52" s="83">
        <v>7.18</v>
      </c>
      <c r="C52" s="37"/>
      <c r="D52" s="37"/>
      <c r="E52" s="37"/>
      <c r="F52" s="37"/>
      <c r="G52" s="37"/>
      <c r="H52" s="37"/>
      <c r="I52" s="46"/>
      <c r="J52" s="17"/>
    </row>
    <row r="53">
      <c r="A53" s="35" t="s">
        <v>928</v>
      </c>
      <c r="B53" s="83">
        <v>7.09</v>
      </c>
      <c r="C53" s="37"/>
      <c r="D53" s="37"/>
      <c r="E53" s="37"/>
      <c r="F53" s="37"/>
      <c r="G53" s="37"/>
      <c r="H53" s="37"/>
      <c r="I53" s="46"/>
      <c r="J53" s="17"/>
    </row>
    <row r="54">
      <c r="A54" s="35" t="s">
        <v>929</v>
      </c>
      <c r="B54" s="83">
        <v>8.13</v>
      </c>
      <c r="C54" s="37"/>
      <c r="D54" s="37"/>
      <c r="E54" s="37"/>
      <c r="F54" s="37"/>
      <c r="G54" s="37"/>
      <c r="H54" s="37"/>
      <c r="I54" s="46"/>
      <c r="J54" s="17"/>
    </row>
    <row r="55">
      <c r="A55" s="35" t="s">
        <v>930</v>
      </c>
      <c r="B55" s="83">
        <v>6.77</v>
      </c>
      <c r="C55" s="37"/>
      <c r="D55" s="37"/>
      <c r="E55" s="37"/>
      <c r="F55" s="37"/>
      <c r="G55" s="37"/>
      <c r="H55" s="37"/>
      <c r="I55" s="46"/>
      <c r="J55" s="17"/>
    </row>
    <row r="56">
      <c r="A56" s="35" t="s">
        <v>931</v>
      </c>
      <c r="B56" s="83">
        <v>0.37</v>
      </c>
      <c r="C56" s="37"/>
      <c r="D56" s="37"/>
      <c r="E56" s="37"/>
      <c r="F56" s="37"/>
      <c r="G56" s="37"/>
      <c r="H56" s="37"/>
      <c r="I56" s="46"/>
      <c r="J56" s="17"/>
    </row>
    <row r="57">
      <c r="A57" s="35" t="s">
        <v>932</v>
      </c>
      <c r="B57" s="83">
        <v>10</v>
      </c>
      <c r="C57" s="37"/>
      <c r="D57" s="37"/>
      <c r="E57" s="37"/>
      <c r="F57" s="37"/>
      <c r="G57" s="37"/>
      <c r="H57" s="37"/>
      <c r="I57" s="46"/>
      <c r="J57" s="17"/>
    </row>
    <row r="58">
      <c r="A58" s="35" t="s">
        <v>933</v>
      </c>
      <c r="B58" s="37"/>
      <c r="C58" s="37"/>
      <c r="D58" s="37"/>
      <c r="E58" s="37"/>
      <c r="F58" s="37"/>
      <c r="G58" s="37"/>
      <c r="H58" s="37"/>
      <c r="I58" s="46"/>
      <c r="J58" s="17"/>
    </row>
    <row r="59">
      <c r="A59" s="35" t="s">
        <v>934</v>
      </c>
      <c r="B59" s="83">
        <v>11018.09</v>
      </c>
      <c r="C59" s="37"/>
      <c r="D59" s="37"/>
      <c r="E59" s="37"/>
      <c r="F59" s="37"/>
      <c r="G59" s="37"/>
      <c r="H59" s="37"/>
      <c r="I59" s="46"/>
      <c r="J59" s="17"/>
    </row>
    <row r="60">
      <c r="A60" s="35" t="s">
        <v>935</v>
      </c>
      <c r="B60" s="83">
        <v>11014</v>
      </c>
      <c r="C60" s="37"/>
      <c r="D60" s="37"/>
      <c r="E60" s="37"/>
      <c r="F60" s="37"/>
      <c r="G60" s="37"/>
      <c r="H60" s="37"/>
      <c r="I60" s="46"/>
      <c r="J60" s="17"/>
    </row>
    <row r="61">
      <c r="A61" s="35" t="s">
        <v>936</v>
      </c>
      <c r="B61" s="83">
        <v>11073</v>
      </c>
      <c r="C61" s="37"/>
      <c r="D61" s="37"/>
      <c r="E61" s="37"/>
      <c r="F61" s="37"/>
      <c r="G61" s="37"/>
      <c r="H61" s="37"/>
      <c r="I61" s="46"/>
      <c r="J61" s="17"/>
    </row>
    <row r="62">
      <c r="A62" s="35" t="s">
        <v>937</v>
      </c>
      <c r="B62" s="83">
        <v>10982</v>
      </c>
      <c r="C62" s="37"/>
      <c r="D62" s="37"/>
      <c r="E62" s="37"/>
      <c r="F62" s="37"/>
      <c r="G62" s="37"/>
      <c r="H62" s="37"/>
      <c r="I62" s="46"/>
      <c r="J62" s="17"/>
    </row>
    <row r="63">
      <c r="A63" s="35" t="s">
        <v>938</v>
      </c>
      <c r="B63" s="83">
        <v>28.29</v>
      </c>
      <c r="C63" s="37"/>
      <c r="D63" s="37"/>
      <c r="E63" s="37"/>
      <c r="F63" s="37"/>
      <c r="G63" s="37"/>
      <c r="H63" s="37"/>
      <c r="I63" s="46"/>
      <c r="J63" s="17"/>
    </row>
    <row r="64">
      <c r="A64" s="35" t="s">
        <v>939</v>
      </c>
      <c r="B64" s="83">
        <v>11</v>
      </c>
      <c r="C64" s="37"/>
      <c r="D64" s="37"/>
      <c r="E64" s="37"/>
      <c r="F64" s="37"/>
      <c r="G64" s="37"/>
      <c r="H64" s="37"/>
      <c r="I64" s="46"/>
      <c r="J64" s="17"/>
    </row>
    <row r="65">
      <c r="A65" s="35" t="s">
        <v>940</v>
      </c>
      <c r="B65" s="37"/>
      <c r="C65" s="37"/>
      <c r="D65" s="37"/>
      <c r="E65" s="37"/>
      <c r="F65" s="37"/>
      <c r="G65" s="37"/>
      <c r="H65" s="37"/>
      <c r="I65" s="46"/>
      <c r="J65" s="17"/>
    </row>
    <row r="66">
      <c r="A66" s="35" t="s">
        <v>941</v>
      </c>
      <c r="B66" s="37"/>
      <c r="C66" s="37"/>
      <c r="D66" s="37"/>
      <c r="E66" s="37"/>
      <c r="F66" s="37"/>
      <c r="G66" s="37"/>
      <c r="H66" s="37"/>
      <c r="I66" s="46"/>
      <c r="J66" s="17"/>
    </row>
    <row r="67">
      <c r="A67" s="35" t="s">
        <v>942</v>
      </c>
      <c r="B67" s="37"/>
      <c r="C67" s="37"/>
      <c r="D67" s="37"/>
      <c r="E67" s="37"/>
      <c r="F67" s="37"/>
      <c r="G67" s="37"/>
      <c r="H67" s="37"/>
      <c r="I67" s="46"/>
      <c r="J67" s="17"/>
    </row>
    <row r="68">
      <c r="A68" s="35" t="s">
        <v>943</v>
      </c>
      <c r="B68" s="37"/>
      <c r="C68" s="37"/>
      <c r="D68" s="37"/>
      <c r="E68" s="37"/>
      <c r="F68" s="37"/>
      <c r="G68" s="37"/>
      <c r="H68" s="37"/>
      <c r="I68" s="46"/>
      <c r="J68" s="17"/>
    </row>
    <row r="69">
      <c r="A69" s="35" t="s">
        <v>944</v>
      </c>
      <c r="B69" s="83">
        <v>2112.62</v>
      </c>
      <c r="C69" s="37"/>
      <c r="D69" s="37"/>
      <c r="E69" s="37"/>
      <c r="F69" s="37"/>
      <c r="G69" s="37"/>
      <c r="H69" s="37"/>
      <c r="I69" s="46"/>
      <c r="J69" s="17"/>
    </row>
    <row r="70">
      <c r="A70" s="35" t="s">
        <v>945</v>
      </c>
      <c r="B70" s="83">
        <v>1876.26</v>
      </c>
      <c r="C70" s="37"/>
      <c r="D70" s="37"/>
      <c r="E70" s="37"/>
      <c r="F70" s="37"/>
      <c r="G70" s="37"/>
      <c r="H70" s="37"/>
      <c r="I70" s="46"/>
      <c r="J70" s="17"/>
    </row>
    <row r="71">
      <c r="A71" s="35" t="s">
        <v>946</v>
      </c>
      <c r="B71" s="83">
        <v>1820.75</v>
      </c>
      <c r="C71" s="37"/>
      <c r="D71" s="37"/>
      <c r="E71" s="37"/>
      <c r="F71" s="37"/>
      <c r="G71" s="37"/>
      <c r="H71" s="37"/>
      <c r="I71" s="46"/>
      <c r="J71" s="17"/>
    </row>
    <row r="72">
      <c r="A72" s="35" t="s">
        <v>947</v>
      </c>
      <c r="B72" s="83">
        <v>1538.88</v>
      </c>
      <c r="C72" s="37"/>
      <c r="D72" s="37"/>
      <c r="E72" s="37"/>
      <c r="F72" s="37"/>
      <c r="G72" s="37"/>
      <c r="H72" s="37"/>
      <c r="I72" s="46"/>
      <c r="J72" s="17"/>
    </row>
    <row r="73">
      <c r="A73" s="35" t="s">
        <v>948</v>
      </c>
      <c r="B73" s="83">
        <v>1499.22</v>
      </c>
      <c r="C73" s="37"/>
      <c r="D73" s="37"/>
      <c r="E73" s="37"/>
      <c r="F73" s="37"/>
      <c r="G73" s="37"/>
      <c r="H73" s="37"/>
      <c r="I73" s="46"/>
      <c r="J73" s="17"/>
    </row>
    <row r="74">
      <c r="A74" s="35" t="s">
        <v>949</v>
      </c>
      <c r="B74" s="37"/>
      <c r="C74" s="37"/>
      <c r="D74" s="37"/>
      <c r="E74" s="37"/>
      <c r="F74" s="37"/>
      <c r="G74" s="37"/>
      <c r="H74" s="37"/>
      <c r="I74" s="46"/>
      <c r="J74" s="17"/>
    </row>
    <row r="75">
      <c r="A75" s="35" t="s">
        <v>950</v>
      </c>
      <c r="B75" s="83">
        <v>19.36</v>
      </c>
      <c r="C75" s="37"/>
      <c r="D75" s="37"/>
      <c r="E75" s="37"/>
      <c r="F75" s="37"/>
      <c r="G75" s="37"/>
      <c r="H75" s="37"/>
      <c r="I75" s="46"/>
      <c r="J75" s="17"/>
    </row>
    <row r="76">
      <c r="A76" s="35" t="s">
        <v>951</v>
      </c>
      <c r="B76" s="37"/>
      <c r="C76" s="37"/>
      <c r="D76" s="37"/>
      <c r="E76" s="37"/>
      <c r="F76" s="37"/>
      <c r="G76" s="37"/>
      <c r="H76" s="37"/>
      <c r="I76" s="46"/>
      <c r="J76" s="17"/>
    </row>
    <row r="77">
      <c r="A77" s="35" t="s">
        <v>952</v>
      </c>
      <c r="B77" s="37"/>
      <c r="C77" s="37"/>
      <c r="D77" s="37"/>
      <c r="E77" s="37"/>
      <c r="F77" s="37"/>
      <c r="G77" s="37"/>
      <c r="H77" s="37"/>
      <c r="I77" s="46"/>
      <c r="J77" s="17"/>
    </row>
    <row r="78">
      <c r="A78" s="35" t="s">
        <v>953</v>
      </c>
      <c r="B78" s="83">
        <v>3256.5</v>
      </c>
      <c r="C78" s="37"/>
      <c r="D78" s="37"/>
      <c r="E78" s="37"/>
      <c r="F78" s="37"/>
      <c r="G78" s="37"/>
      <c r="H78" s="37"/>
      <c r="I78" s="46"/>
      <c r="J78" s="17"/>
    </row>
    <row r="79">
      <c r="A79" s="35" t="s">
        <v>954</v>
      </c>
      <c r="B79" s="37"/>
      <c r="C79" s="37"/>
      <c r="D79" s="37"/>
      <c r="E79" s="37"/>
      <c r="F79" s="37"/>
      <c r="G79" s="37"/>
      <c r="H79" s="37"/>
      <c r="I79" s="46"/>
      <c r="J79" s="17"/>
    </row>
    <row r="80">
      <c r="A80" s="35" t="s">
        <v>955</v>
      </c>
      <c r="B80" s="83">
        <v>-115.7</v>
      </c>
      <c r="C80" s="37"/>
      <c r="D80" s="37"/>
      <c r="E80" s="37"/>
      <c r="F80" s="37"/>
      <c r="G80" s="37"/>
      <c r="H80" s="37"/>
      <c r="I80" s="46"/>
      <c r="J80" s="17"/>
    </row>
    <row r="81">
      <c r="A81" s="35" t="s">
        <v>956</v>
      </c>
      <c r="B81" s="37"/>
      <c r="C81" s="37"/>
      <c r="D81" s="37"/>
      <c r="E81" s="37"/>
      <c r="F81" s="37"/>
      <c r="G81" s="37"/>
      <c r="H81" s="37"/>
      <c r="I81" s="46"/>
      <c r="J81" s="17"/>
    </row>
    <row r="82">
      <c r="A82" s="35" t="s">
        <v>957</v>
      </c>
      <c r="B82" s="37"/>
      <c r="C82" s="37"/>
      <c r="D82" s="37"/>
      <c r="E82" s="37"/>
      <c r="F82" s="37"/>
      <c r="G82" s="37"/>
      <c r="H82" s="37"/>
      <c r="I82" s="46"/>
      <c r="J82" s="17"/>
    </row>
    <row r="83">
      <c r="A83" s="35" t="s">
        <v>958</v>
      </c>
      <c r="B83" s="37"/>
      <c r="C83" s="37"/>
      <c r="D83" s="37"/>
      <c r="E83" s="37"/>
      <c r="F83" s="37"/>
      <c r="G83" s="37"/>
      <c r="H83" s="37"/>
      <c r="I83" s="46"/>
      <c r="J83" s="17"/>
    </row>
    <row r="84">
      <c r="A84" s="35" t="s">
        <v>959</v>
      </c>
      <c r="B84" s="37"/>
      <c r="C84" s="37"/>
      <c r="D84" s="37"/>
      <c r="E84" s="37"/>
      <c r="F84" s="37"/>
      <c r="G84" s="37"/>
      <c r="H84" s="37"/>
      <c r="I84" s="46"/>
      <c r="J84" s="17"/>
    </row>
    <row r="85">
      <c r="A85" s="35" t="s">
        <v>960</v>
      </c>
      <c r="B85" s="83">
        <v>36503</v>
      </c>
      <c r="C85" s="37"/>
      <c r="D85" s="37"/>
      <c r="E85" s="37"/>
      <c r="F85" s="37"/>
      <c r="G85" s="37"/>
      <c r="H85" s="37"/>
      <c r="I85" s="46"/>
      <c r="J85" s="17"/>
    </row>
    <row r="86">
      <c r="A86" s="35" t="s">
        <v>961</v>
      </c>
      <c r="B86" s="37"/>
      <c r="C86" s="37"/>
      <c r="D86" s="37"/>
      <c r="E86" s="37"/>
      <c r="F86" s="37"/>
      <c r="G86" s="37"/>
      <c r="H86" s="37"/>
      <c r="I86" s="46"/>
      <c r="J86" s="17"/>
    </row>
    <row r="87">
      <c r="A87" s="35" t="s">
        <v>962</v>
      </c>
      <c r="B87" s="37"/>
      <c r="C87" s="37"/>
      <c r="D87" s="37"/>
      <c r="E87" s="37"/>
      <c r="F87" s="37"/>
      <c r="G87" s="37"/>
      <c r="H87" s="37"/>
      <c r="I87" s="46"/>
      <c r="J87" s="17"/>
    </row>
    <row r="88">
      <c r="A88" s="35" t="s">
        <v>963</v>
      </c>
      <c r="B88" s="83">
        <v>360.54</v>
      </c>
      <c r="C88" s="37"/>
      <c r="D88" s="37"/>
      <c r="E88" s="37"/>
      <c r="F88" s="37"/>
      <c r="G88" s="37"/>
      <c r="H88" s="37"/>
      <c r="I88" s="46"/>
      <c r="J88" s="17"/>
    </row>
    <row r="89">
      <c r="A89" s="35" t="s">
        <v>964</v>
      </c>
      <c r="B89" s="83">
        <v>359.5</v>
      </c>
      <c r="C89" s="37"/>
      <c r="D89" s="37"/>
      <c r="E89" s="37"/>
      <c r="F89" s="37"/>
      <c r="G89" s="37"/>
      <c r="H89" s="37"/>
      <c r="I89" s="46"/>
      <c r="J89" s="17"/>
    </row>
    <row r="90">
      <c r="A90" s="35" t="s">
        <v>965</v>
      </c>
      <c r="B90" s="83">
        <v>430</v>
      </c>
      <c r="C90" s="37"/>
      <c r="D90" s="37"/>
      <c r="E90" s="37"/>
      <c r="F90" s="37"/>
      <c r="G90" s="37"/>
      <c r="H90" s="37"/>
      <c r="I90" s="46"/>
      <c r="J90" s="17"/>
    </row>
    <row r="91">
      <c r="A91" s="35" t="s">
        <v>966</v>
      </c>
      <c r="B91" s="83">
        <v>262</v>
      </c>
      <c r="C91" s="37"/>
      <c r="D91" s="37"/>
      <c r="E91" s="37"/>
      <c r="F91" s="37"/>
      <c r="G91" s="37"/>
      <c r="H91" s="37"/>
      <c r="I91" s="46"/>
      <c r="J91" s="17"/>
    </row>
    <row r="92">
      <c r="A92" s="35" t="s">
        <v>967</v>
      </c>
      <c r="B92" s="83">
        <v>40.19</v>
      </c>
      <c r="C92" s="37"/>
      <c r="D92" s="37"/>
      <c r="E92" s="37"/>
      <c r="F92" s="37"/>
      <c r="G92" s="37"/>
      <c r="H92" s="37"/>
      <c r="I92" s="46"/>
      <c r="J92" s="17"/>
    </row>
    <row r="93">
      <c r="A93" s="35" t="s">
        <v>968</v>
      </c>
      <c r="B93" s="83">
        <v>24</v>
      </c>
      <c r="C93" s="37"/>
      <c r="D93" s="37"/>
      <c r="E93" s="37"/>
      <c r="F93" s="37"/>
      <c r="G93" s="37"/>
      <c r="H93" s="37"/>
      <c r="I93" s="46"/>
      <c r="J93" s="17"/>
    </row>
    <row r="94">
      <c r="A94" s="35" t="s">
        <v>969</v>
      </c>
      <c r="B94" s="102" t="s">
        <v>970</v>
      </c>
      <c r="C94" s="37"/>
      <c r="D94" s="37"/>
      <c r="E94" s="37"/>
      <c r="F94" s="37"/>
      <c r="G94" s="37"/>
      <c r="H94" s="37"/>
      <c r="I94" s="46"/>
      <c r="J94" s="17"/>
    </row>
    <row r="95">
      <c r="A95" s="35" t="s">
        <v>971</v>
      </c>
      <c r="B95" s="83">
        <v>2.97</v>
      </c>
      <c r="C95" s="37"/>
      <c r="D95" s="37"/>
      <c r="E95" s="37"/>
      <c r="F95" s="37"/>
      <c r="G95" s="37"/>
      <c r="H95" s="37"/>
      <c r="I95" s="46"/>
      <c r="J95" s="17"/>
    </row>
    <row r="96">
      <c r="A96" s="35" t="s">
        <v>972</v>
      </c>
      <c r="B96" s="83">
        <v>368.75</v>
      </c>
      <c r="C96" s="37"/>
      <c r="D96" s="37"/>
      <c r="E96" s="37"/>
      <c r="F96" s="37"/>
      <c r="G96" s="37"/>
      <c r="H96" s="37"/>
      <c r="I96" s="46"/>
      <c r="J96" s="17"/>
    </row>
    <row r="97">
      <c r="A97" s="35" t="s">
        <v>973</v>
      </c>
      <c r="B97" s="102" t="s">
        <v>974</v>
      </c>
      <c r="C97" s="37"/>
      <c r="D97" s="37"/>
      <c r="E97" s="37"/>
      <c r="F97" s="37"/>
      <c r="G97" s="37"/>
      <c r="H97" s="37"/>
      <c r="I97" s="46"/>
      <c r="J97" s="17"/>
    </row>
    <row r="98">
      <c r="A98" s="35" t="s">
        <v>975</v>
      </c>
      <c r="B98" s="102" t="s">
        <v>976</v>
      </c>
      <c r="C98" s="37"/>
      <c r="D98" s="37"/>
      <c r="E98" s="37"/>
      <c r="F98" s="37"/>
      <c r="G98" s="37"/>
      <c r="H98" s="37"/>
      <c r="I98" s="46"/>
      <c r="J98" s="17"/>
    </row>
    <row r="99">
      <c r="A99" s="35" t="s">
        <v>977</v>
      </c>
      <c r="B99" s="102" t="s">
        <v>978</v>
      </c>
      <c r="C99" s="37"/>
      <c r="D99" s="37"/>
      <c r="E99" s="37"/>
      <c r="F99" s="37"/>
      <c r="G99" s="37"/>
      <c r="H99" s="37"/>
      <c r="I99" s="46"/>
      <c r="J99" s="17"/>
    </row>
    <row r="100">
      <c r="A100" s="35" t="s">
        <v>979</v>
      </c>
      <c r="B100" s="3">
        <v>46306</v>
      </c>
      <c r="C100" s="32"/>
      <c r="D100" s="32"/>
      <c r="E100" s="32"/>
      <c r="F100" s="32"/>
      <c r="G100" s="32"/>
      <c r="H100" s="32"/>
      <c r="I100" s="38"/>
      <c r="J100" s="17"/>
    </row>
    <row r="101">
      <c r="A101" s="35" t="s">
        <v>980</v>
      </c>
      <c r="B101" s="102" t="s">
        <v>981</v>
      </c>
      <c r="C101" s="37"/>
      <c r="D101" s="37"/>
      <c r="E101" s="37"/>
      <c r="F101" s="37"/>
      <c r="G101" s="37"/>
      <c r="H101" s="37"/>
      <c r="I101" s="46"/>
      <c r="J101" s="17"/>
    </row>
    <row r="102">
      <c r="A102" s="1"/>
      <c r="B102" s="8"/>
      <c r="C102" s="8"/>
      <c r="D102" s="8"/>
      <c r="E102" s="8"/>
      <c r="F102" s="8"/>
      <c r="G102" s="8"/>
      <c r="H102" s="8"/>
      <c r="I102" s="21"/>
      <c r="J102" s="17"/>
    </row>
    <row r="103">
      <c r="A103" s="42" t="s">
        <v>982</v>
      </c>
      <c r="B103" s="8"/>
      <c r="C103" s="8"/>
      <c r="D103" s="8"/>
      <c r="E103" s="8"/>
      <c r="F103" s="8"/>
      <c r="G103" s="8"/>
      <c r="H103" s="8"/>
      <c r="I103" s="21"/>
      <c r="J103" s="17"/>
    </row>
    <row r="104">
      <c r="A104" s="35" t="s">
        <v>983</v>
      </c>
      <c r="B104" s="102" t="s">
        <v>984</v>
      </c>
      <c r="C104" s="37"/>
      <c r="D104" s="37"/>
      <c r="E104" s="37"/>
      <c r="F104" s="37"/>
      <c r="G104" s="37"/>
      <c r="H104" s="37"/>
      <c r="I104" s="46"/>
      <c r="J104" s="17"/>
    </row>
    <row r="105">
      <c r="A105" s="35" t="s">
        <v>901</v>
      </c>
      <c r="B105" s="102" t="s">
        <v>902</v>
      </c>
      <c r="C105" s="37"/>
      <c r="D105" s="37"/>
      <c r="E105" s="37"/>
      <c r="F105" s="37"/>
      <c r="G105" s="37"/>
      <c r="H105" s="37"/>
      <c r="I105" s="46"/>
      <c r="J105" s="17"/>
    </row>
    <row r="106">
      <c r="A106" s="35" t="s">
        <v>985</v>
      </c>
      <c r="B106" s="102" t="s">
        <v>904</v>
      </c>
      <c r="C106" s="37"/>
      <c r="D106" s="37"/>
      <c r="E106" s="37"/>
      <c r="F106" s="37"/>
      <c r="G106" s="37"/>
      <c r="H106" s="37"/>
      <c r="I106" s="46"/>
      <c r="J106" s="17"/>
    </row>
    <row r="107">
      <c r="A107" s="35" t="s">
        <v>986</v>
      </c>
      <c r="B107" s="102" t="s">
        <v>912</v>
      </c>
      <c r="C107" s="37"/>
      <c r="D107" s="37"/>
      <c r="E107" s="37"/>
      <c r="F107" s="37"/>
      <c r="G107" s="37"/>
      <c r="H107" s="37"/>
      <c r="I107" s="46"/>
      <c r="J107" s="17"/>
    </row>
    <row r="108">
      <c r="A108" s="35" t="s">
        <v>878</v>
      </c>
      <c r="B108" s="3">
        <v>46295</v>
      </c>
      <c r="C108" s="32"/>
      <c r="D108" s="32"/>
      <c r="E108" s="32"/>
      <c r="F108" s="32"/>
      <c r="G108" s="32"/>
      <c r="H108" s="32"/>
      <c r="I108" s="38"/>
      <c r="J108" s="17"/>
    </row>
    <row r="109">
      <c r="A109" s="35" t="s">
        <v>987</v>
      </c>
      <c r="B109" s="3">
        <v>46306</v>
      </c>
      <c r="C109" s="32"/>
      <c r="D109" s="32"/>
      <c r="E109" s="32"/>
      <c r="F109" s="32"/>
      <c r="G109" s="32"/>
      <c r="H109" s="32"/>
      <c r="I109" s="38"/>
      <c r="J109" s="17"/>
    </row>
    <row r="110">
      <c r="A110" s="35" t="s">
        <v>988</v>
      </c>
      <c r="B110" s="83">
        <v>24</v>
      </c>
      <c r="C110" s="37"/>
      <c r="D110" s="37"/>
      <c r="E110" s="37"/>
      <c r="F110" s="37"/>
      <c r="G110" s="37"/>
      <c r="H110" s="37"/>
      <c r="I110" s="46"/>
      <c r="J110" s="17"/>
    </row>
    <row r="111">
      <c r="A111" s="35" t="s">
        <v>989</v>
      </c>
      <c r="B111" s="83">
        <v>7.36</v>
      </c>
      <c r="C111" s="37"/>
      <c r="D111" s="37"/>
      <c r="E111" s="37"/>
      <c r="F111" s="37"/>
      <c r="G111" s="37"/>
      <c r="H111" s="37"/>
      <c r="I111" s="46"/>
      <c r="J111" s="17"/>
    </row>
    <row r="112">
      <c r="A112" s="35" t="s">
        <v>990</v>
      </c>
      <c r="B112" s="102" t="s">
        <v>991</v>
      </c>
      <c r="C112" s="37"/>
      <c r="D112" s="37"/>
      <c r="E112" s="37"/>
      <c r="F112" s="37"/>
      <c r="G112" s="37"/>
      <c r="H112" s="37"/>
      <c r="I112" s="46"/>
      <c r="J112" s="17"/>
    </row>
    <row r="113">
      <c r="A113" s="35" t="s">
        <v>992</v>
      </c>
      <c r="B113" s="83">
        <v>11018.09</v>
      </c>
      <c r="C113" s="37"/>
      <c r="D113" s="37"/>
      <c r="E113" s="37"/>
      <c r="F113" s="37"/>
      <c r="G113" s="37"/>
      <c r="H113" s="37"/>
      <c r="I113" s="46"/>
      <c r="J113" s="17"/>
    </row>
    <row r="114">
      <c r="A114" s="35" t="s">
        <v>975</v>
      </c>
      <c r="B114" s="102" t="s">
        <v>976</v>
      </c>
      <c r="C114" s="37"/>
      <c r="D114" s="37"/>
      <c r="E114" s="37"/>
      <c r="F114" s="37"/>
      <c r="G114" s="37"/>
      <c r="H114" s="37"/>
      <c r="I114" s="46"/>
      <c r="J114" s="17"/>
    </row>
    <row r="115">
      <c r="A115" s="35" t="s">
        <v>993</v>
      </c>
      <c r="B115" s="102" t="s">
        <v>994</v>
      </c>
      <c r="C115" s="37"/>
      <c r="D115" s="37"/>
      <c r="E115" s="37"/>
      <c r="F115" s="37"/>
      <c r="G115" s="37"/>
      <c r="H115" s="37"/>
      <c r="I115" s="46"/>
      <c r="J115" s="17"/>
    </row>
    <row r="116">
      <c r="A116" s="35" t="s">
        <v>995</v>
      </c>
      <c r="B116" s="102" t="s">
        <v>996</v>
      </c>
      <c r="C116" s="37"/>
      <c r="D116" s="37"/>
      <c r="E116" s="37"/>
      <c r="F116" s="37"/>
      <c r="G116" s="37"/>
      <c r="H116" s="37"/>
      <c r="I116" s="46"/>
      <c r="J116" s="17"/>
    </row>
    <row r="117">
      <c r="A117" s="35" t="s">
        <v>997</v>
      </c>
      <c r="B117" s="102" t="s">
        <v>978</v>
      </c>
      <c r="C117" s="37"/>
      <c r="D117" s="37"/>
      <c r="E117" s="37"/>
      <c r="F117" s="37"/>
      <c r="G117" s="37"/>
      <c r="H117" s="37"/>
      <c r="I117" s="46"/>
      <c r="J117" s="17"/>
    </row>
    <row r="118">
      <c r="A118" s="1" t="s">
        <v>998</v>
      </c>
      <c r="B118" s="8"/>
      <c r="C118" s="8"/>
      <c r="D118" s="8"/>
      <c r="E118" s="8"/>
      <c r="F118" s="8"/>
      <c r="G118" s="8"/>
      <c r="H118" s="8"/>
      <c r="I118" s="21"/>
      <c r="J118" s="17"/>
    </row>
    <row r="119">
      <c r="A119" s="1"/>
      <c r="B119" s="8"/>
      <c r="C119" s="8"/>
      <c r="D119" s="8"/>
      <c r="E119" s="8"/>
      <c r="F119" s="8"/>
      <c r="G119" s="8"/>
      <c r="H119" s="8"/>
      <c r="I119" s="21"/>
      <c r="J119" s="17"/>
    </row>
    <row r="120">
      <c r="A120" s="42" t="s">
        <v>999</v>
      </c>
      <c r="B120" s="8"/>
      <c r="C120" s="8"/>
      <c r="D120" s="8"/>
      <c r="E120" s="8"/>
      <c r="F120" s="8"/>
      <c r="G120" s="8"/>
      <c r="H120" s="8"/>
      <c r="I120" s="21"/>
      <c r="J120" s="17"/>
    </row>
    <row r="121">
      <c r="A121" s="35" t="s">
        <v>1000</v>
      </c>
      <c r="B121" s="102" t="s">
        <v>1001</v>
      </c>
      <c r="C121" s="37"/>
      <c r="D121" s="37"/>
      <c r="E121" s="37"/>
      <c r="F121" s="37"/>
      <c r="G121" s="37"/>
      <c r="H121" s="37"/>
      <c r="I121" s="46"/>
      <c r="J121" s="17"/>
    </row>
    <row r="122">
      <c r="A122" s="35" t="s">
        <v>1002</v>
      </c>
      <c r="B122" s="102" t="s">
        <v>1003</v>
      </c>
      <c r="C122" s="37"/>
      <c r="D122" s="37"/>
      <c r="E122" s="37"/>
      <c r="F122" s="37"/>
      <c r="G122" s="37"/>
      <c r="H122" s="37"/>
      <c r="I122" s="46"/>
      <c r="J122" s="17"/>
    </row>
  </sheetData>
</worksheet>
</file>